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164080\Desktop\"/>
    </mc:Choice>
  </mc:AlternateContent>
  <bookViews>
    <workbookView xWindow="-120" yWindow="-120" windowWidth="29040" windowHeight="17640" tabRatio="737"/>
  </bookViews>
  <sheets>
    <sheet name="Index" sheetId="33" r:id="rId1"/>
    <sheet name="81 Biogas Plant, Basic conf." sheetId="25" r:id="rId2"/>
    <sheet name="81 Biogas Plant, Add. Straw" sheetId="26" r:id="rId3"/>
    <sheet name="81 Biogas Plant, Add. Org Waste" sheetId="27" r:id="rId4"/>
    <sheet name="82 Biogas, upgrading" sheetId="28" r:id="rId5"/>
    <sheet name="83 Gasif. Fixed Bed, Producer " sheetId="22" r:id="rId6"/>
    <sheet name="84 Gasif. CFB, Bio-SNG" sheetId="23" r:id="rId7"/>
    <sheet name="85 Gasif. Ent. Flow FT, liq fu " sheetId="24" r:id="rId8"/>
    <sheet name="86 AEC 1MW" sheetId="58" r:id="rId9"/>
    <sheet name="86 AEC 100MW" sheetId="59" r:id="rId10"/>
    <sheet name="86 PEMEC 1MW" sheetId="60" r:id="rId11"/>
    <sheet name="86 PEMEC 100MW" sheetId="62" r:id="rId12"/>
    <sheet name="86 SOEC 1MW" sheetId="63" r:id="rId13"/>
    <sheet name="89 Vegetable oil FAME" sheetId="32" r:id="rId14"/>
    <sheet name="90 UCO &amp; animal fat FAME" sheetId="34" r:id="rId15"/>
    <sheet name="91 Hydrogenated veg oil" sheetId="35" r:id="rId16"/>
    <sheet name="92 HVO jet fuel" sheetId="36" r:id="rId17"/>
    <sheet name="93 1st generation ethanol" sheetId="37" r:id="rId18"/>
    <sheet name="94 Pyrolysis oils" sheetId="38" r:id="rId19"/>
    <sheet name="95 Cellulosic ethanol" sheetId="39" r:id="rId20"/>
    <sheet name="97 Methanol from biomass gasif." sheetId="41" r:id="rId21"/>
    <sheet name="98 Methanol from power" sheetId="42" r:id="rId22"/>
    <sheet name="99 SNG from methan. of biogas" sheetId="43" r:id="rId23"/>
    <sheet name="100 Hydrothermal liquifaction" sheetId="45" r:id="rId24"/>
    <sheet name="101 Catalytic Hydropyrolysis 2" sheetId="46" r:id="rId25"/>
    <sheet name="101 Catalytic Hydropyrolysis 1" sheetId="47" r:id="rId26"/>
    <sheet name="102 Hydrogen to Jet" sheetId="48" r:id="rId27"/>
    <sheet name="102 Power to Jet" sheetId="49" r:id="rId28"/>
    <sheet name="103 Hydrogen to Ammonia" sheetId="51" r:id="rId29"/>
    <sheet name="104 Methane pyrolysis, MBR" sheetId="64" r:id="rId30"/>
    <sheet name="104 Methane pyrolysis, Plasma" sheetId="67" r:id="rId31"/>
    <sheet name="105 Slow pyrolysis, Straw" sheetId="68" r:id="rId32"/>
    <sheet name="105 Slow pyrolysis, Digestate" sheetId="69" r:id="rId33"/>
  </sheets>
  <definedNames>
    <definedName name="_Ref27922520" localSheetId="26">'102 Hydrogen to Jet'!$B$51</definedName>
    <definedName name="_Ref27922536" localSheetId="26">'102 Hydrogen to Jet'!$B$50</definedName>
    <definedName name="_Ref27922576" localSheetId="26">'102 Hydrogen to Jet'!$B$49</definedName>
    <definedName name="_Ref27922596" localSheetId="26">'102 Hydrogen to Jet'!$B$48</definedName>
    <definedName name="_Ref27922635" localSheetId="26">'102 Hydrogen to Jet'!$B$47</definedName>
    <definedName name="_Toc520721030" localSheetId="13">'89 Vegetable oil FAME'!#REF!</definedName>
    <definedName name="_Toc520721076" localSheetId="15">'91 Hydrogenated veg oil'!$B$57</definedName>
    <definedName name="_Toc520721099" localSheetId="16">'92 HVO jet fuel'!$B$57</definedName>
    <definedName name="_Toc520721122" localSheetId="17">'93 1st generation ethanol'!$B$51</definedName>
    <definedName name="_Toc520721145" localSheetId="18">'94 Pyrolysis oils'!$B$46</definedName>
    <definedName name="_Toc520721168" localSheetId="19">'95 Cellulosic ethanol'!$B$46</definedName>
    <definedName name="_Toc520721214" localSheetId="20">'97 Methanol from biomass gasif.'!$B$44</definedName>
    <definedName name="_Toc520721237" localSheetId="28">'103 Hydrogen to Ammonia'!$B$52</definedName>
    <definedName name="_Toc520721237" localSheetId="21">'98 Methanol from power'!$B$49</definedName>
    <definedName name="_Toc520721259" localSheetId="22">'99 SNG from methan. of biogas'!$B$48</definedName>
    <definedName name="_Toc520721282" localSheetId="23">'100 Hydrothermal liquifaction'!$B$47</definedName>
    <definedName name="index" localSheetId="28">#REF!</definedName>
    <definedName name="index">Index!$A$1</definedName>
    <definedName name="Sheet" localSheetId="28">#REF!</definedName>
    <definedName name="Sheet">Index!$A$1</definedName>
    <definedName name="sheet10" localSheetId="28">#REF!</definedName>
    <definedName name="sheet10">#REF!</definedName>
    <definedName name="sheet11" localSheetId="28">#REF!</definedName>
    <definedName name="sheet11">#REF!</definedName>
    <definedName name="sheet12" localSheetId="28">#REF!</definedName>
    <definedName name="sheet12">'89 Vegetable oil FAME'!$C$3</definedName>
    <definedName name="sheet13" localSheetId="28">#REF!</definedName>
    <definedName name="sheet13">'90 UCO &amp; animal fat FAME'!$C$3</definedName>
    <definedName name="sheet14" localSheetId="28">#REF!</definedName>
    <definedName name="sheet14">'91 Hydrogenated veg oil'!$C$3</definedName>
    <definedName name="sheet15" localSheetId="28">#REF!</definedName>
    <definedName name="sheet15">'92 HVO jet fuel'!$C$3</definedName>
    <definedName name="sheet16" localSheetId="28">#REF!</definedName>
    <definedName name="sheet16">'93 1st generation ethanol'!$C$3</definedName>
    <definedName name="sheet17" localSheetId="28">#REF!</definedName>
    <definedName name="sheet17">'94 Pyrolysis oils'!$C$3</definedName>
    <definedName name="sheet18" localSheetId="28">#REF!</definedName>
    <definedName name="sheet18">'95 Cellulosic ethanol'!$C$3</definedName>
    <definedName name="sheet19" localSheetId="28">#REF!</definedName>
    <definedName name="sheet19">'97 Methanol from biomass gasif.'!$C$3</definedName>
    <definedName name="sheet2" localSheetId="28">#REF!</definedName>
    <definedName name="sheet2">'81 Biogas Plant, Basic conf.'!$C$3</definedName>
    <definedName name="sheet20" localSheetId="28">'103 Hydrogen to Ammonia'!#REF!</definedName>
    <definedName name="sheet20">'98 Methanol from power'!$C$3</definedName>
    <definedName name="sheet21" localSheetId="28">#REF!</definedName>
    <definedName name="sheet21">'99 SNG from methan. of biogas'!$C$3</definedName>
    <definedName name="sheet22" localSheetId="28">#REF!</definedName>
    <definedName name="sheet22">'100 Hydrothermal liquifaction'!$C$3</definedName>
    <definedName name="sheet23" localSheetId="28">#REF!</definedName>
    <definedName name="sheet23">'101 Catalytic Hydropyrolysis 2'!$C$3</definedName>
    <definedName name="sheet24" localSheetId="28">#REF!</definedName>
    <definedName name="sheet24">'101 Catalytic Hydropyrolysis 1'!$C$3</definedName>
    <definedName name="sheet25" localSheetId="28">#REF!</definedName>
    <definedName name="sheet25">'102 Hydrogen to Jet'!$C$3</definedName>
    <definedName name="sheet26" localSheetId="28">#REF!</definedName>
    <definedName name="sheet26">'102 Power to Jet'!$C$3</definedName>
    <definedName name="sheet3" localSheetId="28">#REF!</definedName>
    <definedName name="sheet3" localSheetId="29">'104 Methane pyrolysis, MBR'!$C$3</definedName>
    <definedName name="sheet3" localSheetId="30">'104 Methane pyrolysis, Plasma'!$C$3</definedName>
    <definedName name="sheet3" localSheetId="9">'86 AEC 100MW'!$C$3</definedName>
    <definedName name="sheet3" localSheetId="8">'86 AEC 1MW'!$C$3</definedName>
    <definedName name="sheet3" localSheetId="11">'86 PEMEC 100MW'!$C$3</definedName>
    <definedName name="sheet3" localSheetId="10">'86 PEMEC 1MW'!$C$3</definedName>
    <definedName name="sheet3" localSheetId="12">'86 SOEC 1MW'!$C$3</definedName>
    <definedName name="sheet3">'81 Biogas Plant, Add. Straw'!$C$3</definedName>
    <definedName name="sheet4" localSheetId="28">#REF!</definedName>
    <definedName name="sheet4">'81 Biogas Plant, Add. Org Waste'!$C$3</definedName>
    <definedName name="sheet5" localSheetId="28">#REF!</definedName>
    <definedName name="sheet5">'82 Biogas, upgrading'!$C$3</definedName>
    <definedName name="sheet6" localSheetId="28">#REF!</definedName>
    <definedName name="sheet6">'83 Gasif. Fixed Bed, Producer '!$C$3</definedName>
    <definedName name="sheet7" localSheetId="28">#REF!</definedName>
    <definedName name="sheet7">'84 Gasif. CFB, Bio-SNG'!$C$3</definedName>
    <definedName name="sheet8" localSheetId="28">#REF!</definedName>
    <definedName name="sheet8">'85 Gasif. Ent. Flow FT, liq fu '!$C$3</definedName>
    <definedName name="sheet9" localSheetId="28">#REF!</definedName>
    <definedName name="sheet9">#REF!</definedName>
    <definedName name="Start10" localSheetId="28">#REF!</definedName>
    <definedName name="Start10">#REF!</definedName>
    <definedName name="Start11" localSheetId="28">#REF!</definedName>
    <definedName name="Start11">#REF!</definedName>
    <definedName name="Start12" localSheetId="28">#REF!</definedName>
    <definedName name="Start12">'89 Vegetable oil FAME'!#REF!</definedName>
    <definedName name="Start13" localSheetId="28">#REF!</definedName>
    <definedName name="Start13">'90 UCO &amp; animal fat FAME'!#REF!</definedName>
    <definedName name="Start14" localSheetId="28">#REF!</definedName>
    <definedName name="Start14">'91 Hydrogenated veg oil'!#REF!</definedName>
    <definedName name="Start15" localSheetId="28">#REF!</definedName>
    <definedName name="Start15">'92 HVO jet fuel'!#REF!</definedName>
    <definedName name="Start16" localSheetId="28">#REF!</definedName>
    <definedName name="Start16">'93 1st generation ethanol'!#REF!</definedName>
    <definedName name="Start17" localSheetId="28">#REF!</definedName>
    <definedName name="Start17">'94 Pyrolysis oils'!#REF!</definedName>
    <definedName name="Start18" localSheetId="28">#REF!</definedName>
    <definedName name="Start18">'95 Cellulosic ethanol'!#REF!</definedName>
    <definedName name="Start19" localSheetId="28">#REF!</definedName>
    <definedName name="Start19">'97 Methanol from biomass gasif.'!#REF!</definedName>
    <definedName name="Start2" localSheetId="28">#REF!</definedName>
    <definedName name="Start2">'81 Biogas Plant, Basic conf.'!#REF!</definedName>
    <definedName name="Start20" localSheetId="28">'103 Hydrogen to Ammonia'!#REF!</definedName>
    <definedName name="Start20">'98 Methanol from power'!#REF!</definedName>
    <definedName name="Start21" localSheetId="28">#REF!</definedName>
    <definedName name="Start21">'99 SNG from methan. of biogas'!#REF!</definedName>
    <definedName name="Start22" localSheetId="28">#REF!</definedName>
    <definedName name="Start22">'100 Hydrothermal liquifaction'!#REF!</definedName>
    <definedName name="Start23" localSheetId="28">#REF!</definedName>
    <definedName name="Start23">'101 Catalytic Hydropyrolysis 2'!#REF!</definedName>
    <definedName name="Start24" localSheetId="28">#REF!</definedName>
    <definedName name="Start24">'101 Catalytic Hydropyrolysis 1'!#REF!</definedName>
    <definedName name="Start25" localSheetId="28">#REF!</definedName>
    <definedName name="Start25">'102 Hydrogen to Jet'!#REF!</definedName>
    <definedName name="Start26" localSheetId="28">#REF!</definedName>
    <definedName name="Start26">'102 Power to Jet'!#REF!</definedName>
    <definedName name="Start3" localSheetId="28">#REF!</definedName>
    <definedName name="Start3" localSheetId="29">'104 Methane pyrolysis, MBR'!#REF!</definedName>
    <definedName name="Start3" localSheetId="30">'104 Methane pyrolysis, Plasma'!#REF!</definedName>
    <definedName name="Start3" localSheetId="9">'86 AEC 100MW'!#REF!</definedName>
    <definedName name="Start3" localSheetId="8">'86 AEC 1MW'!#REF!</definedName>
    <definedName name="Start3" localSheetId="11">'86 PEMEC 100MW'!#REF!</definedName>
    <definedName name="Start3" localSheetId="10">'86 PEMEC 1MW'!#REF!</definedName>
    <definedName name="Start3" localSheetId="12">'86 SOEC 1MW'!#REF!</definedName>
    <definedName name="Start3">'81 Biogas Plant, Add. Straw'!#REF!</definedName>
    <definedName name="Start4" localSheetId="28">#REF!</definedName>
    <definedName name="Start4">'81 Biogas Plant, Add. Org Waste'!#REF!</definedName>
    <definedName name="Start5" localSheetId="28">#REF!</definedName>
    <definedName name="Start5">'82 Biogas, upgrading'!#REF!</definedName>
    <definedName name="Start6" localSheetId="28">#REF!</definedName>
    <definedName name="Start6">'83 Gasif. Fixed Bed, Producer '!#REF!</definedName>
    <definedName name="Start7" localSheetId="28">#REF!</definedName>
    <definedName name="Start7">'84 Gasif. CFB, Bio-SNG'!#REF!</definedName>
    <definedName name="Start8" localSheetId="28">#REF!</definedName>
    <definedName name="Start8">'85 Gasif. Ent. Flow FT, liq fu '!#REF!</definedName>
    <definedName name="Start9" localSheetId="28">#REF!</definedName>
    <definedName name="Start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67" l="1"/>
  <c r="E14" i="67"/>
  <c r="F14" i="67"/>
  <c r="D14" i="67"/>
  <c r="H31" i="67"/>
  <c r="G31" i="67"/>
  <c r="E31" i="67"/>
  <c r="F31" i="67" s="1"/>
  <c r="F30" i="67"/>
  <c r="E30" i="67"/>
  <c r="D30" i="67"/>
  <c r="J18" i="67"/>
  <c r="I18" i="67"/>
  <c r="H18" i="67"/>
  <c r="G18" i="67"/>
  <c r="J17" i="67"/>
  <c r="I17" i="67"/>
  <c r="H17" i="67"/>
  <c r="E36" i="67"/>
  <c r="F36" i="67" s="1"/>
  <c r="G36" i="67" s="1"/>
  <c r="D36" i="67"/>
  <c r="B36" i="67"/>
  <c r="J18" i="64"/>
  <c r="G18" i="64"/>
  <c r="H18" i="64"/>
  <c r="H31" i="64"/>
  <c r="G31" i="64"/>
  <c r="E31" i="64"/>
  <c r="F31" i="64" s="1"/>
  <c r="F30" i="64"/>
  <c r="E30" i="64"/>
  <c r="D30" i="64"/>
  <c r="J19" i="64"/>
  <c r="I19" i="64"/>
  <c r="H19" i="64"/>
  <c r="I18" i="64"/>
  <c r="J17" i="64"/>
  <c r="I17" i="64"/>
  <c r="H17" i="64"/>
  <c r="G17" i="64"/>
  <c r="E36" i="64"/>
  <c r="F36" i="64" s="1"/>
  <c r="G36" i="64" s="1"/>
  <c r="D36" i="64"/>
  <c r="B36" i="64"/>
  <c r="J28" i="63"/>
  <c r="I28" i="63"/>
  <c r="I29" i="63" s="1"/>
  <c r="H28" i="63"/>
  <c r="G28" i="63"/>
  <c r="F28" i="63"/>
  <c r="D28" i="63"/>
  <c r="C28" i="63"/>
  <c r="J20" i="63"/>
  <c r="J13" i="63" s="1"/>
  <c r="I20" i="63"/>
  <c r="I13" i="63" s="1"/>
  <c r="H20" i="63"/>
  <c r="H13" i="63" s="1"/>
  <c r="G20" i="63"/>
  <c r="G13" i="63" s="1"/>
  <c r="J17" i="63"/>
  <c r="J18" i="63" s="1"/>
  <c r="I17" i="63"/>
  <c r="I18" i="63" s="1"/>
  <c r="H17" i="63"/>
  <c r="H18" i="63" s="1"/>
  <c r="G17" i="63"/>
  <c r="G18" i="63" s="1"/>
  <c r="C17" i="63"/>
  <c r="C18" i="63" s="1"/>
  <c r="F16" i="63"/>
  <c r="F20" i="63" s="1"/>
  <c r="F13" i="63" s="1"/>
  <c r="D16" i="63"/>
  <c r="D20" i="63" s="1"/>
  <c r="D13" i="63" s="1"/>
  <c r="C16" i="63"/>
  <c r="C20" i="63" s="1"/>
  <c r="C13" i="63" s="1"/>
  <c r="J11" i="63"/>
  <c r="I11" i="63"/>
  <c r="H11" i="63"/>
  <c r="G11" i="63"/>
  <c r="F11" i="63"/>
  <c r="E11" i="63"/>
  <c r="D11" i="63"/>
  <c r="C11" i="63"/>
  <c r="J7" i="63"/>
  <c r="I7" i="63"/>
  <c r="H7" i="63"/>
  <c r="G7" i="63"/>
  <c r="C7" i="63"/>
  <c r="E39" i="63"/>
  <c r="F39" i="63" s="1"/>
  <c r="G39" i="63" s="1"/>
  <c r="D39" i="63"/>
  <c r="B39" i="63"/>
  <c r="J21" i="62"/>
  <c r="J30" i="62" s="1"/>
  <c r="I21" i="62"/>
  <c r="I12" i="62" s="1"/>
  <c r="H21" i="62"/>
  <c r="H12" i="62" s="1"/>
  <c r="G21" i="62"/>
  <c r="G30" i="62" s="1"/>
  <c r="F15" i="62"/>
  <c r="D15" i="62"/>
  <c r="E15" i="62" s="1"/>
  <c r="C15" i="62"/>
  <c r="C21" i="62" s="1"/>
  <c r="C30" i="62" s="1"/>
  <c r="J7" i="62"/>
  <c r="I7" i="62"/>
  <c r="H7" i="62"/>
  <c r="G7" i="62"/>
  <c r="F7" i="62"/>
  <c r="D7" i="62"/>
  <c r="C7" i="62"/>
  <c r="E40" i="62"/>
  <c r="F40" i="62" s="1"/>
  <c r="G40" i="62" s="1"/>
  <c r="D40" i="62"/>
  <c r="B40" i="62"/>
  <c r="I31" i="67" l="1"/>
  <c r="J31" i="67"/>
  <c r="J31" i="64"/>
  <c r="I31" i="64"/>
  <c r="F7" i="63"/>
  <c r="E28" i="63"/>
  <c r="D7" i="63"/>
  <c r="E16" i="63"/>
  <c r="E20" i="63" s="1"/>
  <c r="E13" i="63" s="1"/>
  <c r="H29" i="63"/>
  <c r="J29" i="63"/>
  <c r="C29" i="63"/>
  <c r="F29" i="63"/>
  <c r="G29" i="63"/>
  <c r="J12" i="62"/>
  <c r="D29" i="63"/>
  <c r="D17" i="63"/>
  <c r="D18" i="63" s="1"/>
  <c r="E17" i="63"/>
  <c r="E18" i="63" s="1"/>
  <c r="F17" i="63"/>
  <c r="F18" i="63" s="1"/>
  <c r="G12" i="62"/>
  <c r="H16" i="62"/>
  <c r="H17" i="62" s="1"/>
  <c r="H19" i="62" s="1"/>
  <c r="I16" i="62"/>
  <c r="I17" i="62" s="1"/>
  <c r="I19" i="62" s="1"/>
  <c r="J16" i="62"/>
  <c r="J17" i="62" s="1"/>
  <c r="J19" i="62" s="1"/>
  <c r="G16" i="62"/>
  <c r="G17" i="62" s="1"/>
  <c r="G19" i="62" s="1"/>
  <c r="H30" i="62"/>
  <c r="I30" i="62"/>
  <c r="C12" i="62"/>
  <c r="C16" i="62"/>
  <c r="C17" i="62" s="1"/>
  <c r="C19" i="62" s="1"/>
  <c r="E7" i="62"/>
  <c r="E21" i="62"/>
  <c r="E30" i="62" s="1"/>
  <c r="D21" i="62"/>
  <c r="D30" i="62" s="1"/>
  <c r="F21" i="62"/>
  <c r="F30" i="62" s="1"/>
  <c r="J21" i="60"/>
  <c r="J30" i="60" s="1"/>
  <c r="I21" i="60"/>
  <c r="I30" i="60" s="1"/>
  <c r="H21" i="60"/>
  <c r="H30" i="60" s="1"/>
  <c r="G21" i="60"/>
  <c r="G30" i="60" s="1"/>
  <c r="C21" i="60"/>
  <c r="C12" i="60" s="1"/>
  <c r="F15" i="60"/>
  <c r="F21" i="60" s="1"/>
  <c r="D15" i="60"/>
  <c r="D21" i="60" s="1"/>
  <c r="C15" i="60"/>
  <c r="J7" i="60"/>
  <c r="I7" i="60"/>
  <c r="H7" i="60"/>
  <c r="G7" i="60"/>
  <c r="F7" i="60"/>
  <c r="C7" i="60"/>
  <c r="E40" i="60"/>
  <c r="F40" i="60" s="1"/>
  <c r="G40" i="60" s="1"/>
  <c r="D40" i="60"/>
  <c r="B40" i="60"/>
  <c r="D12" i="58"/>
  <c r="E12" i="58"/>
  <c r="F12" i="58"/>
  <c r="G12" i="58"/>
  <c r="H12" i="58"/>
  <c r="I12" i="58"/>
  <c r="J12" i="58"/>
  <c r="C12" i="58"/>
  <c r="J21" i="59"/>
  <c r="J12" i="59" s="1"/>
  <c r="I21" i="59"/>
  <c r="I12" i="59" s="1"/>
  <c r="H21" i="59"/>
  <c r="H12" i="59" s="1"/>
  <c r="G21" i="59"/>
  <c r="G16" i="59" s="1"/>
  <c r="G17" i="59" s="1"/>
  <c r="G19" i="59" s="1"/>
  <c r="F15" i="59"/>
  <c r="F21" i="59" s="1"/>
  <c r="D15" i="59"/>
  <c r="D21" i="59" s="1"/>
  <c r="C15" i="59"/>
  <c r="C21" i="59" s="1"/>
  <c r="J7" i="59"/>
  <c r="J30" i="59" s="1"/>
  <c r="I7" i="59"/>
  <c r="I30" i="59" s="1"/>
  <c r="H7" i="59"/>
  <c r="H30" i="59" s="1"/>
  <c r="G7" i="59"/>
  <c r="G30" i="59" s="1"/>
  <c r="F7" i="59"/>
  <c r="F30" i="59" s="1"/>
  <c r="E40" i="59"/>
  <c r="F40" i="59" s="1"/>
  <c r="G40" i="59" s="1"/>
  <c r="D40" i="59"/>
  <c r="B40" i="59"/>
  <c r="E29" i="63" l="1"/>
  <c r="E7" i="63"/>
  <c r="E12" i="62"/>
  <c r="E16" i="62"/>
  <c r="E17" i="62" s="1"/>
  <c r="E19" i="62" s="1"/>
  <c r="D12" i="62"/>
  <c r="D16" i="62"/>
  <c r="D17" i="62" s="1"/>
  <c r="D19" i="62" s="1"/>
  <c r="F16" i="62"/>
  <c r="F17" i="62" s="1"/>
  <c r="F19" i="62" s="1"/>
  <c r="F12" i="62"/>
  <c r="D12" i="60"/>
  <c r="D16" i="60"/>
  <c r="D17" i="60" s="1"/>
  <c r="D19" i="60" s="1"/>
  <c r="D7" i="60"/>
  <c r="E15" i="60"/>
  <c r="E21" i="60" s="1"/>
  <c r="E16" i="60" s="1"/>
  <c r="E17" i="60" s="1"/>
  <c r="E19" i="60" s="1"/>
  <c r="C16" i="60"/>
  <c r="C17" i="60" s="1"/>
  <c r="C19" i="60" s="1"/>
  <c r="G12" i="60"/>
  <c r="G16" i="60"/>
  <c r="G17" i="60" s="1"/>
  <c r="G19" i="60" s="1"/>
  <c r="J12" i="60"/>
  <c r="H16" i="59"/>
  <c r="H17" i="59" s="1"/>
  <c r="H19" i="59" s="1"/>
  <c r="J16" i="59"/>
  <c r="J17" i="59" s="1"/>
  <c r="J19" i="59" s="1"/>
  <c r="H12" i="60"/>
  <c r="I12" i="60"/>
  <c r="I16" i="60"/>
  <c r="I17" i="60" s="1"/>
  <c r="I19" i="60" s="1"/>
  <c r="J16" i="60"/>
  <c r="J17" i="60" s="1"/>
  <c r="J19" i="60" s="1"/>
  <c r="H16" i="60"/>
  <c r="H17" i="60" s="1"/>
  <c r="H19" i="60" s="1"/>
  <c r="F12" i="60"/>
  <c r="F30" i="60"/>
  <c r="F16" i="60"/>
  <c r="F17" i="60" s="1"/>
  <c r="F19" i="60" s="1"/>
  <c r="E12" i="60"/>
  <c r="E30" i="60"/>
  <c r="D30" i="60"/>
  <c r="C30" i="60"/>
  <c r="C7" i="59"/>
  <c r="C30" i="59" s="1"/>
  <c r="D7" i="59"/>
  <c r="D30" i="59" s="1"/>
  <c r="I16" i="59"/>
  <c r="I17" i="59" s="1"/>
  <c r="I19" i="59" s="1"/>
  <c r="G12" i="59"/>
  <c r="C12" i="59"/>
  <c r="C16" i="59"/>
  <c r="C17" i="59" s="1"/>
  <c r="C19" i="59" s="1"/>
  <c r="D16" i="59"/>
  <c r="D17" i="59" s="1"/>
  <c r="D19" i="59" s="1"/>
  <c r="D12" i="59"/>
  <c r="F16" i="59"/>
  <c r="F17" i="59" s="1"/>
  <c r="F19" i="59" s="1"/>
  <c r="F12" i="59"/>
  <c r="E15" i="59"/>
  <c r="D21" i="58"/>
  <c r="D16" i="58" s="1"/>
  <c r="D17" i="58" s="1"/>
  <c r="D19" i="58" s="1"/>
  <c r="G21" i="58"/>
  <c r="G16" i="58" s="1"/>
  <c r="G17" i="58" s="1"/>
  <c r="G19" i="58" s="1"/>
  <c r="H21" i="58"/>
  <c r="I21" i="58"/>
  <c r="I16" i="58" s="1"/>
  <c r="I17" i="58" s="1"/>
  <c r="I19" i="58" s="1"/>
  <c r="J21" i="58"/>
  <c r="J16" i="58" s="1"/>
  <c r="J17" i="58" s="1"/>
  <c r="J19" i="58" s="1"/>
  <c r="H16" i="58"/>
  <c r="H17" i="58" s="1"/>
  <c r="H19" i="58" s="1"/>
  <c r="C16" i="58"/>
  <c r="C17" i="58" s="1"/>
  <c r="C19" i="58" s="1"/>
  <c r="F15" i="58"/>
  <c r="F7" i="58" s="1"/>
  <c r="F30" i="58" s="1"/>
  <c r="D15" i="58"/>
  <c r="C15" i="58"/>
  <c r="C21" i="58" s="1"/>
  <c r="J7" i="58"/>
  <c r="J30" i="58" s="1"/>
  <c r="I7" i="58"/>
  <c r="I30" i="58" s="1"/>
  <c r="H7" i="58"/>
  <c r="H30" i="58" s="1"/>
  <c r="G7" i="58"/>
  <c r="G30" i="58" s="1"/>
  <c r="D7" i="58"/>
  <c r="D30" i="58" s="1"/>
  <c r="E40" i="58"/>
  <c r="F40" i="58" s="1"/>
  <c r="G40" i="58" s="1"/>
  <c r="D40" i="58"/>
  <c r="B40" i="58"/>
  <c r="E7" i="60" l="1"/>
  <c r="E21" i="59"/>
  <c r="E7" i="59"/>
  <c r="E30" i="59" s="1"/>
  <c r="F21" i="58"/>
  <c r="F16" i="58" s="1"/>
  <c r="F17" i="58" s="1"/>
  <c r="F19" i="58" s="1"/>
  <c r="C7" i="58"/>
  <c r="C30" i="58" s="1"/>
  <c r="E15" i="58"/>
  <c r="E21" i="58" s="1"/>
  <c r="E16" i="58" s="1"/>
  <c r="E17" i="58" s="1"/>
  <c r="E19" i="58" s="1"/>
  <c r="E16" i="59" l="1"/>
  <c r="E17" i="59" s="1"/>
  <c r="E19" i="59" s="1"/>
  <c r="E12" i="59"/>
  <c r="E7" i="58"/>
  <c r="E30" i="58" s="1"/>
  <c r="J28" i="51" l="1"/>
  <c r="I28" i="51"/>
  <c r="H28" i="51"/>
  <c r="G28" i="51"/>
  <c r="J16" i="51" l="1"/>
  <c r="I16" i="51"/>
  <c r="J15" i="51"/>
  <c r="I15" i="51"/>
  <c r="J12" i="51"/>
  <c r="I12" i="51"/>
  <c r="J11" i="51"/>
  <c r="I11" i="51"/>
  <c r="J10" i="51"/>
  <c r="I10" i="51"/>
  <c r="D7" i="51"/>
  <c r="F7" i="51" s="1"/>
  <c r="E7" i="51" l="1"/>
  <c r="F15" i="24" l="1"/>
  <c r="G14" i="24"/>
  <c r="E14" i="24"/>
  <c r="G13" i="24"/>
  <c r="E13" i="24"/>
  <c r="F13" i="24" s="1"/>
  <c r="G12" i="24"/>
  <c r="E12" i="24"/>
  <c r="F12" i="24" s="1"/>
  <c r="F14" i="24" l="1"/>
  <c r="G19" i="36"/>
  <c r="F19" i="36"/>
  <c r="E19" i="36"/>
  <c r="D19" i="36"/>
  <c r="C19" i="36"/>
  <c r="G19" i="35"/>
  <c r="F19" i="35"/>
  <c r="E19" i="35"/>
  <c r="D19" i="35"/>
  <c r="C19" i="35"/>
  <c r="G23" i="32"/>
  <c r="E23" i="32"/>
  <c r="D23" i="32"/>
  <c r="C23" i="32"/>
  <c r="F33" i="27" l="1"/>
  <c r="E33" i="27"/>
  <c r="D33" i="27"/>
  <c r="D30" i="27" s="1"/>
  <c r="D29" i="27" s="1"/>
  <c r="C33" i="27"/>
  <c r="F32" i="27"/>
  <c r="E32" i="27"/>
  <c r="D32" i="27"/>
  <c r="C32" i="27"/>
  <c r="E37" i="26"/>
  <c r="F37" i="26" s="1"/>
  <c r="G37" i="26" s="1"/>
  <c r="D37" i="26"/>
  <c r="B37" i="26"/>
  <c r="F33" i="26"/>
  <c r="E33" i="26"/>
  <c r="D33" i="26"/>
  <c r="C33" i="26"/>
  <c r="F32" i="26"/>
  <c r="E32" i="26"/>
  <c r="E30" i="26" s="1"/>
  <c r="E29" i="26" s="1"/>
  <c r="D32" i="26"/>
  <c r="D30" i="26" s="1"/>
  <c r="D29" i="26" s="1"/>
  <c r="C32" i="26"/>
  <c r="C30" i="26" s="1"/>
  <c r="C29" i="26" s="1"/>
  <c r="F30" i="26"/>
  <c r="F29" i="26" s="1"/>
  <c r="F33" i="25"/>
  <c r="F31" i="25" s="1"/>
  <c r="F30" i="25" s="1"/>
  <c r="E33" i="25"/>
  <c r="E31" i="25" s="1"/>
  <c r="E30" i="25" s="1"/>
  <c r="D33" i="25"/>
  <c r="D31" i="25" s="1"/>
  <c r="D30" i="25" s="1"/>
  <c r="C33" i="25"/>
  <c r="C31" i="25" s="1"/>
  <c r="C30" i="25" s="1"/>
  <c r="J14" i="25"/>
  <c r="I14" i="25"/>
  <c r="H14" i="25"/>
  <c r="G14" i="25"/>
  <c r="J12" i="25"/>
  <c r="J33" i="25" s="1"/>
  <c r="J31" i="25" s="1"/>
  <c r="J30" i="25" s="1"/>
  <c r="I12" i="25"/>
  <c r="I33" i="25" s="1"/>
  <c r="I31" i="25" s="1"/>
  <c r="I30" i="25" s="1"/>
  <c r="H12" i="25"/>
  <c r="H33" i="25" s="1"/>
  <c r="H31" i="25" s="1"/>
  <c r="H30" i="25" s="1"/>
  <c r="G12" i="25"/>
  <c r="G33" i="25" s="1"/>
  <c r="G31" i="25" s="1"/>
  <c r="G30" i="25" s="1"/>
  <c r="E30" i="27" l="1"/>
  <c r="E29" i="27" s="1"/>
  <c r="F30" i="27"/>
  <c r="F29" i="27" s="1"/>
  <c r="C30" i="27"/>
  <c r="C29" i="27" s="1"/>
</calcChain>
</file>

<file path=xl/sharedStrings.xml><?xml version="1.0" encoding="utf-8"?>
<sst xmlns="http://schemas.openxmlformats.org/spreadsheetml/2006/main" count="2946" uniqueCount="1014">
  <si>
    <t>F</t>
  </si>
  <si>
    <t>E</t>
  </si>
  <si>
    <t>D</t>
  </si>
  <si>
    <t>C</t>
  </si>
  <si>
    <t>B</t>
  </si>
  <si>
    <t>A</t>
  </si>
  <si>
    <t>Notes:</t>
  </si>
  <si>
    <t xml:space="preserve"> - of which installation</t>
  </si>
  <si>
    <t xml:space="preserve"> - of which equipment</t>
  </si>
  <si>
    <t xml:space="preserve">Financial data                                 </t>
  </si>
  <si>
    <r>
      <t>NO</t>
    </r>
    <r>
      <rPr>
        <vertAlign val="subscript"/>
        <sz val="9"/>
        <rFont val="Arial"/>
        <family val="2"/>
      </rPr>
      <t>X</t>
    </r>
    <r>
      <rPr>
        <sz val="9"/>
        <rFont val="Arial"/>
        <family val="2"/>
      </rPr>
      <t xml:space="preserve"> (g per GJ fuel) </t>
    </r>
  </si>
  <si>
    <t>Environment</t>
  </si>
  <si>
    <t>Construction time (years)</t>
  </si>
  <si>
    <t>Minimum load (% of full load)</t>
  </si>
  <si>
    <t>Technical lifetime (years)</t>
  </si>
  <si>
    <t>Energy/technical data</t>
  </si>
  <si>
    <t>Upper</t>
  </si>
  <si>
    <t>Lower</t>
  </si>
  <si>
    <t>Ref</t>
  </si>
  <si>
    <t>Note</t>
  </si>
  <si>
    <t>Technology</t>
  </si>
  <si>
    <t>Cold start-up time (hours)</t>
  </si>
  <si>
    <t>Warm start-up time (hours)</t>
  </si>
  <si>
    <t>Planned outage (weeks per year)</t>
  </si>
  <si>
    <t>Uncertainty (2050)</t>
  </si>
  <si>
    <t>Uncertainty (2020)</t>
  </si>
  <si>
    <t>Technology specific data</t>
  </si>
  <si>
    <t>References:</t>
  </si>
  <si>
    <t>-</t>
  </si>
  <si>
    <t>With flue gas condensation</t>
  </si>
  <si>
    <t>Forgasning – Fase 2. Økonomi, videnindhentning og samarbejde. DGC Februar 2012.</t>
  </si>
  <si>
    <t>Force, Technology data for advanced bioenergy fuels, 2013</t>
  </si>
  <si>
    <t>Assumed to be in the same magnitude as a coal fired power plant</t>
  </si>
  <si>
    <t>Assumed that the total O&amp;M costs splits in 1/3 variable, 2/3 fixed costs, 8000 h/year</t>
  </si>
  <si>
    <t>- Input</t>
  </si>
  <si>
    <t>- Output</t>
  </si>
  <si>
    <t>Commissioning of the GoBiGas 20 MW biomethane plant. Thuman 2015</t>
  </si>
  <si>
    <t>Bio2G - A full scale reference plant in Sweden for production of bio-SNG, E.ON (Möller) 2013.</t>
  </si>
  <si>
    <t>Generally the plants' electricity generation is assumed to balance the consumption</t>
  </si>
  <si>
    <t>Tunå &amp; Hulteberg, 2014.</t>
  </si>
  <si>
    <t>G</t>
  </si>
  <si>
    <t>H</t>
  </si>
  <si>
    <t>Efficiencies are expected to improve gradually from presently demonstrated level, to values corresponding to various studies for large plants in 2030, and gradual increase to 2050. It is assumed that a total efficiency of 90% can be obtained.</t>
  </si>
  <si>
    <t>Gassner &amp; Marechal, 2012</t>
  </si>
  <si>
    <t>Heat at normal district heating temprature set 80/50 deg. Additional low temperature heat for heat pumps is possible. For uncertainty values, a higher heat output can be expected at low gas output and vice versa.</t>
  </si>
  <si>
    <t>“Handbook Biomass Gasification”, Edited by H.A.M. Knoef, BTG biomass technology group, 2005.</t>
  </si>
  <si>
    <t>[18]</t>
  </si>
  <si>
    <t>http://www.volund.dk/Biomass_energy/Technologies/Gasification_of_biomass</t>
  </si>
  <si>
    <t>IEA Task 32, Workshop State of the art technologies for small biomass co-generation, 2010</t>
  </si>
  <si>
    <t>BioSynergi, telefonkontakt Henrik Houman</t>
  </si>
  <si>
    <t>1,3,4,5</t>
  </si>
  <si>
    <t>The stated capacity is the upper range, down scaling is possible.</t>
  </si>
  <si>
    <t>Gasifier, biomass, bio-SNG, medium - large scale</t>
  </si>
  <si>
    <r>
      <t>Specific investment (M€/MW</t>
    </r>
    <r>
      <rPr>
        <vertAlign val="subscript"/>
        <sz val="9"/>
        <rFont val="Arial"/>
        <family val="2"/>
      </rPr>
      <t>th</t>
    </r>
    <r>
      <rPr>
        <sz val="9"/>
        <rFont val="Arial"/>
        <family val="2"/>
      </rPr>
      <t>)</t>
    </r>
  </si>
  <si>
    <r>
      <t>Variable O&amp;M (€/MWh</t>
    </r>
    <r>
      <rPr>
        <vertAlign val="subscript"/>
        <sz val="9"/>
        <rFont val="Arial"/>
        <family val="2"/>
      </rPr>
      <t>th</t>
    </r>
    <r>
      <rPr>
        <sz val="9"/>
        <rFont val="Arial"/>
        <family val="2"/>
      </rPr>
      <t>)</t>
    </r>
  </si>
  <si>
    <t>12;13</t>
  </si>
  <si>
    <t>21;19;13/17/19;</t>
  </si>
  <si>
    <t>12+21;12+19+13;15/17</t>
  </si>
  <si>
    <t>12/21;12/21+13/17/19</t>
  </si>
  <si>
    <r>
      <t>CH</t>
    </r>
    <r>
      <rPr>
        <vertAlign val="subscript"/>
        <sz val="9"/>
        <rFont val="Arial"/>
        <family val="2"/>
      </rPr>
      <t>4</t>
    </r>
    <r>
      <rPr>
        <sz val="9"/>
        <rFont val="Arial"/>
        <family val="2"/>
      </rPr>
      <t xml:space="preserve"> (g per GJ fuel)</t>
    </r>
  </si>
  <si>
    <r>
      <t>N</t>
    </r>
    <r>
      <rPr>
        <vertAlign val="subscript"/>
        <sz val="9"/>
        <rFont val="Arial"/>
        <family val="2"/>
      </rPr>
      <t>2</t>
    </r>
    <r>
      <rPr>
        <sz val="9"/>
        <rFont val="Arial"/>
        <family val="2"/>
      </rPr>
      <t>O (g per GJ fuel)</t>
    </r>
  </si>
  <si>
    <t>Gasifier, biomass, producer gas, small - medium scale</t>
  </si>
  <si>
    <t>Ref.</t>
  </si>
  <si>
    <t>1,2,8</t>
  </si>
  <si>
    <t>3,4,5,8,11</t>
  </si>
  <si>
    <t>1.5</t>
  </si>
  <si>
    <r>
      <t>Fixed O&amp;M (€/MW</t>
    </r>
    <r>
      <rPr>
        <vertAlign val="subscript"/>
        <sz val="9"/>
        <rFont val="Arial"/>
        <family val="2"/>
      </rPr>
      <t>th</t>
    </r>
    <r>
      <rPr>
        <sz val="9"/>
        <rFont val="Arial"/>
        <family val="2"/>
      </rPr>
      <t>/year)</t>
    </r>
  </si>
  <si>
    <t>With flue gas condensation, considering lower heating value of biomass fuel.</t>
  </si>
  <si>
    <r>
      <t>Producer gas primarily consists of the components N</t>
    </r>
    <r>
      <rPr>
        <vertAlign val="subscript"/>
        <sz val="9"/>
        <rFont val="Arial"/>
        <family val="2"/>
      </rPr>
      <t>2</t>
    </r>
    <r>
      <rPr>
        <sz val="9"/>
        <rFont val="Arial"/>
        <family val="2"/>
      </rPr>
      <t>, H</t>
    </r>
    <r>
      <rPr>
        <vertAlign val="subscript"/>
        <sz val="9"/>
        <rFont val="Arial"/>
        <family val="2"/>
      </rPr>
      <t>2</t>
    </r>
    <r>
      <rPr>
        <sz val="9"/>
        <rFont val="Arial"/>
        <family val="2"/>
      </rPr>
      <t>, CO, CO</t>
    </r>
    <r>
      <rPr>
        <vertAlign val="subscript"/>
        <sz val="9"/>
        <rFont val="Arial"/>
        <family val="2"/>
      </rPr>
      <t>2</t>
    </r>
    <r>
      <rPr>
        <sz val="9"/>
        <rFont val="Arial"/>
        <family val="2"/>
      </rPr>
      <t>, CH</t>
    </r>
    <r>
      <rPr>
        <vertAlign val="subscript"/>
        <sz val="9"/>
        <rFont val="Arial"/>
        <family val="2"/>
      </rPr>
      <t>4</t>
    </r>
    <r>
      <rPr>
        <sz val="9"/>
        <rFont val="Arial"/>
        <family val="2"/>
      </rPr>
      <t>, and water. Calorific value 5 - 6 MJ/Nm</t>
    </r>
    <r>
      <rPr>
        <vertAlign val="superscript"/>
        <sz val="9"/>
        <rFont val="Arial"/>
        <family val="2"/>
      </rPr>
      <t>3</t>
    </r>
    <r>
      <rPr>
        <sz val="9"/>
        <rFont val="Arial"/>
        <family val="2"/>
      </rPr>
      <t>. For some references ([3], [4]) the electric efficincy has been used to calculate gasifier efficiencies, assuming an engine efficiency of 42%.</t>
    </r>
  </si>
  <si>
    <t>The values in [9] have been used (sh. 85) but adjusted to keep overall yearly O&amp;M costs at 3% of investment</t>
  </si>
  <si>
    <t>The values in [9] have been used. Variable O&amp;M for a Staged down draft gasifier (sh. 85) have been subtracted O&amp;M of a  gas engine (sh. 06).</t>
  </si>
  <si>
    <t>Efficiencies are expected to improve gradually from presently demonstrated levels, to cold gas efficiencies of 85% in 2050. It is assumed that a total efficiency of 90% can be obtained in 2050.</t>
  </si>
  <si>
    <r>
      <t>Typical fuel input capacity, one unit (MW</t>
    </r>
    <r>
      <rPr>
        <vertAlign val="subscript"/>
        <sz val="9"/>
        <rFont val="Arial"/>
        <family val="2"/>
      </rPr>
      <t>th</t>
    </r>
    <r>
      <rPr>
        <sz val="9"/>
        <rFont val="Arial"/>
        <family val="2"/>
      </rPr>
      <t>)</t>
    </r>
  </si>
  <si>
    <t>Fixed O&amp;M (€/MWth/year)</t>
  </si>
  <si>
    <t>23, 29</t>
  </si>
  <si>
    <t>2015 data for NOX and N2O origin from [23]. Other values are assumed to be in the same magnitude as a biomass fired PF power plant (pellets)</t>
  </si>
  <si>
    <t>Unplanned outage (%)</t>
  </si>
  <si>
    <t>Biomass (% of input capacity)</t>
  </si>
  <si>
    <t>Electricity (% of input capacity)</t>
  </si>
  <si>
    <t>Producer gas (% of fuel input)</t>
  </si>
  <si>
    <t>Heat (% of input)</t>
  </si>
  <si>
    <t>Bio SNG (% of fuel input)</t>
  </si>
  <si>
    <t>Fixed bed gasifiers are usually integrated with an internal combustion gas engine gen-set. Sources are for total project including gas engine and the engine part has been deducted at 1.33 M€/Mwe and 42% efficiency.
It is assumed that the accumulated production capacity will increase by 40 % between 2015 and 2020, double between 2020 and 2030 and between 2030 and 2050. A learning curve progress rate of 90 % is assumed this yields a 5 % decrease in investment costs between 2015 and 2020, 10 % reduction between 2020 and 2030 and between 2030 and 2050. Similar progress ratios have been used for O&amp;M costs.</t>
  </si>
  <si>
    <t>For 2015, values reflect the 20 MWgas Swedish GoBiGas Phase 1 demonstration project. A proportionality factor of 0.7 is assumed to apply when going from 2015 to 2020 based on the anticipated upscaling from 20 MWgas to 100 MWgas [21]. For 2030, the figure is an average of a value from theoretical studies [17] multiplied by 1.4 and a value from feasibility studies [19] multiplied by 1.15. From 2030 to 2050 simply a reduction of 10% has been assumed to reflect a learning curve.</t>
  </si>
  <si>
    <t>Biogas plant, basic configuration</t>
  </si>
  <si>
    <t>Typical total plant size (MW output)</t>
  </si>
  <si>
    <t>- Inputs</t>
  </si>
  <si>
    <t>Biomass (tons/year)</t>
  </si>
  <si>
    <t>A B</t>
  </si>
  <si>
    <t>5/8/9</t>
  </si>
  <si>
    <t>Aux. electricity (% of output energy)</t>
  </si>
  <si>
    <t>Aux. electricity (kWh/ton input)</t>
  </si>
  <si>
    <t>Aux. process heat (% of output energy)</t>
  </si>
  <si>
    <t>Aux. process heat (kWh/ton input))</t>
  </si>
  <si>
    <t>- Outputs</t>
  </si>
  <si>
    <t>Biogas (%)</t>
  </si>
  <si>
    <t>Biogas (GJ/ton input)</t>
  </si>
  <si>
    <t>9</t>
  </si>
  <si>
    <t>J</t>
  </si>
  <si>
    <t>Forced outage (%)</t>
  </si>
  <si>
    <t>Planned outage (days per year)</t>
  </si>
  <si>
    <t>Specific investment (mio €/MW output)</t>
  </si>
  <si>
    <t>A H C</t>
  </si>
  <si>
    <t xml:space="preserve"> 8/5</t>
  </si>
  <si>
    <t>Total O&amp;M (€/MW/year)</t>
  </si>
  <si>
    <t xml:space="preserve">  Total O&amp;M (€/(ton input/year))</t>
  </si>
  <si>
    <t>A D I</t>
  </si>
  <si>
    <t>8/5</t>
  </si>
  <si>
    <t>- of which O&amp;M, excl el. and heat (€/(ton input/year))</t>
  </si>
  <si>
    <t>- of which electricity (€/(ton input/year))</t>
  </si>
  <si>
    <t>K</t>
  </si>
  <si>
    <t>- of which heat (€/(ton input/year))</t>
  </si>
  <si>
    <t>Technology Specific data</t>
  </si>
  <si>
    <t>Methane emission (Nm3 CH4/ton input/year)</t>
  </si>
  <si>
    <t>12</t>
  </si>
  <si>
    <t>Biomass</t>
  </si>
  <si>
    <t>Share, 2015</t>
  </si>
  <si>
    <t>Share, 2020</t>
  </si>
  <si>
    <t>Price per ton (€), incl transport</t>
  </si>
  <si>
    <t>Manure (pig and cattle)</t>
  </si>
  <si>
    <t>Deep bed material</t>
  </si>
  <si>
    <t>Manure, stable</t>
  </si>
  <si>
    <t>Straw</t>
  </si>
  <si>
    <t>Industrial organic waste</t>
  </si>
  <si>
    <t>Household waste</t>
  </si>
  <si>
    <t>Energy crops</t>
  </si>
  <si>
    <t>Other</t>
  </si>
  <si>
    <t>I</t>
  </si>
  <si>
    <t>Corresponding to 2% of the produced biogas, wit lower value 0.8% and upper value 4.2%. This will vary and can be reduced.</t>
  </si>
  <si>
    <t>The cost of auxiliary electricity consumption is calculated using the following electricity prices in €/MWh: 2015: 63, 2020: 69, 2030: 101, 2050: 117. These prices include production costs and transport tariffs, but not any taxes or subsidies for renewable energy.</t>
  </si>
  <si>
    <t>"Udvikling og effektivisering af biogasproduktionen I Danmark – Delrapport 1 og 2”, Danish Energy Agency Biogas Taskforce 2015.</t>
  </si>
  <si>
    <t>”Anvendelse af biogas til el- og varmeproduktion, analyser for Biogas Taskforce”, Ea Energianalyse, 2014</t>
  </si>
  <si>
    <t>"Biomasse til biogasanlæg i Danmark - på kort og langt sigt", Agrotech, November 2013</t>
  </si>
  <si>
    <t>”Miljøeffekter af metanlækage på biogasanlæg”, Agrotek, 2015</t>
  </si>
  <si>
    <t>Typical capacity (tons/year input)</t>
  </si>
  <si>
    <t>Biogas production, (MJ/S heating value)</t>
  </si>
  <si>
    <t>Biogas plant, additional straw input in the feedstock mix</t>
  </si>
  <si>
    <t>Biogas from additional straw (MW output)</t>
  </si>
  <si>
    <t>Straw input (% of additional output)</t>
  </si>
  <si>
    <t>Straw input (tons per year)</t>
  </si>
  <si>
    <t>Auxilliary electricity input (% of additional output)</t>
  </si>
  <si>
    <t>Auxilliary electricity input (kWh/ton straw)</t>
  </si>
  <si>
    <t>Additional process heat (% of additional output)</t>
  </si>
  <si>
    <t>Auxilliary process heat (kWh/ton straw input)</t>
  </si>
  <si>
    <t>A C</t>
  </si>
  <si>
    <t>Biogas (GJ/ton straw input)</t>
  </si>
  <si>
    <t>Residual organic material</t>
  </si>
  <si>
    <t>Investment (€/MW)</t>
  </si>
  <si>
    <t>AEG</t>
  </si>
  <si>
    <t>Investment (€/ton straw input/year)</t>
  </si>
  <si>
    <t>AFG</t>
  </si>
  <si>
    <t>Total O&amp;M (€/ton straw input/year)</t>
  </si>
  <si>
    <t>Methane emission (Nm3 CH4 input/year)</t>
  </si>
  <si>
    <t xml:space="preserve"> - of which proces electricity</t>
  </si>
  <si>
    <t>A, E</t>
  </si>
  <si>
    <t>8/13</t>
  </si>
  <si>
    <t>The data sheet shows the expected energy output and values for the input of industrial organic waste specifically. The values refer to a virtual part of a total plant processing the straw. A plant including increased share of straw may be composed by adding a basic plant part and straw processing part.</t>
  </si>
  <si>
    <t>Values are assumed valid for adding a smaller part of straw to a total plant. Maximum share not assessed.</t>
  </si>
  <si>
    <t>For compatibility with the template the energy of the biogas output is assumed to be 100%. (For the input material a calorific value is not relevant)</t>
  </si>
  <si>
    <t>The energy content of residual organic material has not been evaluated due to lack of sources.</t>
  </si>
  <si>
    <t>Investment in straw preparation equipment (57 Eur/ton/year) and proportional share of basic plant included. Biogas processing time is 25 days</t>
  </si>
  <si>
    <t xml:space="preserve">All O&amp;M considered fixed, assuming 8760 hours operation per year. Does not include fuel for process heat, electricity, biomass purchase and transport, see e.g. [5] and [8]. </t>
  </si>
  <si>
    <t>The value will vary with the quality of the input. Assumed average value used corresponding to 320 Nm3 CH4 / ton VS, TS 42%, vs/ts 90%. [8].</t>
  </si>
  <si>
    <t>Learning curve effects have not been considered. Will depend on actrual deployment of technology.</t>
  </si>
  <si>
    <t>Biogas plant, additional industrial organic waste in the feedstock mix</t>
  </si>
  <si>
    <t>Biogas from additional ind. organic waste (MW output)</t>
  </si>
  <si>
    <t>Ind. organic waste input (% of additional output)</t>
  </si>
  <si>
    <t>125-200%</t>
  </si>
  <si>
    <t>L</t>
  </si>
  <si>
    <t>Ind. organic waste input (tons per year)</t>
  </si>
  <si>
    <t>Aux. electricity (% of additional output)</t>
  </si>
  <si>
    <t>5</t>
  </si>
  <si>
    <t>Aux. electricity (kWh/ton waste input)</t>
  </si>
  <si>
    <t>Aux. process heat (% of additional output)</t>
  </si>
  <si>
    <t>Aux. process heat (kWh/ton waste input))</t>
  </si>
  <si>
    <t>Biogas (% of total input)</t>
  </si>
  <si>
    <t>Biogas (GJ/ton ind. org. waste  input)</t>
  </si>
  <si>
    <t>ACG</t>
  </si>
  <si>
    <t>5/9</t>
  </si>
  <si>
    <t>Investment (€/MW output)</t>
  </si>
  <si>
    <t>AEH</t>
  </si>
  <si>
    <t>Investment (€/ton waste input / year)</t>
  </si>
  <si>
    <t>AFH</t>
  </si>
  <si>
    <t>Total O&amp;M (€/ton waste input/year)</t>
  </si>
  <si>
    <t>All O&amp;M considered fixed, assuming 8760 hours operation per year. Does not include fuel for process heat, electricity, biomass purchase and transport, see e.g. [5] and [8]. O&amp;M costs for straw processing equipment, 10 Eur/ton/year, and proportional share of basic plant included.</t>
  </si>
  <si>
    <t>Calculated with a constant production 8760 hours per year</t>
  </si>
  <si>
    <t xml:space="preserve">The conversion efficiency  depends on the specific types of industrial waste used at the biogas plants. </t>
  </si>
  <si>
    <t>Fatty biomasses may be converted with high efficiences (&gt;70 %) whereas for example the conversion of protein rich biomasses is closer to 50 %.</t>
  </si>
  <si>
    <t>Biogas upgrading</t>
  </si>
  <si>
    <t>Typical total size (MJ output/s)</t>
  </si>
  <si>
    <t>A G</t>
  </si>
  <si>
    <t>Typical total size (Nm3 biogas/h)</t>
  </si>
  <si>
    <t>1/4</t>
  </si>
  <si>
    <t>Capacity (Nm3 biomethane/h)</t>
  </si>
  <si>
    <t>Biogas (% of biogas input)</t>
  </si>
  <si>
    <t>Auxilliary electricity for upgrading (% of biogas input)</t>
  </si>
  <si>
    <t>A D J</t>
  </si>
  <si>
    <t>1/2/4/7</t>
  </si>
  <si>
    <t>Auxilliary electricity for compression (% of biogas input)</t>
  </si>
  <si>
    <t>A F</t>
  </si>
  <si>
    <t>2/4</t>
  </si>
  <si>
    <t>Heat (% of biogas input)</t>
  </si>
  <si>
    <t>Biomethane (% of biogas input)</t>
  </si>
  <si>
    <t>Waste gas (% of biogas input)</t>
  </si>
  <si>
    <t>Waste heat (% of biogas input)</t>
  </si>
  <si>
    <t>Forced outage (weeks per year)</t>
  </si>
  <si>
    <t>Specific investment, upgrading and methane reduction (€/MJ/s input)</t>
  </si>
  <si>
    <t>C D</t>
  </si>
  <si>
    <t>1/2/5/7</t>
  </si>
  <si>
    <t>Specific investment, grid injection at 40bar  (€/MJ/s input)</t>
  </si>
  <si>
    <t>Fixed O&amp;M  (€/MJ/s input / year)</t>
  </si>
  <si>
    <t>- of which fixed O&amp;M costs upgrading and methane reduction, excl. el.  (€/MJ/s input / year)</t>
  </si>
  <si>
    <t>- of which fixed O&amp;M costs grid injection, excl. el.  (€/MJ/s input / year)</t>
  </si>
  <si>
    <t>Variable O&amp;M ((€/GJ input)</t>
  </si>
  <si>
    <t>- of which electricity (€/GJ input)</t>
  </si>
  <si>
    <t>2/4/7</t>
  </si>
  <si>
    <t>Methane slip / emission (%)</t>
  </si>
  <si>
    <t>CO2 removal, %</t>
  </si>
  <si>
    <t>"Technology Data for Energy Plants – Generation of Electricity and District Heating, Energy Storage and Energy Carrier Generation and Conversion.", certain updates in October 2013, and January 2014, Danish Energy Agency, May 2012.</t>
  </si>
  <si>
    <t xml:space="preserve">Biogas upgrading – Review of commercial technologies. SGC Rapport 2013:270. SGC, 2013 </t>
  </si>
  <si>
    <t>"Biogas upgrading – Review of commercial technologies", SGC Rapport 2013:270, SGC, 2013 .</t>
  </si>
  <si>
    <t>"Biogas upgrading technologies – developments and innovations, Task 37 – Energy from biogas and landfill gas". IEA Bioenergy, 2009.</t>
  </si>
  <si>
    <t>”Anvendelse af biogas til el- og varmeproduktion”, Ea Energianalyse, 2014.</t>
  </si>
  <si>
    <t>”Introduktion til produktion af biometan fra biogas”, Biometan Regioner, 2013.</t>
  </si>
  <si>
    <t>Corresponding to 1.000 Nm3 biogas input, assuming a methane content of the raw biogas of 60% and an average gross conversion efficiency of approx. 98,5%.</t>
  </si>
  <si>
    <t>Values are assumed valid for a range 500-1,500 Nm3 biomethane per hour</t>
  </si>
  <si>
    <t>Values include upgrading, methane reduction and grid injection facilities</t>
  </si>
  <si>
    <t>Based on a water-scrubber technology based plant, alternative technologies have comparable values in terms of total upgrading costs.
For a plant of double capacity (2000 Nm3/h) the realtive price is expected to be 20-25% lower [1,3]</t>
  </si>
  <si>
    <t>The cost of auxiliary electricity consumption is calculated using the following electricity prices in €/MWh: 2015: 63, 2020: 69, 2030: 101, 2050: 117.  These prices include production costs and transport tariffs, but not any taxes or subsidies for renewable energy.</t>
  </si>
  <si>
    <t>Injection in natural gas grid at 40 bar</t>
  </si>
  <si>
    <t>Based on a lower calorfic value of 36 MJ/Nm3 and 8760 hours per year</t>
  </si>
  <si>
    <t>O&amp;M costs are estimated to 2.5% of investment per year, in accodance with [2]</t>
  </si>
  <si>
    <t xml:space="preserve">I </t>
  </si>
  <si>
    <t>Assuming that, by 2030, methane slip can be reduced to levels seen today for amin scrubbing technology. Methane slip is assumed to be the same as waste gas assuming that the plant is not equipped with a regenerative thermal oxidation (RTO) plant. If the  the off-gas from the upgrading plant is treated with a regenerative thermal oxidation (RTO) plant the methane slip can be eliminated.</t>
  </si>
  <si>
    <t>Assuming that, by 2030, one or more of the newer and currently less developled technologies (e.g. cryogenic and membrane technologies) will take over.</t>
  </si>
  <si>
    <t>This can lead to a 50% reduction of the electricity consumption, which is already achievable today with the amine scrubbing technology.</t>
  </si>
  <si>
    <t>“Biogas upgrading – Technical review, Energiforsk report 2016:275, Energiforsk AB, 2016.</t>
  </si>
  <si>
    <t xml:space="preserve">“Biogas upgrading – Review of commercial technologies”, SGC Rapport 2013:270, SGC, 2013. </t>
  </si>
  <si>
    <t xml:space="preserve">“Biogas upgrading technologies – developments and innovations. Task 37 – Energy from biogas and landfill gas”, Petersson &amp; Wellinger, IEA Bioenergy, 2009. </t>
  </si>
  <si>
    <t>Typical total plant size (MW input)</t>
  </si>
  <si>
    <t>Inputs</t>
  </si>
  <si>
    <t>Outputs</t>
  </si>
  <si>
    <t xml:space="preserve"> - hereof equipment (%)</t>
  </si>
  <si>
    <t xml:space="preserve"> - hereof installation (%)</t>
  </si>
  <si>
    <t xml:space="preserve">Technology specific data                                 </t>
  </si>
  <si>
    <t>D, E</t>
  </si>
  <si>
    <t>[1]</t>
  </si>
  <si>
    <t>[2]</t>
  </si>
  <si>
    <t>[3]</t>
  </si>
  <si>
    <t>[6]</t>
  </si>
  <si>
    <t>E, F</t>
  </si>
  <si>
    <t xml:space="preserve">Technology Data for Energy Carrier Generation and Conversion June 2017
</t>
  </si>
  <si>
    <t>Vegetable Oil FAME</t>
  </si>
  <si>
    <t>Typical total plant size 1,000 t biodiesel/year</t>
  </si>
  <si>
    <t>A1</t>
  </si>
  <si>
    <t xml:space="preserve"> Inputs</t>
  </si>
  <si>
    <t>Veg Oil Consumption, MWh/MWh Total Input</t>
  </si>
  <si>
    <t>E,I</t>
  </si>
  <si>
    <t>Methanol Consumption, MWh/MWh Total Input</t>
  </si>
  <si>
    <t>B,E,I</t>
  </si>
  <si>
    <t>Electricity Consumption, MWh/MWh Total Input</t>
  </si>
  <si>
    <t>Natural Gas Consumption, MWh/MWh Total Input</t>
  </si>
  <si>
    <t>Biodiesel Output, MWh/MWh Total Input</t>
  </si>
  <si>
    <t>Glycerine  Output, MWh/MWh Total Input</t>
  </si>
  <si>
    <t>Specific investment (M € /1,000 t biodiesel/year)</t>
  </si>
  <si>
    <t>C, J, L</t>
  </si>
  <si>
    <t>- equipment (%)</t>
  </si>
  <si>
    <t>75</t>
  </si>
  <si>
    <t>- installation (%)</t>
  </si>
  <si>
    <t>25</t>
  </si>
  <si>
    <t>Fixed O&amp;M (M € /1,000 t biodiesel)</t>
  </si>
  <si>
    <t>D, K, L</t>
  </si>
  <si>
    <t>Variable O&amp;M (M € /1,000 t biodiesel)</t>
  </si>
  <si>
    <t>Specific energy content (GJ/ton) biodiesel)</t>
  </si>
  <si>
    <t xml:space="preserve">A. The plant size is assumed based on the plants sizes of existing vegetable oil based bio-diesel plants in EU. </t>
  </si>
  <si>
    <t>A1. This value is the hourly rating and has been calculated as if the unit produces 100,000 t/year and was in operations 8,000 h/year.</t>
  </si>
  <si>
    <t xml:space="preserve">B. Energy input from supporting chemicals of minor amounts is not considered. </t>
  </si>
  <si>
    <t xml:space="preserve">C. The total capital cost include total installed cost (total direct costs) and all indirect costs such as engineering, construction, contractor’s fee, contingency and working capital. </t>
  </si>
  <si>
    <t xml:space="preserve">D. O&amp;M costs, costs for main raw materials are not included </t>
  </si>
  <si>
    <t>E. 2050 values are based on industry best plant in 2015. 2020 and 2030 values interpolated between 2015 and 2050 values.</t>
  </si>
  <si>
    <t>F. Total output excludes the heat loss.</t>
  </si>
  <si>
    <t>G. Estimated from Iowa State biodiesel profitability file.</t>
  </si>
  <si>
    <t>H. Best plants operate at greater than 95% of capacity.</t>
  </si>
  <si>
    <t>I. The uncertainty is one standard deviation from the average from the NBB survey.</t>
  </si>
  <si>
    <t>J. Range of capital cost is +/- 25% of mean.</t>
  </si>
  <si>
    <t>K. Operating cost is +/- 10% of mean.</t>
  </si>
  <si>
    <t>L. M €/k tonne is million euro per 1,000 tonnes</t>
  </si>
  <si>
    <t>References</t>
  </si>
  <si>
    <t xml:space="preserve">[2]     International Institute for Sustainable Development. 2012. Biofuels – At What Cost? Mandating ethanol and biodiesel consumption in Germany. https://www.iisd.org/gsi/sites/default/files/bf_awc_germany.pdf </t>
  </si>
  <si>
    <t xml:space="preserve">[3]     Desmet Ballestra. 2015. Biodiesel. http://www.desmetballestra.com/images/PDF-Brochures-2014/Biodiesel2015.pdf </t>
  </si>
  <si>
    <t xml:space="preserve">[4]     US Energy Information Administration. 2015. International Energy Statistics. Biofuels Production. http://www.eia.gov/cfapps/ipdbproject/IEDIndex3.cfm?tid=79&amp;pid=79&amp;aid=1 </t>
  </si>
  <si>
    <t xml:space="preserve">[5]     Energy Statistics 2015. https://ens.dk/sites/ens.dk/files/Statistik/energy_statistics_2015.pdf  </t>
  </si>
  <si>
    <t>[6]     IEA Bioenergy Task 39. Newsletter #39. Denmark Feature. http://task39.sites.olt.ubc.ca/files/2015/06/IEA-Bioenergy-Task-39-Newsletter-Issue-39-May-2015-final.pdf</t>
  </si>
  <si>
    <t xml:space="preserve">[7]     Chen, R., Qin, Z., Han, J., Wang, M., Taheripour, F., Tyner, W., O'Connor, D., Duffield, J. 2018. Life cycle energy and greenhouse gas emission effects of biodiesel in the United States with induced land use change impacts. Bioresource Technology, Volume 251, 2018, Pages 249-258, ISSN 0960-8524, https://doi.org/10.1016/j.biortech.2017.12.031.   </t>
  </si>
  <si>
    <t xml:space="preserve">[8]     Cargill. 2017. Cargill to build state of- the-art biodiesel plant in Wichita, Kansas. https://www.cargill.com/2017/cargill-to-build-state-of-the-art-biodiesel-plant-in-wichita-ks </t>
  </si>
  <si>
    <t xml:space="preserve">[9]     IRENA. 2013. Road Transport: The Cost of Renewable Solutions. http://www.irena.org/-/media/Files/IRENA/Agency/Publication/2013/Road_Transport.ashx </t>
  </si>
  <si>
    <t xml:space="preserve">[10] Berghout, Niels. (2008). Technological learning in the German biodiesel industry: An experience curve approach to quantify reductions in production costs, energy use and greenhouse gas emissions. http://task39.sites.olt.ubc.ca/files/2013/05/Technological-learning-in-the-German-Biodiesel-Industry.pdf </t>
  </si>
  <si>
    <t xml:space="preserve">[11] Iowa State University. 2017. Biodiesel Profitability. http://www.extension.iastate.edu/agdm/energy/xls/d1-15biodieselprofitability.xlsx </t>
  </si>
  <si>
    <t>Typical total plant size 1,000 t HVO/year</t>
  </si>
  <si>
    <t>A, B</t>
  </si>
  <si>
    <t>Typical total plant size MW HVO</t>
  </si>
  <si>
    <t>A, A1, B</t>
  </si>
  <si>
    <t>Feedstock Consumption, MWh/MWh Total Inputs</t>
  </si>
  <si>
    <t>3,4,11</t>
  </si>
  <si>
    <t>Hydrogen Consumption, MWh/MWh Total Inputs</t>
  </si>
  <si>
    <t>C, D</t>
  </si>
  <si>
    <t>Electricity Consumption, MWh/MWh Total Inputs</t>
  </si>
  <si>
    <t>Natural Gas Consumption, MWh/MWh Total Inputs</t>
  </si>
  <si>
    <t>HVO Output, MWh/MWh Total Input</t>
  </si>
  <si>
    <t>C, H</t>
  </si>
  <si>
    <t>Specific investment (M € /1,000 t HVO)</t>
  </si>
  <si>
    <t>E, J, L</t>
  </si>
  <si>
    <t>10, 12</t>
  </si>
  <si>
    <t xml:space="preserve"> - equipment (%)</t>
  </si>
  <si>
    <t xml:space="preserve"> -installation (%)</t>
  </si>
  <si>
    <t>Fixed O&amp;M (M € /1,000 t HVO)</t>
  </si>
  <si>
    <t>F, K, L</t>
  </si>
  <si>
    <t>Variable O&amp;M (M € /1,000 t HVO)</t>
  </si>
  <si>
    <t xml:space="preserve">Specific energy content (GJ/ton) </t>
  </si>
  <si>
    <r>
      <t>A.</t>
    </r>
    <r>
      <rPr>
        <sz val="7"/>
        <color rgb="FF000000"/>
        <rFont val="Times New Roman"/>
        <family val="1"/>
      </rPr>
      <t xml:space="preserve">     </t>
    </r>
    <r>
      <rPr>
        <sz val="8"/>
        <color rgb="FF000000"/>
        <rFont val="Arial"/>
        <family val="2"/>
      </rPr>
      <t xml:space="preserve">The plant size is assumed based on the plants sizes of existing HVO plants. </t>
    </r>
  </si>
  <si>
    <t>A1. This value is the hourly rating and has been calculated as if the unit produces at capacity and was in operations 8,000 h/year.</t>
  </si>
  <si>
    <r>
      <t>B.</t>
    </r>
    <r>
      <rPr>
        <sz val="7"/>
        <color rgb="FF000000"/>
        <rFont val="Times New Roman"/>
        <family val="1"/>
      </rPr>
      <t xml:space="preserve">     </t>
    </r>
    <r>
      <rPr>
        <sz val="8"/>
        <color rgb="FF000000"/>
        <rFont val="Arial"/>
        <family val="2"/>
      </rPr>
      <t xml:space="preserve">The plant size uncertainty represents the current range in the market. </t>
    </r>
  </si>
  <si>
    <r>
      <t>C.</t>
    </r>
    <r>
      <rPr>
        <sz val="7"/>
        <color rgb="FF000000"/>
        <rFont val="Times New Roman"/>
        <family val="1"/>
      </rPr>
      <t xml:space="preserve">     </t>
    </r>
    <r>
      <rPr>
        <sz val="8"/>
        <color rgb="FF000000"/>
        <rFont val="Arial"/>
        <family val="2"/>
      </rPr>
      <t>Performance is typical based on public data and confidential data reviewed by (S&amp;T)</t>
    </r>
    <r>
      <rPr>
        <vertAlign val="superscript"/>
        <sz val="8"/>
        <color rgb="FF000000"/>
        <rFont val="Arial"/>
        <family val="2"/>
      </rPr>
      <t>2</t>
    </r>
    <r>
      <rPr>
        <sz val="8"/>
        <color rgb="FF000000"/>
        <rFont val="Arial"/>
        <family val="2"/>
      </rPr>
      <t xml:space="preserve"> Consultants Inc.</t>
    </r>
  </si>
  <si>
    <r>
      <t>D.</t>
    </r>
    <r>
      <rPr>
        <sz val="7"/>
        <color rgb="FF000000"/>
        <rFont val="Times New Roman"/>
        <family val="1"/>
      </rPr>
      <t xml:space="preserve">     </t>
    </r>
    <r>
      <rPr>
        <sz val="8"/>
        <color rgb="FF000000"/>
        <rFont val="Arial"/>
        <family val="2"/>
      </rPr>
      <t>Hydrogen consumption is also a function of the feedstock to a small degree.</t>
    </r>
  </si>
  <si>
    <r>
      <t>E.</t>
    </r>
    <r>
      <rPr>
        <sz val="7"/>
        <color rgb="FF000000"/>
        <rFont val="Times New Roman"/>
        <family val="1"/>
      </rPr>
      <t xml:space="preserve">     </t>
    </r>
    <r>
      <rPr>
        <sz val="8"/>
        <color rgb="FF000000"/>
        <rFont val="Arial"/>
        <family val="2"/>
      </rPr>
      <t xml:space="preserve">The total capital cost include total installed cost (total direct costs) and all indirect costs such as engineering, construction, contractor’s fee, contingency and working capital. </t>
    </r>
  </si>
  <si>
    <r>
      <t>F.</t>
    </r>
    <r>
      <rPr>
        <sz val="7"/>
        <color rgb="FF000000"/>
        <rFont val="Times New Roman"/>
        <family val="1"/>
      </rPr>
      <t xml:space="preserve">     </t>
    </r>
    <r>
      <rPr>
        <sz val="8"/>
        <color rgb="FF000000"/>
        <rFont val="Arial"/>
        <family val="2"/>
      </rPr>
      <t>O&amp;M costs, costs for main raw materials are not included.</t>
    </r>
  </si>
  <si>
    <r>
      <t>G.</t>
    </r>
    <r>
      <rPr>
        <sz val="7"/>
        <color rgb="FF000000"/>
        <rFont val="Times New Roman"/>
        <family val="1"/>
      </rPr>
      <t xml:space="preserve">    </t>
    </r>
    <r>
      <rPr>
        <sz val="8"/>
        <color rgb="FF000000"/>
        <rFont val="Arial"/>
        <family val="2"/>
      </rPr>
      <t>There is limited potential for process improvements.</t>
    </r>
  </si>
  <si>
    <r>
      <t>H.</t>
    </r>
    <r>
      <rPr>
        <sz val="7"/>
        <color rgb="FF000000"/>
        <rFont val="Times New Roman"/>
        <family val="1"/>
      </rPr>
      <t xml:space="preserve">     </t>
    </r>
    <r>
      <rPr>
        <sz val="8"/>
        <color rgb="FF000000"/>
        <rFont val="Arial"/>
        <family val="2"/>
      </rPr>
      <t>Total output excludes the heat loss.</t>
    </r>
  </si>
  <si>
    <r>
      <t>I.</t>
    </r>
    <r>
      <rPr>
        <sz val="7"/>
        <color rgb="FF000000"/>
        <rFont val="Times New Roman"/>
        <family val="1"/>
      </rPr>
      <t xml:space="preserve">      </t>
    </r>
    <r>
      <rPr>
        <sz val="8"/>
        <color rgb="FF000000"/>
        <rFont val="Arial"/>
        <family val="2"/>
      </rPr>
      <t>Best plants operate at greater than 95% of capacity.</t>
    </r>
  </si>
  <si>
    <r>
      <t>J.</t>
    </r>
    <r>
      <rPr>
        <sz val="7"/>
        <color rgb="FF000000"/>
        <rFont val="Times New Roman"/>
        <family val="1"/>
      </rPr>
      <t xml:space="preserve">     </t>
    </r>
    <r>
      <rPr>
        <sz val="8"/>
        <color rgb="FF000000"/>
        <rFont val="Arial"/>
        <family val="2"/>
      </rPr>
      <t>Range of capital cost is +/- 25% of mean.</t>
    </r>
  </si>
  <si>
    <r>
      <t>K.</t>
    </r>
    <r>
      <rPr>
        <sz val="7"/>
        <color rgb="FF000000"/>
        <rFont val="Times New Roman"/>
        <family val="1"/>
      </rPr>
      <t xml:space="preserve">     </t>
    </r>
    <r>
      <rPr>
        <sz val="8"/>
        <color rgb="FF000000"/>
        <rFont val="Arial"/>
        <family val="2"/>
      </rPr>
      <t>Operating cost uncertainty is +/- 10% of mean.</t>
    </r>
  </si>
  <si>
    <r>
      <t>L.</t>
    </r>
    <r>
      <rPr>
        <sz val="7"/>
        <color rgb="FF000000"/>
        <rFont val="Times New Roman"/>
        <family val="1"/>
      </rPr>
      <t xml:space="preserve">     </t>
    </r>
    <r>
      <rPr>
        <sz val="8"/>
        <color rgb="FF000000"/>
        <rFont val="Arial"/>
        <family val="2"/>
      </rPr>
      <t xml:space="preserve"> M €/k tonne is million euro per 1,000 tonnes</t>
    </r>
  </si>
  <si>
    <t>[1]     Neste. 2013. North American Tallow Pathway Description. https://www.arb.ca.gov/fuels/lcfs/2a2b/apps/nes-na-tallow-rpt-011414.pdf</t>
  </si>
  <si>
    <t>[2]     US EPA. 2017. EPA Approval for REG Geismar. https://www.epa.gov/sites/production/files/2017-05/documents/reg-geismar-deter-ltr-2017-04-13.pdf</t>
  </si>
  <si>
    <t>[3]     Kalnes, T et al. 2012. Green diesel production by hydrorefining renewable feedstocks. https://www.uop.com/wp-content/uploads/2012/12/UOP-Hydrorefining-Green-Diesel-Tech-Paper.pdf</t>
  </si>
  <si>
    <t xml:space="preserve">[4]     de Jong, S., Hoefnagels, R., Faaij, A., Slade, R., Mawhood, R. and Junginger, M. 2015. The feasibility of short-term production strategies for renewable jet fuels – a comprehensive techno-economic comparison. Biofuels, Bioprod. Bioref., 9: 778–800. https://www.doi.org/10.1002/bbb.1613   </t>
  </si>
  <si>
    <t xml:space="preserve">[5]     Neste Financial Statements. https://www.neste.com/en/corporate-info/investors/financials </t>
  </si>
  <si>
    <t>[6]     US Energy Information Administration. New York Harbour ULSD Price. https://www.eia.gov/dnav/pet/pet_pri_spt_s1_d.htm</t>
  </si>
  <si>
    <t xml:space="preserve">[7]     Iowa State University. 2017. Biodiesel Profitability. http://www.extension.iastate.edu/agdm/energy/xls/d1-15biodieselprofitability.xlsx </t>
  </si>
  <si>
    <t>[8]     Rogelio Sotelo-Boyás, Fernando Trejo-Zárraga and Felipe de Jesús Hernández-Loyo (2012). Hydroconversion of Triglycerides into Green Liquid Fuels, Hydrogenation, Prof. Iyad Karamé (Ed.), InTech, DOI: 10.5772/48710. Available from: https://www.intechopen.com/books/hydrogenation/hydroconversion-of-triglycerides-into-green-liquid-fuels</t>
  </si>
  <si>
    <t>[9]     Tao, L., Milbrandt, A., Zhang, Y. and Wang, W. 2017. Techno-economic and resource analysis of hydroprocessed renewable jet fuel. Biotechnology for Biofuels 2017 10:261. https://doi.org/10.1186/s13068-017-0945-3</t>
  </si>
  <si>
    <t xml:space="preserve">[10] Miller, P., Kumar, A. 2014. Techno-economic assessment of hydrogenation-derived renewable diesel production from canola and camelina, In Sustainable Energy Technologies and Assessments, Volume 6, 2014, Pages 105-115, ISSN 2213-1388, https://doi.org/10.1016/j.seta.2014.01.008 </t>
  </si>
  <si>
    <t xml:space="preserve">[11] Diamond Green Diesel. Press release. 2016. https://www.prnewswire.com/news-releases/diamond-green-diesel-to-be-expanded-to-275-million-gallons-annually-300248085.html </t>
  </si>
  <si>
    <t xml:space="preserve">[12] Neste Renewable Diesel Handbook. https://www.neste.com/sites/default/files/attachments/neste_renewable_diesel_handbook.pdf </t>
  </si>
  <si>
    <t xml:space="preserve">[13] Sub Group on Advanced Biofuels. 2017. Cost of Biofuel. http://platformduurzamebiobrandstoffen.nl/wp-content/uploads/2017/07/2017_SGAB_Cost-of-Biofuels.pdf </t>
  </si>
  <si>
    <t>HVO Jet Fuel</t>
  </si>
  <si>
    <t>C, G</t>
  </si>
  <si>
    <t>2,3</t>
  </si>
  <si>
    <t>C,D, G</t>
  </si>
  <si>
    <t>HVO Jet Output, GJ/GJ Total Input</t>
  </si>
  <si>
    <t>A, E, J, L</t>
  </si>
  <si>
    <t>Start-up (M € /1,000 t HVO Jet)</t>
  </si>
  <si>
    <r>
      <t>A.</t>
    </r>
    <r>
      <rPr>
        <sz val="7"/>
        <color rgb="FF000000"/>
        <rFont val="Times New Roman"/>
        <family val="1"/>
      </rPr>
      <t xml:space="preserve">     </t>
    </r>
    <r>
      <rPr>
        <sz val="8"/>
        <color rgb="FF000000"/>
        <rFont val="Arial"/>
        <family val="2"/>
      </rPr>
      <t>The plant size is assumed based on the plants sizes of existing HVO plants. Jet production is 80% of HVO diesel production with the other 20% representing increased co-products.</t>
    </r>
  </si>
  <si>
    <r>
      <t>C.</t>
    </r>
    <r>
      <rPr>
        <sz val="7"/>
        <color rgb="FF000000"/>
        <rFont val="Times New Roman"/>
        <family val="1"/>
      </rPr>
      <t xml:space="preserve">     </t>
    </r>
    <r>
      <rPr>
        <sz val="8"/>
        <color rgb="FF000000"/>
        <rFont val="Arial"/>
        <family val="2"/>
      </rPr>
      <t>Performance is typical based similar performance to HVO diesel but with less primary product and more co-products.</t>
    </r>
  </si>
  <si>
    <r>
      <t>L.</t>
    </r>
    <r>
      <rPr>
        <sz val="7"/>
        <color rgb="FF000000"/>
        <rFont val="Times New Roman"/>
        <family val="1"/>
      </rPr>
      <t xml:space="preserve">     </t>
    </r>
    <r>
      <rPr>
        <sz val="8"/>
        <color rgb="FF000000"/>
        <rFont val="Arial"/>
        <family val="2"/>
      </rPr>
      <t>M €/k tonne is million euro per 1,000 tonnes.</t>
    </r>
  </si>
  <si>
    <t xml:space="preserve">[1]     AltAir. 2017. The Department of Energy: Wet and Gaseous Feedstocks: Barriers and Opportunities. https://energy.gov/sites/prod/files/2017/07/f35/BETO_2017WTE-Workshop_BryanSherbacow-AltAir.pdf </t>
  </si>
  <si>
    <t xml:space="preserve">[2]     Antonissen, K. 2016. Greenhouse gas performance of renewable jet fuel: a comparison of conversion pathways. https://dspace.library.uu.nl/bitstream/handle/1874/347665/MSc%20Thesis%20K.Y%20Antonissen%2c%20May%202016%20%281%29.pdf?sequence=2&amp;isAllowed=y </t>
  </si>
  <si>
    <t xml:space="preserve">[3]     de Jong, S., Antonissen, K., Hoefnagels, R., Lonza, L., Wang, M., Faaij, A., and Junginger, M. 2017. Life-cycle analysis of greenhouse gas emissions from renewable jet fuel production. Biotechnology for Biofuels201710:64. https://doi.org/10.1186/s13068-017-0739-7 </t>
  </si>
  <si>
    <t xml:space="preserve">[4]     Tao, L., Milbrandt, A., Zhang, Y., and Wang, W. 2017. Techno‑economic and resource analysis of hydroprocessed renewable jet fuel. Biotechnology for Biofuels. 10:261. https://doi.org/10.1186/s13068-017-0945-3 </t>
  </si>
  <si>
    <t xml:space="preserve">[5]     Starck, L., Pidol, L., Jeuland, N., Chapus, T., Bogers, P., Bauldreay, J. 2016. Production of Hydroprocessed Esters and Fatty Acids (HEFA) - Optimization of Process Yield. Oil Gas Sci. Technol. - Rev. IFP Energies nouvelles. Volume 71, Number 1, January-February 2016. https://doi.org/10.2516/ogst/2014007 </t>
  </si>
  <si>
    <t xml:space="preserve">[6]     Stratton et al. 2010. Life Cycle Greenhouse Gas Emissions from Alternative Jet Fuels. http://web.mit.edu/aeroastro/partner/reports/proj28/partner-proj28-2010-001.pdf </t>
  </si>
  <si>
    <t xml:space="preserve">[7]     de Jong, S., Hoefnagels, R., Faaij, A., Slade, R., Mawhood, R. and Junginger, M. 2015. The feasibility of short-term production strategies for renewable jet fuels – a comprehensive techno-economic comparison. Biofuels, Bioprod. Bioref., 9: 778–800. https://www.doi.org/10.1002/bbb.1613   </t>
  </si>
  <si>
    <t>Ethanol/year, 1,000 tonnes/year</t>
  </si>
  <si>
    <t>Ethanol/year, MW</t>
  </si>
  <si>
    <t>Feedstock Consumption, MWh/MWh Total Input</t>
  </si>
  <si>
    <t>Ethanol Output, MWh/MWh Total Inputs</t>
  </si>
  <si>
    <t>DDG  Output, MWh/MWh Total Input</t>
  </si>
  <si>
    <t>Specific investment (M€ /1,000 t Ethanol)</t>
  </si>
  <si>
    <t>I, J</t>
  </si>
  <si>
    <t>Fixed O&amp;M (M€ /1,000 t Ethanol)</t>
  </si>
  <si>
    <t>Variable O&amp;M (M€ /1,000 t Ethanol)</t>
  </si>
  <si>
    <t>G, B, J</t>
  </si>
  <si>
    <t>Start-up (M€ /1,000 t Ethanol)</t>
  </si>
  <si>
    <r>
      <t>A.</t>
    </r>
    <r>
      <rPr>
        <sz val="7"/>
        <color rgb="FF000000"/>
        <rFont val="Times New Roman"/>
        <family val="1"/>
      </rPr>
      <t xml:space="preserve">     </t>
    </r>
    <r>
      <rPr>
        <sz val="8"/>
        <color rgb="FF000000"/>
        <rFont val="Arial"/>
        <family val="2"/>
      </rPr>
      <t xml:space="preserve">The plant size is assumed based on the plants sizes of existing ethanol plants. </t>
    </r>
  </si>
  <si>
    <r>
      <t>C.</t>
    </r>
    <r>
      <rPr>
        <sz val="7"/>
        <color rgb="FF000000"/>
        <rFont val="Times New Roman"/>
        <family val="1"/>
      </rPr>
      <t xml:space="preserve">     </t>
    </r>
    <r>
      <rPr>
        <sz val="8"/>
        <color rgb="FF000000"/>
        <rFont val="Arial"/>
        <family val="2"/>
      </rPr>
      <t>The feedstock starch content impacts the yield. Ethanol yields in the United States have been slowly increasing from a combination of improved conversion efficiency and higher starch content of the feedstock.</t>
    </r>
  </si>
  <si>
    <r>
      <t>D.</t>
    </r>
    <r>
      <rPr>
        <sz val="7"/>
        <color rgb="FF000000"/>
        <rFont val="Times New Roman"/>
        <family val="1"/>
      </rPr>
      <t xml:space="preserve">     </t>
    </r>
    <r>
      <rPr>
        <sz val="8"/>
        <color rgb="FF000000"/>
        <rFont val="Arial"/>
        <family val="2"/>
      </rPr>
      <t>The upper and lower values are representative of the range between individual plants.</t>
    </r>
  </si>
  <si>
    <r>
      <t>E.</t>
    </r>
    <r>
      <rPr>
        <sz val="7"/>
        <color rgb="FF000000"/>
        <rFont val="Times New Roman"/>
        <family val="1"/>
      </rPr>
      <t xml:space="preserve">     </t>
    </r>
    <r>
      <rPr>
        <sz val="8"/>
        <color rgb="FF000000"/>
        <rFont val="Arial"/>
        <family val="2"/>
      </rPr>
      <t>Output excludes the low quality waste heat.</t>
    </r>
  </si>
  <si>
    <r>
      <t>F.</t>
    </r>
    <r>
      <rPr>
        <sz val="7"/>
        <color rgb="FF000000"/>
        <rFont val="Times New Roman"/>
        <family val="1"/>
      </rPr>
      <t xml:space="preserve">     </t>
    </r>
    <r>
      <rPr>
        <sz val="8"/>
        <color rgb="FF000000"/>
        <rFont val="Arial"/>
        <family val="2"/>
      </rPr>
      <t>Change over time is a function of increased ethanol yield, which also results in lower DDG yield as the mass must be conserved.</t>
    </r>
  </si>
  <si>
    <r>
      <t>G.</t>
    </r>
    <r>
      <rPr>
        <sz val="7"/>
        <color rgb="FF000000"/>
        <rFont val="Times New Roman"/>
        <family val="1"/>
      </rPr>
      <t xml:space="preserve">    </t>
    </r>
    <r>
      <rPr>
        <sz val="8"/>
        <color rgb="FF000000"/>
        <rFont val="Arial"/>
        <family val="2"/>
      </rPr>
      <t xml:space="preserve">Variable costs are reduced from improved energy efficiency. </t>
    </r>
  </si>
  <si>
    <r>
      <t>H.</t>
    </r>
    <r>
      <rPr>
        <sz val="7"/>
        <color rgb="FF000000"/>
        <rFont val="Times New Roman"/>
        <family val="1"/>
      </rPr>
      <t xml:space="preserve">     </t>
    </r>
    <r>
      <rPr>
        <sz val="8"/>
        <color rgb="FF000000"/>
        <rFont val="Arial"/>
        <family val="2"/>
      </rPr>
      <t>Start-up costs are included on variable costs.</t>
    </r>
  </si>
  <si>
    <r>
      <t>I.</t>
    </r>
    <r>
      <rPr>
        <sz val="7"/>
        <color rgb="FF000000"/>
        <rFont val="Times New Roman"/>
        <family val="1"/>
      </rPr>
      <t xml:space="preserve">      </t>
    </r>
    <r>
      <rPr>
        <sz val="8"/>
        <color rgb="FF000000"/>
        <rFont val="Arial"/>
        <family val="2"/>
      </rPr>
      <t>Capital costs can be site specific and process technology supplier dependent. The costs provided for in the table are from a technology developer with a reputation for low capital costs.</t>
    </r>
  </si>
  <si>
    <r>
      <t>J.</t>
    </r>
    <r>
      <rPr>
        <sz val="7"/>
        <color rgb="FF000000"/>
        <rFont val="Times New Roman"/>
        <family val="1"/>
      </rPr>
      <t xml:space="preserve">     </t>
    </r>
    <r>
      <rPr>
        <sz val="8"/>
        <color rgb="FF000000"/>
        <rFont val="Arial"/>
        <family val="2"/>
      </rPr>
      <t>M €/k tonne is million euro per 1,000 tonnes</t>
    </r>
  </si>
  <si>
    <t xml:space="preserve">[2]     Energy Statistics 2015. https://ens.dk/sites/ens.dk/files/Statistik/energy_statistics_2015.pdf </t>
  </si>
  <si>
    <t xml:space="preserve">[3]     ePure. 2017. Fuel Blends. http://epure.org/about-ethanol/fuel-market/fuel-blends/ </t>
  </si>
  <si>
    <t xml:space="preserve">[5]     Hettinga, W., Junginger, H., Dekker S., Hoogwijk, M., McAloon, A., Hicks, K. 2009. Understanding the reductions in US corn ethanol production costs: An experience curve approach. Energy Policy 37(2009)190–203. http://naldc.nal.usda.gov/download/22550/PDF </t>
  </si>
  <si>
    <t xml:space="preserve">[6]     IEA Bioenergy Task 39. 2009. Potential for Improving Carbon/Energy Balance of Bioethanol. http://task39.sites.olt.ubc.ca/files/2013/05/IEA_Bioenergy_Task-39_Improving_carbon_and_energy_balance.pdf </t>
  </si>
  <si>
    <t>[7]     US Energy Information Administration. 2015. International Energy Statistics.  Biofuels Production. http://www.eia.gov/cfapps/ipdbproject/IEDIndex3.cfm?tid=79&amp;pid=79&amp;aid=1</t>
  </si>
  <si>
    <t>[8]     ePure. 2014. State of the Industry Report 2014. http://epure.org/media/1137/state-of-the-industry-report-2014.pdf</t>
  </si>
  <si>
    <t xml:space="preserve">[9]     ePure. 2017. 2016 Industry Statistics.  http://epure.org/media/1610/2016-industry-statistics.pdf </t>
  </si>
  <si>
    <t xml:space="preserve">[10] Iowa State University. 2017. Ethanol Profitability. http://www.extension.iastate.edu/agdm/energy/xls/d1-10ethanolprofitability.xlsx </t>
  </si>
  <si>
    <t xml:space="preserve">[11] Capital Journal. Oct. 10, 2017.  Ringneck Energy pouring cement, building foundations for ethanol plant near Onida. http://www.capjournal.com/news/ringneck-energy-pouring-cement-building-foundations-for-ethanol-plant-near/article_4ee23aac-adec-11e7-80fb-a7814e744ba7.html  </t>
  </si>
  <si>
    <t xml:space="preserve">[13] Ringneck Energy prospectus. 2016. http://ringneckenergy.com/wp-content/uploads/2016/12/2015_PPM_w_Exhibits.pdf </t>
  </si>
  <si>
    <t>Fast Pyrolysis Bio Oil</t>
  </si>
  <si>
    <t>Typical total plant size 1,000 t Bio Oil/year</t>
  </si>
  <si>
    <t>1, 6</t>
  </si>
  <si>
    <t>Typical total plant size. MW</t>
  </si>
  <si>
    <t>Bio Oil Output, MWh/MWh Total Input</t>
  </si>
  <si>
    <t>n.a.</t>
  </si>
  <si>
    <t>Specific investment (M€ /1,000 t Bio Oil)</t>
  </si>
  <si>
    <t>D, G</t>
  </si>
  <si>
    <t>6, 8</t>
  </si>
  <si>
    <t>Fixed O&amp;M (M€ /1,000 t Bio Oil)</t>
  </si>
  <si>
    <t>F, G</t>
  </si>
  <si>
    <t>Variable O&amp;M (M€ /1,000 t Bio Oil)</t>
  </si>
  <si>
    <t>Start up  (M€ /1,000 t Bio Oil)</t>
  </si>
  <si>
    <t>Specific energy content (GJ/ton) bio-oil)</t>
  </si>
  <si>
    <r>
      <t>A.</t>
    </r>
    <r>
      <rPr>
        <sz val="7"/>
        <color rgb="FF000000"/>
        <rFont val="Times New Roman"/>
        <family val="1"/>
      </rPr>
      <t xml:space="preserve">     </t>
    </r>
    <r>
      <rPr>
        <sz val="8"/>
        <color rgb="FF000000"/>
        <rFont val="Arial"/>
        <family val="2"/>
      </rPr>
      <t>The plant size range is likely limited by the feedstock availability.</t>
    </r>
  </si>
  <si>
    <r>
      <t>B.</t>
    </r>
    <r>
      <rPr>
        <sz val="7"/>
        <color rgb="FF000000"/>
        <rFont val="Times New Roman"/>
        <family val="1"/>
      </rPr>
      <t xml:space="preserve">     </t>
    </r>
    <r>
      <rPr>
        <sz val="8"/>
        <color rgb="FF000000"/>
        <rFont val="Arial"/>
        <family val="2"/>
      </rPr>
      <t>The plant size range is typical of the range found in the literature. It is highly uncertain given that the commercial demonstration plants in operation are much smaller.</t>
    </r>
  </si>
  <si>
    <r>
      <t>C.</t>
    </r>
    <r>
      <rPr>
        <sz val="7"/>
        <color rgb="FF000000"/>
        <rFont val="Times New Roman"/>
        <family val="1"/>
      </rPr>
      <t xml:space="preserve">     </t>
    </r>
    <r>
      <rPr>
        <sz val="8"/>
        <color rgb="FF000000"/>
        <rFont val="Arial"/>
        <family val="2"/>
      </rPr>
      <t>This is twice the time normally found in process operations.</t>
    </r>
  </si>
  <si>
    <r>
      <t>D.</t>
    </r>
    <r>
      <rPr>
        <sz val="7"/>
        <color rgb="FF000000"/>
        <rFont val="Times New Roman"/>
        <family val="1"/>
      </rPr>
      <t xml:space="preserve">     </t>
    </r>
    <r>
      <rPr>
        <sz val="8"/>
        <color rgb="FF000000"/>
        <rFont val="Arial"/>
        <family val="2"/>
      </rPr>
      <t>Capital costs for n</t>
    </r>
    <r>
      <rPr>
        <vertAlign val="superscript"/>
        <sz val="8"/>
        <color rgb="FF000000"/>
        <rFont val="Arial"/>
        <family val="2"/>
      </rPr>
      <t>th</t>
    </r>
    <r>
      <rPr>
        <sz val="8"/>
        <color rgb="FF000000"/>
        <rFont val="Arial"/>
        <family val="2"/>
      </rPr>
      <t xml:space="preserve"> plant are used for 2050 and earlier costs are estimates.</t>
    </r>
  </si>
  <si>
    <r>
      <t>E.</t>
    </r>
    <r>
      <rPr>
        <sz val="7"/>
        <color rgb="FF000000"/>
        <rFont val="Times New Roman"/>
        <family val="1"/>
      </rPr>
      <t xml:space="preserve">     </t>
    </r>
    <r>
      <rPr>
        <sz val="8"/>
        <color rgb="FF000000"/>
        <rFont val="Arial"/>
        <family val="2"/>
      </rPr>
      <t>These are based on the commercial demonstration plant results.</t>
    </r>
  </si>
  <si>
    <r>
      <t>F.</t>
    </r>
    <r>
      <rPr>
        <sz val="7"/>
        <color rgb="FF000000"/>
        <rFont val="Times New Roman"/>
        <family val="1"/>
      </rPr>
      <t xml:space="preserve">     </t>
    </r>
    <r>
      <rPr>
        <sz val="8"/>
        <color rgb="FF000000"/>
        <rFont val="Arial"/>
        <family val="2"/>
      </rPr>
      <t>N</t>
    </r>
    <r>
      <rPr>
        <vertAlign val="superscript"/>
        <sz val="8"/>
        <color rgb="FF000000"/>
        <rFont val="Arial"/>
        <family val="2"/>
      </rPr>
      <t>th</t>
    </r>
    <r>
      <rPr>
        <sz val="8"/>
        <color rgb="FF000000"/>
        <rFont val="Arial"/>
        <family val="2"/>
      </rPr>
      <t xml:space="preserve"> plant estimates.</t>
    </r>
  </si>
  <si>
    <r>
      <t>G.</t>
    </r>
    <r>
      <rPr>
        <sz val="7"/>
        <color rgb="FF000000"/>
        <rFont val="Times New Roman"/>
        <family val="1"/>
      </rPr>
      <t xml:space="preserve">    </t>
    </r>
    <r>
      <rPr>
        <sz val="8"/>
        <color rgb="FF000000"/>
        <rFont val="Arial"/>
        <family val="2"/>
      </rPr>
      <t>M €/k tonne is million euro per 1,000 tonnes</t>
    </r>
  </si>
  <si>
    <t xml:space="preserve">[1]     Muggen, G. 2015. Looking back at the first half year of commercial scale pyrolysis oil production at Empyro. tcbiomass Chicago November 4th 2015. http://www.gastechnology.org/tcbiomass/tcb2015/Muggen_Gerhard-Presentation-tcbiomass2015.pdf </t>
  </si>
  <si>
    <t xml:space="preserve">[2]     BTG Bioliquids. Empyro project. https://www.btg-btl.com/en/company/projects/empyro </t>
  </si>
  <si>
    <t xml:space="preserve">[3]     Mahajan. M. 2018. Biomass-A Massive opportunity in disguise. https://ec.europa.eu/energy/sites/ener/files/documents/32_dharmesh_mahajan-honeywell.pdf </t>
  </si>
  <si>
    <t xml:space="preserve">[4]     Bridgwater, A., Meier, D. Radlein, D. 1999. An overview of fast pyrolysis of biomass. Organic Geochemistry, Volume 30, Issue 12, Pages 1479-1493, https://doi.org/10.1016/S0146-6380(99)00120-5. </t>
  </si>
  <si>
    <t xml:space="preserve">[5]     BTG. November 2017 Newsletter. https://www.btg-btl.com/nieuwsbrieven/2017/november/en  </t>
  </si>
  <si>
    <t xml:space="preserve">[6]     Mark M. Wright, Justinus A. Satrio, and Robert C. Brown 2010. Techno-Economic Analysis of Biomass Fast Pyrolysis to Transportation Fuels https://www.nrel.gov/docs/fy11osti/46586.pdf </t>
  </si>
  <si>
    <t xml:space="preserve">[7]     Hu, W., Dang, Q., Rover, M., Brown, R., Wright, M. 2015. Comparative techno-economic analysis of advanced biofuels, biochemicals, and hydrocarbon chemicals via the fast pyrolysis platform. Biofuels, 7:1, 57-67. http://dx.doi.org/10.1080/17597269.2015.1118780 </t>
  </si>
  <si>
    <t xml:space="preserve">[8]     Shemfe, M.,Sai Gu, S., Ranganathan, P. 2015. Techno-economic performance analysis of biofuel production and miniature electric power generation from biomass fast pyrolysis and bio-oil upgrading, Fuel, Volume 143, 2015, Pages 361-372, https://doi.org/10.1016/j.fuel.2014.11.078. </t>
  </si>
  <si>
    <t xml:space="preserve">[9]     BE-Sustainable. 2014. Empyro BV breaks ground of its biomass to liquid pyrolysis plant. http://www.besustainablemagazine.com/cms2/empyro-bv-breaks-ground-of-its-biomass-to-liquid-pyrolysis-plant/ </t>
  </si>
  <si>
    <t xml:space="preserve">[10] Ensyn. 2016. Scale-up &amp; Optimization BETO Workshop. https://www.energy.gov/sites/prod/files/2016/10/f33/Graham_0.pdf </t>
  </si>
  <si>
    <t xml:space="preserve">[11] BTG. Pyrolysis oil properties. https://www.btg-btl.com/en/applications/oilproperties </t>
  </si>
  <si>
    <t>[12] Environment Canada. 1999. Bunker C Fuel Oil. www.etc-cte.ec.gc.ca/databases/oilproperties/pdf/web_bunker_c_fuel_oil.pdf</t>
  </si>
  <si>
    <t>Cellulosic Ethanol</t>
  </si>
  <si>
    <t>Typical total plant size 1,000 tonnes/year</t>
  </si>
  <si>
    <t>Typical total plant size, MW</t>
  </si>
  <si>
    <t>Ethanol Output, MWh/MWh Total Input</t>
  </si>
  <si>
    <t>1, 10, 11</t>
  </si>
  <si>
    <r>
      <t>A.</t>
    </r>
    <r>
      <rPr>
        <sz val="7"/>
        <color rgb="FF000000"/>
        <rFont val="Times New Roman"/>
        <family val="1"/>
      </rPr>
      <t xml:space="preserve">     </t>
    </r>
    <r>
      <rPr>
        <sz val="8"/>
        <color rgb="FF000000"/>
        <rFont val="Arial"/>
        <family val="2"/>
      </rPr>
      <t>The plant size is assumed based on the plants sizes of existing ethanol plants.</t>
    </r>
  </si>
  <si>
    <r>
      <t>C.</t>
    </r>
    <r>
      <rPr>
        <sz val="7"/>
        <color rgb="FF000000"/>
        <rFont val="Times New Roman"/>
        <family val="1"/>
      </rPr>
      <t xml:space="preserve">     </t>
    </r>
    <r>
      <rPr>
        <sz val="8"/>
        <color rgb="FF000000"/>
        <rFont val="Arial"/>
        <family val="2"/>
      </rPr>
      <t>Not all process developers are attempting to maximize ethanol output; this can result in higher feedstock consumption but lower chemical use. Co-product production is higher if the ethanol yield is low.</t>
    </r>
  </si>
  <si>
    <r>
      <t>D.</t>
    </r>
    <r>
      <rPr>
        <sz val="7"/>
        <color rgb="FF000000"/>
        <rFont val="Times New Roman"/>
        <family val="1"/>
      </rPr>
      <t xml:space="preserve">     </t>
    </r>
    <r>
      <rPr>
        <sz val="8"/>
        <color rgb="FF000000"/>
        <rFont val="Arial"/>
        <family val="2"/>
      </rPr>
      <t>There is a wide range of reported capital costs for the existing plants and a wide range in the cost of future plants.</t>
    </r>
  </si>
  <si>
    <r>
      <t>E.</t>
    </r>
    <r>
      <rPr>
        <sz val="7"/>
        <color rgb="FF000000"/>
        <rFont val="Times New Roman"/>
        <family val="1"/>
      </rPr>
      <t xml:space="preserve">     </t>
    </r>
    <r>
      <rPr>
        <sz val="8"/>
        <color rgb="FF000000"/>
        <rFont val="Arial"/>
        <family val="2"/>
      </rPr>
      <t>Start-up costs are included in the operating costs.</t>
    </r>
  </si>
  <si>
    <r>
      <t>F.</t>
    </r>
    <r>
      <rPr>
        <sz val="7"/>
        <color rgb="FF000000"/>
        <rFont val="Times New Roman"/>
        <family val="1"/>
      </rPr>
      <t xml:space="preserve">     </t>
    </r>
    <r>
      <rPr>
        <sz val="8"/>
        <color rgb="FF000000"/>
        <rFont val="Arial"/>
        <family val="2"/>
      </rPr>
      <t>O&amp;M costs are based on the n</t>
    </r>
    <r>
      <rPr>
        <vertAlign val="superscript"/>
        <sz val="8"/>
        <color rgb="FF000000"/>
        <rFont val="Arial"/>
        <family val="2"/>
      </rPr>
      <t>th</t>
    </r>
    <r>
      <rPr>
        <sz val="8"/>
        <color rgb="FF000000"/>
        <rFont val="Arial"/>
        <family val="2"/>
      </rPr>
      <t xml:space="preserve"> plant. There are no public estimates for the costs from current plants. It has been estimated that they are twice the values for the nth plants. This may be optimistic unless the on line performance can be improved.</t>
    </r>
  </si>
  <si>
    <t xml:space="preserve">[1]     Tao, L., Schell, D., Davis, R., Tan, E., Elander, R. and Bratis, A. 2014. NREL 2012 Achievement of Ethanol Cost Targets: Biochemical Ethanol Fermentation via Dilute-Acid Pretreatment and Enzymatic Hydrolysis of Corn Stover. NREL/TP-5100-61563. https://www.nrel.gov/docs/fy14osti/61563.pdf </t>
  </si>
  <si>
    <t xml:space="preserve">[2]     Kacelle. 2014. Bringing cellulosic ethanol to industrial production at Kalundborg, Denmark. https://biorefiningalliance.com/wp-content/uploads/2014/12/KACELLE-PUBLISHABLE-SUMMARY-web.pdf </t>
  </si>
  <si>
    <t xml:space="preserve">[3]     POET-DSM achieves cellulosic biofuel breakthrough. Nov 2017. http://poetdsm.com/pr/poet-dsm-achieves-cellulosic-biofuel-breakthrough </t>
  </si>
  <si>
    <t>[4]     Thakrar, A. 2017. PROJECT LIBERTY: Lessons learned in commercializing cellulosic biofuels. Presented at 6TH International Conference on Lignocellulosic Ethanol. Brussels, Sept 2017. https://ec.europa.eu/energy/en/events/6th-international-conference-ethanol-lignocellulosics.</t>
  </si>
  <si>
    <t>[5]     Van der Meij, R. 2017. A venture capitalist’s view on investment in lingo-cellulosic ethanol. Presented at 6TH International Conference on Lignocellulosic Ethanol. Brussels, Sept 2017. https://ec.europa.eu/energy/en/events/6th-international-conference-ethanol-lignocellulosics.</t>
  </si>
  <si>
    <t xml:space="preserve">[6]     Merritt, M. 2017. Real Progress in Cellulosic Biofuel. Biofuels, Bioprod. Bioref., 11: 943-944. https://doi.org/10.1002/bbb.1837 </t>
  </si>
  <si>
    <t xml:space="preserve">[7]     Beta Renewables. Oct 2017. The Alessandria court admitted the Gruppo Mossi Ghisolfi companies to the “concordato preventivo”. http://www.betarenewables.com/en/media-relations/news-detail/32 </t>
  </si>
  <si>
    <t xml:space="preserve">[8]     DuPont to sell cellulosic ethanol plant in blow to biofuel. Nov 2017. https://www.reuters.com/article/us-dowdupont-ethanol/dupont-to-sell-cellulosic-ethanol-plant-in-blow-to-biofuel-idUSKBN1D22T5 </t>
  </si>
  <si>
    <t xml:space="preserve">[9]     Clariant. 2017. Clariant And Enviral Announce First License Agreement on Sunliquid® Cellulosic Ethanol Technology. https://www.clariant.com/en/Corporate/News/2017/09/Clariant-and-Enviral-announce-first-license-agreement-on-sunliquid-cellulosic-ethanol-technology </t>
  </si>
  <si>
    <t xml:space="preserve">[10] Clariant. 2017. Clariant to Build Flagship Sunliquid® Cellulosic Ethanol Plant in Romania. https://www.clariant.com/en/Corporate/News/2017/10/Clariant-to-build-flagship-sunliquid-cellulosic-ethanol-plant-in-Romania </t>
  </si>
  <si>
    <t xml:space="preserve">[11] IEA Bioenergy Task 39. Cellulosic Ethanol Plants. http://demoplants.bioenergy2020.eu/ </t>
  </si>
  <si>
    <t xml:space="preserve">[13] Lee R Lynd, Xiaoyu Liang, Mary J Biddy, Andrew Allee, Hao Cai, Thomas Foust, Michael E Himmel, Mark S Laser, Michael Wang, Charles E Wyman. 2017. Cellulosic ethanol: status and innovation, In Current Opinion in Biotechnology, Volume 45, 2017, Pages 202-211, ISSN 0958-1669, https://doi.org/10.1016/j.copbio.2017.03.008 </t>
  </si>
  <si>
    <t xml:space="preserve">[14] de Jong, S., Hoefnagels, R., Faaij, A., Slade, R., Mawhood, R. and Junginger, M. 2015. The feasibility of short-term production strategies for renewable jet fuels – a comprehensive techno-economic comparison. Biofuels, Bioprod. Bioref., 9: 778–800. https://www.doi.org/10.1002/bbb.1613   </t>
  </si>
  <si>
    <t xml:space="preserve">[15] Irena. 2016. Innovation Outlook. Advanced Liquid Biofuels. http://www.irena.org/DocumentDownloads/Publications/IRENA_Innovation_Outlook_Advanced_Liquid_Biofuels_2016.pdf </t>
  </si>
  <si>
    <t xml:space="preserve">[16] Sub Group on Advanced Biofuels. 2017. Cost of Biofuel. http://platformduurzamebiobrandstoffen.nl/wp-content/uploads/2017/07/2017_SGAB_Cost-of-Biofuels.pdf  </t>
  </si>
  <si>
    <t>[12] Brian Foody. 2016. Scaling Up Cellulosic Biofuels, Ideas &amp; Experience. Presented at Scaling Up, Ottawa, Ontario, Nov 15, 2016.</t>
  </si>
  <si>
    <t>Typical total plant size 1,000 t FT Liquids/year</t>
  </si>
  <si>
    <t>Specific investment (M€ /1,000 t FT Liquids/year)</t>
  </si>
  <si>
    <t>E, L</t>
  </si>
  <si>
    <t>1, 6, 7, 8, 9</t>
  </si>
  <si>
    <t>Fixed O&amp;M (M€ /1,000 t FT Liquids/year)</t>
  </si>
  <si>
    <t>Variable O&amp;M (M€ /1,000 t FT Liquids/year)</t>
  </si>
  <si>
    <t>Start up (M€ /1,000 t FT Liquids/year)</t>
  </si>
  <si>
    <t>Specific energy content (GJ/ton) FT Diesel)</t>
  </si>
  <si>
    <r>
      <t>A.</t>
    </r>
    <r>
      <rPr>
        <sz val="7"/>
        <color rgb="FF000000"/>
        <rFont val="Times New Roman"/>
        <family val="1"/>
      </rPr>
      <t xml:space="preserve">     </t>
    </r>
    <r>
      <rPr>
        <sz val="8"/>
        <color rgb="FF000000"/>
        <rFont val="Arial"/>
        <family val="2"/>
      </rPr>
      <t>The plant size is assumed based on the proposed Velocys plant and the NREL n</t>
    </r>
    <r>
      <rPr>
        <vertAlign val="superscript"/>
        <sz val="8"/>
        <color rgb="FF000000"/>
        <rFont val="Arial"/>
        <family val="2"/>
      </rPr>
      <t>th</t>
    </r>
    <r>
      <rPr>
        <sz val="8"/>
        <color rgb="FF000000"/>
        <rFont val="Arial"/>
        <family val="2"/>
      </rPr>
      <t xml:space="preserve"> plant. </t>
    </r>
  </si>
  <si>
    <t>A1. This value is the hourly rating and has been calculated as if the unit produces at capacity and was in operations 8,000 h/year</t>
  </si>
  <si>
    <r>
      <t>B.</t>
    </r>
    <r>
      <rPr>
        <sz val="7"/>
        <color rgb="FF000000"/>
        <rFont val="Times New Roman"/>
        <family val="1"/>
      </rPr>
      <t xml:space="preserve">     </t>
    </r>
    <r>
      <rPr>
        <sz val="8"/>
        <color rgb="FF000000"/>
        <rFont val="Arial"/>
        <family val="2"/>
      </rPr>
      <t>Feedstock availability is likely to determine the maximum plant size.</t>
    </r>
  </si>
  <si>
    <r>
      <t>C.</t>
    </r>
    <r>
      <rPr>
        <sz val="7"/>
        <color rgb="FF000000"/>
        <rFont val="Times New Roman"/>
        <family val="1"/>
      </rPr>
      <t xml:space="preserve">     </t>
    </r>
    <r>
      <rPr>
        <sz val="8"/>
        <color rgb="FF000000"/>
        <rFont val="Arial"/>
        <family val="2"/>
      </rPr>
      <t>The feedstock requirements could vary with efforts to improve the desired product selectivity.</t>
    </r>
  </si>
  <si>
    <r>
      <t>D.</t>
    </r>
    <r>
      <rPr>
        <sz val="7"/>
        <color rgb="FF000000"/>
        <rFont val="Times New Roman"/>
        <family val="1"/>
      </rPr>
      <t xml:space="preserve">     </t>
    </r>
    <r>
      <rPr>
        <sz val="8"/>
        <color rgb="FF000000"/>
        <rFont val="Arial"/>
        <family val="2"/>
      </rPr>
      <t>Over time the power available for export may increase due to improve thermal management in the plant.</t>
    </r>
  </si>
  <si>
    <r>
      <t>E.</t>
    </r>
    <r>
      <rPr>
        <sz val="7"/>
        <color theme="1"/>
        <rFont val="Times New Roman"/>
        <family val="1"/>
      </rPr>
      <t xml:space="preserve">     </t>
    </r>
    <r>
      <rPr>
        <sz val="8"/>
        <color theme="1"/>
        <rFont val="Arial"/>
        <family val="2"/>
      </rPr>
      <t>There is a wide range of reported capital costs for the existing plants and a wide range in the cost of future plants.</t>
    </r>
  </si>
  <si>
    <r>
      <t>F.</t>
    </r>
    <r>
      <rPr>
        <sz val="7"/>
        <color theme="1"/>
        <rFont val="Times New Roman"/>
        <family val="1"/>
      </rPr>
      <t xml:space="preserve">     </t>
    </r>
    <r>
      <rPr>
        <sz val="8"/>
        <color theme="1"/>
        <rFont val="Arial"/>
        <family val="2"/>
      </rPr>
      <t>Start-up costs are included in the operating costs.</t>
    </r>
  </si>
  <si>
    <t>M €/k tonne is million euro per 1,000 tonnes</t>
  </si>
  <si>
    <t xml:space="preserve">[1]     Tan, E. C. D., Snowden-Swan, L. J., Talmadge, M., Dutta, A., Jones, S., Ramasamy, K. K., Gray, M., Dagle, R., Padmaperuma, A., Gerber, M., Sahir, A. H., Tao, L. and Zhang, Y. 2017. Comparative techno-economic analysis and process design for indirect liquefaction pathways to distillate-range fuels via biomass-derived oxygenated intermediates upgrading. Biofuels, Bioprod. Bioref., 11: 41–66. https://www.doi.org/10.1002/bbb.1710 </t>
  </si>
  <si>
    <t xml:space="preserve">[2]     Kreutz, T., Larson, E., Liu, G., Williams, R. 2008. Fischer-Tropsch Fuels from Coal and Biomass. 25th Annual International Pittsburgh Coal Conference. http://acee.princeton.edu/wp-content/uploads/2016/10/Kreutz-et-al-PCC-2008-10-7-08.pdf </t>
  </si>
  <si>
    <t xml:space="preserve">[3]     Baliban, R., Elia, J., Floudas, C., Gurau, B., Weingarten, M., and Klotz, S. 2013. Hardwood Biomass to Gasoline, Diesel, and Jet Fuel: 1. Process Synthesis and Global Optimization of a Thermochemical Refinery. Energy &amp; Fuels 2013 27 (8), 4302-4324. https://www.doi.org/10.1021/ef302003f    </t>
  </si>
  <si>
    <t xml:space="preserve">[4]     Sikarwar, V., Zhao, M., Clough, P., Yao, J., Zhong, X., Memon, Shah, M., Anthony, E., and Fennell, P. 2016. An overview of advances in biomass gasification. Energy Environ. Sci. 2016, 9, 2939. https://doi.org/10.1039/C6EE00935B </t>
  </si>
  <si>
    <t xml:space="preserve">[5]     Molino, A., Chianese, S., Musmarra, D. 2016. Biomass gasification technology: The state of the art overview, In Journal of Energy Chemistry, Volume 25, Issue 1, 2016, Pages 10-25, ISSN 2095-4956, https://doi.org/10.1016/j.jechem.2015.11.005 </t>
  </si>
  <si>
    <t xml:space="preserve">[6]     Velocys. 2017. The biomass-to-liquids process. http://www.velocys.com/our-biorefineries/ </t>
  </si>
  <si>
    <t xml:space="preserve">[7]     Chandra, P.K. &amp; Payne, Fred. 1986. Turndown Ratio of a Gasifier-Combustor Predicted by a Simulation Model. Transactions of the ASAE. 29. 1748-1753. https://doi.org/10.13031/2013.30383. </t>
  </si>
  <si>
    <t>[8]     Danish Energy Agency. 2017. Energy Statistics 2015. https://ens.dk/sites/ens.dk/files/Statistik/energy_statistics_2015.pdf</t>
  </si>
  <si>
    <t xml:space="preserve">[9]     Li X, Rubæk GH, Müller-Stöver DS, Thomsen TP, Ahrenfeldt J and Sørensen P. 2017. Plant Availability of Phosphorus in Five Gasification Biochars. Front. Sustain. Food Syst. 1:2. https://www.doi.org/10.3389/fsufs.2017.00002   </t>
  </si>
  <si>
    <t xml:space="preserve">[10] Velocys. 2017. Establishment of a strategic alliance with TRI. http://www.velocys.com/establishment-of-a-strategic-alliance-with-tri/ </t>
  </si>
  <si>
    <t xml:space="preserve">[11] Velocys. 2017. Velocys plans for the construction of a commercial BTL plant move forward. https://biorrefineria.blogspot.ca/2017/06/velocys-plans-for-construction-of-commercial-BTL-plant-move-forward.html </t>
  </si>
  <si>
    <t xml:space="preserve">[12] Tijm, P. 1994. Shell Middle Distillate Synthesis: The Process, The Plant, The Products. http://web.anl.gov/PCS/acsfuel/preprint%20archive/Files/39_4_WASHINGTON%20DC_08-94_1146.pdf </t>
  </si>
  <si>
    <t>[13] van der Laan, P. 1999. Kinetics, Selectivity and Scale Up of the Fischer-Tropsch Synthesis. http://www.adktroutguide.com/files/1999_Phd_Thesis_-_Kinetics_Selectivity_and_Scaleup_of_FT_Synthesis.pdf</t>
  </si>
  <si>
    <t xml:space="preserve">[14] Industrial Equipment News. 2017. Mississippi Lands Biofuel Refinery. https://www.ien.com/operations/news/20980331/mississippi-lands-biofuel-refinery </t>
  </si>
  <si>
    <t xml:space="preserve">[17] de Jong, S., Hoefnagels, R., Faaij, A., Slade, R., Mawhood, R. and Junginger, M. 2015. The feasibility of short-term production strategies for renewable jet fuels – a comprehensive techno-economic comparison. Biofuels, Bioprod. Bioref., 9: 778–800. https://www.doi.org/10.1002/bbb.1613   </t>
  </si>
  <si>
    <t>Bio Methanol</t>
  </si>
  <si>
    <t>Typical total plant size 1,000 t Methanol/year</t>
  </si>
  <si>
    <t>3, 5, 6</t>
  </si>
  <si>
    <t>Methanol Output, MWh/MWh Input</t>
  </si>
  <si>
    <t>Specific investment (M€ /1,000 t Methanol)</t>
  </si>
  <si>
    <t>1, 3, 5, 6</t>
  </si>
  <si>
    <t>Fixed O&amp;M (M€ /1,000 t Methanol)</t>
  </si>
  <si>
    <t>Variable O&amp;M (M€ /1,000 t Methanol)</t>
  </si>
  <si>
    <t>E,,F</t>
  </si>
  <si>
    <t>Start up (M€ /1,000 t Methanoll)</t>
  </si>
  <si>
    <t>Specific energy content (GJ/ton) methanol)</t>
  </si>
  <si>
    <r>
      <t>A.</t>
    </r>
    <r>
      <rPr>
        <sz val="7"/>
        <color rgb="FF000000"/>
        <rFont val="Times New Roman"/>
        <family val="1"/>
      </rPr>
      <t xml:space="preserve">     </t>
    </r>
    <r>
      <rPr>
        <sz val="8"/>
        <color rgb="FF000000"/>
        <rFont val="Arial"/>
        <family val="2"/>
      </rPr>
      <t>The plant size range is assumed based on the proposed Värmlands plant and the NREL n</t>
    </r>
    <r>
      <rPr>
        <vertAlign val="superscript"/>
        <sz val="8"/>
        <color rgb="FF000000"/>
        <rFont val="Arial"/>
        <family val="2"/>
      </rPr>
      <t>th</t>
    </r>
    <r>
      <rPr>
        <sz val="8"/>
        <color rgb="FF000000"/>
        <rFont val="Arial"/>
        <family val="2"/>
      </rPr>
      <t xml:space="preserve"> plant.</t>
    </r>
  </si>
  <si>
    <t xml:space="preserve">A1. This value is the hourly rating and has been calculated as if the unit produces at capacity and was in operations 8,000 h/year. </t>
  </si>
  <si>
    <r>
      <t>C.</t>
    </r>
    <r>
      <rPr>
        <sz val="7"/>
        <color rgb="FF000000"/>
        <rFont val="Times New Roman"/>
        <family val="1"/>
      </rPr>
      <t xml:space="preserve">     </t>
    </r>
    <r>
      <rPr>
        <sz val="8"/>
        <color rgb="FF000000"/>
        <rFont val="Arial"/>
        <family val="2"/>
      </rPr>
      <t>Some plants may produce their own power and have no power imports.</t>
    </r>
  </si>
  <si>
    <r>
      <t>D.</t>
    </r>
    <r>
      <rPr>
        <sz val="7"/>
        <color rgb="FF000000"/>
        <rFont val="Times New Roman"/>
        <family val="1"/>
      </rPr>
      <t xml:space="preserve">     </t>
    </r>
    <r>
      <rPr>
        <sz val="8"/>
        <color rgb="FF000000"/>
        <rFont val="Arial"/>
        <family val="2"/>
      </rPr>
      <t>Plants that produce their own power will have much lower heat available to district heat.</t>
    </r>
  </si>
  <si>
    <r>
      <t>E.</t>
    </r>
    <r>
      <rPr>
        <sz val="7"/>
        <color rgb="FF000000"/>
        <rFont val="Times New Roman"/>
        <family val="1"/>
      </rPr>
      <t xml:space="preserve">     </t>
    </r>
    <r>
      <rPr>
        <sz val="8"/>
        <color rgb="FF000000"/>
        <rFont val="Arial"/>
        <family val="2"/>
      </rPr>
      <t>Assumed a 25/75 split on fixed to variable operating costs.</t>
    </r>
  </si>
  <si>
    <r>
      <t>F.</t>
    </r>
    <r>
      <rPr>
        <sz val="7"/>
        <color rgb="FF000000"/>
        <rFont val="Times New Roman"/>
        <family val="1"/>
      </rPr>
      <t xml:space="preserve">     </t>
    </r>
    <r>
      <rPr>
        <sz val="8"/>
        <color rgb="FF000000"/>
        <rFont val="Arial"/>
        <family val="2"/>
      </rPr>
      <t>M €/k tonne is million euro per 1,000 tonnes</t>
    </r>
  </si>
  <si>
    <t>[1]     Andersson, J.,Lundgren, J., and Marklund, M. 2014. Methanol production via pressurized entrained flow biomass gasification – Techno-economic comparison of integrated vs. stand-alone production, In Biomass and Bioenergy, Volume 64, 2014, Pages 256-268, ISSN 0961-9534, https://doi.org/10.1016/j.biombioe.2014.03.063</t>
  </si>
  <si>
    <t>[2]     Danish Technology Institute. 2011. GreenSynFuels. EUDP project journal number: 64010-0011. http://serenergy.com/wp-content/uploads/2015/11/GreenSynFuels_report_final.pdf</t>
  </si>
  <si>
    <t>[3]     Clausen, L. 2014. Integrated torrefaction vs. external torrefaction – A thermodynamic analysis for the case of a thermochemical biorefinery. Energy, Volume 77, Pages 597-607. https://doi.org/10.1016/j.energy.2014.09.042.</t>
  </si>
  <si>
    <t>[4]     IEA Bioenergy Task 39. 2016. IEA-Bioenergy-Task-39-Newsletter-Issue-42-April-2016. http://task39.sites.olt.ubc.ca/files/2012/01/IEA-Bioenergy-Task-39-Newsletter-Issue-42-April-2016.pdf</t>
  </si>
  <si>
    <t>[5]     Värmlands Metanol AB. http://www.varmlandsmetanol.se/Om%20Projektet.htm</t>
  </si>
  <si>
    <t>[6]     Värmlands Metanol AB. 2016. Metanol från skog - ett miljövänligt drivmedel. http://www.varmlandsmetanol.se/dokument/Folder%20VM%20sept%202016.pdf</t>
  </si>
  <si>
    <t>[7]     NREL. 2011. Technoeconomic comparison of biofuels: ethanol, methanol, and gasoline from gasification of woody residues. https://www.nrel.gov/docs/fy12osti/52636.pdf</t>
  </si>
  <si>
    <t>[8]     Sub Group on Advanced Biofuels. 2017. Cost of Biofuel. http://platformduurzamebiobrandstoffen.nl/wp-content/uploads/2017/07/2017_SGAB_Cost-of-Biofuels.pdf</t>
  </si>
  <si>
    <t>4, 5, 11</t>
  </si>
  <si>
    <t>4, 5</t>
  </si>
  <si>
    <t>Hydrogen Consumption, t/t Methanol</t>
  </si>
  <si>
    <t>Methanol Output, MWh/MWh Total Input</t>
  </si>
  <si>
    <t>Start up (M€ /1,000 t Methanol)</t>
  </si>
  <si>
    <r>
      <t>A.</t>
    </r>
    <r>
      <rPr>
        <sz val="7"/>
        <color rgb="FF000000"/>
        <rFont val="Times New Roman"/>
        <family val="1"/>
      </rPr>
      <t xml:space="preserve">     </t>
    </r>
    <r>
      <rPr>
        <sz val="8"/>
        <color rgb="FF000000"/>
        <rFont val="Arial"/>
        <family val="2"/>
      </rPr>
      <t xml:space="preserve">The plant size range is based on the CRI plants and other analysis in the literature. </t>
    </r>
  </si>
  <si>
    <r>
      <t>B.</t>
    </r>
    <r>
      <rPr>
        <sz val="7"/>
        <color rgb="FF000000"/>
        <rFont val="Times New Roman"/>
        <family val="1"/>
      </rPr>
      <t xml:space="preserve">     </t>
    </r>
    <r>
      <rPr>
        <sz val="8"/>
        <color rgb="FF000000"/>
        <rFont val="Arial"/>
        <family val="2"/>
      </rPr>
      <t>CO</t>
    </r>
    <r>
      <rPr>
        <vertAlign val="subscript"/>
        <sz val="8"/>
        <color rgb="FF000000"/>
        <rFont val="Arial"/>
        <family val="2"/>
      </rPr>
      <t>2</t>
    </r>
    <r>
      <rPr>
        <sz val="8"/>
        <color rgb="FF000000"/>
        <rFont val="Arial"/>
        <family val="2"/>
      </rPr>
      <t xml:space="preserve"> availability is likely to determine the maximum plant size.</t>
    </r>
  </si>
  <si>
    <r>
      <t>C.</t>
    </r>
    <r>
      <rPr>
        <sz val="7"/>
        <color rgb="FF000000"/>
        <rFont val="Times New Roman"/>
        <family val="1"/>
      </rPr>
      <t xml:space="preserve">     </t>
    </r>
    <r>
      <rPr>
        <sz val="8"/>
        <color rgb="FF000000"/>
        <rFont val="Arial"/>
        <family val="2"/>
      </rPr>
      <t xml:space="preserve">Power use improvement depends on improved efficiency for electrolyzers. </t>
    </r>
  </si>
  <si>
    <r>
      <t>D.</t>
    </r>
    <r>
      <rPr>
        <sz val="7"/>
        <color rgb="FF000000"/>
        <rFont val="Times New Roman"/>
        <family val="1"/>
      </rPr>
      <t xml:space="preserve">     </t>
    </r>
    <r>
      <rPr>
        <sz val="8"/>
        <color rgb="FF000000"/>
        <rFont val="Arial"/>
        <family val="2"/>
      </rPr>
      <t>Methanol is the only output.</t>
    </r>
  </si>
  <si>
    <r>
      <t>E.</t>
    </r>
    <r>
      <rPr>
        <sz val="7"/>
        <color rgb="FF000000"/>
        <rFont val="Times New Roman"/>
        <family val="1"/>
      </rPr>
      <t xml:space="preserve">     </t>
    </r>
    <r>
      <rPr>
        <sz val="8"/>
        <color rgb="FF000000"/>
        <rFont val="Arial"/>
        <family val="2"/>
      </rPr>
      <t>Waste heat is of low quality.</t>
    </r>
  </si>
  <si>
    <r>
      <t>F.</t>
    </r>
    <r>
      <rPr>
        <sz val="7"/>
        <color rgb="FF000000"/>
        <rFont val="Times New Roman"/>
        <family val="1"/>
      </rPr>
      <t xml:space="preserve">     </t>
    </r>
    <r>
      <rPr>
        <sz val="8"/>
        <color rgb="FF000000"/>
        <rFont val="Arial"/>
        <family val="2"/>
      </rPr>
      <t>The methanol synthesis step does not lend itself to intermittent operation. The concept of intermittent power to methanol is not practical without intermediate storage for hydrogen that would allow the methanol plant to operate continuously. This would have a significant capital cost impact.</t>
    </r>
  </si>
  <si>
    <r>
      <t>G.</t>
    </r>
    <r>
      <rPr>
        <sz val="7"/>
        <color rgb="FF000000"/>
        <rFont val="Times New Roman"/>
        <family val="1"/>
      </rPr>
      <t xml:space="preserve">    </t>
    </r>
    <r>
      <rPr>
        <sz val="8"/>
        <color rgb="FF000000"/>
        <rFont val="Arial"/>
        <family val="2"/>
      </rPr>
      <t>There is a wide range of capital costs in the literature.</t>
    </r>
  </si>
  <si>
    <r>
      <t>H.</t>
    </r>
    <r>
      <rPr>
        <sz val="7"/>
        <color rgb="FF000000"/>
        <rFont val="Times New Roman"/>
        <family val="1"/>
      </rPr>
      <t xml:space="preserve">     </t>
    </r>
    <r>
      <rPr>
        <sz val="8"/>
        <color rgb="FF000000"/>
        <rFont val="Arial"/>
        <family val="2"/>
      </rPr>
      <t>M €/k tonne is million euro per 1,000 tonnes</t>
    </r>
  </si>
  <si>
    <t>[1]     Next generation of methanol fuel cell vehicles sees the light of day. 2017. http://serenergy.com/next-generation-of-methanol-fuel-cell-vehicles-sees-the-light-of-day/</t>
  </si>
  <si>
    <t>[2]     Stefansson, B. 2015. Power and CO2 emissions to methanol. https://eu-ems.com/event_images/presentations/Benedikt%20Stefansson%20presentation.pdf</t>
  </si>
  <si>
    <t>[3]     Stefansson, B. 2017. CO2 to Renewable Methanol: experiences and perspectives for the steel industry. https://www.co2-cato.org/cato-download/4123/20170512_143353_20-11.00-Stefansson-public.pdf</t>
  </si>
  <si>
    <t xml:space="preserve">[4]     MefCO2 Project Brochure. 2017. http://www.mefco2.eu/pdf/MefCO2_Brochure_00.pdf </t>
  </si>
  <si>
    <t xml:space="preserve">[5]     Atsonios K, et al., Investigation of technical and economic aspects for methanol production through CO2 hydrogenation, International Journal of Hydrogen Energy (2016), http://dx.doi.org/10.1016/j.ijhydene.2015.12.074 </t>
  </si>
  <si>
    <t xml:space="preserve">[6]     Methanol Institute. http://www.methanol.org/the-methanol-industry/ </t>
  </si>
  <si>
    <t xml:space="preserve">[7]     Hovsapian, R. 2017. Role of Electrolyzers in Grid Services. US DOE. https://energy.gov/sites/prod/files/2017/06/f34/fcto_may_2017_h2_scale_wkshp_hovsapian.pdf </t>
  </si>
  <si>
    <t xml:space="preserve">[8]     Manuel Götz, Jonathan Lefebvre, Friedemann Mörs, Amy McDaniel Koch, Frank Graf, Siegfried Bajohr, Rainer Reimert, Thomas Kolb, Renewable Power-to-Gas: A technological and economic review, In Renewable Energy, Volume 85, 2016, Pages 1371-1390, ISSN 0960-1481, https://doi.org/10.1016/j.renene.2015.07.066 </t>
  </si>
  <si>
    <t>[9]     Danish Technology Institute. 2011. GreenSynFuels. EUDP project journal number: 64010-0011. http://serenergy.com/wp-content/uploads/2015/11/GreenSynFuels_report_final.pdf</t>
  </si>
  <si>
    <t>[10] Haldor Topsøe. 2017. Gasoline synthesis (TIGAS). https://www.topsoe.com/processes/gasoline-synthesis/gasoline-synthesis-tigas</t>
  </si>
  <si>
    <t>[11] M. Pérez-Fortes and E. Tzimas; Techno-economic and environmental evaluation of carbon dioxide utilisation for fuel production. Synthesis of methanol and formic acid; EUR 27629 EN; https://dx.doi.org/10.2790/981669</t>
  </si>
  <si>
    <t>[12] enea Consulting. 2016. The Potential of Power to Gas. Technology review and economic potential assessment. http://www.enea-consulting.com/wp-content/uploads/2016/01/ENEA-Consulting-The-potential-of-power-to-gas.pdf</t>
  </si>
  <si>
    <t xml:space="preserve">[13] CRI. 2017. Commercial Scale Plants. http://carbonrecycling.is/comercial-scale/ </t>
  </si>
  <si>
    <t>SNG from Biogas</t>
  </si>
  <si>
    <t>Typical total plant size 1,000 GJ SNG/year</t>
  </si>
  <si>
    <t>1, 7</t>
  </si>
  <si>
    <t>Biogas Consumption, MWh/MWh Total Input</t>
  </si>
  <si>
    <t>C, I</t>
  </si>
  <si>
    <t>Hydrogen Consumption, MWh/MWh Total Input</t>
  </si>
  <si>
    <t>SNG Output, MWh/MWh Total Input</t>
  </si>
  <si>
    <t>Fixed O&amp;M (€ /GJ SNG)</t>
  </si>
  <si>
    <t>Variable O&amp;M (€ /GJ SNG)</t>
  </si>
  <si>
    <t>Start up (€ /GJ SNG)</t>
  </si>
  <si>
    <t>Specific energy content (GJ/ton) SNG)</t>
  </si>
  <si>
    <r>
      <t>A.</t>
    </r>
    <r>
      <rPr>
        <sz val="7"/>
        <color rgb="FF000000"/>
        <rFont val="Times New Roman"/>
        <family val="1"/>
      </rPr>
      <t xml:space="preserve">     </t>
    </r>
    <r>
      <rPr>
        <sz val="8"/>
        <color rgb="FF000000"/>
        <rFont val="Arial"/>
        <family val="2"/>
      </rPr>
      <t>The plant size range is likely limited by the biogas availability.</t>
    </r>
  </si>
  <si>
    <r>
      <t>B.</t>
    </r>
    <r>
      <rPr>
        <sz val="7"/>
        <color rgb="FF000000"/>
        <rFont val="Times New Roman"/>
        <family val="1"/>
      </rPr>
      <t xml:space="preserve">     </t>
    </r>
    <r>
      <rPr>
        <sz val="8"/>
        <color rgb="FF000000"/>
        <rFont val="Arial"/>
        <family val="2"/>
      </rPr>
      <t xml:space="preserve">A1. This value is the hourly rating and has been calculated as if the unit produces at capacity and was in operations 8,000 h/year. </t>
    </r>
  </si>
  <si>
    <r>
      <t>C.</t>
    </r>
    <r>
      <rPr>
        <sz val="7"/>
        <color rgb="FF000000"/>
        <rFont val="Times New Roman"/>
        <family val="1"/>
      </rPr>
      <t xml:space="preserve">     </t>
    </r>
    <r>
      <rPr>
        <sz val="8"/>
        <color rgb="FF000000"/>
        <rFont val="Arial"/>
        <family val="2"/>
      </rPr>
      <t>Plant size progression is based on moving from small biogas system to large systems as the technology is proven.</t>
    </r>
  </si>
  <si>
    <r>
      <t>D.</t>
    </r>
    <r>
      <rPr>
        <sz val="7"/>
        <color rgb="FF000000"/>
        <rFont val="Times New Roman"/>
        <family val="1"/>
      </rPr>
      <t xml:space="preserve">     </t>
    </r>
    <r>
      <rPr>
        <sz val="8"/>
        <color rgb="FF000000"/>
        <rFont val="Arial"/>
        <family val="2"/>
      </rPr>
      <t>There are variations in the process that will have some impact on the overall efficiency. It is not yet clear what might become the industry standard.</t>
    </r>
  </si>
  <si>
    <r>
      <t>E.</t>
    </r>
    <r>
      <rPr>
        <sz val="7"/>
        <color rgb="FF000000"/>
        <rFont val="Times New Roman"/>
        <family val="1"/>
      </rPr>
      <t xml:space="preserve">     </t>
    </r>
    <r>
      <rPr>
        <sz val="8"/>
        <color rgb="FF000000"/>
        <rFont val="Arial"/>
        <family val="2"/>
      </rPr>
      <t>This is the power for the system excluding the electrolyzer.</t>
    </r>
  </si>
  <si>
    <r>
      <t>F.</t>
    </r>
    <r>
      <rPr>
        <sz val="7"/>
        <color rgb="FF000000"/>
        <rFont val="Times New Roman"/>
        <family val="1"/>
      </rPr>
      <t xml:space="preserve">     </t>
    </r>
    <r>
      <rPr>
        <sz val="8"/>
        <color rgb="FF000000"/>
        <rFont val="Arial"/>
        <family val="2"/>
      </rPr>
      <t>The methanation step does not lend itself to intermittent operation. The concept of intermittent power to SNG is not practical without intermediate storage for hydrogen that would allow the methanation plant to operate continuously. This would have a significant capital cost impact.</t>
    </r>
  </si>
  <si>
    <r>
      <t>G.</t>
    </r>
    <r>
      <rPr>
        <sz val="7"/>
        <color rgb="FF000000"/>
        <rFont val="Times New Roman"/>
        <family val="1"/>
      </rPr>
      <t xml:space="preserve">    </t>
    </r>
    <r>
      <rPr>
        <sz val="8"/>
        <color rgb="FF000000"/>
        <rFont val="Arial"/>
        <family val="2"/>
      </rPr>
      <t>Some recoverable waste heat is available from the process.</t>
    </r>
  </si>
  <si>
    <r>
      <t>H.</t>
    </r>
    <r>
      <rPr>
        <sz val="7"/>
        <color rgb="FF000000"/>
        <rFont val="Times New Roman"/>
        <family val="1"/>
      </rPr>
      <t xml:space="preserve">     </t>
    </r>
    <r>
      <rPr>
        <sz val="8"/>
        <color rgb="FF000000"/>
        <rFont val="Arial"/>
        <family val="2"/>
      </rPr>
      <t>There is a significant range in the capital cost estimates.</t>
    </r>
  </si>
  <si>
    <r>
      <t>I.</t>
    </r>
    <r>
      <rPr>
        <sz val="7"/>
        <color rgb="FF000000"/>
        <rFont val="Times New Roman"/>
        <family val="1"/>
      </rPr>
      <t xml:space="preserve">      </t>
    </r>
    <r>
      <rPr>
        <sz val="8"/>
        <color rgb="FF000000"/>
        <rFont val="Arial"/>
        <family val="2"/>
      </rPr>
      <t>Assumes that the biogas is 65% methane.</t>
    </r>
  </si>
  <si>
    <t xml:space="preserve">[1]     Manuel Götz, Jonathan Lefebvre, Friedemann Mörs, Amy McDaniel Koch, Frank Graf, Siegfried Bajohr, Rainer Reimert, Thomas Kolb, Renewable Power-to-Gas: A technological and economic review, In Renewable Energy, Volume 85, 2016, Pages 1371-1390, ISSN 0960-1481, https://doi.org/10.1016/j.renene.2015.07.066 </t>
  </si>
  <si>
    <t xml:space="preserve">[2]     Swiss Federal Office of Energy SFOE. 2017. Direct Methanation of Biogas. https://www.aramis.admin.ch/Default.aspx?DocumentID=45656&amp;Load=true </t>
  </si>
  <si>
    <t xml:space="preserve">[3]     gwf gas + energy. 2014. Das e-gas-Projekt am Biogasanlagen-standort in Werlte. https://www.di-verlag.de/media/content/gwf-GE/gwf_Gas_5_14/gwf-GE_05_2014_FB_Kurt.pdf?xaf26a=7841c984ef837209544e </t>
  </si>
  <si>
    <t xml:space="preserve">[4]     Rauch, R., Hrbek, J. and Hofbauer, H. 2014. Biomass gasification for synthesis gas production and applications of the syngas. WIREs Energy Environ, 3: 343–362. https://doi.org/10.1002/wene.97  </t>
  </si>
  <si>
    <t xml:space="preserve">[5]     Combination of Power-to-Gas with Biogas Plant. Vienna University of Technology. https://www.tuwien.ac.at/fileadmin/t/tuwien/fotos/pa/download/2015/HM2015/Flyer_Power_to_Bio--Gas_EN.pdf </t>
  </si>
  <si>
    <t xml:space="preserve">[6]     Hitachi Zosen Corporation and Hitachi Zosen Inova to Build First Joint Power-To-Gas Plant. Dec 2017. http://www.hz-inova.com/cms/en/home?p=6276 </t>
  </si>
  <si>
    <t>Bio Oil</t>
  </si>
  <si>
    <t>Co-products  Output MWh/MWh Total Input</t>
  </si>
  <si>
    <t>Specific investment (M€ /l1000 t Bio Oil)</t>
  </si>
  <si>
    <t>Start up (€ /l Bio Oil)</t>
  </si>
  <si>
    <t>Specific energy content (GJ/ton) HTL)</t>
  </si>
  <si>
    <r>
      <t>B.</t>
    </r>
    <r>
      <rPr>
        <sz val="7"/>
        <color rgb="FF000000"/>
        <rFont val="Times New Roman"/>
        <family val="1"/>
      </rPr>
      <t xml:space="preserve">     </t>
    </r>
    <r>
      <rPr>
        <sz val="8"/>
        <color rgb="FF000000"/>
        <rFont val="Arial"/>
        <family val="2"/>
      </rPr>
      <t>The plant size range is typical of the range found in the literature. It is highly uncertain given that there is no commercial demonstration plant in operation yet.</t>
    </r>
  </si>
  <si>
    <r>
      <t>E.</t>
    </r>
    <r>
      <rPr>
        <sz val="7"/>
        <color rgb="FF000000"/>
        <rFont val="Times New Roman"/>
        <family val="1"/>
      </rPr>
      <t xml:space="preserve">     </t>
    </r>
    <r>
      <rPr>
        <sz val="8"/>
        <color rgb="FF000000"/>
        <rFont val="Arial"/>
        <family val="2"/>
      </rPr>
      <t>These are based on extrapolated pilot plant results.</t>
    </r>
  </si>
  <si>
    <r>
      <t>F.</t>
    </r>
    <r>
      <rPr>
        <sz val="7"/>
        <color rgb="FF000000"/>
        <rFont val="Times New Roman"/>
        <family val="1"/>
      </rPr>
      <t xml:space="preserve">     </t>
    </r>
    <r>
      <rPr>
        <sz val="8"/>
        <color rgb="FF000000"/>
        <rFont val="Arial"/>
        <family val="2"/>
      </rPr>
      <t>N</t>
    </r>
    <r>
      <rPr>
        <vertAlign val="superscript"/>
        <sz val="8"/>
        <color rgb="FF000000"/>
        <rFont val="Arial"/>
        <family val="2"/>
      </rPr>
      <t>th</t>
    </r>
    <r>
      <rPr>
        <sz val="8"/>
        <color rgb="FF000000"/>
        <rFont val="Arial"/>
        <family val="2"/>
      </rPr>
      <t xml:space="preserve"> plant estimates</t>
    </r>
  </si>
  <si>
    <t xml:space="preserve">[1]     Steeper Energy Announces Eur 50.6 M (Dkk 377 M) Advanced Biofuel Project With Norwegian-Swedish Joint Venture Silva Green Fuel In Licensing Deal. 2017. http://steeperenergy.com/2017/12/15/steeper-energy-announces-eur-50-6-m-dkk-377-m-advanced-biofuel-project-with-norwegian-swedish-joint-venture-silva-green-fuel-in-licensing-deal/ </t>
  </si>
  <si>
    <t xml:space="preserve">[2]     Jensen, C.U., Rodriguez Guerrero, J.K., Karatzos, S. et al. 2017. Fundamentals of Hydrofaction™: Renewable crude oil from woody biomass. Biomass Conv. Bioref. (2017) 7: 495. https://doi.org/10.1007/s13399-017-0248-8 </t>
  </si>
  <si>
    <t xml:space="preserve">[3]     Environment Canada. 1999. Bunker C Fuel Oil. www.etc-cte.ec.gc.ca/databases/oilproperties/pdf/web_bunker_c_fuel_oil.pdf </t>
  </si>
  <si>
    <t xml:space="preserve">[4]     Fracking Biomass. Biofuels Digest. Feb 2, 2017. http://www.biofuelsdigest.com/bdigest/2017/02/02/fracking-biomass-steeper-energy-and-the-pursuit-of-renewable-hydrocarbons/ </t>
  </si>
  <si>
    <t xml:space="preserve">[5]     Jensen, C.U., Rodriguez Guerrero, J.K., Karatzos, S. et al. Biomass Conv. Bioref. (2017) 7: 495. https://doi.org/10.1007/s13399-017-0248-8 </t>
  </si>
  <si>
    <t xml:space="preserve">[6]     Toms, P. 2017. Hydrofaction™ Oil: A Solution for Decarbonizing Long-haul Transport. https://www.bio.org/sites/default/files/0830AM-Perry%20Toms.pdf </t>
  </si>
  <si>
    <t xml:space="preserve">[7]     Zhu, Y., Biddy, M., Jones, S., Elliott, D., Schmidt, A. 2014. Techno-economic analysis of liquid fuel production from woody biomass via hydrothermal liquefaction (HTL) and upgrading, In Applied Energy, Volume 129, 2014, Pages 384-394, ISSN 0306-2619, https://doi.org/10.1016/j.apenergy.2014.03.053 </t>
  </si>
  <si>
    <t xml:space="preserve">[8]     Licella. 2016. Licella Canfor Joint Venture at the forefront of global bioenergy. http://www.licella.com.au/news/licella-canfor-joint-venture-at-the-forefront-of-global-bioenergy/ </t>
  </si>
  <si>
    <t xml:space="preserve">[9]     C.U. Jensen, J.K.R. Guerrero, S. Karatzos, G. Olofsson and S.B. Iversen, 10 - Hydrofaction™ of forestry residues to drop-in renewable transportation fuels, In Direct Thermochemical Liquefaction for Energy Applications, edited by Lasse Rosendahl,, Woodhead Publishing, 2018, Pages 319-345, ISBN 9780081010297, https://doi.org/10.1016/B978-0-08-101029-7.00009-6. </t>
  </si>
  <si>
    <t xml:space="preserve">[10] Harris Group. 2013. Production of Advanced Biofuels via Liquefaction Hydrothermal Liquefaction Reactor Design. NREL/SR-5100-60642. http://www.ourenergypolicy.org/wp-content/uploads/2015/08/60462.pdf </t>
  </si>
  <si>
    <t xml:space="preserve">[11] Magdeldin, M., Kohl, T., Järvinen, M. 2018. Techno-economic Assessment of Integrated Hydrothermal Liquefaction and Combined Heat and Power Production from Lignocellulose Residues, J. sustain. dev. energy water environ. syst., 6(1), pp 89-113, 2018. https://doi.org/10.13044/j.sdewes.d5.0177 </t>
  </si>
  <si>
    <t xml:space="preserve">[12] Pedersen, T. H., Hansen, N. H., Pérez, O. M., Cabezas, D. E. and Rosendahl, L. A. 2018.  Renewable hydrocarbon fuels from hydrothermal liquefaction: A techno‐economic analysis. Biofuels, Bioprod. Bioref., 12: 213-223. doi:10.1002/bbb.1831 </t>
  </si>
  <si>
    <r>
      <t>[1]</t>
    </r>
    <r>
      <rPr>
        <sz val="8"/>
        <color theme="1"/>
        <rFont val="Times New Roman"/>
        <family val="1"/>
      </rPr>
      <t xml:space="preserve">     </t>
    </r>
    <r>
      <rPr>
        <sz val="8"/>
        <color theme="1"/>
        <rFont val="Calibri"/>
        <family val="2"/>
        <scheme val="minor"/>
      </rPr>
      <t>Personal Communication. 2018. T Jensen, Emmelev A/S</t>
    </r>
  </si>
  <si>
    <r>
      <t>[1]</t>
    </r>
    <r>
      <rPr>
        <sz val="8"/>
        <color rgb="FF000000"/>
        <rFont val="Times New Roman"/>
        <family val="1"/>
      </rPr>
      <t xml:space="preserve">     </t>
    </r>
    <r>
      <rPr>
        <sz val="8"/>
        <color rgb="FF000000"/>
        <rFont val="Calibri"/>
        <family val="2"/>
      </rPr>
      <t>(S&amp;T)</t>
    </r>
    <r>
      <rPr>
        <vertAlign val="superscript"/>
        <sz val="8"/>
        <color rgb="FF000000"/>
        <rFont val="Calibri"/>
        <family val="2"/>
      </rPr>
      <t>2</t>
    </r>
    <r>
      <rPr>
        <sz val="8"/>
        <color rgb="FF000000"/>
        <rFont val="Calibri"/>
        <family val="2"/>
      </rPr>
      <t xml:space="preserve"> Consultants Inc. Database of actual plant performance.</t>
    </r>
  </si>
  <si>
    <r>
      <t>[12]</t>
    </r>
    <r>
      <rPr>
        <sz val="8"/>
        <color rgb="FF000000"/>
        <rFont val="Times New Roman"/>
        <family val="1"/>
      </rPr>
      <t xml:space="preserve"> </t>
    </r>
    <r>
      <rPr>
        <sz val="8"/>
        <color rgb="FF000000"/>
        <rFont val="Calibri"/>
        <family val="2"/>
      </rPr>
      <t>Biofuel Journal. 2017. Third Quarter. Construction begins. Page 40-42.</t>
    </r>
  </si>
  <si>
    <r>
      <t>[4]</t>
    </r>
    <r>
      <rPr>
        <sz val="8"/>
        <color rgb="FF000000"/>
        <rFont val="Times New Roman"/>
        <family val="1"/>
      </rPr>
      <t xml:space="preserve">     </t>
    </r>
    <r>
      <rPr>
        <sz val="8"/>
        <color rgb="FF000000"/>
        <rFont val="Calibri"/>
        <family val="2"/>
      </rPr>
      <t>Biograce Version 4d without the extra 30% processing energy factor.</t>
    </r>
  </si>
  <si>
    <r>
      <t>[7]</t>
    </r>
    <r>
      <rPr>
        <sz val="8"/>
        <color theme="1"/>
        <rFont val="Times New Roman"/>
        <family val="1"/>
      </rPr>
      <t xml:space="preserve">     </t>
    </r>
    <r>
      <rPr>
        <sz val="8"/>
        <color theme="1"/>
        <rFont val="Calibri"/>
        <family val="2"/>
      </rPr>
      <t>Hansen, J., Holstebroe, M., Jensen, M., Rass-Hansen, J., Heiredal-Clausen, T. 2016. SOEC Enabled Biogas Upgrading.</t>
    </r>
    <r>
      <rPr>
        <sz val="8"/>
        <color rgb="FF808080"/>
        <rFont val="Calibri"/>
        <family val="2"/>
      </rPr>
      <t xml:space="preserve"> </t>
    </r>
    <r>
      <rPr>
        <sz val="8"/>
        <color theme="1"/>
        <rFont val="Calibri"/>
        <family val="2"/>
      </rPr>
      <t>12th European SOFC &amp; SOE Forum.</t>
    </r>
  </si>
  <si>
    <r>
      <t>[8]</t>
    </r>
    <r>
      <rPr>
        <sz val="8"/>
        <color theme="1"/>
        <rFont val="Times New Roman"/>
        <family val="1"/>
      </rPr>
      <t xml:space="preserve">     </t>
    </r>
    <r>
      <rPr>
        <sz val="8"/>
        <color theme="1"/>
        <rFont val="Calibri"/>
        <family val="2"/>
      </rPr>
      <t>Udvikling og effektivisering af biogasproduktionen I Danmark – Delrapport 1 og 2, Danish Energy Agency Biogas Taskforce 2015.</t>
    </r>
  </si>
  <si>
    <t>INDEX</t>
  </si>
  <si>
    <t>Typical total plant size MW biodiesel</t>
  </si>
  <si>
    <t>Specific investment (M € /MW)</t>
  </si>
  <si>
    <t>Fixed O&amp;M (M € /MW/year)</t>
  </si>
  <si>
    <t>Variable O&amp;M (€ /MWh)</t>
  </si>
  <si>
    <t>Start-up (M € /MW)</t>
  </si>
  <si>
    <t>Specific density  (kg/l) or (ton/m3)</t>
  </si>
  <si>
    <t>C, J</t>
  </si>
  <si>
    <t>UCO and Animal Fat FAME</t>
  </si>
  <si>
    <t>Typical total plant size MW biodiesel/year</t>
  </si>
  <si>
    <t xml:space="preserve">Biodiesel Output, MWH/MWh </t>
  </si>
  <si>
    <t>Glycerine  Output, MWH/MWh Total Input</t>
  </si>
  <si>
    <t>Naphta Output, MWh/MWh Total Input</t>
  </si>
  <si>
    <t>Fuel Gas Output, MWh/MWh Total Input</t>
  </si>
  <si>
    <t>LPG Output, MWh/MWh Total Input</t>
  </si>
  <si>
    <t>District Heating Output, MWh/MWh Total input</t>
  </si>
  <si>
    <t>Startup (M € /MW)</t>
  </si>
  <si>
    <t>Startup (M € /1,000 t HVO)</t>
  </si>
  <si>
    <t>Specific investment (M € /MW HVO Jet)</t>
  </si>
  <si>
    <t>Specific investment (M € /1000 t HVO Jet)</t>
  </si>
  <si>
    <t xml:space="preserve"> -equipment (%)</t>
  </si>
  <si>
    <t>1st Generation Ethanol</t>
  </si>
  <si>
    <t>Specific investment (M€ /MW Ethanol)</t>
  </si>
  <si>
    <t>Fixed O&amp;M (M€ /MW/year)</t>
  </si>
  <si>
    <t>Steam, Output, MWh/MWh Total Input</t>
  </si>
  <si>
    <t>Power, Output, MWh/MWh Total Input</t>
  </si>
  <si>
    <t>Specific investment (M€ /MW Bio Oil)</t>
  </si>
  <si>
    <t>Fixed O&amp;M (M€ /MW/year Bio Oil)</t>
  </si>
  <si>
    <t>Variable O&amp;M (€ /MWh Bio Oil)</t>
  </si>
  <si>
    <t>Electiricity Output, MWh/MWh Total Input</t>
  </si>
  <si>
    <t>Fixed O&amp;M (M€ /MW/year Ethanol)</t>
  </si>
  <si>
    <t>Variable O&amp;M (€ /MW Ethanol)</t>
  </si>
  <si>
    <t>Jet Fuel Output, MWh/MWh Total Input</t>
  </si>
  <si>
    <t>Diesel Output,  MWh/MWh Total Input</t>
  </si>
  <si>
    <t>Electricity Output, MWh/MWh Total Input</t>
  </si>
  <si>
    <t>Specific investment (M€ /MW Liquids/year)</t>
  </si>
  <si>
    <t>Fixed O&amp;M (M€ /MW /year FT Liquids/year)</t>
  </si>
  <si>
    <t>Variable O&amp;M (€ /MWh FT Liquids/year)</t>
  </si>
  <si>
    <t>District heat  Output, MWh/MWh Total Input</t>
  </si>
  <si>
    <t>2.5</t>
  </si>
  <si>
    <t>Specific investment (M€ /MW Methanol)</t>
  </si>
  <si>
    <t>Fixed O&amp;M (M€ /MW/year Methanol)</t>
  </si>
  <si>
    <t>Variable O&amp;M (€ /MWh methanol)</t>
  </si>
  <si>
    <t>Power to Methanol</t>
  </si>
  <si>
    <t>CO2 Consumption, t/t Methanol</t>
  </si>
  <si>
    <t>Fixed O&amp;M (M€ /MW Methanol/year)</t>
  </si>
  <si>
    <t>A, A1,  B</t>
  </si>
  <si>
    <t>C, E</t>
  </si>
  <si>
    <t>Specific investment (M€ /MW SNG)</t>
  </si>
  <si>
    <t>Fixed O&amp;M (M€ /MW/year SNG)</t>
  </si>
  <si>
    <t>Variable O&amp;M (€ /MWh SNG)</t>
  </si>
  <si>
    <t>Specific investment (M€ / 1000 GJ SNG)</t>
  </si>
  <si>
    <t>20+</t>
  </si>
  <si>
    <t>Specific investment (M€ / MW Bio Oil)</t>
  </si>
  <si>
    <t>Fixed O&amp;M (M€ / MW  Bio Oil/year)</t>
  </si>
  <si>
    <t>Start up (€ /MW  Bio Oil)</t>
  </si>
  <si>
    <t>Specific investment (M€ /1000 t Bio Oil)</t>
  </si>
  <si>
    <t>Start up (M€ /1,000 t Bio Oil)</t>
  </si>
  <si>
    <t>Catalytic Hydropyrolysis conf. 2</t>
  </si>
  <si>
    <t>3, 4</t>
  </si>
  <si>
    <t xml:space="preserve"> </t>
  </si>
  <si>
    <t>C, F</t>
  </si>
  <si>
    <t>5, 11</t>
  </si>
  <si>
    <t>Variable O&amp;M (€ /1,000 t Bio Oil)</t>
  </si>
  <si>
    <t>A.    The plant size range is likely limited by the feedstock availability.</t>
  </si>
  <si>
    <t>B.    The plant size range is typical of the range found in the literature. It is highly uncertain given that there is no commercial demonstration plant in operation yet.</t>
  </si>
  <si>
    <t>C.    Capital costs for nth plant are used for 2050 and earlier costs are estimates.</t>
  </si>
  <si>
    <t>D.    These are based on extrapolated pilot plant results.</t>
  </si>
  <si>
    <t>E.    Nth plant estimates</t>
  </si>
  <si>
    <t>F.    M €/k tonne is million euro per 1,000 tonnes</t>
  </si>
  <si>
    <t>Catalytic Hydroprocessing conf. 1</t>
  </si>
  <si>
    <t>Typical total plant size 1,000 t liquid fuels/year</t>
  </si>
  <si>
    <t>Liquid Fuel Output, MWh/MWh Total Input</t>
  </si>
  <si>
    <t>Biochar, Output, MWh/MWh Total Input</t>
  </si>
  <si>
    <t>Gas Output, MWh/MWh Total Input</t>
  </si>
  <si>
    <t>District Heat MWh/MWh Total Input</t>
  </si>
  <si>
    <t>A. The plant size range is likely limited by the feedstock availability.</t>
  </si>
  <si>
    <t>B. The plant size range is typical of the range found in the literature. It is highly uncertain given that there is no commercial demonstration plant in operation yet.</t>
  </si>
  <si>
    <t>C. These are based on extrapolated pilot plant results.</t>
  </si>
  <si>
    <t>HVO / renwable diesel</t>
  </si>
  <si>
    <t>Gasoline fraction, MWh/MWh Total Input</t>
  </si>
  <si>
    <t>Diesel fraction, MWh/MWh Total Input</t>
  </si>
  <si>
    <t>The data sheet shows the expected energy output and values for the input of industrial organic waste specifically. The values refer to a virtual part of a total plant processing the industrial organic waste. 
A plant including including increased share of industrial organic waste may be composed by adding a basic plant part and an ind. org. waste processing part.</t>
  </si>
  <si>
    <t>Gasifier, biomass, Fischer Tropsch liquid fuels, large scale</t>
  </si>
  <si>
    <t>Specific investment (M€ /l1000 t Liquid Fuels)</t>
  </si>
  <si>
    <t>D, E, F</t>
  </si>
  <si>
    <t>Fixed O&amp;M (1,000 € /MW)</t>
  </si>
  <si>
    <t>Variable O&amp;M (€ /MWh of fuel)</t>
  </si>
  <si>
    <t>Start up (€ /l Liquid Fuel)</t>
  </si>
  <si>
    <r>
      <t>Specific density  (kg/l) or (ton/m</t>
    </r>
    <r>
      <rPr>
        <vertAlign val="superscript"/>
        <sz val="8"/>
        <color theme="1"/>
        <rFont val="Calibri"/>
        <family val="2"/>
        <scheme val="minor"/>
      </rPr>
      <t>3</t>
    </r>
    <r>
      <rPr>
        <sz val="8"/>
        <color theme="1"/>
        <rFont val="Calibri"/>
        <family val="2"/>
        <scheme val="minor"/>
      </rPr>
      <t>)</t>
    </r>
  </si>
  <si>
    <r>
      <t>Notes</t>
    </r>
    <r>
      <rPr>
        <sz val="10.5"/>
        <color theme="1"/>
        <rFont val="Calibri"/>
        <family val="2"/>
        <scheme val="minor"/>
      </rPr>
      <t>:</t>
    </r>
  </si>
  <si>
    <t>D. Tan [5] reports that the hydrogen plant and distillation account for 45% of the total plant costs for configuration 2. The cost for this configuration are therefore 55% of Configuration 2.</t>
  </si>
  <si>
    <r>
      <t>E. N</t>
    </r>
    <r>
      <rPr>
        <vertAlign val="superscript"/>
        <sz val="10.5"/>
        <color theme="1"/>
        <rFont val="Calibri"/>
        <family val="2"/>
        <scheme val="minor"/>
      </rPr>
      <t>th</t>
    </r>
    <r>
      <rPr>
        <sz val="10.5"/>
        <color theme="1"/>
        <rFont val="Calibri"/>
        <family val="2"/>
        <scheme val="minor"/>
      </rPr>
      <t xml:space="preserve"> plant estimates</t>
    </r>
  </si>
  <si>
    <t>Power to Jet Fuel</t>
  </si>
  <si>
    <t>A, B, C</t>
  </si>
  <si>
    <t>18, 20, 23</t>
  </si>
  <si>
    <t>Typical total plant size, MW Output</t>
  </si>
  <si>
    <t>A,B,C</t>
  </si>
  <si>
    <t>18, 20</t>
  </si>
  <si>
    <r>
      <t>CO</t>
    </r>
    <r>
      <rPr>
        <vertAlign val="subscript"/>
        <sz val="8"/>
        <color theme="1"/>
        <rFont val="Arial"/>
        <family val="2"/>
      </rPr>
      <t>2</t>
    </r>
    <r>
      <rPr>
        <sz val="8"/>
        <color theme="1"/>
        <rFont val="Arial"/>
        <family val="2"/>
      </rPr>
      <t xml:space="preserve"> Consumption, t/t FT Liquids</t>
    </r>
  </si>
  <si>
    <t xml:space="preserve">F </t>
  </si>
  <si>
    <t>FT Liquids Output, MWh/MWh Total Input</t>
  </si>
  <si>
    <t>20, 18</t>
  </si>
  <si>
    <t>District Heat  Output, MWh/MWh Total Input</t>
  </si>
  <si>
    <t>Specific investment (M€ /MW Output)</t>
  </si>
  <si>
    <t>18, 20, 26, 30</t>
  </si>
  <si>
    <t>Fixed O&amp;M (€ /MWh FT Liquids)</t>
  </si>
  <si>
    <t>M</t>
  </si>
  <si>
    <t>Variable O&amp;M (€ /MWH FT Liquids)</t>
  </si>
  <si>
    <t>N</t>
  </si>
  <si>
    <t>Start up (€ /MWh FT Liquids)</t>
  </si>
  <si>
    <t>Specific investment (€ /l FT Liquids/year)</t>
  </si>
  <si>
    <t>Fixed O&amp;M (€ /l FT Liquids)</t>
  </si>
  <si>
    <t>Variable O&amp;M (€ /l FT Liquids)</t>
  </si>
  <si>
    <t>Start up (€ /l FT Liquids)</t>
  </si>
  <si>
    <t>A.    The plant size range is based on the Schmidt and Mortensen reports and other analysis in the literature. Scale up is our assumption.</t>
  </si>
  <si>
    <t>B.    CO2 availability is likely to determine the maximum plant size.</t>
  </si>
  <si>
    <t>Hydrogen to Jet Fuel</t>
  </si>
  <si>
    <t>Typical total plant size 1,000 kt FT Liquids/year</t>
  </si>
  <si>
    <t xml:space="preserve">A, B, </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</si>
  <si>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</si>
  <si>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</si>
  <si>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</si>
  <si>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Inputs</t>
  </si>
  <si>
    <t>G, J</t>
  </si>
  <si>
    <t>Fixed O&amp;M (€ /MWH Liquids)</t>
  </si>
  <si>
    <t>Variable O&amp;M (€ /MWH Liquids)</t>
  </si>
  <si>
    <t>Notes</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</si>
  <si>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</si>
  <si>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</si>
  <si>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</si>
  <si>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</si>
  <si>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</si>
  <si>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</si>
  <si>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</si>
  <si>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</si>
  <si>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</si>
  <si>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</si>
  <si>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81 Biogas Plant, Basic conf.</t>
  </si>
  <si>
    <t>81 Biogas Plant, Add. Straw</t>
  </si>
  <si>
    <t>81 Biogas Plant, Add. Org Waste</t>
  </si>
  <si>
    <t>82 Biogas, upgrading</t>
  </si>
  <si>
    <t xml:space="preserve">83 Gasif. Fixed Bed, Producer </t>
  </si>
  <si>
    <t>84 Gasif. CFB, Bio-SNG</t>
  </si>
  <si>
    <t xml:space="preserve">85 Gasif. Ent. Flow FT, liq fu </t>
  </si>
  <si>
    <t>89 Vegetable oil FAME</t>
  </si>
  <si>
    <t>90 UCO &amp; animal fat FAME</t>
  </si>
  <si>
    <t>91 Hydrogenated veg oil</t>
  </si>
  <si>
    <t>92 HVO jet fuel</t>
  </si>
  <si>
    <t>93 1st generation ethanol</t>
  </si>
  <si>
    <t>94 Pyrolysis oils</t>
  </si>
  <si>
    <t>95 Cellulosic ethanol</t>
  </si>
  <si>
    <t>97 Methanol from biomass gasif.</t>
  </si>
  <si>
    <t>98 Methanol from power</t>
  </si>
  <si>
    <t>99 SNG from methan. of biogas</t>
  </si>
  <si>
    <t>100 Hydrothermal liquifaction</t>
  </si>
  <si>
    <t>101 Catalytic Hydropyrolysis 2</t>
  </si>
  <si>
    <t>101 Catalytic Hydropyrolysis 1</t>
  </si>
  <si>
    <t>102 Hydrogen to Jet</t>
  </si>
  <si>
    <t>102 Power to Jet</t>
  </si>
  <si>
    <t>O. A reasonable distribution of the FT fuels might be 60% jet fuel, 20% gasoline, and 20% lighter products (LPG and fuel gas), but the distribution of outputs could be very different depending on the plant design, catalyst and the operating conditions.</t>
  </si>
  <si>
    <t>F, G, O</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</si>
  <si>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</si>
  <si>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</si>
  <si>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</si>
  <si>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</si>
  <si>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</si>
  <si>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Power is the only energy input. Power will be required for pumping, compression, and utilities in addition to hydrogen production.</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</si>
  <si>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</si>
  <si>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</si>
  <si>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20%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</si>
  <si>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</si>
  <si>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</si>
  <si>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</si>
  <si>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</si>
  <si>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</si>
  <si>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</si>
  <si>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F.    Hydrogen and power are the only energy input. Power will be required for pumping, compression, and utilities in addition to hydrogen production. Power estimated based on typical electric demand in petroleum refineries.</t>
  </si>
  <si>
    <t>G, H, O</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</si>
  <si>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</si>
  <si>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Typical total plant size, MW (Ammonia output)</t>
  </si>
  <si>
    <t>N2 Consumption, t/t Ammonia</t>
  </si>
  <si>
    <t>Hydrogen Consumption, t/t Ammonia</t>
  </si>
  <si>
    <r>
      <t xml:space="preserve">Ammonia Output, MWh/MWh </t>
    </r>
    <r>
      <rPr>
        <sz val="8"/>
        <rFont val="Calibri"/>
        <family val="2"/>
        <scheme val="minor"/>
      </rPr>
      <t xml:space="preserve">total </t>
    </r>
    <r>
      <rPr>
        <sz val="8"/>
        <color theme="1"/>
        <rFont val="Calibri"/>
        <family val="2"/>
        <scheme val="minor"/>
      </rPr>
      <t>Input</t>
    </r>
  </si>
  <si>
    <t>Forced outage (%), unplanned shutdown</t>
  </si>
  <si>
    <t>Operation capacity</t>
  </si>
  <si>
    <t>20-100%</t>
  </si>
  <si>
    <t>F, I</t>
  </si>
  <si>
    <t>Start up (M€ /1,000 t Ammonia)</t>
  </si>
  <si>
    <t>N.A.</t>
  </si>
  <si>
    <t>Specific investment mark-up factor optional ASU</t>
  </si>
  <si>
    <r>
      <t xml:space="preserve">Specific density  (kg/l) or (ton/m3) </t>
    </r>
    <r>
      <rPr>
        <sz val="8"/>
        <rFont val="Calibri"/>
        <family val="2"/>
        <scheme val="minor"/>
      </rPr>
      <t>Ammonia</t>
    </r>
  </si>
  <si>
    <t>Variable O&amp;M (€ /t Ammonia)</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</si>
  <si>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</si>
  <si>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</si>
  <si>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</si>
  <si>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</si>
  <si>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r>
      <t xml:space="preserve">E: Heat available at </t>
    </r>
    <r>
      <rPr>
        <sz val="8"/>
        <rFont val="Arial"/>
        <family val="2"/>
      </rPr>
      <t>30-60</t>
    </r>
    <r>
      <rPr>
        <sz val="8"/>
        <color theme="1"/>
        <rFont val="Arial"/>
        <family val="2"/>
      </rPr>
      <t>°C and requires heat pump for use for district heating.</t>
    </r>
  </si>
  <si>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</si>
  <si>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</si>
  <si>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</si>
  <si>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</si>
  <si>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</si>
  <si>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</si>
  <si>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</si>
  <si>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103 Hydrogen to Ammonia</t>
  </si>
  <si>
    <r>
      <t>Typical total plant size</t>
    </r>
    <r>
      <rPr>
        <sz val="8"/>
        <rFont val="Calibri"/>
        <family val="2"/>
        <scheme val="minor"/>
      </rPr>
      <t>, TPD</t>
    </r>
  </si>
  <si>
    <t>Fixed O&amp;M (M€ /TPD Ammonia)</t>
  </si>
  <si>
    <t>Start up (M€ /TPD Ammonia)</t>
  </si>
  <si>
    <t>Specific investment (M€ /MW Ammonia output)</t>
  </si>
  <si>
    <t>Specific energy content (GJ/ton Ammonia)</t>
  </si>
  <si>
    <t>Specific investment (M€ /TPD Ammonia output)</t>
  </si>
  <si>
    <t>Variable O&amp;M (€/MWh Ammonia)</t>
  </si>
  <si>
    <t>Fixed O&amp;M (k€/MW Ammonia/year)</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</si>
  <si>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</si>
  <si>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F, I, J</t>
  </si>
  <si>
    <t>High value heat MWh/MWh total input</t>
  </si>
  <si>
    <t>86 AEC 1MW</t>
  </si>
  <si>
    <t>104 Methane pyrolysis, MBR</t>
  </si>
  <si>
    <t>104 Methane pyrolysis, Plasma</t>
  </si>
  <si>
    <t>N/A</t>
  </si>
  <si>
    <t>A, G, H, I</t>
  </si>
  <si>
    <r>
      <t>Typical total plant size (MW H</t>
    </r>
    <r>
      <rPr>
        <vertAlign val="subscript"/>
        <sz val="8"/>
        <color rgb="FF000000"/>
        <rFont val="Arial"/>
        <family val="2"/>
      </rPr>
      <t>2</t>
    </r>
    <r>
      <rPr>
        <sz val="8"/>
        <color rgb="FF000000"/>
        <rFont val="Arial"/>
        <family val="2"/>
      </rPr>
      <t xml:space="preserve"> output)</t>
    </r>
  </si>
  <si>
    <t>A, F, G</t>
  </si>
  <si>
    <r>
      <t>Typical total plant size (kg H</t>
    </r>
    <r>
      <rPr>
        <vertAlign val="subscript"/>
        <sz val="8"/>
        <color rgb="FF000000"/>
        <rFont val="Arial"/>
        <family val="2"/>
      </rPr>
      <t>2</t>
    </r>
    <r>
      <rPr>
        <sz val="8"/>
        <color rgb="FF000000"/>
        <rFont val="Arial"/>
        <family val="2"/>
      </rPr>
      <t>/day output)</t>
    </r>
  </si>
  <si>
    <t>12000 </t>
  </si>
  <si>
    <t> 42000</t>
  </si>
  <si>
    <t>A, E, G, K</t>
  </si>
  <si>
    <r>
      <t>- Inputs</t>
    </r>
    <r>
      <rPr>
        <sz val="8"/>
        <color rgb="FF000000"/>
        <rFont val="Calibri"/>
        <family val="2"/>
        <scheme val="minor"/>
      </rPr>
      <t>   </t>
    </r>
  </si>
  <si>
    <t>Natural Gas (% total input(MWh/MWh))</t>
  </si>
  <si>
    <t>A, G, H</t>
  </si>
  <si>
    <t>Electricity (% total input(MWh/MWh))</t>
  </si>
  <si>
    <t>A, G</t>
  </si>
  <si>
    <t>Hydrogen Gas (% total input (MWh/MWh))</t>
  </si>
  <si>
    <t>Carbon Black (% total input (MWh/MWh))</t>
  </si>
  <si>
    <t>A, G, N</t>
  </si>
  <si>
    <t>Methane (% total input (MWh/MWh))</t>
  </si>
  <si>
    <t>Recovered Heat (% total input (MWh/MWh))</t>
  </si>
  <si>
    <t>Heat loss (% total input (MWh/MWh))</t>
  </si>
  <si>
    <t>A, C, D, G</t>
  </si>
  <si>
    <t> [6]</t>
  </si>
  <si>
    <t>A, D,G</t>
  </si>
  <si>
    <r>
      <t>Specific investment (M€/MW of total H</t>
    </r>
    <r>
      <rPr>
        <vertAlign val="subscript"/>
        <sz val="8"/>
        <color rgb="FF000000"/>
        <rFont val="Arial"/>
        <family val="2"/>
      </rPr>
      <t>2</t>
    </r>
    <r>
      <rPr>
        <sz val="8"/>
        <color rgb="FF000000"/>
        <rFont val="Arial"/>
        <family val="2"/>
      </rPr>
      <t xml:space="preserve"> output)</t>
    </r>
  </si>
  <si>
    <t>A, B, F, G, J, K</t>
  </si>
  <si>
    <t>[1], [3]</t>
  </si>
  <si>
    <t>55 </t>
  </si>
  <si>
    <r>
      <t>Fixed O&amp;M (€ / MW of total H</t>
    </r>
    <r>
      <rPr>
        <vertAlign val="subscript"/>
        <sz val="8"/>
        <color rgb="FF000000"/>
        <rFont val="Arial"/>
        <family val="2"/>
      </rPr>
      <t>2</t>
    </r>
    <r>
      <rPr>
        <sz val="8"/>
        <color rgb="FF000000"/>
        <rFont val="Arial"/>
        <family val="2"/>
      </rPr>
      <t xml:space="preserve"> output)</t>
    </r>
  </si>
  <si>
    <t>A, B, G</t>
  </si>
  <si>
    <r>
      <t>Variable O&amp;M (€ / MWh of total H</t>
    </r>
    <r>
      <rPr>
        <vertAlign val="subscript"/>
        <sz val="8"/>
        <color rgb="FF000000"/>
        <rFont val="Arial"/>
        <family val="2"/>
      </rPr>
      <t xml:space="preserve">2 </t>
    </r>
    <r>
      <rPr>
        <sz val="8"/>
        <color rgb="FF000000"/>
        <rFont val="Arial"/>
        <family val="2"/>
      </rPr>
      <t>output)</t>
    </r>
  </si>
  <si>
    <t>A, G, L</t>
  </si>
  <si>
    <r>
      <t>Startup cost (€ / MW of total H</t>
    </r>
    <r>
      <rPr>
        <vertAlign val="subscript"/>
        <sz val="8"/>
        <color rgb="FF000000"/>
        <rFont val="Arial"/>
        <family val="2"/>
      </rPr>
      <t>2</t>
    </r>
    <r>
      <rPr>
        <sz val="8"/>
        <color rgb="FF000000"/>
        <rFont val="Arial"/>
        <family val="2"/>
      </rPr>
      <t xml:space="preserve"> output)</t>
    </r>
  </si>
  <si>
    <t> Methane conversion (%)</t>
  </si>
  <si>
    <t>A, G, M</t>
  </si>
  <si>
    <r>
      <t>N/A</t>
    </r>
    <r>
      <rPr>
        <sz val="8"/>
        <color theme="1"/>
        <rFont val="Calibri"/>
        <family val="2"/>
        <scheme val="minor"/>
      </rPr>
      <t>  </t>
    </r>
  </si>
  <si>
    <t>A, B, E, F, G, J, K</t>
  </si>
  <si>
    <t>A, L, G</t>
  </si>
  <si>
    <t>86 AEC 100MW</t>
  </si>
  <si>
    <t>86 SOEC 1MW</t>
  </si>
  <si>
    <t>86 PEMEC 100MW</t>
  </si>
  <si>
    <t>86 PEMEC 1MW</t>
  </si>
  <si>
    <t>Hydrogen production via alkaline electrolysis (AEC) for 1MW plant</t>
  </si>
  <si>
    <t>Typical total plant size (MW input_e)</t>
  </si>
  <si>
    <t>L, E</t>
  </si>
  <si>
    <t>[24]</t>
  </si>
  <si>
    <t xml:space="preserve"> - hereof unrecoverable heat loss (%-points of heat loss)</t>
  </si>
  <si>
    <t xml:space="preserve"> - hereof recoverable for district heating (%-points of heat loss)</t>
  </si>
  <si>
    <t>[27]</t>
  </si>
  <si>
    <t>C, O</t>
  </si>
  <si>
    <t>Specific investment (€ / kW of total input_e)</t>
  </si>
  <si>
    <t>D, I</t>
  </si>
  <si>
    <t>E, I, L</t>
  </si>
  <si>
    <t>G, I, J</t>
  </si>
  <si>
    <t>[26]</t>
  </si>
  <si>
    <t>Variable O&amp;M (€ / kWh of total input)</t>
  </si>
  <si>
    <t>Startup cost (€ / kW of total input per startup)</t>
  </si>
  <si>
    <t>[21]</t>
  </si>
  <si>
    <t>5% of the energy is estimated to be unrecoverable for small plants.</t>
  </si>
  <si>
    <t>Values are from Table 5 in IEA [24], Today is understood as 2020, Long-term is understood as 2050 and the value selected is the mid of the range given.</t>
  </si>
  <si>
    <t>According to the Green Hydrogen Systems (GHS).</t>
  </si>
  <si>
    <t>The price estimates are from Green Hydrogen Systems.</t>
  </si>
  <si>
    <t>For the unit regarding "day" a 100% load factor is assummed here (Where the system is operated at nominal capacity all 24 hours of the day). In operation the daily fullload hours may vary and should therefore be adjusted for.</t>
  </si>
  <si>
    <t>These are rough estimates based on operational AEC systems as provided by GHS.</t>
  </si>
  <si>
    <t>O&amp;M is estimated as 5% of CAPEX for small systems. According to the 2-5% given for large to small scale systems from [26].</t>
  </si>
  <si>
    <t>The values are predicted until 2050 with a high margin of uncertainty. For 2030, the values are quite reasonable according to GHS.</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</si>
  <si>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</si>
  <si>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</si>
  <si>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</si>
  <si>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</si>
  <si>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</si>
  <si>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</si>
  <si>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</si>
  <si>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</si>
  <si>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</si>
  <si>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</si>
  <si>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</si>
  <si>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Hydrogen production via alkaline electrolysis (AEC) for 100MW plant</t>
  </si>
  <si>
    <t>3% of the energy is estimated to be unrecoverable for large plants.</t>
  </si>
  <si>
    <t>According to the Green Hydrogen Systems.</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</si>
  <si>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</si>
  <si>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</si>
  <si>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</si>
  <si>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O&amp;M is estimated as 2% of CAPEX for large systems. According to the 2-5% given for large to small scale systems from [26].</t>
  </si>
  <si>
    <t>The values are predicted until 2050 with a high margin of uncertainty.</t>
  </si>
  <si>
    <t>Hydrogen production via PEM electrolysis for 1MW plant</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</si>
  <si>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</si>
  <si>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</si>
  <si>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7% of CAPEX. 5%-point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</si>
  <si>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</si>
  <si>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</si>
  <si>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Hydrogen production via PEM electrolysis for 100MW plant</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</si>
  <si>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</si>
  <si>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Hydrogen production via solid oxide electrolysis (SOEC) for 1MW plant</t>
  </si>
  <si>
    <t>B, D</t>
  </si>
  <si>
    <t>Construction time (months)</t>
  </si>
  <si>
    <t>Specific investment (€ / kW of total input)</t>
  </si>
  <si>
    <t>D, G, E</t>
  </si>
  <si>
    <t>E, G, I</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</si>
  <si>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</si>
  <si>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</si>
  <si>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</si>
  <si>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</si>
  <si>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</si>
  <si>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</si>
  <si>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</si>
  <si>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Electricity (% total input (MWh / MWh))</t>
  </si>
  <si>
    <t>Water for electrolysis (kg / MWh input_e)</t>
  </si>
  <si>
    <t>Hydrogen (% total input_e (MWh / MWh))</t>
  </si>
  <si>
    <t>ΔE from HHV to LHV (% total input_e (MWh / MWh))</t>
  </si>
  <si>
    <t>Heat loss (% total input_e (MWh / MWh))</t>
  </si>
  <si>
    <t>Hydrogen (kg / MWh input_e)</t>
  </si>
  <si>
    <t xml:space="preserve">Fixed O&amp;M (% of specific investment / year) </t>
  </si>
  <si>
    <r>
      <t>Current Density (A / cm</t>
    </r>
    <r>
      <rPr>
        <vertAlign val="superscript"/>
        <sz val="8"/>
        <rFont val="Arial"/>
        <family val="2"/>
      </rPr>
      <t>2</t>
    </r>
    <r>
      <rPr>
        <sz val="8"/>
        <rFont val="Arial"/>
        <family val="2"/>
      </rPr>
      <t>)</t>
    </r>
  </si>
  <si>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</si>
  <si>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Green Hydrogen Systems, “HyProvide TM A-Series.”</t>
  </si>
  <si>
    <t>J. Ivy, “Summary of electrolytic hydrogen production,” Small, no. September, p. 27, 2004, [Online]. Available: http://www.nrel.gov/docs/fy04osti/35948.pdf.</t>
  </si>
  <si>
    <t>Typical total plant size (kgH2 / day of max output)</t>
  </si>
  <si>
    <t>Specific investment (€ / kgH2 / day of max output)</t>
  </si>
  <si>
    <t>Heat (% total input (MWh / MWh))</t>
  </si>
  <si>
    <t>Water for electrolysis (kg / MWh input)</t>
  </si>
  <si>
    <t>ΔE from HHV to LHV (% total input (MWh / MWh))</t>
  </si>
  <si>
    <t>Hydrogen (% total input (MWh / MWh))</t>
  </si>
  <si>
    <t>Heat loss (% total input (MWh / MWh))</t>
  </si>
  <si>
    <t>Hydrogen (kg / MWh input)</t>
  </si>
  <si>
    <t>Moving-bed Methane Decomposition (MBR)</t>
  </si>
  <si>
    <t>The technology is not available in 2020.</t>
  </si>
  <si>
    <t xml:space="preserve">The cost estimate is highly dependent on the materialization of the pilot plants currently being built and their performance. If reaching a mature technology level by 2030, it is expected that some cost reduction will occur in the coming years, but the level of cost reduction is uncertain. </t>
  </si>
  <si>
    <t>The planned outages might be higher than stated in the early stages of the technology development.</t>
  </si>
  <si>
    <t>The estimate is based on previous engineering experience.</t>
  </si>
  <si>
    <t>The value is an average of published bandwidth values.</t>
  </si>
  <si>
    <t>The Lower Heating Value (LHV) of the hydrogen used is 120 MJ/kg.</t>
  </si>
  <si>
    <t>The projected values for 2040 and 2050 are assumed based on a 10% change over time. This is due to potential improvements in the efficiency of the process, optimization of the operation of the technology, and reduction in the prices of material/equipment/inputs.</t>
  </si>
  <si>
    <t>Total input of electricity and methane energy converted through methane LHV of 50.0 MJ/kg.</t>
  </si>
  <si>
    <t>Plant size based on input is a combination of methane consumption and electricity input.</t>
  </si>
  <si>
    <t xml:space="preserve">The investment cost includes the process units and associated equipment needed to start up the plant. It does not include peripheral equipment such as buildings (e.g. control rooms) or electrical interfaces. </t>
  </si>
  <si>
    <t>The techno-economic analysis for both investment and sizing is based on theoretical conversion models coupled with actual energy and material costs at the time of the analysis.</t>
  </si>
  <si>
    <t>The variable O&amp;M is calculated to be similar to SMR technology excluding the cost of natural gas input and carbon tax. What is included is process cooling costs and general wear and tear.</t>
  </si>
  <si>
    <t>Unconverted methane is recycled to prevent methane slip.</t>
  </si>
  <si>
    <t>The Lower Heating Value (LHV) of the carbon black used is 28.0 MJ/kg.</t>
  </si>
  <si>
    <t>A, G, H, M</t>
  </si>
  <si>
    <t>Brett Parkinson, J. W. (2017). Techno‐Economic Analysis of Methane Pyrolysis in Molten Metals: Decarbonizing Natural Gas. Chemical Engineering Technology, 1022-1030.</t>
  </si>
  <si>
    <t>Gaudernack, B., &amp; Lynum, S. (1998). Hydrogen from natural gas without release of CO2 to the atmosphere. Hydrogen Energy, 1087-1093.</t>
  </si>
  <si>
    <t>Tiina Keipi a, V. H. (2016). Techno-economic analysis of four concepts for thermal decomposition of methane: Reduction of CO2 emissions in natural gas combustion. Energy Conversion and Management, 1-12.</t>
  </si>
  <si>
    <t>N. Z. Muradov, Thermocatalytic CO2‐Free Production of Hydrogen from Hydrocarbon Fuels, Technical Report, No. DE‐FC36‐99GO10456, U.S. Department of Energy, Oak Ridge, TN 2004.</t>
  </si>
  <si>
    <t xml:space="preserve">Financial data (2015)                                 </t>
  </si>
  <si>
    <t xml:space="preserve">Financial data (2015)                                </t>
  </si>
  <si>
    <t>Plasma-assisted Methane Decomposition (Plasma)</t>
  </si>
  <si>
    <t xml:space="preserve">Financial data (2020 price level)                                 </t>
  </si>
  <si>
    <t xml:space="preserve">Financial data (2020 price level)                                </t>
  </si>
  <si>
    <t>Green Ammonia plant: Hydrogen to ammonia (excl. electrolyzer and excl. ASU)</t>
  </si>
  <si>
    <t>Slow pyrolysis for production of biochar, pyrolysis oil and gas from straw</t>
  </si>
  <si>
    <t>Uncertainty (2025)</t>
  </si>
  <si>
    <t>Typical total plant size, MW output</t>
  </si>
  <si>
    <t>Typical total plant size, MW input</t>
  </si>
  <si>
    <t>Biochar Output, MWh/MWh Total Input</t>
  </si>
  <si>
    <t>Pyrolysis oil Output, MWh/MWh Total Input</t>
  </si>
  <si>
    <t>Pyrolysis gas Output, MWh/MWh Total Input</t>
  </si>
  <si>
    <t>Heat Output, MWh/MWh Total Input</t>
  </si>
  <si>
    <t>Specific investment (M€ /MW output from pyrolysis process)</t>
  </si>
  <si>
    <t>K, L</t>
  </si>
  <si>
    <t>Fixed O&amp;M (M€ /MW/year output from pyrolysis process)</t>
  </si>
  <si>
    <t>Variable O&amp;M (€ /MWh output from pyrolysis process)</t>
  </si>
  <si>
    <t>Start up  (M€ /MW output from pyrolysis process per startup)</t>
  </si>
  <si>
    <t>Specific energy content (GJ/ton biochar from straw)</t>
  </si>
  <si>
    <t>O, S</t>
  </si>
  <si>
    <t>Specific bulk density of biochar (ton/m3)</t>
  </si>
  <si>
    <t>S</t>
  </si>
  <si>
    <t>Specific absolute density of biochar (ton/m3)</t>
  </si>
  <si>
    <t>Specific energy content (GJ/ton pyrlolysis oil from straw)</t>
  </si>
  <si>
    <t>P, S</t>
  </si>
  <si>
    <t>Specific density of pyrlolysis oil (ton/m3)</t>
  </si>
  <si>
    <t>Specific energy content (MJ/Nm3 pyrolysis gas from straw)</t>
  </si>
  <si>
    <t>Q, R, S</t>
  </si>
  <si>
    <t>Specific density of pyrolysis gas (kg/Nm3)</t>
  </si>
  <si>
    <t>R, S</t>
  </si>
  <si>
    <t>A. The output includes heating value of biochar, pyrolysis oil and gas after condensation, in addition there will be a heat surplus that could be used for e.g. district heating.</t>
  </si>
  <si>
    <t>B. Stiesdal has a target plant size between 10 and 40 MW. Vow ASA/Biogreen and Carbofex are planning for similar sizes, see main report.</t>
  </si>
  <si>
    <t>C. Plant size 2025 is based on current plans from larger technology suppliers like Vow Asa/Biogreen, Carbofex and Stiesdal Technologies. Input for feedstock only.</t>
  </si>
  <si>
    <t>D. The uncertainty of future development is high, transport costs for feedstock, cost of feedstock and price of products will be a limiting factor, as well use of heat surplus.</t>
  </si>
  <si>
    <t>E. The electricity input is for the pyrolysis plant and pretreatment. Further upgrade of products are not included. For electrical pyrolysis: 0,35 kWh/kg of raw material (moisture dependent).</t>
  </si>
  <si>
    <r>
      <t>F. The yield of the differnt outputs can be adjusted, these figures are assuming a plant designed for maximum biochar</t>
    </r>
    <r>
      <rPr>
        <sz val="8"/>
        <rFont val="Arial"/>
        <family val="2"/>
      </rPr>
      <t xml:space="preserve"> output. The heat required for the pyrolysis process is generated by burning a part of the gas produced during the process.</t>
    </r>
  </si>
  <si>
    <t>G. No references and hard to predict. Estimate based on that this scale is new and there will always be some trimming issues for the first plants in a new scale.</t>
  </si>
  <si>
    <t>H. This is for a fully developed technology, based on figures from Vow ASA, with margin.</t>
  </si>
  <si>
    <t>I. The lifetime can be prolonged by replacing worn-out equipment and having a structured maintenance plan.</t>
  </si>
  <si>
    <t>J. For a larger plant including upgrade of oil and gas.</t>
  </si>
  <si>
    <t>K. This is for the pyrolysis and  pretreatment plant only, no product upgrade cost included. The heating value of the biochar is included although it is normally not used for generation of energy, if char is not included this figure would be approx. two times higher.</t>
  </si>
  <si>
    <t>L. The decrease in specific investment is based on effects due to increased plant size, no learning curve savings are included.</t>
  </si>
  <si>
    <t>M. Rough estimate.</t>
  </si>
  <si>
    <t>N. Cost for workers and maintenence, calculated as yearly % of investment cost for pretreatment and pyrolysis plant (no upgrade of bio-oil or gas).</t>
  </si>
  <si>
    <t>O. Ash-free</t>
  </si>
  <si>
    <t>P. Water-free</t>
  </si>
  <si>
    <t>Q. Based on LHV</t>
  </si>
  <si>
    <t>R. Calculated from given gas composition.</t>
  </si>
  <si>
    <t>S. Typical values as the product properties are dependent of raw material, pyrolysis temperature, fraction size, type of process etc.</t>
  </si>
  <si>
    <t>[1] Investment based on average of cost estimates from Stiesdal, Biogreen and Carbofex, all scaled up to current scale. Pretreatment included.</t>
  </si>
  <si>
    <t>[2] Ea Energianalyse, SkyClean report, December 2020</t>
  </si>
  <si>
    <t>[3] Monika Mierzwa-Hesztek et. al. 2019 Assessment of energy parameters of biomass and biochars, leachability of heavy metals and phytotxicity of their ashes, Journal of Material Cycles and Waste Management (2019) 21:786-800</t>
  </si>
  <si>
    <t>[4] Rathore et al. 2020, Experimental investigation on the production of bio-oil from straw at pilot scale, Environmental Engineering Research 2022; 27(1) 200592</t>
  </si>
  <si>
    <t>Slow pyrolysis for production of biochar, pyrolysis oil and gas from digestate</t>
  </si>
  <si>
    <t>Specific energy content (GJ/ton biochar from digestate)</t>
  </si>
  <si>
    <t>Specific energy content (GJ/ton pyrlolysis oil from digestate)</t>
  </si>
  <si>
    <t>Specific energy content (MJ/Nm3 pyrolysis gas from digestate)</t>
  </si>
  <si>
    <t>Q, S</t>
  </si>
  <si>
    <r>
      <t xml:space="preserve">F. The yield of the differnt outputs can be adjusted, these figures are assuming a plant designed for maximum biochar output. </t>
    </r>
    <r>
      <rPr>
        <sz val="8"/>
        <rFont val="Arial"/>
        <family val="2"/>
      </rPr>
      <t>The heat required for the pyrolysis process is generated by burning a part of the gas produced during the process.</t>
    </r>
  </si>
  <si>
    <t>[4] Dariusz Wisniewski et al 2015 The pyrolysis and gasification of digestate from agricultural biogas plant, Archives of Environmental Protection Poland, Vol.41 no. 3: 70-75</t>
  </si>
  <si>
    <t>[5] Monlau et al, 2015 A new concept for enhancing energy recovery from agricultural residues by coupling anaerobic digestion and pyrolysis process, Applied Energy, vol. 148: 32-38</t>
  </si>
  <si>
    <t>[6] Rathore et al. 2020, Experimental investigation on the production of bio-oil from straw at pilot scale, Environmental Engineering Research 2022; 27(1) 200592</t>
  </si>
  <si>
    <t>105 Slow pyrolysis, Digestate</t>
  </si>
  <si>
    <t>105 Slow pyrolysis, Straw</t>
  </si>
  <si>
    <t>Version 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</si>
</sst>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_ * #,##0.00_ ;_ * \-#,##0.00_ ;_ * &quot;-&quot;??_ ;_ @_ "/>
    <numFmt numFmtId="165" formatCode="0.0"/>
    <numFmt numFmtId="166" formatCode="_ * #,##0.0_ ;_ * \-#,##0.0_ ;_ * &quot;-&quot;??_ ;_ @_ "/>
    <numFmt numFmtId="167" formatCode="_ * #,##0_ ;_ * \-#,##0_ ;_ * &quot;-&quot;??_ ;_ @_ "/>
    <numFmt numFmtId="168" formatCode="0.0%"/>
    <numFmt numFmtId="169" formatCode="0_)"/>
    <numFmt numFmtId="170" formatCode="0.000"/>
  </numFmts>
  <fonts count="74" x14ac:knownFonts="1">
    <font>
      <sz val="11"/>
      <color theme="1"/>
      <name val="Calibri"/>
      <family val="2"/>
      <scheme val="minor"/>
    </font>
    <font>
      <sz val="9"/>
      <name val="Arial"/>
      <family val="2"/>
    </font>
    <font>
      <sz val="9"/>
      <color indexed="8"/>
      <name val="Arial"/>
      <family val="2"/>
    </font>
    <font>
      <b/>
      <sz val="9"/>
      <name val="Arial"/>
      <family val="2"/>
    </font>
    <font>
      <u/>
      <sz val="10"/>
      <color indexed="12"/>
      <name val="Arial"/>
      <family val="2"/>
    </font>
    <font>
      <u/>
      <sz val="9"/>
      <color indexed="12"/>
      <name val="Arial"/>
      <family val="2"/>
    </font>
    <font>
      <b/>
      <sz val="10"/>
      <name val="Arial"/>
      <family val="2"/>
    </font>
    <font>
      <vertAlign val="subscript"/>
      <sz val="9"/>
      <name val="Arial"/>
      <family val="2"/>
    </font>
    <font>
      <sz val="10"/>
      <name val="Arial"/>
      <family val="2"/>
    </font>
    <font>
      <b/>
      <sz val="16"/>
      <color theme="1"/>
      <name val="Arial"/>
      <family val="2"/>
    </font>
    <font>
      <b/>
      <sz val="12"/>
      <name val="Arial"/>
      <family val="2"/>
    </font>
    <font>
      <sz val="12"/>
      <color theme="1"/>
      <name val="Calibri"/>
      <family val="2"/>
      <scheme val="minor"/>
    </font>
    <font>
      <sz val="11"/>
      <color theme="1"/>
      <name val="Calibri"/>
      <family val="2"/>
      <scheme val="minor"/>
    </font>
    <font>
      <sz val="8"/>
      <color theme="1"/>
      <name val="Arial"/>
      <family val="2"/>
    </font>
    <font>
      <vertAlign val="superscript"/>
      <sz val="9"/>
      <name val="Arial"/>
      <family val="2"/>
    </font>
    <font>
      <sz val="11"/>
      <name val="Calibri"/>
      <family val="2"/>
      <scheme val="minor"/>
    </font>
    <font>
      <sz val="8"/>
      <name val="Arial"/>
      <family val="2"/>
    </font>
    <font>
      <b/>
      <sz val="8"/>
      <name val="Arial"/>
      <family val="2"/>
    </font>
    <font>
      <sz val="9"/>
      <color theme="1"/>
      <name val="Arial"/>
      <family val="2"/>
    </font>
    <font>
      <b/>
      <i/>
      <sz val="9"/>
      <name val="Arial"/>
      <family val="2"/>
    </font>
    <font>
      <u/>
      <sz val="11"/>
      <color theme="10"/>
      <name val="Calibri"/>
      <family val="2"/>
      <scheme val="minor"/>
    </font>
    <font>
      <sz val="8"/>
      <name val="Times"/>
      <family val="1"/>
    </font>
    <font>
      <sz val="11"/>
      <color theme="1"/>
      <name val="Arial"/>
      <family val="2"/>
    </font>
    <font>
      <sz val="9"/>
      <color theme="1"/>
      <name val="Calibri"/>
      <family val="2"/>
      <scheme val="minor"/>
    </font>
    <font>
      <b/>
      <i/>
      <sz val="10"/>
      <name val="Arial"/>
      <family val="2"/>
    </font>
    <font>
      <sz val="10"/>
      <color theme="1"/>
      <name val="Calibri"/>
      <family val="2"/>
      <scheme val="minor"/>
    </font>
    <font>
      <b/>
      <sz val="9"/>
      <color theme="1"/>
      <name val="Calibri"/>
      <family val="2"/>
      <scheme val="minor"/>
    </font>
    <font>
      <sz val="12"/>
      <color theme="1"/>
      <name val="Times New Roman"/>
      <family val="1"/>
    </font>
    <font>
      <b/>
      <sz val="8"/>
      <color theme="1"/>
      <name val="Arial"/>
      <family val="2"/>
    </font>
    <font>
      <b/>
      <sz val="9"/>
      <color theme="1"/>
      <name val="Arial"/>
      <family val="2"/>
    </font>
    <font>
      <i/>
      <sz val="11"/>
      <color theme="1"/>
      <name val="Calibri"/>
      <family val="2"/>
      <scheme val="minor"/>
    </font>
    <font>
      <sz val="8"/>
      <color theme="1"/>
      <name val="Times New Roman"/>
      <family val="1"/>
    </font>
    <font>
      <b/>
      <sz val="8"/>
      <color theme="1"/>
      <name val="Calibri"/>
      <family val="2"/>
      <scheme val="minor"/>
    </font>
    <font>
      <sz val="8"/>
      <color theme="1"/>
      <name val="Calibri"/>
      <family val="2"/>
      <scheme val="minor"/>
    </font>
    <font>
      <sz val="7"/>
      <color theme="1"/>
      <name val="Times New Roman"/>
      <family val="1"/>
    </font>
    <font>
      <sz val="8"/>
      <color rgb="FF000000"/>
      <name val="Arial"/>
      <family val="2"/>
    </font>
    <font>
      <sz val="7"/>
      <color rgb="FF000000"/>
      <name val="Times New Roman"/>
      <family val="1"/>
    </font>
    <font>
      <vertAlign val="superscript"/>
      <sz val="8"/>
      <color rgb="FF000000"/>
      <name val="Arial"/>
      <family val="2"/>
    </font>
    <font>
      <vertAlign val="subscript"/>
      <sz val="8"/>
      <color rgb="FF000000"/>
      <name val="Arial"/>
      <family val="2"/>
    </font>
    <font>
      <sz val="8"/>
      <color rgb="FF000000"/>
      <name val="Times New Roman"/>
      <family val="1"/>
    </font>
    <font>
      <sz val="8"/>
      <color rgb="FF000000"/>
      <name val="Calibri"/>
      <family val="2"/>
    </font>
    <font>
      <vertAlign val="superscript"/>
      <sz val="8"/>
      <color rgb="FF000000"/>
      <name val="Calibri"/>
      <family val="2"/>
    </font>
    <font>
      <sz val="8"/>
      <color theme="1"/>
      <name val="Calibri"/>
      <family val="2"/>
    </font>
    <font>
      <sz val="8"/>
      <color rgb="FF808080"/>
      <name val="Calibri"/>
      <family val="2"/>
    </font>
    <font>
      <sz val="10"/>
      <name val="Helv"/>
    </font>
    <font>
      <sz val="11"/>
      <color indexed="62"/>
      <name val="Calibri"/>
      <family val="2"/>
    </font>
    <font>
      <sz val="11"/>
      <color indexed="60"/>
      <name val="Calibri"/>
      <family val="2"/>
    </font>
    <font>
      <b/>
      <sz val="11"/>
      <color indexed="63"/>
      <name val="Calibri"/>
      <family val="2"/>
    </font>
    <font>
      <b/>
      <sz val="11"/>
      <color indexed="8"/>
      <name val="Calibri"/>
      <family val="2"/>
    </font>
    <font>
      <b/>
      <i/>
      <sz val="8"/>
      <color theme="1"/>
      <name val="Calibri"/>
      <family val="2"/>
      <scheme val="minor"/>
    </font>
    <font>
      <sz val="8"/>
      <color rgb="FF000000"/>
      <name val="Calibri"/>
      <family val="2"/>
      <scheme val="minor"/>
    </font>
    <font>
      <vertAlign val="superscript"/>
      <sz val="8"/>
      <color theme="1"/>
      <name val="Calibri"/>
      <family val="2"/>
      <scheme val="minor"/>
    </font>
    <font>
      <sz val="10.5"/>
      <color theme="1"/>
      <name val="Calibri"/>
      <family val="2"/>
      <scheme val="minor"/>
    </font>
    <font>
      <b/>
      <sz val="10.5"/>
      <color theme="1"/>
      <name val="Calibri"/>
      <family val="2"/>
      <scheme val="minor"/>
    </font>
    <font>
      <vertAlign val="superscript"/>
      <sz val="10.5"/>
      <color theme="1"/>
      <name val="Calibri"/>
      <family val="2"/>
      <scheme val="minor"/>
    </font>
    <font>
      <sz val="11"/>
      <color theme="1"/>
      <name val="Calibri"/>
      <family val="2"/>
    </font>
    <font>
      <b/>
      <i/>
      <sz val="8"/>
      <color theme="1"/>
      <name val="Arial"/>
      <family val="2"/>
    </font>
    <font>
      <vertAlign val="subscript"/>
      <sz val="8"/>
      <color theme="1"/>
      <name val="Arial"/>
      <family val="2"/>
    </font>
    <font>
      <vertAlign val="subscript"/>
      <sz val="8"/>
      <color theme="1"/>
      <name val="Calibri"/>
      <family val="2"/>
      <scheme val="minor"/>
    </font>
    <font>
      <b/>
      <sz val="10.5"/>
      <color theme="1"/>
      <name val="Arial"/>
      <family val="2"/>
    </font>
    <font>
      <b/>
      <sz val="8"/>
      <color theme="1"/>
      <name val="Calibri"/>
      <family val="2"/>
    </font>
    <font>
      <b/>
      <sz val="9"/>
      <color theme="1"/>
      <name val="Calibri"/>
      <family val="2"/>
    </font>
    <font>
      <sz val="10"/>
      <color rgb="FF000000"/>
      <name val="Calibri"/>
      <family val="2"/>
      <scheme val="minor"/>
    </font>
    <font>
      <sz val="10"/>
      <color rgb="FF000000"/>
      <name val="Calibri"/>
      <family val="2"/>
    </font>
    <font>
      <b/>
      <sz val="15"/>
      <color rgb="FF000000"/>
      <name val="Calibri"/>
      <family val="2"/>
      <scheme val="minor"/>
    </font>
    <font>
      <b/>
      <sz val="10"/>
      <color rgb="FF000000"/>
      <name val="Calibri"/>
      <family val="2"/>
      <scheme val="minor"/>
    </font>
    <font>
      <sz val="10"/>
      <color rgb="FF222222"/>
      <name val="Arial"/>
      <family val="2"/>
    </font>
    <font>
      <sz val="11"/>
      <color rgb="FFFF0000"/>
      <name val="Calibri"/>
      <family val="2"/>
      <scheme val="minor"/>
    </font>
    <font>
      <b/>
      <sz val="8"/>
      <name val="Calibri"/>
      <family val="2"/>
      <scheme val="minor"/>
    </font>
    <font>
      <sz val="8"/>
      <name val="Calibri"/>
      <family val="2"/>
      <scheme val="minor"/>
    </font>
    <font>
      <b/>
      <sz val="9"/>
      <color rgb="FF000000"/>
      <name val="Arial"/>
      <family val="2"/>
    </font>
    <font>
      <vertAlign val="superscript"/>
      <sz val="8"/>
      <name val="Arial"/>
      <family val="2"/>
    </font>
    <font>
      <vertAlign val="superscript"/>
      <sz val="10"/>
      <name val="Arial"/>
      <family val="2"/>
    </font>
    <font>
      <sz val="9"/>
      <color theme="1"/>
      <name val="Verdana"/>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47"/>
      </patternFill>
    </fill>
    <fill>
      <patternFill patternType="solid">
        <fgColor indexed="43"/>
      </patternFill>
    </fill>
    <fill>
      <patternFill patternType="solid">
        <fgColor indexed="22"/>
      </patternFill>
    </fill>
  </fills>
  <borders count="3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s>
  <cellStyleXfs count="33">
    <xf numFmtId="0" fontId="0" fillId="0" borderId="0"/>
    <xf numFmtId="0" fontId="4" fillId="0" borderId="0" applyNumberFormat="0" applyFill="0" applyBorder="0" applyAlignment="0" applyProtection="0">
      <alignment vertical="top"/>
      <protection locked="0"/>
    </xf>
    <xf numFmtId="9" fontId="12" fillId="0" borderId="0" applyFont="0" applyFill="0" applyBorder="0" applyAlignment="0" applyProtection="0"/>
    <xf numFmtId="164" fontId="12" fillId="0" borderId="0" applyFont="0" applyFill="0" applyBorder="0" applyAlignment="0" applyProtection="0"/>
    <xf numFmtId="0" fontId="8" fillId="0" borderId="0"/>
    <xf numFmtId="164" fontId="12" fillId="0" borderId="0" applyFont="0" applyFill="0" applyBorder="0" applyAlignment="0" applyProtection="0"/>
    <xf numFmtId="0" fontId="20" fillId="0" borderId="0" applyNumberFormat="0" applyFill="0" applyBorder="0" applyAlignment="0" applyProtection="0"/>
    <xf numFmtId="169" fontId="21" fillId="0" borderId="0"/>
    <xf numFmtId="169" fontId="21" fillId="0" borderId="0"/>
    <xf numFmtId="9" fontId="8" fillId="0" borderId="0" applyFont="0" applyFill="0" applyBorder="0" applyAlignment="0" applyProtection="0"/>
    <xf numFmtId="43" fontId="12" fillId="0" borderId="0" applyFont="0" applyFill="0" applyBorder="0" applyAlignment="0" applyProtection="0"/>
    <xf numFmtId="164" fontId="12" fillId="0" borderId="0" applyFont="0" applyFill="0" applyBorder="0" applyAlignment="0" applyProtection="0"/>
    <xf numFmtId="0" fontId="44" fillId="0" borderId="0"/>
    <xf numFmtId="0" fontId="44" fillId="0" borderId="0"/>
    <xf numFmtId="0" fontId="4" fillId="0" borderId="0" applyNumberFormat="0" applyFill="0" applyBorder="0" applyAlignment="0" applyProtection="0">
      <alignment vertical="top"/>
      <protection locked="0"/>
    </xf>
    <xf numFmtId="0" fontId="20" fillId="0" borderId="0" applyNumberFormat="0" applyFill="0" applyBorder="0" applyAlignment="0" applyProtection="0"/>
    <xf numFmtId="0" fontId="45" fillId="5" borderId="22" applyNumberFormat="0" applyAlignment="0" applyProtection="0"/>
    <xf numFmtId="43" fontId="12" fillId="0" borderId="0" applyFont="0" applyFill="0" applyBorder="0" applyAlignment="0" applyProtection="0"/>
    <xf numFmtId="164" fontId="44" fillId="0" borderId="0" applyFont="0" applyFill="0" applyBorder="0" applyAlignment="0" applyProtection="0"/>
    <xf numFmtId="0" fontId="46" fillId="6" borderId="0" applyNumberFormat="0" applyBorder="0" applyAlignment="0" applyProtection="0"/>
    <xf numFmtId="0" fontId="44" fillId="0" borderId="0"/>
    <xf numFmtId="0" fontId="8" fillId="0" borderId="0"/>
    <xf numFmtId="0" fontId="8" fillId="0" borderId="0"/>
    <xf numFmtId="0" fontId="47" fillId="7" borderId="23" applyNumberFormat="0" applyAlignment="0" applyProtection="0"/>
    <xf numFmtId="0" fontId="44" fillId="0" borderId="0"/>
    <xf numFmtId="9" fontId="8" fillId="0" borderId="0" applyFont="0" applyFill="0" applyBorder="0" applyAlignment="0" applyProtection="0"/>
    <xf numFmtId="9" fontId="8" fillId="0" borderId="0" applyFont="0" applyFill="0" applyBorder="0" applyAlignment="0" applyProtection="0"/>
    <xf numFmtId="0" fontId="48" fillId="0" borderId="24" applyNumberFormat="0" applyFill="0" applyAlignment="0" applyProtection="0"/>
    <xf numFmtId="0" fontId="45" fillId="5" borderId="25" applyNumberFormat="0" applyAlignment="0" applyProtection="0"/>
    <xf numFmtId="0" fontId="47" fillId="7" borderId="26" applyNumberFormat="0" applyAlignment="0" applyProtection="0"/>
    <xf numFmtId="0" fontId="48" fillId="0" borderId="27" applyNumberFormat="0" applyFill="0" applyAlignment="0" applyProtection="0"/>
    <xf numFmtId="0" fontId="73" fillId="0" borderId="0"/>
    <xf numFmtId="9" fontId="73" fillId="0" borderId="0" applyFont="0" applyFill="0" applyBorder="0" applyAlignment="0" applyProtection="0"/>
  </cellStyleXfs>
  <cellXfs count="692">
    <xf numFmtId="0" fontId="0" fillId="0" borderId="0" xfId="0"/>
    <xf numFmtId="0" fontId="1" fillId="0" borderId="0" xfId="0" applyFont="1"/>
    <xf numFmtId="2" fontId="1" fillId="0" borderId="0" xfId="0" applyNumberFormat="1" applyFont="1"/>
    <xf numFmtId="165" fontId="1" fillId="0" borderId="0" xfId="0" applyNumberFormat="1" applyFont="1"/>
    <xf numFmtId="0" fontId="1" fillId="2" borderId="0" xfId="0" applyFont="1" applyFill="1" applyAlignment="1">
      <alignment horizontal="right" vertical="top"/>
    </xf>
    <xf numFmtId="0" fontId="1" fillId="2" borderId="0" xfId="0" applyFont="1" applyFill="1"/>
    <xf numFmtId="0" fontId="3" fillId="2" borderId="0" xfId="0" applyFont="1" applyFill="1"/>
    <xf numFmtId="0" fontId="5" fillId="2" borderId="0" xfId="1" applyFont="1" applyFill="1" applyAlignment="1" applyProtection="1">
      <alignment vertical="top" wrapText="1"/>
    </xf>
    <xf numFmtId="0" fontId="1" fillId="2" borderId="2" xfId="0" applyFont="1" applyFill="1" applyBorder="1" applyAlignment="1">
      <alignment vertical="top" wrapText="1"/>
    </xf>
    <xf numFmtId="0" fontId="6" fillId="2" borderId="6" xfId="0" applyFont="1" applyFill="1" applyBorder="1" applyAlignment="1">
      <alignment vertical="top" wrapText="1"/>
    </xf>
    <xf numFmtId="0" fontId="0" fillId="0" borderId="0" xfId="0" applyBorder="1"/>
    <xf numFmtId="0" fontId="8" fillId="2" borderId="0" xfId="0" applyFont="1" applyFill="1" applyBorder="1" applyAlignment="1">
      <alignment vertical="top" wrapText="1"/>
    </xf>
    <xf numFmtId="0" fontId="1" fillId="2" borderId="0" xfId="0" applyFont="1" applyFill="1" applyBorder="1" applyAlignment="1">
      <alignment horizontal="center" vertical="top" wrapText="1"/>
    </xf>
    <xf numFmtId="164" fontId="1" fillId="0" borderId="0" xfId="3" applyFont="1"/>
    <xf numFmtId="164" fontId="0" fillId="0" borderId="0" xfId="3" applyFont="1"/>
    <xf numFmtId="0" fontId="3" fillId="2" borderId="0" xfId="0" applyFont="1" applyFill="1" applyAlignment="1">
      <alignment vertical="top" wrapText="1"/>
    </xf>
    <xf numFmtId="0" fontId="9" fillId="2" borderId="0" xfId="0" applyFont="1" applyFill="1"/>
    <xf numFmtId="1" fontId="1" fillId="2" borderId="0" xfId="0" applyNumberFormat="1" applyFont="1" applyFill="1" applyAlignment="1">
      <alignment vertical="top"/>
    </xf>
    <xf numFmtId="1" fontId="1" fillId="2" borderId="0" xfId="3" applyNumberFormat="1" applyFont="1" applyFill="1" applyAlignment="1">
      <alignment vertical="top"/>
    </xf>
    <xf numFmtId="1" fontId="3" fillId="2" borderId="0" xfId="0" applyNumberFormat="1" applyFont="1" applyFill="1" applyAlignment="1">
      <alignment vertical="top"/>
    </xf>
    <xf numFmtId="0" fontId="2" fillId="2" borderId="0" xfId="0" applyFont="1" applyFill="1" applyAlignment="1">
      <alignment vertical="top" wrapText="1"/>
    </xf>
    <xf numFmtId="0" fontId="1" fillId="0" borderId="6" xfId="0" applyFont="1" applyFill="1" applyBorder="1" applyAlignment="1">
      <alignment horizontal="center" vertical="top" wrapText="1"/>
    </xf>
    <xf numFmtId="0" fontId="1" fillId="0" borderId="0" xfId="0" applyFont="1" applyAlignment="1">
      <alignment vertical="top" wrapText="1"/>
    </xf>
    <xf numFmtId="0" fontId="1" fillId="2" borderId="0" xfId="0" applyFont="1" applyFill="1" applyAlignment="1">
      <alignment vertical="top"/>
    </xf>
    <xf numFmtId="0" fontId="1" fillId="0" borderId="0" xfId="0" applyFont="1" applyAlignment="1">
      <alignment wrapText="1"/>
    </xf>
    <xf numFmtId="1" fontId="1" fillId="0" borderId="0" xfId="0" applyNumberFormat="1" applyFont="1" applyFill="1" applyBorder="1" applyAlignment="1">
      <alignment horizontal="center" vertical="top" wrapText="1"/>
    </xf>
    <xf numFmtId="0" fontId="1" fillId="0" borderId="6" xfId="0" applyFont="1" applyFill="1" applyBorder="1" applyAlignment="1">
      <alignment vertical="top" wrapText="1"/>
    </xf>
    <xf numFmtId="0" fontId="1" fillId="0" borderId="0" xfId="0" applyFont="1" applyFill="1" applyBorder="1" applyAlignment="1">
      <alignment horizontal="center" vertical="top" wrapText="1"/>
    </xf>
    <xf numFmtId="0" fontId="6" fillId="0" borderId="5" xfId="0" quotePrefix="1" applyFont="1" applyFill="1" applyBorder="1" applyAlignment="1">
      <alignment vertical="top" wrapText="1"/>
    </xf>
    <xf numFmtId="0" fontId="8" fillId="0" borderId="5" xfId="0" applyFont="1" applyFill="1" applyBorder="1" applyAlignment="1">
      <alignment vertical="top" wrapText="1"/>
    </xf>
    <xf numFmtId="0" fontId="1" fillId="0" borderId="7" xfId="0" applyFont="1" applyFill="1" applyBorder="1" applyAlignment="1">
      <alignment vertical="top" wrapText="1"/>
    </xf>
    <xf numFmtId="0" fontId="1" fillId="0" borderId="3" xfId="0" applyFont="1" applyFill="1" applyBorder="1" applyAlignment="1">
      <alignment horizontal="center" vertical="top" wrapText="1"/>
    </xf>
    <xf numFmtId="0" fontId="1" fillId="0" borderId="8" xfId="0" applyFont="1" applyFill="1" applyBorder="1" applyAlignment="1">
      <alignment vertical="top" wrapText="1"/>
    </xf>
    <xf numFmtId="0" fontId="6" fillId="0" borderId="7" xfId="0" quotePrefix="1" applyFont="1" applyFill="1" applyBorder="1" applyAlignment="1">
      <alignment vertical="top" wrapText="1"/>
    </xf>
    <xf numFmtId="0" fontId="13" fillId="0" borderId="6" xfId="0" applyFont="1" applyFill="1" applyBorder="1" applyAlignment="1">
      <alignment vertical="center" wrapText="1"/>
    </xf>
    <xf numFmtId="165" fontId="1" fillId="0" borderId="6" xfId="0" applyNumberFormat="1" applyFont="1" applyFill="1" applyBorder="1" applyAlignment="1">
      <alignment horizontal="center" vertical="top" wrapText="1"/>
    </xf>
    <xf numFmtId="0" fontId="6" fillId="0" borderId="5" xfId="0" applyFont="1" applyFill="1" applyBorder="1" applyAlignment="1">
      <alignment vertical="top" wrapText="1"/>
    </xf>
    <xf numFmtId="0" fontId="6" fillId="0" borderId="3" xfId="0" applyFont="1" applyFill="1" applyBorder="1" applyAlignment="1">
      <alignment vertical="top" wrapText="1"/>
    </xf>
    <xf numFmtId="2" fontId="1" fillId="0" borderId="0" xfId="0" applyNumberFormat="1" applyFont="1" applyFill="1" applyBorder="1" applyAlignment="1">
      <alignment horizontal="center" vertical="top" wrapText="1"/>
    </xf>
    <xf numFmtId="0" fontId="1" fillId="0" borderId="0" xfId="0" applyFont="1" applyFill="1"/>
    <xf numFmtId="0" fontId="1" fillId="0" borderId="0" xfId="0" applyFont="1" applyAlignment="1"/>
    <xf numFmtId="0" fontId="1" fillId="0" borderId="0" xfId="0" applyFont="1" applyFill="1" applyAlignment="1">
      <alignment vertical="top" wrapText="1"/>
    </xf>
    <xf numFmtId="0" fontId="4" fillId="0" borderId="0" xfId="1" applyAlignment="1" applyProtection="1">
      <alignment vertical="center"/>
    </xf>
    <xf numFmtId="0" fontId="0" fillId="0" borderId="0" xfId="0" applyAlignment="1">
      <alignment wrapText="1"/>
    </xf>
    <xf numFmtId="0" fontId="6" fillId="0" borderId="4" xfId="0" applyFont="1" applyFill="1" applyBorder="1" applyAlignment="1">
      <alignment vertical="top" wrapText="1"/>
    </xf>
    <xf numFmtId="1" fontId="3" fillId="2" borderId="0" xfId="0" applyNumberFormat="1" applyFont="1" applyFill="1" applyAlignment="1"/>
    <xf numFmtId="0" fontId="6" fillId="2" borderId="6" xfId="0" applyFont="1" applyFill="1" applyBorder="1" applyAlignment="1">
      <alignment vertical="center" wrapText="1"/>
    </xf>
    <xf numFmtId="0" fontId="1" fillId="2" borderId="6" xfId="0" applyFont="1" applyFill="1" applyBorder="1" applyAlignment="1">
      <alignment vertical="center" wrapText="1"/>
    </xf>
    <xf numFmtId="0" fontId="6" fillId="0" borderId="6" xfId="0" applyFont="1" applyFill="1" applyBorder="1" applyAlignment="1">
      <alignment vertical="center" wrapText="1"/>
    </xf>
    <xf numFmtId="0" fontId="1" fillId="0" borderId="6" xfId="0" applyFont="1" applyFill="1" applyBorder="1" applyAlignment="1">
      <alignment vertical="center" wrapText="1"/>
    </xf>
    <xf numFmtId="0" fontId="1" fillId="0" borderId="6" xfId="0" applyFont="1" applyFill="1" applyBorder="1" applyAlignment="1">
      <alignment horizontal="center" vertical="center" wrapText="1"/>
    </xf>
    <xf numFmtId="0" fontId="6" fillId="0" borderId="6" xfId="0" quotePrefix="1" applyFont="1" applyFill="1" applyBorder="1" applyAlignment="1">
      <alignment vertical="center" wrapText="1"/>
    </xf>
    <xf numFmtId="0" fontId="8" fillId="0" borderId="6" xfId="0" applyFont="1" applyFill="1" applyBorder="1" applyAlignment="1">
      <alignment vertical="center" wrapText="1"/>
    </xf>
    <xf numFmtId="1" fontId="1" fillId="0" borderId="6" xfId="0" applyNumberFormat="1" applyFont="1" applyFill="1" applyBorder="1" applyAlignment="1">
      <alignment horizontal="center" vertical="center" wrapText="1"/>
    </xf>
    <xf numFmtId="165" fontId="1" fillId="0" borderId="6" xfId="0" applyNumberFormat="1" applyFont="1" applyFill="1" applyBorder="1" applyAlignment="1">
      <alignment horizontal="center" vertical="center" wrapText="1"/>
    </xf>
    <xf numFmtId="2" fontId="1" fillId="0" borderId="6" xfId="0" applyNumberFormat="1" applyFont="1" applyFill="1" applyBorder="1" applyAlignment="1">
      <alignment horizontal="center" vertical="center" wrapText="1"/>
    </xf>
    <xf numFmtId="0" fontId="1" fillId="0" borderId="6" xfId="0" quotePrefix="1" applyFont="1" applyFill="1" applyBorder="1" applyAlignment="1">
      <alignment horizontal="center" vertical="center" wrapText="1"/>
    </xf>
    <xf numFmtId="0" fontId="1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1" fillId="0" borderId="0" xfId="0" applyFont="1" applyFill="1" applyAlignment="1">
      <alignment horizontal="center"/>
    </xf>
    <xf numFmtId="0" fontId="1" fillId="2" borderId="0" xfId="0" applyFont="1" applyFill="1" applyAlignment="1">
      <alignment horizontal="center" vertical="top" wrapText="1"/>
    </xf>
    <xf numFmtId="0" fontId="3" fillId="2" borderId="0" xfId="0" applyFont="1" applyFill="1" applyAlignment="1">
      <alignment horizontal="center" vertical="top" wrapText="1"/>
    </xf>
    <xf numFmtId="0" fontId="1" fillId="0" borderId="0" xfId="0" applyFont="1" applyAlignment="1">
      <alignment horizontal="center"/>
    </xf>
    <xf numFmtId="0" fontId="1" fillId="0" borderId="0" xfId="0" applyFont="1" applyAlignment="1">
      <alignment horizontal="center" vertical="top" wrapText="1"/>
    </xf>
    <xf numFmtId="0" fontId="6" fillId="0" borderId="6" xfId="0" applyFont="1" applyFill="1" applyBorder="1" applyAlignment="1">
      <alignment vertical="center"/>
    </xf>
    <xf numFmtId="0" fontId="16" fillId="0" borderId="6"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0" borderId="6" xfId="0" applyFont="1" applyFill="1" applyBorder="1" applyAlignment="1">
      <alignment vertical="top" wrapText="1"/>
    </xf>
    <xf numFmtId="0" fontId="1" fillId="0" borderId="5" xfId="0" applyFont="1" applyFill="1" applyBorder="1" applyAlignment="1">
      <alignment vertical="top" wrapText="1"/>
    </xf>
    <xf numFmtId="0" fontId="18" fillId="0" borderId="6" xfId="0" applyFont="1" applyFill="1" applyBorder="1" applyAlignment="1">
      <alignment vertical="center" wrapText="1"/>
    </xf>
    <xf numFmtId="0" fontId="6" fillId="0" borderId="7" xfId="0" applyFont="1" applyFill="1" applyBorder="1" applyAlignment="1">
      <alignment vertical="top" wrapText="1"/>
    </xf>
    <xf numFmtId="0" fontId="1" fillId="2" borderId="0" xfId="0" applyFont="1" applyFill="1" applyAlignment="1">
      <alignment horizontal="right" vertical="top" wrapText="1"/>
    </xf>
    <xf numFmtId="0" fontId="1" fillId="0" borderId="6" xfId="0" applyFont="1" applyFill="1" applyBorder="1" applyAlignment="1">
      <alignment vertical="center"/>
    </xf>
    <xf numFmtId="164" fontId="1" fillId="2" borderId="0" xfId="3" applyFont="1" applyFill="1" applyBorder="1" applyAlignment="1">
      <alignment vertical="top" wrapText="1"/>
    </xf>
    <xf numFmtId="0" fontId="1" fillId="2" borderId="0" xfId="0" applyFont="1" applyFill="1" applyAlignment="1">
      <alignment vertical="top" wrapText="1"/>
    </xf>
    <xf numFmtId="0" fontId="6" fillId="2" borderId="0" xfId="0" applyFont="1" applyFill="1" applyBorder="1" applyAlignment="1">
      <alignment vertical="top" wrapText="1"/>
    </xf>
    <xf numFmtId="17" fontId="3"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1" fillId="2" borderId="0" xfId="0" applyFont="1" applyFill="1" applyBorder="1" applyAlignment="1">
      <alignment vertical="top" wrapText="1"/>
    </xf>
    <xf numFmtId="0" fontId="0" fillId="0" borderId="0" xfId="0" applyAlignment="1"/>
    <xf numFmtId="0" fontId="6" fillId="2" borderId="6" xfId="0" applyFont="1" applyFill="1" applyBorder="1" applyAlignment="1">
      <alignment horizontal="center" vertical="center" wrapText="1"/>
    </xf>
    <xf numFmtId="0" fontId="6" fillId="2" borderId="0" xfId="0" applyFont="1" applyFill="1" applyBorder="1" applyAlignment="1">
      <alignment horizontal="center" vertical="top" wrapText="1"/>
    </xf>
    <xf numFmtId="0" fontId="6" fillId="0" borderId="6" xfId="0" applyFont="1" applyFill="1" applyBorder="1" applyAlignment="1">
      <alignment vertical="top" wrapText="1"/>
    </xf>
    <xf numFmtId="0" fontId="6" fillId="0" borderId="8" xfId="0" applyFont="1" applyFill="1" applyBorder="1" applyAlignment="1">
      <alignment vertical="top" wrapText="1"/>
    </xf>
    <xf numFmtId="0" fontId="6" fillId="0" borderId="9" xfId="0" applyFont="1" applyFill="1" applyBorder="1" applyAlignment="1">
      <alignment vertical="top" wrapText="1"/>
    </xf>
    <xf numFmtId="0" fontId="18" fillId="0" borderId="6" xfId="0" applyFont="1" applyBorder="1" applyAlignment="1">
      <alignment horizontal="center" vertical="center" wrapText="1"/>
    </xf>
    <xf numFmtId="165" fontId="18" fillId="0" borderId="6" xfId="0" applyNumberFormat="1" applyFont="1" applyBorder="1" applyAlignment="1">
      <alignment horizontal="center" vertical="center" wrapText="1"/>
    </xf>
    <xf numFmtId="0" fontId="1" fillId="2" borderId="0" xfId="0" applyFont="1" applyFill="1" applyBorder="1" applyAlignment="1">
      <alignment vertical="top"/>
    </xf>
    <xf numFmtId="0" fontId="1" fillId="2" borderId="0" xfId="0" applyFont="1" applyFill="1" applyBorder="1" applyAlignment="1">
      <alignment horizontal="center" vertical="top"/>
    </xf>
    <xf numFmtId="165" fontId="1" fillId="2" borderId="0" xfId="0" applyNumberFormat="1" applyFont="1" applyFill="1" applyBorder="1" applyAlignment="1">
      <alignment horizontal="center" vertical="top"/>
    </xf>
    <xf numFmtId="167" fontId="1" fillId="2" borderId="0" xfId="3" applyNumberFormat="1" applyFont="1" applyFill="1" applyBorder="1" applyAlignment="1">
      <alignment horizontal="center" vertical="top"/>
    </xf>
    <xf numFmtId="0" fontId="18" fillId="0" borderId="8" xfId="0" applyFont="1" applyBorder="1" applyAlignment="1">
      <alignment horizontal="center" vertical="center" wrapText="1"/>
    </xf>
    <xf numFmtId="167" fontId="1" fillId="2" borderId="6" xfId="3" applyNumberFormat="1" applyFont="1" applyFill="1" applyBorder="1" applyAlignment="1">
      <alignment horizontal="center" vertical="center"/>
    </xf>
    <xf numFmtId="0" fontId="1" fillId="0" borderId="6" xfId="3" applyNumberFormat="1" applyFont="1" applyFill="1" applyBorder="1" applyAlignment="1">
      <alignment horizontal="center" vertical="center" wrapText="1"/>
    </xf>
    <xf numFmtId="0" fontId="1" fillId="2" borderId="0" xfId="0" applyFont="1" applyFill="1" applyAlignment="1">
      <alignment vertical="top" wrapText="1"/>
    </xf>
    <xf numFmtId="0" fontId="1" fillId="2" borderId="0" xfId="0" applyFont="1" applyFill="1" applyBorder="1" applyAlignment="1">
      <alignment vertical="top" wrapText="1"/>
    </xf>
    <xf numFmtId="0" fontId="6" fillId="2" borderId="10" xfId="0" applyFont="1" applyFill="1" applyBorder="1" applyAlignment="1">
      <alignment vertical="top" wrapText="1"/>
    </xf>
    <xf numFmtId="0" fontId="1" fillId="2" borderId="14" xfId="0" applyFont="1" applyFill="1" applyBorder="1" applyAlignment="1">
      <alignment vertical="top" wrapText="1"/>
    </xf>
    <xf numFmtId="0" fontId="6" fillId="2" borderId="15" xfId="0" applyFont="1" applyFill="1" applyBorder="1" applyAlignment="1">
      <alignment horizontal="center" vertical="top" wrapText="1"/>
    </xf>
    <xf numFmtId="0" fontId="6" fillId="2" borderId="11" xfId="0" applyFont="1" applyFill="1" applyBorder="1" applyAlignment="1">
      <alignment vertical="top" wrapText="1"/>
    </xf>
    <xf numFmtId="0" fontId="6" fillId="2" borderId="13" xfId="0" applyFont="1" applyFill="1" applyBorder="1" applyAlignment="1">
      <alignment vertical="top" wrapText="1"/>
    </xf>
    <xf numFmtId="0" fontId="6" fillId="2" borderId="12" xfId="0" applyFont="1" applyFill="1" applyBorder="1" applyAlignment="1">
      <alignment vertical="top" wrapText="1"/>
    </xf>
    <xf numFmtId="0" fontId="1" fillId="2" borderId="8" xfId="0" applyFont="1" applyFill="1" applyBorder="1" applyAlignment="1">
      <alignment vertical="top" wrapText="1"/>
    </xf>
    <xf numFmtId="0" fontId="1" fillId="2" borderId="8" xfId="0" applyFont="1" applyFill="1" applyBorder="1" applyAlignment="1">
      <alignment horizontal="center" vertical="top" wrapText="1"/>
    </xf>
    <xf numFmtId="0" fontId="1" fillId="2" borderId="10" xfId="0" applyFont="1" applyFill="1" applyBorder="1" applyAlignment="1">
      <alignment vertical="top" wrapText="1"/>
    </xf>
    <xf numFmtId="165" fontId="1" fillId="0" borderId="10" xfId="0" applyNumberFormat="1" applyFont="1" applyFill="1" applyBorder="1" applyAlignment="1">
      <alignment horizontal="center" vertical="top" wrapText="1"/>
    </xf>
    <xf numFmtId="0" fontId="1" fillId="2" borderId="10" xfId="0" applyFont="1" applyFill="1" applyBorder="1" applyAlignment="1">
      <alignment horizontal="center" vertical="top" wrapText="1"/>
    </xf>
    <xf numFmtId="49" fontId="1" fillId="2" borderId="10" xfId="0" applyNumberFormat="1" applyFont="1" applyFill="1" applyBorder="1" applyAlignment="1">
      <alignment horizontal="center" vertical="top" wrapText="1"/>
    </xf>
    <xf numFmtId="0" fontId="0" fillId="0" borderId="10" xfId="0" applyBorder="1"/>
    <xf numFmtId="0" fontId="19" fillId="2" borderId="10" xfId="0" quotePrefix="1" applyFont="1" applyFill="1" applyBorder="1" applyAlignment="1">
      <alignment vertical="top" wrapText="1"/>
    </xf>
    <xf numFmtId="0" fontId="1" fillId="0" borderId="10" xfId="0" applyFont="1" applyFill="1" applyBorder="1" applyAlignment="1">
      <alignment vertical="top" wrapText="1"/>
    </xf>
    <xf numFmtId="0" fontId="8" fillId="0" borderId="10" xfId="0" applyFont="1" applyFill="1" applyBorder="1" applyAlignment="1">
      <alignment vertical="top" wrapText="1"/>
    </xf>
    <xf numFmtId="0" fontId="1" fillId="0" borderId="10" xfId="0" applyFont="1" applyFill="1" applyBorder="1" applyAlignment="1">
      <alignment horizontal="center" vertical="top" wrapText="1"/>
    </xf>
    <xf numFmtId="0" fontId="8" fillId="0" borderId="10" xfId="0" applyFont="1" applyFill="1" applyBorder="1" applyAlignment="1">
      <alignment horizontal="left" vertical="top" wrapText="1" indent="1"/>
    </xf>
    <xf numFmtId="0" fontId="0" fillId="0" borderId="10" xfId="0" applyBorder="1" applyAlignment="1">
      <alignment horizontal="center"/>
    </xf>
    <xf numFmtId="9" fontId="1" fillId="0" borderId="10" xfId="0" applyNumberFormat="1" applyFont="1" applyFill="1" applyBorder="1" applyAlignment="1">
      <alignment horizontal="center" vertical="top" wrapText="1"/>
    </xf>
    <xf numFmtId="0" fontId="19" fillId="0" borderId="10" xfId="0" quotePrefix="1" applyFont="1" applyFill="1" applyBorder="1" applyAlignment="1">
      <alignment vertical="top" wrapText="1"/>
    </xf>
    <xf numFmtId="166" fontId="1" fillId="0" borderId="10" xfId="3" applyNumberFormat="1" applyFont="1" applyFill="1" applyBorder="1" applyAlignment="1">
      <alignment vertical="top" wrapText="1"/>
    </xf>
    <xf numFmtId="0" fontId="0" fillId="0" borderId="10" xfId="0" applyFill="1" applyBorder="1" applyAlignment="1">
      <alignment vertical="top" wrapText="1"/>
    </xf>
    <xf numFmtId="0" fontId="1" fillId="0" borderId="10" xfId="0" applyFont="1" applyFill="1" applyBorder="1"/>
    <xf numFmtId="0" fontId="1" fillId="0" borderId="10" xfId="0" quotePrefix="1" applyFont="1" applyFill="1" applyBorder="1" applyAlignment="1">
      <alignment vertical="top" wrapText="1"/>
    </xf>
    <xf numFmtId="167" fontId="1" fillId="0" borderId="10" xfId="3" applyNumberFormat="1" applyFont="1" applyFill="1" applyBorder="1" applyAlignment="1">
      <alignment horizontal="center" vertical="top"/>
    </xf>
    <xf numFmtId="16" fontId="1" fillId="0" borderId="10" xfId="0" applyNumberFormat="1" applyFont="1" applyFill="1" applyBorder="1" applyAlignment="1">
      <alignment horizontal="center" vertical="top" wrapText="1"/>
    </xf>
    <xf numFmtId="4" fontId="1" fillId="2" borderId="10" xfId="0" applyNumberFormat="1" applyFont="1" applyFill="1" applyBorder="1" applyAlignment="1">
      <alignment horizontal="center" vertical="top" wrapText="1"/>
    </xf>
    <xf numFmtId="3" fontId="1" fillId="2" borderId="10" xfId="0" applyNumberFormat="1" applyFont="1" applyFill="1" applyBorder="1" applyAlignment="1">
      <alignment horizontal="center" vertical="top" wrapText="1"/>
    </xf>
    <xf numFmtId="3" fontId="1" fillId="0" borderId="10" xfId="0" applyNumberFormat="1" applyFont="1" applyFill="1" applyBorder="1" applyAlignment="1">
      <alignment horizontal="center" vertical="top" wrapText="1"/>
    </xf>
    <xf numFmtId="0" fontId="6" fillId="2" borderId="10" xfId="0" applyFont="1" applyFill="1" applyBorder="1" applyAlignment="1">
      <alignment horizontal="center" vertical="top" wrapText="1"/>
    </xf>
    <xf numFmtId="2" fontId="1" fillId="0" borderId="10" xfId="0" applyNumberFormat="1" applyFont="1" applyFill="1" applyBorder="1" applyAlignment="1">
      <alignment horizontal="center" vertical="top" wrapText="1"/>
    </xf>
    <xf numFmtId="16" fontId="1" fillId="2" borderId="10" xfId="0" applyNumberFormat="1" applyFont="1" applyFill="1" applyBorder="1" applyAlignment="1">
      <alignment horizontal="center" vertical="top" wrapText="1"/>
    </xf>
    <xf numFmtId="1" fontId="1" fillId="0" borderId="10" xfId="0" applyNumberFormat="1" applyFont="1" applyBorder="1" applyAlignment="1">
      <alignment horizontal="center" vertical="top"/>
    </xf>
    <xf numFmtId="167" fontId="1" fillId="0" borderId="10" xfId="3" applyNumberFormat="1" applyFont="1" applyBorder="1" applyAlignment="1">
      <alignment horizontal="center" vertical="top"/>
    </xf>
    <xf numFmtId="2" fontId="1" fillId="0" borderId="10" xfId="0" applyNumberFormat="1" applyFont="1" applyFill="1" applyBorder="1" applyAlignment="1">
      <alignment horizontal="center" vertical="top"/>
    </xf>
    <xf numFmtId="2" fontId="1" fillId="2" borderId="10" xfId="0" applyNumberFormat="1" applyFont="1" applyFill="1" applyBorder="1" applyAlignment="1">
      <alignment horizontal="center" vertical="top" wrapText="1"/>
    </xf>
    <xf numFmtId="16" fontId="1" fillId="2" borderId="10" xfId="0" quotePrefix="1" applyNumberFormat="1" applyFont="1" applyFill="1" applyBorder="1" applyAlignment="1">
      <alignment horizontal="center" vertical="top" wrapText="1"/>
    </xf>
    <xf numFmtId="0" fontId="1" fillId="0" borderId="14" xfId="0" quotePrefix="1" applyFont="1" applyFill="1" applyBorder="1" applyAlignment="1">
      <alignment vertical="top" wrapText="1"/>
    </xf>
    <xf numFmtId="16" fontId="1" fillId="2" borderId="15" xfId="0" quotePrefix="1" applyNumberFormat="1" applyFont="1" applyFill="1" applyBorder="1" applyAlignment="1">
      <alignment horizontal="center" vertical="top" wrapText="1"/>
    </xf>
    <xf numFmtId="0" fontId="3" fillId="0" borderId="14" xfId="0" applyFont="1" applyFill="1" applyBorder="1" applyAlignment="1">
      <alignment vertical="top" wrapText="1"/>
    </xf>
    <xf numFmtId="165" fontId="1" fillId="0" borderId="10" xfId="0" applyNumberFormat="1" applyFont="1" applyFill="1" applyBorder="1" applyAlignment="1">
      <alignment horizontal="center" vertical="top"/>
    </xf>
    <xf numFmtId="0" fontId="6" fillId="2" borderId="10" xfId="0" applyFont="1" applyFill="1" applyBorder="1" applyAlignment="1">
      <alignment vertical="top"/>
    </xf>
    <xf numFmtId="49" fontId="1" fillId="2" borderId="15" xfId="0" quotePrefix="1" applyNumberFormat="1" applyFont="1" applyFill="1" applyBorder="1" applyAlignment="1">
      <alignment horizontal="center" vertical="top" wrapText="1"/>
    </xf>
    <xf numFmtId="0" fontId="1" fillId="0" borderId="14" xfId="0" applyFont="1" applyFill="1" applyBorder="1" applyAlignment="1">
      <alignment vertical="top" wrapText="1"/>
    </xf>
    <xf numFmtId="0" fontId="1" fillId="2" borderId="10" xfId="0" applyFont="1" applyFill="1" applyBorder="1" applyAlignment="1">
      <alignment horizontal="center" vertical="top"/>
    </xf>
    <xf numFmtId="1" fontId="1" fillId="2" borderId="0" xfId="0" applyNumberFormat="1" applyFont="1" applyFill="1" applyBorder="1" applyAlignment="1">
      <alignment vertical="top"/>
    </xf>
    <xf numFmtId="1" fontId="3" fillId="2" borderId="0" xfId="0" applyNumberFormat="1" applyFont="1" applyFill="1" applyBorder="1" applyAlignment="1">
      <alignment vertical="top"/>
    </xf>
    <xf numFmtId="0" fontId="3" fillId="2" borderId="0" xfId="0" applyFont="1" applyFill="1" applyBorder="1" applyAlignment="1">
      <alignment vertical="top" wrapText="1"/>
    </xf>
    <xf numFmtId="0" fontId="1" fillId="2" borderId="0" xfId="0" applyFont="1" applyFill="1" applyBorder="1" applyAlignment="1">
      <alignment horizontal="right" vertical="top"/>
    </xf>
    <xf numFmtId="0" fontId="0" fillId="0" borderId="10" xfId="0" applyBorder="1" applyAlignment="1">
      <alignment wrapText="1"/>
    </xf>
    <xf numFmtId="0" fontId="0" fillId="0" borderId="10" xfId="0" applyBorder="1" applyAlignment="1">
      <alignment horizontal="center" wrapText="1"/>
    </xf>
    <xf numFmtId="168" fontId="0" fillId="0" borderId="10" xfId="2" applyNumberFormat="1" applyFont="1" applyBorder="1"/>
    <xf numFmtId="2" fontId="0" fillId="0" borderId="10" xfId="0" applyNumberFormat="1" applyBorder="1"/>
    <xf numFmtId="165" fontId="0" fillId="0" borderId="10" xfId="0" applyNumberFormat="1" applyBorder="1"/>
    <xf numFmtId="168" fontId="0" fillId="0" borderId="0" xfId="0" applyNumberFormat="1"/>
    <xf numFmtId="0" fontId="22" fillId="0" borderId="0" xfId="0" applyFont="1" applyBorder="1"/>
    <xf numFmtId="0" fontId="1" fillId="0" borderId="0" xfId="0" applyFont="1" applyAlignment="1">
      <alignment horizontal="right"/>
    </xf>
    <xf numFmtId="0" fontId="22" fillId="0" borderId="0" xfId="0" applyFont="1"/>
    <xf numFmtId="0" fontId="1" fillId="0" borderId="0" xfId="0" applyFont="1" applyAlignment="1">
      <alignment horizontal="right" vertical="top"/>
    </xf>
    <xf numFmtId="0" fontId="22" fillId="0" borderId="0" xfId="0" applyFont="1" applyAlignment="1">
      <alignment horizontal="left" vertical="top" wrapText="1"/>
    </xf>
    <xf numFmtId="0" fontId="1" fillId="3" borderId="14" xfId="0" applyFont="1" applyFill="1" applyBorder="1" applyAlignment="1">
      <alignment vertical="top" wrapText="1"/>
    </xf>
    <xf numFmtId="165" fontId="1" fillId="3" borderId="10" xfId="0" applyNumberFormat="1" applyFont="1" applyFill="1" applyBorder="1" applyAlignment="1">
      <alignment horizontal="center" vertical="top"/>
    </xf>
    <xf numFmtId="165" fontId="1" fillId="3" borderId="10" xfId="0" applyNumberFormat="1" applyFont="1" applyFill="1" applyBorder="1" applyAlignment="1">
      <alignment horizontal="center" vertical="top" wrapText="1"/>
    </xf>
    <xf numFmtId="0" fontId="3" fillId="3" borderId="14" xfId="0" applyFont="1" applyFill="1" applyBorder="1" applyAlignment="1">
      <alignment vertical="top" wrapText="1"/>
    </xf>
    <xf numFmtId="0" fontId="6" fillId="2" borderId="16" xfId="0" applyFont="1" applyFill="1" applyBorder="1" applyAlignment="1">
      <alignment vertical="top" wrapText="1"/>
    </xf>
    <xf numFmtId="0" fontId="1" fillId="2" borderId="17" xfId="0" applyFont="1" applyFill="1" applyBorder="1" applyAlignment="1">
      <alignment horizontal="center" vertical="top" wrapText="1"/>
    </xf>
    <xf numFmtId="0" fontId="1" fillId="2" borderId="15" xfId="0" applyFont="1" applyFill="1" applyBorder="1" applyAlignment="1">
      <alignment horizontal="center" vertical="top" wrapText="1"/>
    </xf>
    <xf numFmtId="0" fontId="1" fillId="2" borderId="15" xfId="0" quotePrefix="1" applyFont="1" applyFill="1" applyBorder="1" applyAlignment="1">
      <alignment horizontal="center" vertical="top" wrapText="1"/>
    </xf>
    <xf numFmtId="165" fontId="1" fillId="2" borderId="15" xfId="0" applyNumberFormat="1" applyFont="1" applyFill="1" applyBorder="1" applyAlignment="1">
      <alignment horizontal="center" vertical="top" wrapText="1"/>
    </xf>
    <xf numFmtId="1" fontId="1" fillId="2" borderId="0" xfId="3" applyNumberFormat="1" applyFont="1" applyFill="1" applyBorder="1" applyAlignment="1">
      <alignment vertical="top"/>
    </xf>
    <xf numFmtId="0" fontId="8" fillId="2" borderId="10" xfId="0" applyFont="1" applyFill="1" applyBorder="1" applyAlignment="1">
      <alignment vertical="top" wrapText="1"/>
    </xf>
    <xf numFmtId="165" fontId="0" fillId="0" borderId="0" xfId="0" applyNumberFormat="1" applyBorder="1"/>
    <xf numFmtId="2" fontId="0" fillId="0" borderId="0" xfId="0" applyNumberFormat="1" applyBorder="1"/>
    <xf numFmtId="0" fontId="24" fillId="2" borderId="10" xfId="0" quotePrefix="1" applyFont="1" applyFill="1" applyBorder="1" applyAlignment="1">
      <alignment vertical="top" wrapText="1"/>
    </xf>
    <xf numFmtId="9" fontId="1" fillId="0" borderId="10" xfId="2" applyNumberFormat="1" applyFont="1" applyFill="1" applyBorder="1" applyAlignment="1">
      <alignment vertical="top" wrapText="1"/>
    </xf>
    <xf numFmtId="9" fontId="1" fillId="0" borderId="10" xfId="2" applyFont="1" applyFill="1" applyBorder="1" applyAlignment="1">
      <alignment horizontal="center" vertical="top" wrapText="1"/>
    </xf>
    <xf numFmtId="167" fontId="1" fillId="0" borderId="10" xfId="3" applyNumberFormat="1" applyFont="1" applyFill="1" applyBorder="1" applyAlignment="1">
      <alignment vertical="top" wrapText="1"/>
    </xf>
    <xf numFmtId="10" fontId="1" fillId="0" borderId="10" xfId="2" applyNumberFormat="1" applyFont="1" applyFill="1" applyBorder="1" applyAlignment="1">
      <alignment vertical="top" wrapText="1"/>
    </xf>
    <xf numFmtId="10" fontId="1" fillId="0" borderId="10" xfId="0" applyNumberFormat="1" applyFont="1" applyFill="1" applyBorder="1" applyAlignment="1">
      <alignment horizontal="center" vertical="top" wrapText="1"/>
    </xf>
    <xf numFmtId="164" fontId="1" fillId="0" borderId="10" xfId="3" applyFont="1" applyFill="1" applyBorder="1" applyAlignment="1">
      <alignment vertical="top" wrapText="1"/>
    </xf>
    <xf numFmtId="10" fontId="0" fillId="0" borderId="0" xfId="2" applyNumberFormat="1" applyFont="1" applyBorder="1"/>
    <xf numFmtId="0" fontId="25" fillId="0" borderId="10" xfId="0" applyFont="1" applyBorder="1"/>
    <xf numFmtId="0" fontId="24" fillId="0" borderId="10" xfId="0" quotePrefix="1" applyFont="1" applyFill="1" applyBorder="1" applyAlignment="1">
      <alignment vertical="top" wrapText="1"/>
    </xf>
    <xf numFmtId="0" fontId="8" fillId="0" borderId="10" xfId="0" quotePrefix="1" applyFont="1" applyFill="1" applyBorder="1" applyAlignment="1">
      <alignment vertical="top" wrapText="1"/>
    </xf>
    <xf numFmtId="168" fontId="1" fillId="0" borderId="10" xfId="2" applyNumberFormat="1" applyFont="1" applyFill="1" applyBorder="1" applyAlignment="1">
      <alignment vertical="top" wrapText="1"/>
    </xf>
    <xf numFmtId="168" fontId="0" fillId="0" borderId="0" xfId="2" applyNumberFormat="1" applyFont="1" applyBorder="1"/>
    <xf numFmtId="0" fontId="6" fillId="0" borderId="10" xfId="0" applyFont="1" applyFill="1" applyBorder="1" applyAlignment="1">
      <alignment vertical="top" wrapText="1"/>
    </xf>
    <xf numFmtId="167" fontId="1" fillId="0" borderId="10" xfId="3" applyNumberFormat="1" applyFont="1" applyFill="1" applyBorder="1" applyAlignment="1">
      <alignment horizontal="center" vertical="top" wrapText="1"/>
    </xf>
    <xf numFmtId="167" fontId="0" fillId="0" borderId="0" xfId="0" applyNumberFormat="1" applyBorder="1"/>
    <xf numFmtId="1" fontId="1" fillId="2" borderId="10" xfId="0" applyNumberFormat="1" applyFont="1" applyFill="1" applyBorder="1" applyAlignment="1">
      <alignment horizontal="center" vertical="top" wrapText="1"/>
    </xf>
    <xf numFmtId="49" fontId="1" fillId="2" borderId="10" xfId="0" quotePrefix="1" applyNumberFormat="1" applyFont="1" applyFill="1" applyBorder="1" applyAlignment="1">
      <alignment horizontal="center" vertical="top" wrapText="1"/>
    </xf>
    <xf numFmtId="0" fontId="3" fillId="0" borderId="10" xfId="0" applyFont="1" applyFill="1" applyBorder="1" applyAlignment="1">
      <alignment vertical="top" wrapText="1"/>
    </xf>
    <xf numFmtId="164" fontId="0" fillId="0" borderId="0" xfId="3" applyFont="1" applyBorder="1"/>
    <xf numFmtId="0" fontId="0" fillId="0" borderId="0" xfId="0" applyFill="1"/>
    <xf numFmtId="164" fontId="0" fillId="0" borderId="0" xfId="0" applyNumberFormat="1" applyBorder="1"/>
    <xf numFmtId="2" fontId="1" fillId="2" borderId="0" xfId="0" applyNumberFormat="1" applyFont="1" applyFill="1" applyBorder="1" applyAlignment="1">
      <alignment horizontal="center" vertical="top"/>
    </xf>
    <xf numFmtId="0" fontId="1" fillId="2" borderId="0" xfId="0" applyFont="1" applyFill="1" applyBorder="1"/>
    <xf numFmtId="167" fontId="1" fillId="2" borderId="0" xfId="0" applyNumberFormat="1" applyFont="1" applyFill="1" applyBorder="1" applyAlignment="1">
      <alignment vertical="top" wrapText="1"/>
    </xf>
    <xf numFmtId="9" fontId="1" fillId="0" borderId="10" xfId="2" applyNumberFormat="1" applyFont="1" applyFill="1" applyBorder="1" applyAlignment="1">
      <alignment horizontal="right" vertical="top" wrapText="1"/>
    </xf>
    <xf numFmtId="0" fontId="1" fillId="0" borderId="10" xfId="0" applyFont="1" applyFill="1" applyBorder="1" applyAlignment="1">
      <alignment horizontal="left" vertical="top" wrapText="1" indent="1"/>
    </xf>
    <xf numFmtId="0" fontId="18" fillId="0" borderId="10" xfId="0" applyFont="1" applyBorder="1"/>
    <xf numFmtId="0" fontId="18" fillId="0" borderId="10" xfId="0" applyFont="1" applyBorder="1" applyAlignment="1">
      <alignment horizontal="left" indent="1"/>
    </xf>
    <xf numFmtId="1" fontId="6" fillId="0" borderId="10" xfId="0" applyNumberFormat="1" applyFont="1" applyFill="1" applyBorder="1" applyAlignment="1">
      <alignment vertical="top" wrapText="1"/>
    </xf>
    <xf numFmtId="0" fontId="1" fillId="2" borderId="10" xfId="0" quotePrefix="1" applyFont="1" applyFill="1" applyBorder="1" applyAlignment="1">
      <alignment horizontal="center" vertical="top" wrapText="1"/>
    </xf>
    <xf numFmtId="165" fontId="1" fillId="0" borderId="10" xfId="0" applyNumberFormat="1" applyFont="1" applyBorder="1" applyAlignment="1">
      <alignment horizontal="center" vertical="top"/>
    </xf>
    <xf numFmtId="165" fontId="1" fillId="2" borderId="10" xfId="0" applyNumberFormat="1" applyFont="1" applyFill="1" applyBorder="1" applyAlignment="1">
      <alignment horizontal="center" vertical="top"/>
    </xf>
    <xf numFmtId="165" fontId="1" fillId="0" borderId="0" xfId="0" applyNumberFormat="1" applyFont="1" applyBorder="1" applyAlignment="1">
      <alignment horizontal="center" vertical="top"/>
    </xf>
    <xf numFmtId="0" fontId="0" fillId="0" borderId="0" xfId="0" applyBorder="1" applyAlignment="1">
      <alignment horizontal="center"/>
    </xf>
    <xf numFmtId="1" fontId="1" fillId="2" borderId="0" xfId="0" quotePrefix="1" applyNumberFormat="1" applyFont="1" applyFill="1" applyBorder="1" applyAlignment="1">
      <alignment horizontal="center" vertical="top" wrapText="1"/>
    </xf>
    <xf numFmtId="0" fontId="18" fillId="0" borderId="0" xfId="0" applyFont="1" applyAlignment="1">
      <alignment horizontal="left" vertical="top"/>
    </xf>
    <xf numFmtId="0" fontId="0" fillId="2" borderId="0" xfId="0" applyFill="1"/>
    <xf numFmtId="0" fontId="6" fillId="2" borderId="19" xfId="0" applyFont="1" applyFill="1" applyBorder="1" applyAlignment="1">
      <alignment vertical="top" wrapText="1"/>
    </xf>
    <xf numFmtId="0" fontId="6" fillId="2" borderId="9" xfId="0" applyFont="1" applyFill="1" applyBorder="1" applyAlignment="1">
      <alignment vertical="top" wrapText="1"/>
    </xf>
    <xf numFmtId="0" fontId="6" fillId="2" borderId="20" xfId="0" applyFont="1" applyFill="1" applyBorder="1" applyAlignment="1">
      <alignment vertical="top" wrapText="1"/>
    </xf>
    <xf numFmtId="3" fontId="1" fillId="2" borderId="10" xfId="0" applyNumberFormat="1" applyFont="1" applyFill="1" applyBorder="1" applyAlignment="1">
      <alignment horizontal="center"/>
    </xf>
    <xf numFmtId="0" fontId="23" fillId="2" borderId="10" xfId="0" applyFont="1" applyFill="1" applyBorder="1"/>
    <xf numFmtId="0" fontId="0" fillId="2" borderId="10" xfId="0" applyFill="1" applyBorder="1"/>
    <xf numFmtId="9" fontId="1" fillId="2" borderId="10" xfId="2" applyFont="1" applyFill="1" applyBorder="1" applyAlignment="1">
      <alignment horizontal="center" vertical="top" wrapText="1"/>
    </xf>
    <xf numFmtId="165" fontId="1" fillId="2" borderId="10" xfId="0" applyNumberFormat="1" applyFont="1" applyFill="1" applyBorder="1" applyAlignment="1">
      <alignment horizontal="center" vertical="top" wrapText="1"/>
    </xf>
    <xf numFmtId="168" fontId="1" fillId="2" borderId="10" xfId="2" applyNumberFormat="1" applyFont="1" applyFill="1" applyBorder="1" applyAlignment="1">
      <alignment horizontal="center" vertical="top" wrapText="1"/>
    </xf>
    <xf numFmtId="168" fontId="1" fillId="2" borderId="10" xfId="0" applyNumberFormat="1" applyFont="1" applyFill="1" applyBorder="1" applyAlignment="1">
      <alignment horizontal="center" vertical="top" wrapText="1"/>
    </xf>
    <xf numFmtId="0" fontId="0" fillId="2" borderId="10" xfId="0" applyFill="1" applyBorder="1" applyAlignment="1">
      <alignment horizontal="center"/>
    </xf>
    <xf numFmtId="9" fontId="1" fillId="2" borderId="10" xfId="2" applyFont="1" applyFill="1" applyBorder="1" applyAlignment="1">
      <alignment vertical="top" wrapText="1"/>
    </xf>
    <xf numFmtId="9" fontId="1" fillId="2" borderId="10" xfId="0" applyNumberFormat="1" applyFont="1" applyFill="1" applyBorder="1" applyAlignment="1">
      <alignment horizontal="center" vertical="top" wrapText="1"/>
    </xf>
    <xf numFmtId="166" fontId="1" fillId="2" borderId="10" xfId="3" applyNumberFormat="1" applyFont="1" applyFill="1" applyBorder="1" applyAlignment="1">
      <alignment vertical="top" wrapText="1"/>
    </xf>
    <xf numFmtId="0" fontId="1" fillId="2" borderId="10" xfId="0" applyFont="1" applyFill="1" applyBorder="1" applyAlignment="1">
      <alignment horizontal="center"/>
    </xf>
    <xf numFmtId="0" fontId="1" fillId="2" borderId="10" xfId="0" quotePrefix="1" applyFont="1" applyFill="1" applyBorder="1" applyAlignment="1">
      <alignment vertical="top" wrapText="1"/>
    </xf>
    <xf numFmtId="168" fontId="1" fillId="2" borderId="10" xfId="2" applyNumberFormat="1" applyFont="1" applyFill="1" applyBorder="1" applyAlignment="1">
      <alignment vertical="top" wrapText="1"/>
    </xf>
    <xf numFmtId="9" fontId="1" fillId="2" borderId="10" xfId="3" applyNumberFormat="1" applyFont="1" applyFill="1" applyBorder="1" applyAlignment="1">
      <alignment vertical="top" wrapText="1"/>
    </xf>
    <xf numFmtId="168" fontId="1" fillId="2" borderId="10" xfId="3" applyNumberFormat="1" applyFont="1" applyFill="1" applyBorder="1" applyAlignment="1">
      <alignment vertical="top" wrapText="1"/>
    </xf>
    <xf numFmtId="0" fontId="0" fillId="2" borderId="10" xfId="0" applyFill="1" applyBorder="1" applyAlignment="1">
      <alignment vertical="top" wrapText="1"/>
    </xf>
    <xf numFmtId="167" fontId="1" fillId="2" borderId="10" xfId="3" applyNumberFormat="1" applyFont="1" applyFill="1" applyBorder="1" applyAlignment="1">
      <alignment horizontal="center" vertical="top"/>
    </xf>
    <xf numFmtId="167" fontId="1" fillId="2" borderId="10" xfId="0" applyNumberFormat="1" applyFont="1" applyFill="1" applyBorder="1" applyAlignment="1">
      <alignment horizontal="center" vertical="top" wrapText="1"/>
    </xf>
    <xf numFmtId="1" fontId="1" fillId="2" borderId="10" xfId="0" applyNumberFormat="1" applyFont="1" applyFill="1" applyBorder="1" applyAlignment="1">
      <alignment horizontal="center" vertical="top"/>
    </xf>
    <xf numFmtId="167" fontId="1" fillId="2" borderId="10" xfId="3" applyNumberFormat="1" applyFont="1" applyFill="1" applyBorder="1" applyAlignment="1">
      <alignment horizontal="center" vertical="top" wrapText="1"/>
    </xf>
    <xf numFmtId="164" fontId="1" fillId="2" borderId="10" xfId="3" applyNumberFormat="1" applyFont="1" applyFill="1" applyBorder="1" applyAlignment="1">
      <alignment horizontal="center" vertical="top" wrapText="1"/>
    </xf>
    <xf numFmtId="2" fontId="1" fillId="2" borderId="10" xfId="0" applyNumberFormat="1" applyFont="1" applyFill="1" applyBorder="1" applyAlignment="1">
      <alignment horizontal="center" vertical="top"/>
    </xf>
    <xf numFmtId="0" fontId="3" fillId="2" borderId="10" xfId="0" applyFont="1" applyFill="1" applyBorder="1" applyAlignment="1">
      <alignment vertical="top" wrapText="1"/>
    </xf>
    <xf numFmtId="1" fontId="1" fillId="2" borderId="10" xfId="0" quotePrefix="1" applyNumberFormat="1" applyFont="1" applyFill="1" applyBorder="1" applyAlignment="1">
      <alignment horizontal="center" vertical="top" wrapText="1"/>
    </xf>
    <xf numFmtId="0" fontId="1" fillId="2" borderId="0" xfId="0" quotePrefix="1" applyFont="1" applyFill="1" applyBorder="1" applyAlignment="1">
      <alignment horizontal="center" vertical="top" wrapText="1"/>
    </xf>
    <xf numFmtId="165" fontId="1" fillId="2" borderId="0" xfId="0" applyNumberFormat="1" applyFont="1" applyFill="1" applyBorder="1" applyAlignment="1">
      <alignment horizontal="center" vertical="top" wrapText="1"/>
    </xf>
    <xf numFmtId="0" fontId="1" fillId="2" borderId="7" xfId="0" applyFont="1" applyFill="1" applyBorder="1" applyAlignment="1">
      <alignment vertical="top" wrapText="1"/>
    </xf>
    <xf numFmtId="0" fontId="1" fillId="2" borderId="0" xfId="0" applyFont="1" applyFill="1" applyAlignment="1">
      <alignment horizontal="left" vertical="top"/>
    </xf>
    <xf numFmtId="0" fontId="18" fillId="2" borderId="0" xfId="0" applyFont="1" applyFill="1"/>
    <xf numFmtId="0" fontId="27" fillId="2" borderId="0" xfId="0" applyFont="1" applyFill="1"/>
    <xf numFmtId="0" fontId="30" fillId="2" borderId="0" xfId="0" applyFont="1" applyFill="1"/>
    <xf numFmtId="0" fontId="18" fillId="0" borderId="0" xfId="0" applyFont="1" applyAlignment="1">
      <alignment vertical="top"/>
    </xf>
    <xf numFmtId="0" fontId="28" fillId="4" borderId="10"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3" fillId="4" borderId="10" xfId="0" applyFont="1" applyFill="1" applyBorder="1" applyAlignment="1">
      <alignment vertical="center" wrapText="1"/>
    </xf>
    <xf numFmtId="0" fontId="35" fillId="0" borderId="0" xfId="0" applyFont="1" applyAlignment="1">
      <alignment horizontal="justify" vertical="center"/>
    </xf>
    <xf numFmtId="0" fontId="13" fillId="0" borderId="0" xfId="0" applyFont="1" applyAlignment="1">
      <alignment horizontal="left" vertical="center"/>
    </xf>
    <xf numFmtId="0" fontId="28" fillId="0" borderId="0" xfId="0" applyFont="1" applyAlignment="1">
      <alignment horizontal="left" vertical="center"/>
    </xf>
    <xf numFmtId="0" fontId="0" fillId="0" borderId="0" xfId="0" applyAlignment="1"/>
    <xf numFmtId="0" fontId="4" fillId="0" borderId="0" xfId="1" applyAlignment="1" applyProtection="1"/>
    <xf numFmtId="0" fontId="28" fillId="0" borderId="10" xfId="0" applyFont="1" applyBorder="1" applyAlignment="1">
      <alignment horizontal="left" vertical="center"/>
    </xf>
    <xf numFmtId="0" fontId="13" fillId="0" borderId="10" xfId="0" applyFont="1" applyBorder="1"/>
    <xf numFmtId="0" fontId="28" fillId="0" borderId="10" xfId="0" applyFont="1" applyBorder="1" applyAlignment="1">
      <alignment horizontal="center"/>
    </xf>
    <xf numFmtId="0" fontId="28" fillId="0" borderId="11" xfId="0" applyFont="1" applyBorder="1" applyAlignment="1">
      <alignment horizontal="center"/>
    </xf>
    <xf numFmtId="0" fontId="28" fillId="0" borderId="18" xfId="0" applyFont="1" applyBorder="1" applyAlignment="1">
      <alignment wrapText="1"/>
    </xf>
    <xf numFmtId="0" fontId="13" fillId="0" borderId="0" xfId="0" applyFont="1" applyBorder="1"/>
    <xf numFmtId="0" fontId="13" fillId="0" borderId="18" xfId="0" applyFont="1" applyBorder="1"/>
    <xf numFmtId="0" fontId="13" fillId="0" borderId="0" xfId="0" applyFont="1" applyBorder="1" applyAlignment="1">
      <alignment horizontal="center"/>
    </xf>
    <xf numFmtId="0" fontId="13" fillId="0" borderId="17" xfId="0" applyFont="1" applyBorder="1" applyAlignment="1">
      <alignment horizontal="center"/>
    </xf>
    <xf numFmtId="0" fontId="13" fillId="0" borderId="10" xfId="0" applyFont="1" applyBorder="1" applyAlignment="1">
      <alignment wrapText="1"/>
    </xf>
    <xf numFmtId="0" fontId="13" fillId="0" borderId="11" xfId="0" applyFont="1" applyBorder="1"/>
    <xf numFmtId="9" fontId="13" fillId="0" borderId="10" xfId="2" applyFont="1" applyBorder="1"/>
    <xf numFmtId="0" fontId="13" fillId="0" borderId="10" xfId="0" applyFont="1" applyBorder="1" applyAlignment="1">
      <alignment horizontal="center"/>
    </xf>
    <xf numFmtId="0" fontId="13" fillId="0" borderId="8" xfId="0" applyFont="1" applyBorder="1" applyAlignment="1">
      <alignment wrapText="1"/>
    </xf>
    <xf numFmtId="0" fontId="13" fillId="0" borderId="8" xfId="0" applyFont="1" applyBorder="1"/>
    <xf numFmtId="0" fontId="13" fillId="0" borderId="28" xfId="0" applyFont="1" applyBorder="1"/>
    <xf numFmtId="9" fontId="13" fillId="0" borderId="8" xfId="2" applyFont="1" applyBorder="1"/>
    <xf numFmtId="0" fontId="13" fillId="0" borderId="8" xfId="0" applyFont="1" applyBorder="1" applyAlignment="1">
      <alignment horizontal="center"/>
    </xf>
    <xf numFmtId="0" fontId="28" fillId="0" borderId="11" xfId="0" applyFont="1" applyBorder="1" applyAlignment="1">
      <alignment wrapText="1"/>
    </xf>
    <xf numFmtId="0" fontId="13" fillId="0" borderId="13" xfId="0" applyFont="1" applyBorder="1"/>
    <xf numFmtId="0" fontId="13" fillId="0" borderId="13" xfId="0" applyFont="1" applyBorder="1" applyAlignment="1">
      <alignment horizontal="center"/>
    </xf>
    <xf numFmtId="0" fontId="13" fillId="0" borderId="12" xfId="0" applyFont="1" applyBorder="1" applyAlignment="1">
      <alignment horizontal="center"/>
    </xf>
    <xf numFmtId="0" fontId="13" fillId="0" borderId="14" xfId="0" applyFont="1" applyBorder="1" applyAlignment="1">
      <alignment wrapText="1"/>
    </xf>
    <xf numFmtId="0" fontId="13" fillId="0" borderId="14" xfId="0" applyFont="1" applyBorder="1"/>
    <xf numFmtId="0" fontId="13" fillId="0" borderId="7" xfId="0" applyFont="1" applyBorder="1"/>
    <xf numFmtId="9" fontId="13" fillId="0" borderId="14" xfId="0" applyNumberFormat="1" applyFont="1" applyBorder="1"/>
    <xf numFmtId="0" fontId="13" fillId="0" borderId="14" xfId="0" applyFont="1" applyBorder="1" applyAlignment="1">
      <alignment horizontal="center"/>
    </xf>
    <xf numFmtId="9" fontId="13" fillId="0" borderId="10" xfId="0" applyNumberFormat="1" applyFont="1" applyBorder="1"/>
    <xf numFmtId="170" fontId="13" fillId="0" borderId="10" xfId="0" applyNumberFormat="1" applyFont="1" applyBorder="1"/>
    <xf numFmtId="0" fontId="28" fillId="0" borderId="10" xfId="0" applyFont="1" applyBorder="1" applyAlignment="1">
      <alignment wrapText="1"/>
    </xf>
    <xf numFmtId="0" fontId="13" fillId="0" borderId="10" xfId="0" applyFont="1" applyBorder="1" applyAlignment="1"/>
    <xf numFmtId="0" fontId="13" fillId="0" borderId="11" xfId="0" applyFont="1" applyBorder="1" applyAlignment="1"/>
    <xf numFmtId="2" fontId="13" fillId="0" borderId="10" xfId="0" applyNumberFormat="1" applyFont="1" applyBorder="1"/>
    <xf numFmtId="2" fontId="13" fillId="0" borderId="11" xfId="0" applyNumberFormat="1" applyFont="1" applyBorder="1"/>
    <xf numFmtId="0" fontId="13" fillId="0" borderId="10" xfId="0" applyFont="1" applyBorder="1" applyAlignment="1">
      <alignment horizontal="right"/>
    </xf>
    <xf numFmtId="170" fontId="13" fillId="0" borderId="11" xfId="0" applyNumberFormat="1" applyFont="1" applyBorder="1"/>
    <xf numFmtId="0" fontId="32" fillId="0" borderId="10" xfId="0" applyFont="1" applyBorder="1"/>
    <xf numFmtId="0" fontId="32" fillId="0" borderId="10" xfId="0" applyFont="1" applyBorder="1" applyAlignment="1">
      <alignment horizontal="center"/>
    </xf>
    <xf numFmtId="0" fontId="32" fillId="0" borderId="8" xfId="0" applyFont="1" applyBorder="1"/>
    <xf numFmtId="0" fontId="32" fillId="0" borderId="8" xfId="0" applyFont="1" applyBorder="1" applyAlignment="1">
      <alignment horizontal="center"/>
    </xf>
    <xf numFmtId="0" fontId="32" fillId="0" borderId="11" xfId="0" applyFont="1" applyBorder="1" applyAlignment="1">
      <alignment wrapText="1"/>
    </xf>
    <xf numFmtId="0" fontId="33" fillId="0" borderId="13" xfId="0" applyFont="1" applyBorder="1"/>
    <xf numFmtId="0" fontId="33" fillId="0" borderId="13" xfId="0" applyFont="1" applyBorder="1" applyAlignment="1">
      <alignment horizontal="center"/>
    </xf>
    <xf numFmtId="0" fontId="33" fillId="0" borderId="12" xfId="0" applyFont="1" applyBorder="1" applyAlignment="1">
      <alignment horizontal="center"/>
    </xf>
    <xf numFmtId="0" fontId="33" fillId="0" borderId="14" xfId="0" applyFont="1" applyBorder="1" applyAlignment="1">
      <alignment wrapText="1"/>
    </xf>
    <xf numFmtId="0" fontId="33" fillId="0" borderId="14" xfId="0" applyFont="1" applyBorder="1"/>
    <xf numFmtId="9" fontId="33" fillId="0" borderId="14" xfId="2" applyFont="1" applyBorder="1"/>
    <xf numFmtId="0" fontId="33" fillId="0" borderId="14" xfId="0" applyFont="1" applyBorder="1" applyAlignment="1">
      <alignment horizontal="center"/>
    </xf>
    <xf numFmtId="0" fontId="33" fillId="0" borderId="10" xfId="0" applyFont="1" applyBorder="1" applyAlignment="1">
      <alignment wrapText="1"/>
    </xf>
    <xf numFmtId="0" fontId="33" fillId="0" borderId="10" xfId="0" applyFont="1" applyBorder="1"/>
    <xf numFmtId="9" fontId="33" fillId="0" borderId="10" xfId="2" applyFont="1" applyBorder="1"/>
    <xf numFmtId="0" fontId="33" fillId="0" borderId="10" xfId="0" applyFont="1" applyBorder="1" applyAlignment="1">
      <alignment horizontal="center"/>
    </xf>
    <xf numFmtId="9" fontId="33" fillId="0" borderId="10" xfId="0" applyNumberFormat="1" applyFont="1" applyBorder="1"/>
    <xf numFmtId="0" fontId="33" fillId="0" borderId="10" xfId="0" applyFont="1" applyBorder="1" applyAlignment="1"/>
    <xf numFmtId="2" fontId="33" fillId="0" borderId="10" xfId="0" applyNumberFormat="1" applyFont="1" applyBorder="1" applyAlignment="1">
      <alignment horizontal="right"/>
    </xf>
    <xf numFmtId="2" fontId="33" fillId="0" borderId="10" xfId="0" applyNumberFormat="1" applyFont="1" applyBorder="1"/>
    <xf numFmtId="0" fontId="33" fillId="0" borderId="10" xfId="0" applyFont="1" applyBorder="1" applyAlignment="1">
      <alignment horizontal="right"/>
    </xf>
    <xf numFmtId="170" fontId="33" fillId="0" borderId="10" xfId="0" applyNumberFormat="1" applyFont="1" applyBorder="1"/>
    <xf numFmtId="165" fontId="33" fillId="0" borderId="10" xfId="0" applyNumberFormat="1" applyFont="1" applyBorder="1" applyAlignment="1"/>
    <xf numFmtId="2" fontId="33" fillId="0" borderId="10" xfId="0" applyNumberFormat="1" applyFont="1" applyBorder="1" applyAlignment="1"/>
    <xf numFmtId="9" fontId="33" fillId="0" borderId="10" xfId="2" applyFont="1" applyBorder="1" applyAlignment="1"/>
    <xf numFmtId="0" fontId="33" fillId="0" borderId="10" xfId="0" applyFont="1" applyBorder="1" applyAlignment="1">
      <alignment horizontal="center"/>
    </xf>
    <xf numFmtId="0" fontId="33" fillId="0" borderId="8" xfId="0" applyFont="1" applyBorder="1"/>
    <xf numFmtId="0" fontId="33" fillId="0" borderId="8" xfId="0" applyFont="1" applyBorder="1" applyAlignment="1">
      <alignment horizontal="center"/>
    </xf>
    <xf numFmtId="0" fontId="32" fillId="0" borderId="11" xfId="0" applyFont="1" applyBorder="1"/>
    <xf numFmtId="0" fontId="33" fillId="0" borderId="10" xfId="0" applyFont="1" applyFill="1" applyBorder="1"/>
    <xf numFmtId="170" fontId="33" fillId="0" borderId="10" xfId="0" applyNumberFormat="1" applyFont="1" applyFill="1" applyBorder="1"/>
    <xf numFmtId="9" fontId="33" fillId="0" borderId="8" xfId="0" applyNumberFormat="1" applyFont="1" applyBorder="1"/>
    <xf numFmtId="9" fontId="33" fillId="0" borderId="13" xfId="0" applyNumberFormat="1" applyFont="1" applyBorder="1"/>
    <xf numFmtId="9" fontId="33" fillId="0" borderId="14" xfId="0" applyNumberFormat="1" applyFont="1" applyBorder="1"/>
    <xf numFmtId="0" fontId="33" fillId="0" borderId="11" xfId="0" applyFont="1" applyBorder="1"/>
    <xf numFmtId="0" fontId="33" fillId="0" borderId="8" xfId="0" applyFont="1" applyBorder="1" applyAlignment="1"/>
    <xf numFmtId="0" fontId="33" fillId="0" borderId="13" xfId="0" applyFont="1" applyBorder="1" applyAlignment="1">
      <alignment horizontal="right"/>
    </xf>
    <xf numFmtId="0" fontId="33" fillId="0" borderId="7" xfId="0" applyFont="1" applyBorder="1"/>
    <xf numFmtId="165" fontId="33" fillId="0" borderId="14" xfId="0" applyNumberFormat="1" applyFont="1" applyBorder="1"/>
    <xf numFmtId="170" fontId="33" fillId="0" borderId="10" xfId="0" applyNumberFormat="1" applyFont="1" applyBorder="1" applyAlignment="1"/>
    <xf numFmtId="170" fontId="33" fillId="0" borderId="8" xfId="0" applyNumberFormat="1" applyFont="1" applyBorder="1"/>
    <xf numFmtId="9" fontId="33" fillId="0" borderId="8" xfId="2" applyFont="1" applyBorder="1"/>
    <xf numFmtId="0" fontId="33" fillId="0" borderId="21" xfId="0" applyFont="1" applyBorder="1"/>
    <xf numFmtId="1" fontId="33" fillId="0" borderId="21" xfId="0" applyNumberFormat="1" applyFont="1" applyBorder="1"/>
    <xf numFmtId="9" fontId="33" fillId="0" borderId="21" xfId="0" applyNumberFormat="1" applyFont="1" applyBorder="1"/>
    <xf numFmtId="0" fontId="33" fillId="0" borderId="21" xfId="0" applyFont="1" applyBorder="1" applyAlignment="1">
      <alignment horizontal="center"/>
    </xf>
    <xf numFmtId="0" fontId="33" fillId="0" borderId="14" xfId="0" applyFont="1" applyFill="1" applyBorder="1"/>
    <xf numFmtId="2" fontId="33" fillId="0" borderId="14" xfId="0" applyNumberFormat="1" applyFont="1" applyFill="1" applyBorder="1"/>
    <xf numFmtId="9" fontId="33" fillId="0" borderId="14" xfId="0" applyNumberFormat="1" applyFont="1" applyFill="1" applyBorder="1"/>
    <xf numFmtId="0" fontId="33" fillId="0" borderId="14" xfId="0" applyFont="1" applyFill="1" applyBorder="1" applyAlignment="1">
      <alignment horizontal="center"/>
    </xf>
    <xf numFmtId="0" fontId="33" fillId="0" borderId="8" xfId="0" applyFont="1" applyFill="1" applyBorder="1"/>
    <xf numFmtId="9" fontId="33" fillId="0" borderId="8" xfId="0" applyNumberFormat="1" applyFont="1" applyFill="1" applyBorder="1"/>
    <xf numFmtId="0" fontId="33" fillId="0" borderId="8" xfId="0" applyFont="1" applyFill="1" applyBorder="1" applyAlignment="1">
      <alignment horizontal="center"/>
    </xf>
    <xf numFmtId="0" fontId="33" fillId="0" borderId="13" xfId="0" applyFont="1" applyBorder="1" applyAlignment="1"/>
    <xf numFmtId="2" fontId="33" fillId="0" borderId="14" xfId="0" applyNumberFormat="1" applyFont="1" applyBorder="1"/>
    <xf numFmtId="1" fontId="33" fillId="0" borderId="10" xfId="0" applyNumberFormat="1" applyFont="1" applyBorder="1" applyAlignment="1">
      <alignment horizontal="right"/>
    </xf>
    <xf numFmtId="1" fontId="33" fillId="0" borderId="10" xfId="0" applyNumberFormat="1" applyFont="1" applyBorder="1"/>
    <xf numFmtId="165" fontId="33" fillId="0" borderId="10" xfId="0" applyNumberFormat="1" applyFont="1" applyBorder="1"/>
    <xf numFmtId="0" fontId="33" fillId="0" borderId="8" xfId="0" applyFont="1" applyBorder="1" applyAlignment="1">
      <alignment horizontal="right"/>
    </xf>
    <xf numFmtId="0" fontId="33" fillId="0" borderId="14" xfId="0" applyFont="1" applyBorder="1" applyAlignment="1"/>
    <xf numFmtId="0" fontId="33" fillId="0" borderId="12" xfId="0" applyFont="1" applyBorder="1"/>
    <xf numFmtId="0" fontId="33" fillId="0" borderId="29" xfId="0" applyFont="1" applyBorder="1" applyAlignment="1">
      <alignment horizontal="right"/>
    </xf>
    <xf numFmtId="0" fontId="33" fillId="0" borderId="14" xfId="0" applyFont="1" applyBorder="1" applyAlignment="1">
      <alignment horizontal="right"/>
    </xf>
    <xf numFmtId="9" fontId="33" fillId="0" borderId="14" xfId="2" applyFont="1" applyBorder="1" applyAlignment="1">
      <alignment horizontal="right"/>
    </xf>
    <xf numFmtId="9" fontId="33" fillId="0" borderId="8" xfId="2" applyFont="1" applyBorder="1" applyAlignment="1">
      <alignment horizontal="right"/>
    </xf>
    <xf numFmtId="0" fontId="33" fillId="0" borderId="21" xfId="0" applyFont="1" applyBorder="1" applyAlignment="1">
      <alignment horizontal="right"/>
    </xf>
    <xf numFmtId="9" fontId="33" fillId="0" borderId="21" xfId="0" applyNumberFormat="1" applyFont="1" applyBorder="1" applyAlignment="1">
      <alignment horizontal="right"/>
    </xf>
    <xf numFmtId="9" fontId="33" fillId="0" borderId="13" xfId="0" applyNumberFormat="1" applyFont="1" applyBorder="1" applyAlignment="1">
      <alignment horizontal="right"/>
    </xf>
    <xf numFmtId="9" fontId="33" fillId="0" borderId="14" xfId="0" applyNumberFormat="1" applyFont="1" applyBorder="1" applyAlignment="1">
      <alignment horizontal="right"/>
    </xf>
    <xf numFmtId="0" fontId="33" fillId="0" borderId="10" xfId="0" applyFont="1" applyFill="1" applyBorder="1" applyAlignment="1">
      <alignment horizontal="right"/>
    </xf>
    <xf numFmtId="9" fontId="33" fillId="0" borderId="10" xfId="0" applyNumberFormat="1" applyFont="1" applyFill="1" applyBorder="1" applyAlignment="1">
      <alignment horizontal="right"/>
    </xf>
    <xf numFmtId="0" fontId="33" fillId="0" borderId="10" xfId="0" applyFont="1" applyFill="1" applyBorder="1" applyAlignment="1"/>
    <xf numFmtId="0" fontId="33" fillId="0" borderId="10" xfId="0" applyFont="1" applyFill="1" applyBorder="1" applyAlignment="1">
      <alignment horizontal="center"/>
    </xf>
    <xf numFmtId="0" fontId="33" fillId="0" borderId="8" xfId="0" applyFont="1" applyFill="1" applyBorder="1" applyAlignment="1">
      <alignment horizontal="right"/>
    </xf>
    <xf numFmtId="9" fontId="33" fillId="0" borderId="8" xfId="0" applyNumberFormat="1" applyFont="1" applyFill="1" applyBorder="1" applyAlignment="1">
      <alignment horizontal="right"/>
    </xf>
    <xf numFmtId="0" fontId="33" fillId="0" borderId="8" xfId="0" applyFont="1" applyFill="1" applyBorder="1" applyAlignment="1"/>
    <xf numFmtId="0" fontId="33" fillId="0" borderId="11" xfId="0" applyFont="1" applyFill="1" applyBorder="1"/>
    <xf numFmtId="0" fontId="33" fillId="0" borderId="13" xfId="0" applyFont="1" applyFill="1" applyBorder="1" applyAlignment="1">
      <alignment horizontal="right"/>
    </xf>
    <xf numFmtId="9" fontId="33" fillId="0" borderId="13" xfId="0" applyNumberFormat="1" applyFont="1" applyFill="1" applyBorder="1" applyAlignment="1">
      <alignment horizontal="right"/>
    </xf>
    <xf numFmtId="0" fontId="33" fillId="0" borderId="12" xfId="0" applyFont="1" applyFill="1" applyBorder="1" applyAlignment="1">
      <alignment horizontal="center"/>
    </xf>
    <xf numFmtId="9" fontId="33" fillId="0" borderId="10" xfId="0" applyNumberFormat="1" applyFont="1" applyBorder="1" applyAlignment="1">
      <alignment horizontal="right"/>
    </xf>
    <xf numFmtId="16" fontId="33" fillId="0" borderId="8" xfId="0" quotePrefix="1" applyNumberFormat="1" applyFont="1" applyBorder="1" applyAlignment="1">
      <alignment horizontal="right"/>
    </xf>
    <xf numFmtId="2" fontId="33" fillId="0" borderId="14" xfId="0" applyNumberFormat="1" applyFont="1" applyBorder="1" applyAlignment="1">
      <alignment horizontal="right"/>
    </xf>
    <xf numFmtId="9" fontId="33" fillId="0" borderId="10" xfId="2" applyFont="1" applyBorder="1" applyAlignment="1">
      <alignment horizontal="right"/>
    </xf>
    <xf numFmtId="170" fontId="33" fillId="0" borderId="10" xfId="0" applyNumberFormat="1" applyFont="1" applyBorder="1" applyAlignment="1">
      <alignment horizontal="right"/>
    </xf>
    <xf numFmtId="165" fontId="33" fillId="0" borderId="10" xfId="0" applyNumberFormat="1" applyFont="1" applyBorder="1" applyAlignment="1">
      <alignment horizontal="right"/>
    </xf>
    <xf numFmtId="9" fontId="33" fillId="0" borderId="13" xfId="2" applyFont="1" applyBorder="1" applyAlignment="1">
      <alignment horizontal="right"/>
    </xf>
    <xf numFmtId="9" fontId="33" fillId="0" borderId="14" xfId="2" applyFont="1" applyBorder="1" applyAlignment="1">
      <alignment horizontal="center"/>
    </xf>
    <xf numFmtId="9" fontId="33" fillId="0" borderId="8" xfId="2" applyFont="1" applyBorder="1" applyAlignment="1">
      <alignment horizontal="center"/>
    </xf>
    <xf numFmtId="9" fontId="33" fillId="0" borderId="13" xfId="2" applyFont="1" applyBorder="1"/>
    <xf numFmtId="165" fontId="33" fillId="0" borderId="8" xfId="0" applyNumberFormat="1" applyFont="1" applyBorder="1"/>
    <xf numFmtId="2" fontId="33" fillId="0" borderId="8" xfId="0" applyNumberFormat="1" applyFont="1" applyBorder="1"/>
    <xf numFmtId="0" fontId="33" fillId="0" borderId="10" xfId="0" applyFont="1" applyBorder="1" applyAlignment="1">
      <alignment horizontal="right" vertical="center"/>
    </xf>
    <xf numFmtId="2" fontId="33" fillId="0" borderId="10" xfId="0" applyNumberFormat="1" applyFont="1" applyBorder="1" applyAlignment="1">
      <alignment horizontal="right" vertical="center"/>
    </xf>
    <xf numFmtId="170" fontId="33" fillId="0" borderId="10" xfId="0" applyNumberFormat="1" applyFont="1" applyBorder="1" applyAlignment="1">
      <alignment horizontal="right" vertical="center"/>
    </xf>
    <xf numFmtId="9" fontId="33" fillId="0" borderId="10" xfId="2" applyFont="1" applyBorder="1" applyAlignment="1">
      <alignment horizontal="center"/>
    </xf>
    <xf numFmtId="9" fontId="33" fillId="0" borderId="13" xfId="2" applyFont="1" applyBorder="1" applyAlignment="1">
      <alignment horizontal="center"/>
    </xf>
    <xf numFmtId="0" fontId="0" fillId="0" borderId="0" xfId="0" applyAlignment="1">
      <alignment horizontal="right"/>
    </xf>
    <xf numFmtId="9" fontId="0" fillId="0" borderId="0" xfId="0" applyNumberFormat="1"/>
    <xf numFmtId="0" fontId="0" fillId="0" borderId="0" xfId="0" applyAlignment="1">
      <alignment horizontal="center"/>
    </xf>
    <xf numFmtId="1" fontId="33" fillId="0" borderId="8" xfId="0" applyNumberFormat="1" applyFont="1" applyBorder="1" applyAlignment="1">
      <alignment horizontal="center"/>
    </xf>
    <xf numFmtId="2" fontId="33" fillId="0" borderId="14" xfId="0" applyNumberFormat="1" applyFont="1" applyBorder="1" applyAlignment="1">
      <alignment horizontal="center"/>
    </xf>
    <xf numFmtId="170" fontId="33" fillId="0" borderId="10" xfId="0" applyNumberFormat="1" applyFont="1" applyBorder="1" applyAlignment="1">
      <alignment horizontal="center"/>
    </xf>
    <xf numFmtId="2" fontId="33" fillId="0" borderId="10" xfId="0" applyNumberFormat="1" applyFont="1" applyBorder="1" applyAlignment="1">
      <alignment horizontal="center"/>
    </xf>
    <xf numFmtId="9" fontId="33" fillId="0" borderId="10" xfId="0" applyNumberFormat="1" applyFont="1" applyBorder="1" applyAlignment="1">
      <alignment horizontal="center"/>
    </xf>
    <xf numFmtId="0" fontId="18" fillId="0" borderId="0" xfId="0" applyFont="1" applyAlignment="1">
      <alignment horizontal="left" vertical="top" wrapText="1"/>
    </xf>
    <xf numFmtId="0" fontId="0" fillId="0" borderId="0" xfId="0" applyAlignment="1">
      <alignment horizontal="left" vertical="center"/>
    </xf>
    <xf numFmtId="0" fontId="0" fillId="0" borderId="0" xfId="0" applyAlignment="1"/>
    <xf numFmtId="0" fontId="10" fillId="2" borderId="0" xfId="0" applyFont="1" applyFill="1" applyAlignment="1">
      <alignment wrapText="1"/>
    </xf>
    <xf numFmtId="0" fontId="11" fillId="2" borderId="0" xfId="0" applyFont="1" applyFill="1" applyAlignment="1"/>
    <xf numFmtId="0" fontId="0" fillId="0" borderId="0" xfId="0" applyAlignment="1">
      <alignment vertical="top"/>
    </xf>
    <xf numFmtId="0" fontId="6" fillId="2" borderId="10" xfId="0" applyFont="1" applyFill="1" applyBorder="1" applyAlignment="1">
      <alignment horizontal="center" vertical="top" wrapText="1"/>
    </xf>
    <xf numFmtId="164" fontId="1" fillId="2" borderId="0" xfId="3" applyFont="1" applyFill="1" applyBorder="1" applyAlignment="1">
      <alignment vertical="top"/>
    </xf>
    <xf numFmtId="49" fontId="1" fillId="2" borderId="0" xfId="3" applyNumberFormat="1" applyFont="1" applyFill="1" applyBorder="1" applyAlignment="1">
      <alignment vertical="top"/>
    </xf>
    <xf numFmtId="0" fontId="0" fillId="0" borderId="0" xfId="0" applyBorder="1" applyAlignment="1"/>
    <xf numFmtId="164" fontId="0" fillId="0" borderId="0" xfId="3" applyFont="1" applyBorder="1" applyAlignment="1"/>
    <xf numFmtId="0" fontId="22" fillId="0" borderId="0" xfId="0" applyFont="1" applyAlignment="1">
      <alignment horizontal="left" vertical="top"/>
    </xf>
    <xf numFmtId="0" fontId="3" fillId="2" borderId="0" xfId="0" applyFont="1" applyFill="1" applyAlignment="1">
      <alignment vertical="top"/>
    </xf>
    <xf numFmtId="49" fontId="0" fillId="0" borderId="0" xfId="0" applyNumberFormat="1" applyBorder="1" applyAlignment="1">
      <alignment vertical="top"/>
    </xf>
    <xf numFmtId="0" fontId="29" fillId="0" borderId="10" xfId="0" applyFont="1" applyBorder="1"/>
    <xf numFmtId="0" fontId="18" fillId="0" borderId="10" xfId="0" applyFont="1" applyBorder="1" applyAlignment="1">
      <alignment horizontal="center"/>
    </xf>
    <xf numFmtId="0" fontId="18" fillId="0" borderId="8" xfId="0" applyFont="1" applyBorder="1"/>
    <xf numFmtId="0" fontId="18" fillId="0" borderId="8" xfId="0" applyFont="1" applyBorder="1" applyAlignment="1">
      <alignment horizontal="center"/>
    </xf>
    <xf numFmtId="0" fontId="29" fillId="0" borderId="11" xfId="0" applyFont="1" applyBorder="1"/>
    <xf numFmtId="0" fontId="18" fillId="0" borderId="13" xfId="0" applyFont="1" applyBorder="1"/>
    <xf numFmtId="0" fontId="18" fillId="0" borderId="13" xfId="0" applyFont="1" applyBorder="1" applyAlignment="1">
      <alignment horizontal="center"/>
    </xf>
    <xf numFmtId="0" fontId="18" fillId="0" borderId="12" xfId="0" applyFont="1" applyBorder="1" applyAlignment="1">
      <alignment horizontal="center"/>
    </xf>
    <xf numFmtId="0" fontId="18" fillId="0" borderId="14" xfId="0" applyFont="1" applyBorder="1"/>
    <xf numFmtId="9" fontId="18" fillId="0" borderId="14" xfId="2" applyFont="1" applyBorder="1"/>
    <xf numFmtId="0" fontId="18" fillId="0" borderId="14" xfId="0" applyFont="1" applyBorder="1" applyAlignment="1">
      <alignment horizontal="center"/>
    </xf>
    <xf numFmtId="9" fontId="18" fillId="0" borderId="8" xfId="2" applyFont="1" applyBorder="1"/>
    <xf numFmtId="0" fontId="18" fillId="2" borderId="21" xfId="0" applyFont="1" applyFill="1" applyBorder="1"/>
    <xf numFmtId="1" fontId="18" fillId="0" borderId="21" xfId="0" applyNumberFormat="1" applyFont="1" applyBorder="1"/>
    <xf numFmtId="9" fontId="18" fillId="0" borderId="21" xfId="0" applyNumberFormat="1" applyFont="1" applyBorder="1"/>
    <xf numFmtId="0" fontId="18" fillId="0" borderId="21" xfId="0" applyFont="1" applyBorder="1" applyAlignment="1">
      <alignment horizontal="center"/>
    </xf>
    <xf numFmtId="9" fontId="18" fillId="0" borderId="13" xfId="0" applyNumberFormat="1" applyFont="1" applyBorder="1"/>
    <xf numFmtId="170" fontId="18" fillId="0" borderId="14" xfId="0" applyNumberFormat="1" applyFont="1" applyBorder="1"/>
    <xf numFmtId="170" fontId="18" fillId="0" borderId="14" xfId="0" applyNumberFormat="1" applyFont="1" applyFill="1" applyBorder="1"/>
    <xf numFmtId="9" fontId="18" fillId="0" borderId="14" xfId="0" applyNumberFormat="1" applyFont="1" applyBorder="1"/>
    <xf numFmtId="170" fontId="18" fillId="0" borderId="10" xfId="0" applyNumberFormat="1" applyFont="1" applyBorder="1"/>
    <xf numFmtId="170" fontId="18" fillId="0" borderId="10" xfId="0" applyNumberFormat="1" applyFont="1" applyFill="1" applyBorder="1"/>
    <xf numFmtId="9" fontId="18" fillId="0" borderId="10" xfId="0" applyNumberFormat="1" applyFont="1" applyBorder="1"/>
    <xf numFmtId="170" fontId="18" fillId="0" borderId="8" xfId="0" applyNumberFormat="1" applyFont="1" applyBorder="1"/>
    <xf numFmtId="170" fontId="18" fillId="0" borderId="8" xfId="0" applyNumberFormat="1" applyFont="1" applyFill="1" applyBorder="1"/>
    <xf numFmtId="9" fontId="18" fillId="0" borderId="8" xfId="0" applyNumberFormat="1" applyFont="1" applyBorder="1"/>
    <xf numFmtId="0" fontId="18" fillId="0" borderId="11" xfId="0" applyFont="1" applyBorder="1"/>
    <xf numFmtId="0" fontId="18" fillId="0" borderId="12" xfId="0" applyFont="1" applyBorder="1"/>
    <xf numFmtId="0" fontId="18" fillId="0" borderId="10" xfId="0" applyFont="1" applyBorder="1" applyAlignment="1"/>
    <xf numFmtId="0" fontId="18" fillId="0" borderId="10" xfId="0" applyFont="1" applyBorder="1" applyAlignment="1">
      <alignment horizontal="right"/>
    </xf>
    <xf numFmtId="0" fontId="18" fillId="0" borderId="8" xfId="0" applyFont="1" applyBorder="1" applyAlignment="1"/>
    <xf numFmtId="0" fontId="18" fillId="0" borderId="13" xfId="0" applyFont="1" applyBorder="1" applyAlignment="1"/>
    <xf numFmtId="2" fontId="18" fillId="0" borderId="14" xfId="0" applyNumberFormat="1" applyFont="1" applyBorder="1"/>
    <xf numFmtId="9" fontId="18" fillId="0" borderId="10" xfId="2" applyFont="1" applyBorder="1"/>
    <xf numFmtId="0" fontId="18" fillId="0" borderId="8" xfId="0" applyFont="1" applyBorder="1" applyAlignment="1">
      <alignment horizontal="right"/>
    </xf>
    <xf numFmtId="0" fontId="18" fillId="0" borderId="14" xfId="0" applyFont="1" applyBorder="1" applyAlignment="1"/>
    <xf numFmtId="2" fontId="18" fillId="0" borderId="10" xfId="0" applyNumberFormat="1" applyFont="1" applyBorder="1"/>
    <xf numFmtId="0" fontId="8" fillId="0" borderId="10" xfId="0" applyFont="1" applyFill="1" applyBorder="1" applyAlignment="1">
      <alignment horizontal="left" vertical="top"/>
    </xf>
    <xf numFmtId="0" fontId="0" fillId="0" borderId="10" xfId="0" applyBorder="1" applyAlignment="1">
      <alignment horizontal="left"/>
    </xf>
    <xf numFmtId="3" fontId="1" fillId="0" borderId="10" xfId="0" applyNumberFormat="1" applyFont="1" applyBorder="1" applyAlignment="1">
      <alignment horizontal="center"/>
    </xf>
    <xf numFmtId="166" fontId="1" fillId="0" borderId="10" xfId="3" applyNumberFormat="1" applyFont="1" applyFill="1" applyBorder="1" applyAlignment="1">
      <alignment horizontal="center" vertical="top" wrapText="1"/>
    </xf>
    <xf numFmtId="0" fontId="0" fillId="0" borderId="10" xfId="0" applyFill="1" applyBorder="1" applyAlignment="1">
      <alignment horizontal="center" vertical="top" wrapText="1"/>
    </xf>
    <xf numFmtId="0" fontId="6" fillId="2" borderId="10" xfId="0" applyFont="1" applyFill="1" applyBorder="1" applyAlignment="1">
      <alignment horizontal="center" vertical="top"/>
    </xf>
    <xf numFmtId="0" fontId="1" fillId="0" borderId="10" xfId="3" applyNumberFormat="1" applyFont="1" applyFill="1" applyBorder="1" applyAlignment="1">
      <alignment horizontal="center" vertical="center"/>
    </xf>
    <xf numFmtId="1" fontId="1" fillId="0" borderId="10" xfId="3" applyNumberFormat="1" applyFont="1" applyFill="1" applyBorder="1" applyAlignment="1">
      <alignment horizontal="center" vertical="center"/>
    </xf>
    <xf numFmtId="0" fontId="0" fillId="0" borderId="0" xfId="0" applyAlignment="1">
      <alignment vertical="center" wrapText="1"/>
    </xf>
    <xf numFmtId="0" fontId="52" fillId="0" borderId="0" xfId="0" applyFont="1" applyAlignment="1">
      <alignment horizontal="justify" vertical="center"/>
    </xf>
    <xf numFmtId="0" fontId="53" fillId="0" borderId="0" xfId="0" applyFont="1" applyAlignment="1">
      <alignment horizontal="justify" vertical="center"/>
    </xf>
    <xf numFmtId="0" fontId="32" fillId="0" borderId="10" xfId="0" applyFont="1" applyBorder="1" applyAlignment="1">
      <alignment horizontal="center" vertical="center" wrapText="1"/>
    </xf>
    <xf numFmtId="0" fontId="0" fillId="0" borderId="10" xfId="0" applyBorder="1" applyAlignment="1">
      <alignment vertical="top" wrapText="1"/>
    </xf>
    <xf numFmtId="0" fontId="33" fillId="0" borderId="10" xfId="0" applyFont="1" applyBorder="1" applyAlignment="1">
      <alignment horizontal="left" vertical="center" wrapText="1"/>
    </xf>
    <xf numFmtId="0" fontId="33" fillId="0" borderId="10" xfId="0" applyFont="1" applyBorder="1" applyAlignment="1">
      <alignment horizontal="center" vertical="center" wrapText="1"/>
    </xf>
    <xf numFmtId="9" fontId="33" fillId="0" borderId="10" xfId="0" applyNumberFormat="1" applyFont="1" applyBorder="1" applyAlignment="1">
      <alignment horizontal="center" vertical="center" wrapText="1"/>
    </xf>
    <xf numFmtId="0" fontId="50" fillId="0" borderId="10" xfId="0" applyFont="1" applyBorder="1" applyAlignment="1">
      <alignment horizontal="justify" vertical="center" wrapText="1"/>
    </xf>
    <xf numFmtId="0" fontId="50" fillId="0" borderId="10" xfId="0" applyFont="1" applyBorder="1" applyAlignment="1">
      <alignment horizontal="center" vertical="center" wrapText="1"/>
    </xf>
    <xf numFmtId="9" fontId="50" fillId="0" borderId="10" xfId="0" applyNumberFormat="1" applyFont="1" applyBorder="1" applyAlignment="1">
      <alignment horizontal="center" vertical="center" wrapText="1"/>
    </xf>
    <xf numFmtId="0" fontId="32" fillId="0" borderId="10" xfId="0" applyFont="1" applyBorder="1" applyAlignment="1">
      <alignment horizontal="justify" vertical="center" wrapText="1"/>
    </xf>
    <xf numFmtId="0" fontId="33" fillId="0" borderId="10" xfId="0" applyFont="1" applyBorder="1" applyAlignment="1">
      <alignment horizontal="justify" vertical="center" wrapText="1"/>
    </xf>
    <xf numFmtId="0" fontId="22" fillId="0" borderId="0" xfId="0" applyFont="1" applyAlignment="1">
      <alignment vertical="center" wrapText="1"/>
    </xf>
    <xf numFmtId="0" fontId="32" fillId="4" borderId="10" xfId="0" applyFont="1" applyFill="1" applyBorder="1" applyAlignment="1">
      <alignment horizontal="center" vertical="center" wrapText="1"/>
    </xf>
    <xf numFmtId="0" fontId="12" fillId="4" borderId="10" xfId="0" applyFont="1" applyFill="1" applyBorder="1" applyAlignment="1">
      <alignment vertical="center" wrapText="1"/>
    </xf>
    <xf numFmtId="0" fontId="32" fillId="4" borderId="8" xfId="0" applyFont="1" applyFill="1" applyBorder="1" applyAlignment="1">
      <alignment horizontal="center" vertical="center" wrapText="1"/>
    </xf>
    <xf numFmtId="0" fontId="12" fillId="4" borderId="8" xfId="0" applyFont="1" applyFill="1" applyBorder="1" applyAlignment="1">
      <alignment vertical="center" wrapText="1"/>
    </xf>
    <xf numFmtId="0" fontId="32" fillId="4" borderId="11" xfId="0" applyFont="1" applyFill="1" applyBorder="1" applyAlignment="1">
      <alignment vertical="center" wrapText="1"/>
    </xf>
    <xf numFmtId="0" fontId="32" fillId="4" borderId="13" xfId="0" applyFont="1" applyFill="1" applyBorder="1" applyAlignment="1">
      <alignment vertical="center" wrapText="1"/>
    </xf>
    <xf numFmtId="0" fontId="32" fillId="4" borderId="12" xfId="0" applyFont="1" applyFill="1" applyBorder="1" applyAlignment="1">
      <alignment vertical="center" wrapText="1"/>
    </xf>
    <xf numFmtId="0" fontId="33" fillId="4" borderId="14" xfId="0" applyFont="1" applyFill="1" applyBorder="1" applyAlignment="1">
      <alignment vertical="center" wrapText="1"/>
    </xf>
    <xf numFmtId="0" fontId="33" fillId="4" borderId="14" xfId="0" applyFont="1" applyFill="1" applyBorder="1" applyAlignment="1">
      <alignment horizontal="center" vertical="center" wrapText="1"/>
    </xf>
    <xf numFmtId="9" fontId="33" fillId="4" borderId="14" xfId="0" applyNumberFormat="1" applyFont="1" applyFill="1" applyBorder="1" applyAlignment="1">
      <alignment horizontal="center" vertical="center" wrapText="1"/>
    </xf>
    <xf numFmtId="0" fontId="33" fillId="4" borderId="8" xfId="0" applyFont="1" applyFill="1" applyBorder="1" applyAlignment="1">
      <alignment vertical="center" wrapText="1"/>
    </xf>
    <xf numFmtId="0" fontId="33" fillId="4" borderId="8" xfId="0" applyFont="1" applyFill="1" applyBorder="1" applyAlignment="1">
      <alignment horizontal="center" vertical="center" wrapText="1"/>
    </xf>
    <xf numFmtId="9" fontId="33" fillId="4" borderId="8" xfId="0" applyNumberFormat="1" applyFont="1" applyFill="1" applyBorder="1" applyAlignment="1">
      <alignment horizontal="center" vertical="center" wrapText="1"/>
    </xf>
    <xf numFmtId="0" fontId="32" fillId="4" borderId="11" xfId="0" applyFont="1" applyFill="1" applyBorder="1" applyAlignment="1">
      <alignment vertical="center"/>
    </xf>
    <xf numFmtId="0" fontId="32" fillId="4" borderId="13" xfId="0" applyFont="1" applyFill="1" applyBorder="1" applyAlignment="1">
      <alignment horizontal="center" vertical="center" wrapText="1"/>
    </xf>
    <xf numFmtId="0" fontId="33" fillId="4" borderId="10" xfId="0" applyFont="1" applyFill="1" applyBorder="1" applyAlignment="1">
      <alignment vertical="center" wrapText="1"/>
    </xf>
    <xf numFmtId="0" fontId="33" fillId="4" borderId="10" xfId="0" applyFont="1" applyFill="1" applyBorder="1" applyAlignment="1">
      <alignment horizontal="center" vertical="center" wrapText="1"/>
    </xf>
    <xf numFmtId="9" fontId="33" fillId="4" borderId="10" xfId="0" applyNumberFormat="1" applyFont="1" applyFill="1" applyBorder="1" applyAlignment="1">
      <alignment horizontal="center" vertical="center" wrapText="1"/>
    </xf>
    <xf numFmtId="0" fontId="50" fillId="4" borderId="14"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50" fillId="4" borderId="10" xfId="0" applyFont="1" applyFill="1" applyBorder="1" applyAlignment="1">
      <alignment horizontal="center" vertical="center" wrapText="1"/>
    </xf>
    <xf numFmtId="0" fontId="33" fillId="4" borderId="13" xfId="0" applyFont="1" applyFill="1" applyBorder="1" applyAlignment="1">
      <alignment vertical="center" wrapText="1"/>
    </xf>
    <xf numFmtId="0" fontId="33" fillId="4" borderId="12" xfId="0" applyFont="1" applyFill="1" applyBorder="1" applyAlignment="1">
      <alignment vertical="center" wrapText="1"/>
    </xf>
    <xf numFmtId="0" fontId="59" fillId="0" borderId="0" xfId="0" applyFont="1"/>
    <xf numFmtId="0" fontId="55" fillId="4" borderId="10" xfId="0" applyFont="1" applyFill="1" applyBorder="1" applyAlignment="1">
      <alignment vertical="center" wrapText="1"/>
    </xf>
    <xf numFmtId="0" fontId="42" fillId="4" borderId="10" xfId="0" applyFont="1" applyFill="1" applyBorder="1" applyAlignment="1">
      <alignment horizontal="center" vertical="center" wrapText="1"/>
    </xf>
    <xf numFmtId="9" fontId="42" fillId="4" borderId="10" xfId="0" applyNumberFormat="1" applyFont="1" applyFill="1" applyBorder="1" applyAlignment="1">
      <alignment horizontal="center" vertical="center" wrapText="1"/>
    </xf>
    <xf numFmtId="0" fontId="42" fillId="4" borderId="10" xfId="0" applyFont="1" applyFill="1" applyBorder="1" applyAlignment="1">
      <alignment vertical="center" wrapText="1"/>
    </xf>
    <xf numFmtId="0" fontId="40" fillId="4" borderId="10" xfId="0" applyFont="1" applyFill="1" applyBorder="1" applyAlignment="1">
      <alignment horizontal="center" vertical="center" wrapText="1"/>
    </xf>
    <xf numFmtId="0" fontId="35" fillId="4" borderId="10" xfId="0" applyFont="1" applyFill="1" applyBorder="1" applyAlignment="1">
      <alignment horizontal="center" vertical="center" wrapText="1"/>
    </xf>
    <xf numFmtId="0" fontId="28" fillId="4" borderId="10" xfId="0" applyFont="1" applyFill="1" applyBorder="1" applyAlignment="1">
      <alignment vertical="center" wrapText="1"/>
    </xf>
    <xf numFmtId="0" fontId="55" fillId="4" borderId="10" xfId="0" applyFont="1" applyFill="1" applyBorder="1" applyAlignment="1">
      <alignment horizontal="center" vertical="center" wrapText="1"/>
    </xf>
    <xf numFmtId="0" fontId="60" fillId="4" borderId="10" xfId="0" applyFont="1" applyFill="1" applyBorder="1" applyAlignment="1">
      <alignment horizontal="center" vertical="center" wrapText="1"/>
    </xf>
    <xf numFmtId="0" fontId="55" fillId="0" borderId="10" xfId="0" applyFont="1" applyBorder="1" applyAlignment="1">
      <alignment horizontal="center" vertical="center"/>
    </xf>
    <xf numFmtId="0" fontId="0" fillId="0" borderId="0" xfId="0" applyAlignment="1"/>
    <xf numFmtId="0" fontId="42" fillId="4" borderId="10" xfId="0" applyFont="1" applyFill="1" applyBorder="1" applyAlignment="1">
      <alignment horizontal="center" vertical="center" wrapText="1"/>
    </xf>
    <xf numFmtId="0" fontId="62" fillId="0" borderId="0" xfId="0" applyFont="1" applyAlignment="1"/>
    <xf numFmtId="0" fontId="63" fillId="0" borderId="0" xfId="1" applyFont="1" applyAlignment="1" applyProtection="1"/>
    <xf numFmtId="0" fontId="64" fillId="0" borderId="0" xfId="0" applyFont="1" applyAlignment="1"/>
    <xf numFmtId="0" fontId="25" fillId="0" borderId="0" xfId="0" applyFont="1"/>
    <xf numFmtId="0" fontId="32" fillId="0" borderId="10" xfId="0" applyFont="1" applyBorder="1" applyAlignment="1">
      <alignment horizontal="center"/>
    </xf>
    <xf numFmtId="0" fontId="33" fillId="0" borderId="10" xfId="0" applyFont="1" applyBorder="1" applyAlignment="1">
      <alignment horizontal="center"/>
    </xf>
    <xf numFmtId="0" fontId="33" fillId="0" borderId="10" xfId="0" applyFont="1" applyBorder="1" applyAlignment="1">
      <alignment horizontal="right"/>
    </xf>
    <xf numFmtId="0" fontId="65" fillId="0" borderId="0" xfId="0" applyFont="1" applyAlignment="1"/>
    <xf numFmtId="0" fontId="66" fillId="0" borderId="0" xfId="0" applyFont="1"/>
    <xf numFmtId="0" fontId="32" fillId="0" borderId="30" xfId="0" applyFont="1" applyBorder="1"/>
    <xf numFmtId="0" fontId="33" fillId="0" borderId="31" xfId="0" applyFont="1" applyBorder="1"/>
    <xf numFmtId="0" fontId="33" fillId="0" borderId="31" xfId="0" applyFont="1" applyBorder="1" applyAlignment="1">
      <alignment horizontal="center"/>
    </xf>
    <xf numFmtId="0" fontId="33" fillId="0" borderId="32" xfId="0" applyFont="1" applyBorder="1" applyAlignment="1">
      <alignment horizontal="center"/>
    </xf>
    <xf numFmtId="0" fontId="69" fillId="0" borderId="14" xfId="0" applyFont="1" applyBorder="1"/>
    <xf numFmtId="0" fontId="69" fillId="0" borderId="8" xfId="0" applyFont="1" applyBorder="1"/>
    <xf numFmtId="0" fontId="69" fillId="0" borderId="10" xfId="0" applyFont="1" applyBorder="1"/>
    <xf numFmtId="2" fontId="69" fillId="0" borderId="10" xfId="0" applyNumberFormat="1" applyFont="1" applyBorder="1"/>
    <xf numFmtId="0" fontId="67" fillId="0" borderId="0" xfId="0" applyFont="1"/>
    <xf numFmtId="2" fontId="33" fillId="0" borderId="31" xfId="0" applyNumberFormat="1" applyFont="1" applyBorder="1"/>
    <xf numFmtId="9" fontId="33" fillId="0" borderId="31" xfId="0" applyNumberFormat="1" applyFont="1" applyBorder="1"/>
    <xf numFmtId="2" fontId="33" fillId="2" borderId="14" xfId="0" applyNumberFormat="1" applyFont="1" applyFill="1" applyBorder="1"/>
    <xf numFmtId="2" fontId="33" fillId="2" borderId="21" xfId="0" applyNumberFormat="1" applyFont="1" applyFill="1" applyBorder="1"/>
    <xf numFmtId="2" fontId="33" fillId="0" borderId="21" xfId="0" applyNumberFormat="1" applyFont="1" applyBorder="1"/>
    <xf numFmtId="2" fontId="33" fillId="2" borderId="8" xfId="0" applyNumberFormat="1" applyFont="1" applyFill="1" applyBorder="1"/>
    <xf numFmtId="0" fontId="33" fillId="0" borderId="30" xfId="0" applyFont="1" applyBorder="1"/>
    <xf numFmtId="9" fontId="33" fillId="0" borderId="10" xfId="0" applyNumberFormat="1" applyFont="1" applyBorder="1" applyAlignment="1"/>
    <xf numFmtId="0" fontId="33" fillId="0" borderId="31" xfId="0" applyFont="1" applyBorder="1" applyAlignment="1"/>
    <xf numFmtId="165" fontId="33" fillId="0" borderId="14" xfId="2" applyNumberFormat="1" applyFont="1" applyBorder="1"/>
    <xf numFmtId="9" fontId="33" fillId="0" borderId="31" xfId="2" applyFont="1" applyBorder="1"/>
    <xf numFmtId="0" fontId="69" fillId="4" borderId="10" xfId="0" applyFont="1" applyFill="1" applyBorder="1" applyAlignment="1">
      <alignment vertical="center" wrapText="1"/>
    </xf>
    <xf numFmtId="0" fontId="69" fillId="0" borderId="14" xfId="0" applyFont="1" applyBorder="1" applyAlignment="1"/>
    <xf numFmtId="9" fontId="69" fillId="0" borderId="14" xfId="2" applyFont="1" applyBorder="1"/>
    <xf numFmtId="0" fontId="69" fillId="0" borderId="14" xfId="0" applyFont="1" applyBorder="1" applyAlignment="1">
      <alignment horizontal="center"/>
    </xf>
    <xf numFmtId="0" fontId="16" fillId="0" borderId="0" xfId="0" applyFont="1" applyAlignment="1">
      <alignment horizontal="left" vertical="center"/>
    </xf>
    <xf numFmtId="0" fontId="13" fillId="0" borderId="0" xfId="0" applyFont="1" applyFill="1" applyAlignment="1">
      <alignment horizontal="left" vertical="center"/>
    </xf>
    <xf numFmtId="0" fontId="0" fillId="0" borderId="0" xfId="0" applyAlignment="1">
      <alignment horizontal="left" vertical="center"/>
    </xf>
    <xf numFmtId="0" fontId="0" fillId="0" borderId="0" xfId="0" applyAlignment="1"/>
    <xf numFmtId="0" fontId="1" fillId="2" borderId="0" xfId="0" applyFont="1" applyFill="1" applyBorder="1" applyAlignment="1">
      <alignment vertical="top" wrapText="1"/>
    </xf>
    <xf numFmtId="0" fontId="3" fillId="2" borderId="0" xfId="0" applyFont="1" applyFill="1" applyBorder="1" applyAlignment="1">
      <alignment vertical="top" wrapText="1"/>
    </xf>
    <xf numFmtId="0" fontId="6" fillId="2" borderId="10" xfId="0" applyFont="1" applyFill="1" applyBorder="1" applyAlignment="1">
      <alignment horizontal="center" vertical="top" wrapText="1"/>
    </xf>
    <xf numFmtId="0" fontId="35" fillId="2" borderId="10" xfId="0" applyFont="1" applyFill="1" applyBorder="1" applyAlignment="1">
      <alignment horizontal="left" vertical="center" wrapText="1"/>
    </xf>
    <xf numFmtId="0" fontId="35" fillId="2" borderId="10" xfId="0" applyFont="1" applyFill="1" applyBorder="1" applyAlignment="1">
      <alignment horizontal="center" vertical="center" wrapText="1"/>
    </xf>
    <xf numFmtId="0" fontId="35" fillId="2" borderId="32" xfId="0" applyFont="1" applyFill="1" applyBorder="1" applyAlignment="1">
      <alignment horizontal="center" vertical="center" wrapText="1"/>
    </xf>
    <xf numFmtId="0" fontId="16" fillId="0" borderId="10" xfId="0" applyFont="1" applyBorder="1" applyAlignment="1">
      <alignment horizontal="center" vertical="center" wrapText="1"/>
    </xf>
    <xf numFmtId="165" fontId="16" fillId="0" borderId="10" xfId="0" applyNumberFormat="1" applyFont="1" applyBorder="1" applyAlignment="1">
      <alignment horizontal="center" vertical="center" wrapText="1"/>
    </xf>
    <xf numFmtId="165" fontId="17" fillId="0" borderId="10" xfId="0" applyNumberFormat="1" applyFont="1" applyBorder="1" applyAlignment="1">
      <alignment horizontal="center" vertical="center" wrapText="1"/>
    </xf>
    <xf numFmtId="0" fontId="0" fillId="0" borderId="0" xfId="0" applyAlignment="1"/>
    <xf numFmtId="0" fontId="1" fillId="2" borderId="0" xfId="0" applyFont="1" applyFill="1" applyBorder="1" applyAlignment="1">
      <alignment vertical="top" wrapText="1"/>
    </xf>
    <xf numFmtId="0" fontId="0" fillId="0" borderId="0" xfId="0" applyAlignment="1">
      <alignment horizontal="left" vertical="center"/>
    </xf>
    <xf numFmtId="0" fontId="6" fillId="2" borderId="10" xfId="0" applyFont="1" applyFill="1" applyBorder="1" applyAlignment="1">
      <alignment horizontal="center" vertical="top" wrapText="1"/>
    </xf>
    <xf numFmtId="0" fontId="3" fillId="2" borderId="0" xfId="0" applyFont="1" applyFill="1" applyBorder="1" applyAlignment="1">
      <alignment vertical="top" wrapText="1"/>
    </xf>
    <xf numFmtId="0" fontId="17" fillId="0" borderId="10" xfId="0" applyFont="1" applyBorder="1" applyAlignment="1">
      <alignment horizontal="center" vertical="center" wrapText="1"/>
    </xf>
    <xf numFmtId="0" fontId="8" fillId="2" borderId="33" xfId="0" applyFont="1" applyFill="1" applyBorder="1" applyAlignment="1">
      <alignment vertical="top" wrapText="1"/>
    </xf>
    <xf numFmtId="0" fontId="8" fillId="0" borderId="33" xfId="0" applyFont="1" applyFill="1" applyBorder="1" applyAlignment="1">
      <alignment vertical="top" wrapText="1"/>
    </xf>
    <xf numFmtId="1" fontId="1" fillId="2" borderId="10" xfId="0" quotePrefix="1" applyNumberFormat="1" applyFont="1" applyFill="1" applyBorder="1" applyAlignment="1">
      <alignment horizontal="center" vertical="center" wrapText="1"/>
    </xf>
    <xf numFmtId="165"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0" borderId="33" xfId="0" applyFont="1" applyFill="1" applyBorder="1" applyAlignment="1">
      <alignment vertical="top" wrapText="1"/>
    </xf>
    <xf numFmtId="1" fontId="1" fillId="2" borderId="10" xfId="2" applyNumberFormat="1" applyFont="1" applyFill="1" applyBorder="1" applyAlignment="1">
      <alignment horizontal="center" vertical="top" wrapText="1"/>
    </xf>
    <xf numFmtId="0" fontId="70" fillId="2" borderId="10" xfId="0" applyFont="1" applyFill="1" applyBorder="1" applyAlignment="1">
      <alignment horizontal="center" vertical="center" wrapText="1"/>
    </xf>
    <xf numFmtId="0" fontId="70" fillId="2" borderId="32" xfId="0" applyFont="1" applyFill="1" applyBorder="1" applyAlignment="1">
      <alignment horizontal="center" vertical="center" wrapText="1"/>
    </xf>
    <xf numFmtId="0" fontId="0" fillId="2" borderId="10" xfId="0" applyFill="1" applyBorder="1" applyAlignment="1">
      <alignment horizontal="center" vertical="center" wrapText="1"/>
    </xf>
    <xf numFmtId="1" fontId="0" fillId="0" borderId="0" xfId="0" applyNumberFormat="1"/>
    <xf numFmtId="1" fontId="70" fillId="2" borderId="10" xfId="0" applyNumberFormat="1" applyFont="1" applyFill="1" applyBorder="1" applyAlignment="1">
      <alignment horizontal="center" vertical="center" wrapText="1"/>
    </xf>
    <xf numFmtId="0" fontId="32" fillId="0" borderId="33" xfId="31" applyFont="1" applyBorder="1"/>
    <xf numFmtId="0" fontId="73" fillId="0" borderId="0" xfId="31"/>
    <xf numFmtId="0" fontId="32" fillId="0" borderId="33" xfId="31" applyFont="1" applyBorder="1" applyAlignment="1">
      <alignment horizontal="center"/>
    </xf>
    <xf numFmtId="0" fontId="32" fillId="0" borderId="35" xfId="31" applyFont="1" applyBorder="1"/>
    <xf numFmtId="0" fontId="32" fillId="0" borderId="35" xfId="31" applyFont="1" applyBorder="1" applyAlignment="1">
      <alignment horizontal="center"/>
    </xf>
    <xf numFmtId="0" fontId="32" fillId="0" borderId="30" xfId="31" applyFont="1" applyBorder="1"/>
    <xf numFmtId="0" fontId="33" fillId="0" borderId="34" xfId="31" applyFont="1" applyBorder="1"/>
    <xf numFmtId="0" fontId="33" fillId="0" borderId="34" xfId="31" applyFont="1" applyBorder="1" applyAlignment="1">
      <alignment horizontal="center"/>
    </xf>
    <xf numFmtId="0" fontId="33" fillId="0" borderId="32" xfId="31" applyFont="1" applyBorder="1" applyAlignment="1">
      <alignment horizontal="center"/>
    </xf>
    <xf numFmtId="0" fontId="33" fillId="0" borderId="14" xfId="31" applyFont="1" applyBorder="1"/>
    <xf numFmtId="9" fontId="33" fillId="0" borderId="33" xfId="32" applyFont="1" applyBorder="1"/>
    <xf numFmtId="0" fontId="33" fillId="0" borderId="14" xfId="31" applyFont="1" applyBorder="1" applyAlignment="1">
      <alignment horizontal="center"/>
    </xf>
    <xf numFmtId="0" fontId="33" fillId="0" borderId="33" xfId="31" applyFont="1" applyBorder="1"/>
    <xf numFmtId="0" fontId="33" fillId="0" borderId="33" xfId="31" applyFont="1" applyBorder="1" applyAlignment="1">
      <alignment horizontal="center"/>
    </xf>
    <xf numFmtId="0" fontId="33" fillId="0" borderId="35" xfId="31" applyFont="1" applyBorder="1"/>
    <xf numFmtId="0" fontId="33" fillId="0" borderId="35" xfId="31" applyFont="1" applyBorder="1" applyAlignment="1">
      <alignment horizontal="center"/>
    </xf>
    <xf numFmtId="0" fontId="33" fillId="0" borderId="19" xfId="31" applyFont="1" applyBorder="1"/>
    <xf numFmtId="9" fontId="33" fillId="0" borderId="34" xfId="31" applyNumberFormat="1" applyFont="1" applyBorder="1"/>
    <xf numFmtId="2" fontId="33" fillId="0" borderId="14" xfId="31" applyNumberFormat="1" applyFont="1" applyBorder="1"/>
    <xf numFmtId="0" fontId="33" fillId="0" borderId="30" xfId="31" applyFont="1" applyBorder="1"/>
    <xf numFmtId="0" fontId="33" fillId="0" borderId="34" xfId="31" applyFont="1" applyBorder="1" applyAlignment="1">
      <alignment horizontal="right"/>
    </xf>
    <xf numFmtId="0" fontId="33" fillId="0" borderId="7" xfId="31" applyFont="1" applyBorder="1"/>
    <xf numFmtId="165" fontId="33" fillId="0" borderId="14" xfId="31" applyNumberFormat="1" applyFont="1" applyBorder="1"/>
    <xf numFmtId="9" fontId="33" fillId="0" borderId="14" xfId="31" applyNumberFormat="1" applyFont="1" applyBorder="1"/>
    <xf numFmtId="2" fontId="33" fillId="0" borderId="33" xfId="31" applyNumberFormat="1" applyFont="1" applyBorder="1"/>
    <xf numFmtId="1" fontId="33" fillId="0" borderId="33" xfId="31" applyNumberFormat="1" applyFont="1" applyBorder="1"/>
    <xf numFmtId="170" fontId="33" fillId="0" borderId="33" xfId="31" applyNumberFormat="1" applyFont="1" applyBorder="1"/>
    <xf numFmtId="165" fontId="33" fillId="0" borderId="33" xfId="31" applyNumberFormat="1" applyFont="1" applyBorder="1"/>
    <xf numFmtId="170" fontId="33" fillId="0" borderId="35" xfId="31" applyNumberFormat="1" applyFont="1" applyBorder="1"/>
    <xf numFmtId="1" fontId="33" fillId="0" borderId="35" xfId="31" applyNumberFormat="1" applyFont="1" applyBorder="1"/>
    <xf numFmtId="9" fontId="33" fillId="0" borderId="35" xfId="31" applyNumberFormat="1" applyFont="1" applyBorder="1"/>
    <xf numFmtId="9" fontId="33" fillId="0" borderId="33" xfId="31" applyNumberFormat="1" applyFont="1" applyBorder="1"/>
    <xf numFmtId="0" fontId="26" fillId="0" borderId="0" xfId="31" applyFont="1"/>
    <xf numFmtId="0" fontId="13" fillId="0" borderId="0" xfId="31" applyFont="1" applyAlignment="1">
      <alignment horizontal="left" vertical="center"/>
    </xf>
    <xf numFmtId="0" fontId="0" fillId="0" borderId="0" xfId="0" applyAlignment="1"/>
    <xf numFmtId="164" fontId="1" fillId="2" borderId="0" xfId="3" applyFont="1" applyFill="1" applyBorder="1" applyAlignment="1">
      <alignment vertical="top" wrapText="1"/>
    </xf>
    <xf numFmtId="0" fontId="1" fillId="2" borderId="0" xfId="0" applyFont="1" applyFill="1" applyBorder="1" applyAlignment="1">
      <alignment vertical="top" wrapText="1"/>
    </xf>
    <xf numFmtId="0" fontId="23" fillId="0" borderId="0" xfId="0" applyFont="1" applyBorder="1" applyAlignment="1">
      <alignment vertical="top" wrapText="1"/>
    </xf>
    <xf numFmtId="0" fontId="61" fillId="2" borderId="11" xfId="1" applyFont="1" applyFill="1" applyBorder="1" applyAlignment="1" applyProtection="1">
      <alignment horizontal="center" vertical="top" wrapText="1"/>
    </xf>
    <xf numFmtId="0" fontId="0" fillId="2" borderId="13" xfId="0" applyFill="1" applyBorder="1" applyAlignment="1">
      <alignment horizontal="center" vertical="top" wrapText="1"/>
    </xf>
    <xf numFmtId="0" fontId="0" fillId="2" borderId="12" xfId="0" applyFill="1" applyBorder="1" applyAlignment="1">
      <alignment horizontal="center" vertical="top" wrapText="1"/>
    </xf>
    <xf numFmtId="0" fontId="6" fillId="2" borderId="11" xfId="0" applyFont="1" applyFill="1" applyBorder="1" applyAlignment="1">
      <alignment horizontal="center" vertical="top" wrapText="1"/>
    </xf>
    <xf numFmtId="0" fontId="6" fillId="2" borderId="12" xfId="0" applyFont="1" applyFill="1" applyBorder="1" applyAlignment="1">
      <alignment horizontal="center" vertical="top" wrapText="1"/>
    </xf>
    <xf numFmtId="49" fontId="1" fillId="2" borderId="0" xfId="3" applyNumberFormat="1" applyFont="1" applyFill="1" applyBorder="1" applyAlignment="1">
      <alignment vertical="top" wrapText="1"/>
    </xf>
    <xf numFmtId="0" fontId="22" fillId="0" borderId="0" xfId="0" applyFont="1" applyAlignment="1"/>
    <xf numFmtId="0" fontId="22" fillId="0" borderId="0" xfId="0" applyFont="1" applyAlignment="1">
      <alignment horizontal="left" vertical="top" wrapText="1"/>
    </xf>
    <xf numFmtId="0" fontId="0" fillId="0" borderId="0" xfId="0" applyAlignment="1">
      <alignment horizontal="left" vertical="center"/>
    </xf>
    <xf numFmtId="9" fontId="1" fillId="0" borderId="10" xfId="2" applyFont="1" applyBorder="1" applyAlignment="1">
      <alignment horizontal="center"/>
    </xf>
    <xf numFmtId="9" fontId="0" fillId="0" borderId="10" xfId="2" applyFont="1" applyBorder="1" applyAlignment="1">
      <alignment horizontal="center"/>
    </xf>
    <xf numFmtId="0" fontId="61" fillId="2" borderId="10" xfId="1" applyFont="1" applyFill="1" applyBorder="1" applyAlignment="1" applyProtection="1">
      <alignment horizontal="center" vertical="top" wrapText="1"/>
    </xf>
    <xf numFmtId="0" fontId="0" fillId="2" borderId="10" xfId="0" applyFill="1" applyBorder="1" applyAlignment="1">
      <alignment horizontal="center" vertical="top" wrapText="1"/>
    </xf>
    <xf numFmtId="0" fontId="6" fillId="2" borderId="10" xfId="0" applyFont="1" applyFill="1" applyBorder="1" applyAlignment="1">
      <alignment horizontal="center" vertical="top" wrapText="1"/>
    </xf>
    <xf numFmtId="4" fontId="1" fillId="0" borderId="10" xfId="0" applyNumberFormat="1" applyFont="1" applyBorder="1" applyAlignment="1">
      <alignment horizontal="center"/>
    </xf>
    <xf numFmtId="4" fontId="0" fillId="0" borderId="10" xfId="0" applyNumberFormat="1" applyBorder="1" applyAlignment="1">
      <alignment horizontal="center"/>
    </xf>
    <xf numFmtId="0" fontId="3" fillId="2" borderId="0" xfId="0" applyFont="1" applyFill="1" applyBorder="1" applyAlignment="1">
      <alignment vertical="top" wrapText="1"/>
    </xf>
    <xf numFmtId="0" fontId="26" fillId="0" borderId="0" xfId="0" applyFont="1" applyBorder="1" applyAlignment="1">
      <alignment vertical="top" wrapText="1"/>
    </xf>
    <xf numFmtId="9" fontId="1" fillId="0" borderId="11" xfId="2" applyFont="1" applyBorder="1" applyAlignment="1">
      <alignment horizontal="center"/>
    </xf>
    <xf numFmtId="9" fontId="1" fillId="0" borderId="13" xfId="2" applyFont="1" applyBorder="1" applyAlignment="1">
      <alignment horizontal="center"/>
    </xf>
    <xf numFmtId="9" fontId="1" fillId="0" borderId="12" xfId="2" applyFont="1" applyBorder="1" applyAlignment="1">
      <alignment horizontal="center"/>
    </xf>
    <xf numFmtId="0" fontId="6" fillId="2" borderId="13" xfId="0" applyFont="1" applyFill="1" applyBorder="1" applyAlignment="1">
      <alignment horizontal="center" vertical="top" wrapText="1"/>
    </xf>
    <xf numFmtId="0" fontId="1" fillId="2" borderId="18" xfId="0" applyFont="1" applyFill="1" applyBorder="1" applyAlignment="1">
      <alignment vertical="top" wrapText="1"/>
    </xf>
    <xf numFmtId="0" fontId="23" fillId="2" borderId="0" xfId="0" applyFont="1" applyFill="1" applyAlignment="1">
      <alignment vertical="top" wrapText="1"/>
    </xf>
    <xf numFmtId="49" fontId="1" fillId="2" borderId="0" xfId="3" quotePrefix="1" applyNumberFormat="1" applyFont="1" applyFill="1" applyBorder="1" applyAlignment="1">
      <alignment horizontal="left" vertical="top" wrapText="1"/>
    </xf>
    <xf numFmtId="49" fontId="1" fillId="2" borderId="0" xfId="3" quotePrefix="1" applyNumberFormat="1" applyFont="1" applyFill="1" applyBorder="1" applyAlignment="1">
      <alignment vertical="top" wrapText="1"/>
    </xf>
    <xf numFmtId="49" fontId="0" fillId="2" borderId="0" xfId="0" applyNumberFormat="1" applyFill="1" applyAlignment="1">
      <alignment vertical="top" wrapText="1"/>
    </xf>
    <xf numFmtId="49" fontId="0" fillId="2" borderId="0" xfId="0" applyNumberFormat="1" applyFill="1" applyAlignment="1">
      <alignment wrapText="1"/>
    </xf>
    <xf numFmtId="0" fontId="0" fillId="2" borderId="0" xfId="0" applyFill="1" applyAlignment="1">
      <alignment horizontal="left" vertical="center"/>
    </xf>
    <xf numFmtId="49" fontId="0" fillId="0" borderId="0" xfId="0" applyNumberFormat="1" applyAlignment="1">
      <alignment vertical="top" wrapText="1"/>
    </xf>
    <xf numFmtId="0" fontId="0" fillId="0" borderId="0" xfId="0" applyAlignment="1">
      <alignment vertical="top" wrapText="1"/>
    </xf>
    <xf numFmtId="0" fontId="1" fillId="2" borderId="0" xfId="0" applyFont="1" applyFill="1" applyAlignment="1">
      <alignment vertical="top" wrapText="1"/>
    </xf>
    <xf numFmtId="0" fontId="61" fillId="2" borderId="5" xfId="1" applyFont="1" applyFill="1" applyBorder="1" applyAlignment="1" applyProtection="1">
      <alignment horizontal="center" vertical="top" wrapText="1"/>
    </xf>
    <xf numFmtId="0" fontId="6" fillId="2" borderId="4" xfId="0" applyFont="1" applyFill="1" applyBorder="1" applyAlignment="1">
      <alignment horizontal="center" vertical="top" wrapText="1"/>
    </xf>
    <xf numFmtId="0" fontId="6" fillId="2" borderId="3"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3" xfId="0" applyFont="1" applyFill="1" applyBorder="1" applyAlignment="1">
      <alignment horizontal="center" vertical="top" wrapText="1"/>
    </xf>
    <xf numFmtId="0" fontId="15" fillId="0" borderId="0" xfId="0" applyFont="1" applyAlignment="1">
      <alignment vertical="top" wrapText="1"/>
    </xf>
    <xf numFmtId="0" fontId="61" fillId="2" borderId="6" xfId="1" applyFont="1" applyFill="1" applyBorder="1" applyAlignment="1" applyProtection="1">
      <alignment horizontal="center" vertical="center" wrapText="1"/>
    </xf>
    <xf numFmtId="0" fontId="0" fillId="2" borderId="6" xfId="0" applyFill="1" applyBorder="1" applyAlignment="1">
      <alignment horizontal="center" vertical="center" wrapText="1"/>
    </xf>
    <xf numFmtId="0" fontId="6"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6" fillId="2" borderId="6" xfId="0" applyFont="1" applyFill="1" applyBorder="1" applyAlignment="1">
      <alignment horizontal="center" vertical="center" wrapText="1"/>
    </xf>
    <xf numFmtId="0" fontId="6" fillId="2" borderId="0" xfId="0" applyFont="1" applyFill="1" applyBorder="1" applyAlignment="1">
      <alignment vertical="top" wrapText="1"/>
    </xf>
    <xf numFmtId="17" fontId="3"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61" fillId="0" borderId="10" xfId="1" applyFont="1" applyBorder="1" applyAlignment="1" applyProtection="1">
      <alignment horizontal="center"/>
    </xf>
    <xf numFmtId="0" fontId="29" fillId="0" borderId="10" xfId="0" applyFont="1" applyBorder="1" applyAlignment="1">
      <alignment horizontal="center"/>
    </xf>
    <xf numFmtId="0" fontId="18" fillId="0" borderId="10" xfId="0" applyFont="1" applyBorder="1" applyAlignment="1">
      <alignment horizontal="center"/>
    </xf>
    <xf numFmtId="0" fontId="61" fillId="0" borderId="11" xfId="1" applyFont="1" applyBorder="1" applyAlignment="1" applyProtection="1">
      <alignment horizontal="center"/>
    </xf>
    <xf numFmtId="0" fontId="28" fillId="0" borderId="13" xfId="0" applyFont="1" applyBorder="1" applyAlignment="1">
      <alignment horizontal="center"/>
    </xf>
    <xf numFmtId="0" fontId="28" fillId="0" borderId="12" xfId="0" applyFont="1" applyBorder="1" applyAlignment="1">
      <alignment horizontal="center"/>
    </xf>
    <xf numFmtId="0" fontId="28" fillId="0" borderId="10" xfId="0" applyFont="1" applyBorder="1" applyAlignment="1">
      <alignment horizontal="center"/>
    </xf>
    <xf numFmtId="0" fontId="32" fillId="0" borderId="10" xfId="0" applyFont="1" applyBorder="1" applyAlignment="1">
      <alignment horizontal="center"/>
    </xf>
    <xf numFmtId="0" fontId="33" fillId="0" borderId="10" xfId="0" applyFont="1" applyBorder="1" applyAlignment="1">
      <alignment horizontal="center"/>
    </xf>
    <xf numFmtId="0" fontId="32" fillId="0" borderId="13" xfId="0" applyFont="1" applyBorder="1" applyAlignment="1">
      <alignment horizontal="center"/>
    </xf>
    <xf numFmtId="0" fontId="32" fillId="0" borderId="12" xfId="0" applyFont="1" applyBorder="1" applyAlignment="1">
      <alignment horizontal="center"/>
    </xf>
    <xf numFmtId="0" fontId="32" fillId="0" borderId="11" xfId="0" applyFont="1" applyBorder="1" applyAlignment="1">
      <alignment horizontal="center"/>
    </xf>
    <xf numFmtId="0" fontId="33" fillId="0" borderId="10" xfId="0" applyFont="1" applyBorder="1" applyAlignment="1">
      <alignment horizontal="right"/>
    </xf>
    <xf numFmtId="0" fontId="49" fillId="0" borderId="10" xfId="0" applyFont="1" applyBorder="1" applyAlignment="1">
      <alignment horizontal="left" vertical="center" wrapText="1"/>
    </xf>
    <xf numFmtId="9" fontId="33" fillId="0" borderId="10" xfId="0" applyNumberFormat="1" applyFont="1" applyBorder="1" applyAlignment="1">
      <alignment horizontal="center" vertical="center" wrapText="1"/>
    </xf>
    <xf numFmtId="0" fontId="32" fillId="0" borderId="10" xfId="0" applyFont="1" applyBorder="1" applyAlignment="1">
      <alignment horizontal="center" vertical="center" wrapText="1"/>
    </xf>
    <xf numFmtId="0" fontId="32" fillId="0" borderId="10" xfId="0" applyFont="1" applyBorder="1" applyAlignment="1">
      <alignment horizontal="justify" vertical="center" wrapText="1"/>
    </xf>
    <xf numFmtId="0" fontId="61" fillId="0" borderId="30" xfId="1" applyFont="1" applyBorder="1" applyAlignment="1" applyProtection="1">
      <alignment horizontal="center" vertical="center" wrapText="1"/>
    </xf>
    <xf numFmtId="0" fontId="32" fillId="0" borderId="31" xfId="0" applyFont="1" applyBorder="1" applyAlignment="1">
      <alignment horizontal="center" vertical="center" wrapText="1"/>
    </xf>
    <xf numFmtId="0" fontId="32" fillId="0" borderId="32" xfId="0" applyFont="1" applyBorder="1" applyAlignment="1">
      <alignment horizontal="center" vertical="center" wrapText="1"/>
    </xf>
    <xf numFmtId="0" fontId="33" fillId="0" borderId="10" xfId="0" applyFont="1" applyBorder="1" applyAlignment="1">
      <alignment horizontal="center" vertical="center" wrapText="1"/>
    </xf>
    <xf numFmtId="0" fontId="50" fillId="0" borderId="10" xfId="0" applyFont="1" applyBorder="1" applyAlignment="1">
      <alignment horizontal="center" vertical="center" wrapText="1"/>
    </xf>
    <xf numFmtId="0" fontId="61" fillId="4" borderId="11" xfId="1" applyFont="1" applyFill="1" applyBorder="1" applyAlignment="1" applyProtection="1">
      <alignment horizontal="center" vertical="center" wrapText="1"/>
    </xf>
    <xf numFmtId="0" fontId="32" fillId="4" borderId="13" xfId="0" applyFont="1" applyFill="1" applyBorder="1" applyAlignment="1">
      <alignment horizontal="center" vertical="center" wrapText="1"/>
    </xf>
    <xf numFmtId="0" fontId="32" fillId="4" borderId="12"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42" fillId="4" borderId="10" xfId="0" applyFont="1" applyFill="1" applyBorder="1" applyAlignment="1">
      <alignment horizontal="center" vertical="center" wrapText="1"/>
    </xf>
    <xf numFmtId="0" fontId="28" fillId="4" borderId="10" xfId="0" applyFont="1" applyFill="1" applyBorder="1" applyAlignment="1">
      <alignment vertical="center" wrapText="1"/>
    </xf>
    <xf numFmtId="0" fontId="56" fillId="4" borderId="10" xfId="0" applyFont="1" applyFill="1" applyBorder="1" applyAlignment="1">
      <alignment vertical="center" wrapText="1"/>
    </xf>
    <xf numFmtId="0" fontId="61" fillId="4" borderId="10" xfId="1" applyFont="1" applyFill="1" applyBorder="1" applyAlignment="1" applyProtection="1">
      <alignment horizontal="center" vertical="center" wrapText="1"/>
    </xf>
    <xf numFmtId="0" fontId="28" fillId="4" borderId="10" xfId="0" applyFont="1" applyFill="1" applyBorder="1" applyAlignment="1">
      <alignment horizontal="center" vertical="center" wrapText="1"/>
    </xf>
    <xf numFmtId="0" fontId="60" fillId="4" borderId="10" xfId="0" applyFont="1" applyFill="1" applyBorder="1" applyAlignment="1">
      <alignment horizontal="center" vertical="center" wrapText="1"/>
    </xf>
    <xf numFmtId="0" fontId="68" fillId="0" borderId="10" xfId="0" applyFont="1" applyBorder="1" applyAlignment="1">
      <alignment horizontal="center"/>
    </xf>
    <xf numFmtId="0" fontId="26" fillId="0" borderId="30" xfId="31" applyFont="1" applyBorder="1" applyAlignment="1">
      <alignment horizontal="center"/>
    </xf>
    <xf numFmtId="0" fontId="26" fillId="0" borderId="34" xfId="31" applyFont="1" applyBorder="1" applyAlignment="1">
      <alignment horizontal="center"/>
    </xf>
    <xf numFmtId="0" fontId="26" fillId="0" borderId="32" xfId="31" applyFont="1" applyBorder="1" applyAlignment="1">
      <alignment horizontal="center"/>
    </xf>
    <xf numFmtId="0" fontId="32" fillId="0" borderId="30" xfId="31" applyFont="1" applyBorder="1" applyAlignment="1">
      <alignment horizontal="center"/>
    </xf>
    <xf numFmtId="0" fontId="32" fillId="0" borderId="32" xfId="31" applyFont="1" applyBorder="1" applyAlignment="1">
      <alignment horizontal="center"/>
    </xf>
  </cellXfs>
  <cellStyles count="33">
    <cellStyle name="Comma 2" xfId="5"/>
    <cellStyle name="Comma 2 2" xfId="10"/>
    <cellStyle name="Comma 3" xfId="11"/>
    <cellStyle name="Comma0 - Type3" xfId="12"/>
    <cellStyle name="Fixed2 - Type2" xfId="13"/>
    <cellStyle name="Hyperlink 2" xfId="14"/>
    <cellStyle name="Hyperlink 3" xfId="15"/>
    <cellStyle name="Input 2" xfId="16"/>
    <cellStyle name="Input 2 2" xfId="28"/>
    <cellStyle name="Komma" xfId="3" builtinId="3"/>
    <cellStyle name="Komma 2" xfId="17"/>
    <cellStyle name="Komma 3" xfId="18"/>
    <cellStyle name="Link" xfId="1" builtinId="8"/>
    <cellStyle name="Link 2" xfId="6"/>
    <cellStyle name="Neutral 2" xfId="19"/>
    <cellStyle name="Normal" xfId="0" builtinId="0"/>
    <cellStyle name="Normal 10" xfId="4"/>
    <cellStyle name="Normal 2" xfId="7"/>
    <cellStyle name="Normal 2 2" xfId="20"/>
    <cellStyle name="Normal 3" xfId="8"/>
    <cellStyle name="Normal 4" xfId="31"/>
    <cellStyle name="Normal 6" xfId="21"/>
    <cellStyle name="Normal 6 2" xfId="22"/>
    <cellStyle name="Output 2" xfId="23"/>
    <cellStyle name="Output 2 2" xfId="29"/>
    <cellStyle name="Percen - Type1" xfId="24"/>
    <cellStyle name="Percent 2" xfId="9"/>
    <cellStyle name="Percent 3" xfId="32"/>
    <cellStyle name="Procent" xfId="2" builtinId="5"/>
    <cellStyle name="Procent 2" xfId="25"/>
    <cellStyle name="Procent 3" xfId="26"/>
    <cellStyle name="Total 2" xfId="27"/>
    <cellStyle name="Total 2 2" xfId="30"/>
  </cellStyles>
  <dxfs count="0"/>
  <tableStyles count="0" defaultTableStyle="TableStyleMedium2" defaultPivotStyle="PivotStyleLight16"/>
  <colors>
    <mruColors>
      <color rgb="FFFC1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76199</xdr:rowOff>
    </xdr:from>
    <xdr:to>
      <xdr:col>12</xdr:col>
      <xdr:colOff>0</xdr:colOff>
      <xdr:row>16</xdr:row>
      <xdr:rowOff>114300</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248025" y="323849"/>
          <a:ext cx="6515100" cy="2971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The data sheets are continuously updated as technologies evolve, if the data changes significantly or if errors are found.  The date for the latest update is listed</a:t>
          </a:r>
          <a:r>
            <a:rPr lang="da-DK" sz="1100" baseline="0">
              <a:solidFill>
                <a:schemeClr val="dk1"/>
              </a:solidFill>
              <a:effectLst/>
              <a:latin typeface="+mn-lt"/>
              <a:ea typeface="+mn-ea"/>
              <a:cs typeface="+mn-cs"/>
            </a:rPr>
            <a:t> in the index below and also  indicated in the specific datasheets. </a:t>
          </a:r>
          <a:endParaRPr lang="da-DK" sz="1100" b="1" baseline="0"/>
        </a:p>
        <a:p>
          <a:endParaRPr lang="da-DK" sz="1100" b="1"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85</a:t>
          </a:r>
          <a:r>
            <a:rPr lang="en-US" sz="1100" b="1" baseline="0">
              <a:solidFill>
                <a:schemeClr val="dk1"/>
              </a:solidFill>
              <a:effectLst/>
              <a:latin typeface="+mn-lt"/>
              <a:ea typeface="+mn-ea"/>
              <a:cs typeface="+mn-cs"/>
            </a:rPr>
            <a:t> Gasification of biomass for bio diesel has been overwritten with data from previous chapter 96. Chapter 96 has been removed.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1" i="0" u="none" strike="noStrike" kern="0" cap="none" spc="0" normalizeH="0" baseline="0" noProof="0">
              <a:ln>
                <a:noFill/>
              </a:ln>
              <a:solidFill>
                <a:sysClr val="windowText" lastClr="000000"/>
              </a:solidFill>
              <a:effectLst/>
              <a:uLnTx/>
              <a:uFillTx/>
              <a:latin typeface="+mn-lt"/>
              <a:ea typeface="+mn-ea"/>
              <a:cs typeface="+mn-cs"/>
            </a:rPr>
            <a:t>101 Catalytic hydropyrolysis configuration 1 - financial data added.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endParaRPr lang="en-US" sz="1100" b="1">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89-100</a:t>
          </a:r>
          <a:r>
            <a:rPr lang="en-US" sz="1100" b="1" baseline="0">
              <a:solidFill>
                <a:schemeClr val="dk1"/>
              </a:solidFill>
              <a:effectLst/>
              <a:latin typeface="+mn-lt"/>
              <a:ea typeface="+mn-ea"/>
              <a:cs typeface="+mn-cs"/>
            </a:rPr>
            <a:t> datasheets have been revised </a:t>
          </a:r>
          <a:r>
            <a:rPr lang="en-US" sz="1100" b="1" baseline="0">
              <a:solidFill>
                <a:srgbClr val="FF0000"/>
              </a:solidFill>
              <a:effectLst/>
              <a:latin typeface="+mn-lt"/>
              <a:ea typeface="+mn-ea"/>
              <a:cs typeface="+mn-cs"/>
            </a:rPr>
            <a:t>(update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101</a:t>
          </a:r>
          <a:r>
            <a:rPr lang="en-US" sz="1100" b="1" baseline="0">
              <a:solidFill>
                <a:sysClr val="windowText" lastClr="000000"/>
              </a:solidFill>
              <a:effectLst/>
              <a:latin typeface="+mn-lt"/>
              <a:ea typeface="+mn-ea"/>
              <a:cs typeface="+mn-cs"/>
            </a:rPr>
            <a:t> Catalytic hydropyrolysis in two configurations </a:t>
          </a:r>
          <a:r>
            <a:rPr lang="en-US" sz="1100" b="1" baseline="0">
              <a:solidFill>
                <a:srgbClr val="FF0000"/>
              </a:solidFill>
              <a:effectLst/>
              <a:latin typeface="+mn-lt"/>
              <a:ea typeface="+mn-ea"/>
              <a:cs typeface="+mn-cs"/>
            </a:rPr>
            <a:t>(added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83-88</a:t>
          </a:r>
          <a:r>
            <a:rPr lang="en-US" sz="1100" b="1" baseline="0">
              <a:solidFill>
                <a:sysClr val="windowText" lastClr="000000"/>
              </a:solidFill>
              <a:effectLst/>
              <a:latin typeface="+mn-lt"/>
              <a:ea typeface="+mn-ea"/>
              <a:cs typeface="+mn-cs"/>
            </a:rPr>
            <a:t> Gasification and electrolysis </a:t>
          </a:r>
          <a:r>
            <a:rPr lang="en-US" sz="1100" b="1" baseline="0">
              <a:solidFill>
                <a:srgbClr val="FF0000"/>
              </a:solidFill>
              <a:effectLst/>
              <a:latin typeface="+mn-lt"/>
              <a:ea typeface="+mn-ea"/>
              <a:cs typeface="+mn-cs"/>
            </a:rPr>
            <a:t>(added Dec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102 Power to Jet </a:t>
          </a:r>
          <a:r>
            <a:rPr lang="en-US" sz="1100" b="1" baseline="0">
              <a:solidFill>
                <a:srgbClr val="FF0000"/>
              </a:solidFill>
              <a:effectLst/>
              <a:latin typeface="+mn-lt"/>
              <a:ea typeface="+mn-ea"/>
              <a:cs typeface="+mn-cs"/>
            </a:rPr>
            <a:t>(added May 2020)</a:t>
          </a:r>
          <a:r>
            <a:rPr lang="en-US" sz="1100" b="1" baseline="0">
              <a:solidFill>
                <a:sysClr val="windowText" lastClr="000000"/>
              </a:solidFill>
              <a:effectLst/>
              <a:latin typeface="+mn-lt"/>
              <a:ea typeface="+mn-ea"/>
              <a:cs typeface="+mn-cs"/>
            </a:rPr>
            <a:t> - minor adjustment (july 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ysClr val="windowText" lastClr="000000"/>
              </a:solidFill>
              <a:effectLst/>
              <a:latin typeface="+mn-lt"/>
              <a:ea typeface="+mn-ea"/>
              <a:cs typeface="+mn-cs"/>
            </a:rPr>
            <a:t>103 Hydrogen to Ammonia </a:t>
          </a:r>
          <a:r>
            <a:rPr lang="en-US" sz="1100" b="1" baseline="0">
              <a:solidFill>
                <a:srgbClr val="FF0000"/>
              </a:solidFill>
              <a:effectLst/>
              <a:latin typeface="+mn-lt"/>
              <a:ea typeface="+mn-ea"/>
              <a:cs typeface="+mn-cs"/>
            </a:rPr>
            <a:t>(added February 2021 - adjustet April 2021)</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dk1"/>
              </a:solidFill>
              <a:effectLst/>
              <a:latin typeface="+mn-lt"/>
              <a:ea typeface="+mn-ea"/>
              <a:cs typeface="+mn-cs"/>
            </a:rPr>
            <a:t>86-88 have been replaced with chapter 86 on electrolysis</a:t>
          </a:r>
          <a:r>
            <a:rPr lang="en-US" sz="1100" b="1" baseline="0">
              <a:solidFill>
                <a:srgbClr val="FF0000"/>
              </a:solidFill>
              <a:effectLst/>
              <a:latin typeface="+mn-lt"/>
              <a:ea typeface="+mn-ea"/>
              <a:cs typeface="+mn-cs"/>
            </a:rPr>
            <a:t> (added April 2021)</a:t>
          </a:r>
          <a:endParaRPr lang="da-DK"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dk1"/>
              </a:solidFill>
              <a:effectLst/>
              <a:latin typeface="+mn-lt"/>
              <a:ea typeface="+mn-ea"/>
              <a:cs typeface="+mn-cs"/>
            </a:rPr>
            <a:t>104 Methane pyrolysis </a:t>
          </a:r>
          <a:r>
            <a:rPr lang="en-US" sz="1100" b="1" baseline="0">
              <a:solidFill>
                <a:srgbClr val="FF0000"/>
              </a:solidFill>
              <a:effectLst/>
              <a:latin typeface="+mn-lt"/>
              <a:ea typeface="+mn-ea"/>
              <a:cs typeface="+mn-cs"/>
            </a:rPr>
            <a:t>(added April 2021)</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tx1"/>
              </a:solidFill>
              <a:effectLst/>
              <a:latin typeface="+mn-lt"/>
              <a:ea typeface="+mn-ea"/>
              <a:cs typeface="+mn-cs"/>
            </a:rPr>
            <a:t>105 Slow pyrolysis </a:t>
          </a:r>
          <a:r>
            <a:rPr lang="en-US" sz="1100" b="1" baseline="0">
              <a:solidFill>
                <a:srgbClr val="FF0000"/>
              </a:solidFill>
              <a:effectLst/>
              <a:latin typeface="+mn-lt"/>
              <a:ea typeface="+mn-ea"/>
              <a:cs typeface="+mn-cs"/>
            </a:rPr>
            <a:t>(added April 2021)</a:t>
          </a:r>
          <a:endParaRPr lang="da-DK"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11" Type="http://schemas.openxmlformats.org/officeDocument/2006/relationships/printerSettings" Target="../printerSettings/printerSettings9.bin"/><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intechopen.com/books/hydrogenation/hydroconversion-of-triglycerides-into-green-liquid-fuels" TargetMode="External"/><Relationship Id="rId13"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www.uop.com/wp-content/uploads/2012/12/UOP-Hydrorefining-Green-Diesel-Tech-Paper.pdf" TargetMode="External"/><Relationship Id="rId7" Type="http://schemas.openxmlformats.org/officeDocument/2006/relationships/hyperlink" Target="http://www.extension.iastate.edu/agdm/energy/xls/d1-15biodieselprofitability.xlsx" TargetMode="External"/><Relationship Id="rId12" Type="http://schemas.openxmlformats.org/officeDocument/2006/relationships/hyperlink" Target="https://www.neste.com/sites/default/files/attachments/neste_renewable_diesel_handbook.pdf" TargetMode="External"/><Relationship Id="rId2" Type="http://schemas.openxmlformats.org/officeDocument/2006/relationships/hyperlink" Target="https://www.epa.gov/sites/production/files/2017-05/documents/reg-geismar-deter-ltr-2017-04-13.pdf" TargetMode="External"/><Relationship Id="rId1" Type="http://schemas.openxmlformats.org/officeDocument/2006/relationships/hyperlink" Target="https://www.arb.ca.gov/fuels/lcfs/2a2b/apps/nes-na-tallow-rpt-011414.pdf" TargetMode="External"/><Relationship Id="rId6" Type="http://schemas.openxmlformats.org/officeDocument/2006/relationships/hyperlink" Target="https://www.eia.gov/dnav/pet/pet_pri_spt_s1_d.htm" TargetMode="External"/><Relationship Id="rId11" Type="http://schemas.openxmlformats.org/officeDocument/2006/relationships/hyperlink" Target="https://www.prnewswire.com/news-releases/diamond-green-diesel-to-be-expanded-to-275-million-gallons-annually-300248085.html" TargetMode="External"/><Relationship Id="rId5" Type="http://schemas.openxmlformats.org/officeDocument/2006/relationships/hyperlink" Target="https://www.neste.com/en/corporate-info/investors/financials" TargetMode="External"/><Relationship Id="rId10" Type="http://schemas.openxmlformats.org/officeDocument/2006/relationships/hyperlink" Target="https://doi.org/10.1016/j.seta.2014.01.008" TargetMode="External"/><Relationship Id="rId4" Type="http://schemas.openxmlformats.org/officeDocument/2006/relationships/hyperlink" Target="https://www.doi.org/10.1002/bbb.1613" TargetMode="External"/><Relationship Id="rId9" Type="http://schemas.openxmlformats.org/officeDocument/2006/relationships/hyperlink" Target="https://doi.org/10.1186/s13068-017-0945-3" TargetMode="External"/><Relationship Id="rId1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hyperlink" Target="https://doi.org/10.1186/s13068-017-0739-7" TargetMode="External"/><Relationship Id="rId7" Type="http://schemas.openxmlformats.org/officeDocument/2006/relationships/hyperlink" Target="https://www.doi.org/10.1002/bbb.1613" TargetMode="External"/><Relationship Id="rId2" Type="http://schemas.openxmlformats.org/officeDocument/2006/relationships/hyperlink" Target="https://dspace.library.uu.nl/bitstream/handle/1874/347665/MSc%20Thesis%20K.Y%20Antonissen%2c%20May%202016%20%281%29.pdf?sequence=2&amp;isAllowed=y" TargetMode="External"/><Relationship Id="rId1" Type="http://schemas.openxmlformats.org/officeDocument/2006/relationships/hyperlink" Target="https://energy.gov/sites/prod/files/2017/07/f35/BETO_2017WTE-Workshop_BryanSherbacow-AltAir.pdf" TargetMode="External"/><Relationship Id="rId6" Type="http://schemas.openxmlformats.org/officeDocument/2006/relationships/hyperlink" Target="http://web.mit.edu/aeroastro/partner/reports/proj28/partner-proj28-2010-001.pdf" TargetMode="External"/><Relationship Id="rId5" Type="http://schemas.openxmlformats.org/officeDocument/2006/relationships/hyperlink" Target="https://doi.org/10.2516/ogst/2014007" TargetMode="External"/><Relationship Id="rId4" Type="http://schemas.openxmlformats.org/officeDocument/2006/relationships/hyperlink" Target="https://doi.org/10.1186/s13068-017-0945-3"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www.extension.iastate.edu/agdm/energy/xls/d1-10ethanolprofitability.xlsx" TargetMode="External"/><Relationship Id="rId3" Type="http://schemas.openxmlformats.org/officeDocument/2006/relationships/hyperlink" Target="http://naldc.nal.usda.gov/download/22550/PDF" TargetMode="External"/><Relationship Id="rId7" Type="http://schemas.openxmlformats.org/officeDocument/2006/relationships/hyperlink" Target="http://epure.org/media/1610/2016-industry-statistics.pdf" TargetMode="External"/><Relationship Id="rId2" Type="http://schemas.openxmlformats.org/officeDocument/2006/relationships/hyperlink" Target="http://epure.org/about-ethanol/fuel-market/fuel-blends/" TargetMode="External"/><Relationship Id="rId1" Type="http://schemas.openxmlformats.org/officeDocument/2006/relationships/hyperlink" Target="https://ens.dk/sites/ens.dk/files/Statistik/energy_statistics_2015.pdf" TargetMode="External"/><Relationship Id="rId6" Type="http://schemas.openxmlformats.org/officeDocument/2006/relationships/hyperlink" Target="http://epure.org/media/1137/state-of-the-industry-report-2014.pdf" TargetMode="External"/><Relationship Id="rId5" Type="http://schemas.openxmlformats.org/officeDocument/2006/relationships/hyperlink" Target="http://www.eia.gov/cfapps/ipdbproject/IEDIndex3.cfm?tid=79&amp;pid=79&amp;aid=1" TargetMode="External"/><Relationship Id="rId10" Type="http://schemas.openxmlformats.org/officeDocument/2006/relationships/hyperlink" Target="http://ringneckenergy.com/wp-content/uploads/2016/12/2015_PPM_w_Exhibits.pdf" TargetMode="External"/><Relationship Id="rId4" Type="http://schemas.openxmlformats.org/officeDocument/2006/relationships/hyperlink" Target="http://task39.sites.olt.ubc.ca/files/2013/05/IEA_Bioenergy_Task-39_Improving_carbon_and_energy_balance.pdf" TargetMode="External"/><Relationship Id="rId9" Type="http://schemas.openxmlformats.org/officeDocument/2006/relationships/hyperlink" Target="http://www.capjournal.com/news/ringneck-energy-pouring-cement-building-foundations-for-ethanol-plant-near/article_4ee23aac-adec-11e7-80fb-a7814e744ba7.htm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doi.org/10.1016/j.fuel.2014.11.078" TargetMode="External"/><Relationship Id="rId3" Type="http://schemas.openxmlformats.org/officeDocument/2006/relationships/hyperlink" Target="https://ec.europa.eu/energy/sites/ener/files/documents/32_dharmesh_mahajan-honeywell.pdf" TargetMode="External"/><Relationship Id="rId7" Type="http://schemas.openxmlformats.org/officeDocument/2006/relationships/hyperlink" Target="http://dx.doi.org/10.1080/17597269.2015.1118780" TargetMode="External"/><Relationship Id="rId12" Type="http://schemas.openxmlformats.org/officeDocument/2006/relationships/hyperlink" Target="http://www.etc-cte.ec.gc.ca/databases/oilproperties/pdf/web_bunker_c_fuel_oil.pdf" TargetMode="External"/><Relationship Id="rId2" Type="http://schemas.openxmlformats.org/officeDocument/2006/relationships/hyperlink" Target="https://www.btg-btl.com/en/company/projects/empyro" TargetMode="External"/><Relationship Id="rId1" Type="http://schemas.openxmlformats.org/officeDocument/2006/relationships/hyperlink" Target="http://www.gastechnology.org/tcbiomass/tcb2015/Muggen_Gerhard-Presentation-tcbiomass2015.pdf" TargetMode="External"/><Relationship Id="rId6" Type="http://schemas.openxmlformats.org/officeDocument/2006/relationships/hyperlink" Target="https://www.nrel.gov/docs/fy11osti/46586.pdf" TargetMode="External"/><Relationship Id="rId11" Type="http://schemas.openxmlformats.org/officeDocument/2006/relationships/hyperlink" Target="https://www.btg-btl.com/en/applications/oilproperties" TargetMode="External"/><Relationship Id="rId5" Type="http://schemas.openxmlformats.org/officeDocument/2006/relationships/hyperlink" Target="https://www.btg-btl.com/nieuwsbrieven/2017/november/en" TargetMode="External"/><Relationship Id="rId10" Type="http://schemas.openxmlformats.org/officeDocument/2006/relationships/hyperlink" Target="https://www.energy.gov/sites/prod/files/2016/10/f33/Graham_0.pdf" TargetMode="External"/><Relationship Id="rId4" Type="http://schemas.openxmlformats.org/officeDocument/2006/relationships/hyperlink" Target="https://doi.org/10.1016/S0146-6380(99)00120-5" TargetMode="External"/><Relationship Id="rId9" Type="http://schemas.openxmlformats.org/officeDocument/2006/relationships/hyperlink" Target="http://www.besustainablemagazine.com/cms2/empyro-bv-breaks-ground-of-its-biomass-to-liquid-pyrolysis-plant/"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doi.org/10.1016/j.energy.2014.09.042" TargetMode="External"/><Relationship Id="rId7" Type="http://schemas.openxmlformats.org/officeDocument/2006/relationships/hyperlink" Target="https://www.nrel.gov/docs/fy12osti/52636.pdf" TargetMode="External"/><Relationship Id="rId2" Type="http://schemas.openxmlformats.org/officeDocument/2006/relationships/hyperlink" Target="http://serenergy.com/wp-content/uploads/2015/11/GreenSynFuels_report_final.pdf" TargetMode="External"/><Relationship Id="rId1" Type="http://schemas.openxmlformats.org/officeDocument/2006/relationships/hyperlink" Target="https://doi.org/10.1016/j.biombioe.2014.03.063" TargetMode="External"/><Relationship Id="rId6" Type="http://schemas.openxmlformats.org/officeDocument/2006/relationships/hyperlink" Target="http://www.varmlandsmetanol.se/dokument/Folder%20VM%20sept%202016.pdf" TargetMode="External"/><Relationship Id="rId5" Type="http://schemas.openxmlformats.org/officeDocument/2006/relationships/hyperlink" Target="http://www.varmlandsmetanol.se/Om%20Projektet.htm" TargetMode="External"/><Relationship Id="rId4" Type="http://schemas.openxmlformats.org/officeDocument/2006/relationships/hyperlink" Target="http://task39.sites.olt.ubc.ca/files/2012/01/IEA-Bioenergy-Task-39-Newsletter-Issue-42-April-2016.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doi.org/10.1016/j.renene.2015.07.066" TargetMode="External"/><Relationship Id="rId13" Type="http://schemas.openxmlformats.org/officeDocument/2006/relationships/hyperlink" Target="http://carbonrecycling.is/comercial-scale/" TargetMode="External"/><Relationship Id="rId3" Type="http://schemas.openxmlformats.org/officeDocument/2006/relationships/hyperlink" Target="https://www.co2-cato.org/cato-download/4123/20170512_143353_20-11.00-Stefansson-public.pdf" TargetMode="External"/><Relationship Id="rId7" Type="http://schemas.openxmlformats.org/officeDocument/2006/relationships/hyperlink" Target="https://energy.gov/sites/prod/files/2017/06/f34/fcto_may_2017_h2_scale_wkshp_hovsapian.pdf" TargetMode="External"/><Relationship Id="rId12" Type="http://schemas.openxmlformats.org/officeDocument/2006/relationships/hyperlink" Target="http://www.enea-consulting.com/wp-content/uploads/2016/01/ENEA-Consulting-The-potential-of-power-to-gas.pdf" TargetMode="External"/><Relationship Id="rId2" Type="http://schemas.openxmlformats.org/officeDocument/2006/relationships/hyperlink" Target="https://eu-ems.com/event_images/presentations/Benedikt%20Stefansson%20presentation.pdf" TargetMode="External"/><Relationship Id="rId1" Type="http://schemas.openxmlformats.org/officeDocument/2006/relationships/hyperlink" Target="http://serenergy.com/next-generation-of-methanol-fuel-cell-vehicles-sees-the-light-of-day/" TargetMode="External"/><Relationship Id="rId6" Type="http://schemas.openxmlformats.org/officeDocument/2006/relationships/hyperlink" Target="http://www.methanol.org/the-methanol-industry/" TargetMode="External"/><Relationship Id="rId11" Type="http://schemas.openxmlformats.org/officeDocument/2006/relationships/hyperlink" Target="https://dx.doi.org/10.2790/981669" TargetMode="External"/><Relationship Id="rId5" Type="http://schemas.openxmlformats.org/officeDocument/2006/relationships/hyperlink" Target="http://dx.doi.org/10.1016/j.ijhydene.2015.12.074" TargetMode="External"/><Relationship Id="rId10" Type="http://schemas.openxmlformats.org/officeDocument/2006/relationships/hyperlink" Target="https://www.topsoe.com/processes/gasoline-synthesis/gasoline-synthesis-tigas" TargetMode="External"/><Relationship Id="rId4" Type="http://schemas.openxmlformats.org/officeDocument/2006/relationships/hyperlink" Target="http://www.mefco2.eu/pdf/MefCO2_Brochure_00.pdf" TargetMode="External"/><Relationship Id="rId9" Type="http://schemas.openxmlformats.org/officeDocument/2006/relationships/hyperlink" Target="http://serenergy.com/wp-content/uploads/2015/11/GreenSynFuels_report_final.pdf"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di-verlag.de/media/content/gwf-GE/gwf_Gas_5_14/gwf-GE_05_2014_FB_Kurt.pdf?xaf26a=7841c984ef837209544e" TargetMode="External"/><Relationship Id="rId2" Type="http://schemas.openxmlformats.org/officeDocument/2006/relationships/hyperlink" Target="https://www.aramis.admin.ch/Default.aspx?DocumentID=45656&amp;Load=true" TargetMode="External"/><Relationship Id="rId1" Type="http://schemas.openxmlformats.org/officeDocument/2006/relationships/hyperlink" Target="https://doi.org/10.1016/j.renene.2015.07.066" TargetMode="External"/><Relationship Id="rId6" Type="http://schemas.openxmlformats.org/officeDocument/2006/relationships/hyperlink" Target="http://www.hz-inova.com/cms/en/home?p=6276" TargetMode="External"/><Relationship Id="rId5" Type="http://schemas.openxmlformats.org/officeDocument/2006/relationships/hyperlink" Target="https://www.tuwien.ac.at/fileadmin/t/tuwien/fotos/pa/download/2015/HM2015/Flyer_Power_to_Bio--Gas_EN.pdf" TargetMode="External"/><Relationship Id="rId4" Type="http://schemas.openxmlformats.org/officeDocument/2006/relationships/hyperlink" Target="https://doi.org/10.1002/wene.97"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www.licella.com.au/news/licella-canfor-joint-venture-at-the-forefront-of-global-bioenergy/" TargetMode="External"/><Relationship Id="rId3" Type="http://schemas.openxmlformats.org/officeDocument/2006/relationships/hyperlink" Target="http://www.etc-cte.ec.gc.ca/databases/oilproperties/pdf/web_bunker_c_fuel_oil.pdf" TargetMode="External"/><Relationship Id="rId7" Type="http://schemas.openxmlformats.org/officeDocument/2006/relationships/hyperlink" Target="https://doi.org/10.1016/j.apenergy.2014.03.053" TargetMode="External"/><Relationship Id="rId12" Type="http://schemas.openxmlformats.org/officeDocument/2006/relationships/hyperlink" Target="https://doi.org/10.1002/bbb.1831" TargetMode="External"/><Relationship Id="rId2" Type="http://schemas.openxmlformats.org/officeDocument/2006/relationships/hyperlink" Target="https://doi.org/10.1007/s13399-017-0248-8" TargetMode="External"/><Relationship Id="rId1" Type="http://schemas.openxmlformats.org/officeDocument/2006/relationships/hyperlink" Target="http://steeperenergy.com/2017/12/15/steeper-energy-announces-eur-50-6-m-dkk-377-m-advanced-biofuel-project-with-norwegian-swedish-joint-venture-silva-green-fuel-in-licensing-deal/" TargetMode="External"/><Relationship Id="rId6" Type="http://schemas.openxmlformats.org/officeDocument/2006/relationships/hyperlink" Target="https://www.bio.org/sites/default/files/0830AM-Perry%20Toms.pdf" TargetMode="External"/><Relationship Id="rId11" Type="http://schemas.openxmlformats.org/officeDocument/2006/relationships/hyperlink" Target="https://doi.org/10.13044/j.sdewes.d5.0177" TargetMode="External"/><Relationship Id="rId5" Type="http://schemas.openxmlformats.org/officeDocument/2006/relationships/hyperlink" Target="https://doi.org/10.1007/s13399-017-0248-8" TargetMode="External"/><Relationship Id="rId10" Type="http://schemas.openxmlformats.org/officeDocument/2006/relationships/hyperlink" Target="http://www.ourenergypolicy.org/wp-content/uploads/2015/08/60462.pdf" TargetMode="External"/><Relationship Id="rId4" Type="http://schemas.openxmlformats.org/officeDocument/2006/relationships/hyperlink" Target="http://www.biofuelsdigest.com/bdigest/2017/02/02/fracking-biomass-steeper-energy-and-the-pursuit-of-renewable-hydrocarbons/" TargetMode="External"/><Relationship Id="rId9" Type="http://schemas.openxmlformats.org/officeDocument/2006/relationships/hyperlink" Target="https://doi.org/10.1016/B978-0-08-101029-7.00009-6"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hyperlink" Target="http://www.volund.dk/Biomass_energy/Technologies/Gasification_of_biomas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ens.dk/sites/ens.dk/files/Statistik/energy_statistics_2015.pdf" TargetMode="External"/><Relationship Id="rId13" Type="http://schemas.openxmlformats.org/officeDocument/2006/relationships/hyperlink" Target="http://www.adktroutguide.com/files/1999_Phd_Thesis_-_Kinetics_Selectivity_and_Scaleup_of_FT_Synthesis.pdf" TargetMode="External"/><Relationship Id="rId18" Type="http://schemas.openxmlformats.org/officeDocument/2006/relationships/printerSettings" Target="../printerSettings/printerSettings3.bin"/><Relationship Id="rId3" Type="http://schemas.openxmlformats.org/officeDocument/2006/relationships/hyperlink" Target="https://www.doi.org/10.1021/ef302003f" TargetMode="External"/><Relationship Id="rId7" Type="http://schemas.openxmlformats.org/officeDocument/2006/relationships/hyperlink" Target="https://doi.org/10.13031/2013.30383" TargetMode="External"/><Relationship Id="rId12" Type="http://schemas.openxmlformats.org/officeDocument/2006/relationships/hyperlink" Target="http://web.anl.gov/PCS/acsfuel/preprint%20archive/Files/39_4_WASHINGTON%20DC_08-94_1146.pdf" TargetMode="External"/><Relationship Id="rId17" Type="http://schemas.openxmlformats.org/officeDocument/2006/relationships/hyperlink" Target="https://www.doi.org/10.1002/bbb.1613" TargetMode="External"/><Relationship Id="rId2" Type="http://schemas.openxmlformats.org/officeDocument/2006/relationships/hyperlink" Target="http://acee.princeton.edu/wp-content/uploads/2016/10/Kreutz-et-al-PCC-2008-10-7-08.pdf" TargetMode="External"/><Relationship Id="rId16" Type="http://schemas.openxmlformats.org/officeDocument/2006/relationships/hyperlink" Target="http://platformduurzamebiobrandstoffen.nl/wp-content/uploads/2017/07/2017_SGAB_Cost-of-Biofuels.pdf" TargetMode="External"/><Relationship Id="rId1" Type="http://schemas.openxmlformats.org/officeDocument/2006/relationships/hyperlink" Target="https://www.doi.org/10.1002/bbb.1710" TargetMode="External"/><Relationship Id="rId6" Type="http://schemas.openxmlformats.org/officeDocument/2006/relationships/hyperlink" Target="http://www.velocys.com/our-biorefineries/" TargetMode="External"/><Relationship Id="rId11" Type="http://schemas.openxmlformats.org/officeDocument/2006/relationships/hyperlink" Target="https://biorrefineria.blogspot.ca/2017/06/velocys-plans-for-construction-of-commercial-BTL-plant-move-forward.html" TargetMode="External"/><Relationship Id="rId5" Type="http://schemas.openxmlformats.org/officeDocument/2006/relationships/hyperlink" Target="https://doi.org/10.1016/j.jechem.2015.11.005" TargetMode="External"/><Relationship Id="rId15" Type="http://schemas.openxmlformats.org/officeDocument/2006/relationships/hyperlink" Target="http://www.irena.org/DocumentDownloads/Publications/IRENA_Innovation_Outlook_Advanced_Liquid_Biofuels_2016.pdf" TargetMode="External"/><Relationship Id="rId10" Type="http://schemas.openxmlformats.org/officeDocument/2006/relationships/hyperlink" Target="http://www.velocys.com/establishment-of-a-strategic-alliance-with-tri/" TargetMode="External"/><Relationship Id="rId4" Type="http://schemas.openxmlformats.org/officeDocument/2006/relationships/hyperlink" Target="https://doi.org/10.1039/C6EE00935B" TargetMode="External"/><Relationship Id="rId9" Type="http://schemas.openxmlformats.org/officeDocument/2006/relationships/hyperlink" Target="https://www.doi.org/10.3389/fsufs.2017.00002" TargetMode="External"/><Relationship Id="rId14" Type="http://schemas.openxmlformats.org/officeDocument/2006/relationships/hyperlink" Target="https://www.ien.com/operations/news/20980331/mississippi-lands-biofuel-refinery"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4"/>
  <sheetViews>
    <sheetView tabSelected="1" workbookViewId="0"/>
  </sheetViews>
  <sheetFormatPr defaultColWidth="10.85546875" defaultRowHeight="15" x14ac:dyDescent="0.25"/>
  <cols>
    <col min="1" max="1" width="27" style="506" bestFit="1" customWidth="1"/>
    <col min="2" max="16384" width="10.85546875" style="254"/>
  </cols>
  <sheetData>
    <row r="1" spans="1:4" s="508" customFormat="1" ht="19.5" x14ac:dyDescent="0.3">
      <c r="A1" s="513" t="s">
        <v>585</v>
      </c>
      <c r="D1" s="508" t="s">
        <v>251</v>
      </c>
    </row>
    <row r="2" spans="1:4" ht="21" customHeight="1" x14ac:dyDescent="0.25">
      <c r="A2" s="507" t="s">
        <v>723</v>
      </c>
    </row>
    <row r="3" spans="1:4" x14ac:dyDescent="0.25">
      <c r="A3" s="507" t="s">
        <v>724</v>
      </c>
    </row>
    <row r="4" spans="1:4" x14ac:dyDescent="0.25">
      <c r="A4" s="507" t="s">
        <v>725</v>
      </c>
    </row>
    <row r="5" spans="1:4" x14ac:dyDescent="0.25">
      <c r="A5" s="507" t="s">
        <v>726</v>
      </c>
    </row>
    <row r="6" spans="1:4" x14ac:dyDescent="0.25">
      <c r="A6" s="507" t="s">
        <v>727</v>
      </c>
    </row>
    <row r="7" spans="1:4" x14ac:dyDescent="0.25">
      <c r="A7" s="507" t="s">
        <v>728</v>
      </c>
    </row>
    <row r="8" spans="1:4" x14ac:dyDescent="0.25">
      <c r="A8" s="507" t="s">
        <v>729</v>
      </c>
    </row>
    <row r="9" spans="1:4" x14ac:dyDescent="0.25">
      <c r="A9" s="507" t="s">
        <v>802</v>
      </c>
    </row>
    <row r="10" spans="1:4" x14ac:dyDescent="0.25">
      <c r="A10" s="507" t="s">
        <v>841</v>
      </c>
    </row>
    <row r="11" spans="1:4" x14ac:dyDescent="0.25">
      <c r="A11" s="507" t="s">
        <v>844</v>
      </c>
    </row>
    <row r="12" spans="1:4" x14ac:dyDescent="0.25">
      <c r="A12" s="507" t="s">
        <v>843</v>
      </c>
    </row>
    <row r="13" spans="1:4" x14ac:dyDescent="0.25">
      <c r="A13" s="507" t="s">
        <v>842</v>
      </c>
    </row>
    <row r="14" spans="1:4" x14ac:dyDescent="0.25">
      <c r="A14" s="507" t="s">
        <v>730</v>
      </c>
    </row>
    <row r="15" spans="1:4" x14ac:dyDescent="0.25">
      <c r="A15" s="507" t="s">
        <v>731</v>
      </c>
    </row>
    <row r="16" spans="1:4" x14ac:dyDescent="0.25">
      <c r="A16" s="507" t="s">
        <v>732</v>
      </c>
    </row>
    <row r="17" spans="1:6" x14ac:dyDescent="0.25">
      <c r="A17" s="507" t="s">
        <v>733</v>
      </c>
    </row>
    <row r="18" spans="1:6" x14ac:dyDescent="0.25">
      <c r="A18" s="507" t="s">
        <v>734</v>
      </c>
    </row>
    <row r="19" spans="1:6" x14ac:dyDescent="0.25">
      <c r="A19" s="507" t="s">
        <v>735</v>
      </c>
    </row>
    <row r="20" spans="1:6" x14ac:dyDescent="0.25">
      <c r="A20" s="507" t="s">
        <v>736</v>
      </c>
      <c r="D20" s="254" t="s">
        <v>1013</v>
      </c>
      <c r="F20" s="514"/>
    </row>
    <row r="21" spans="1:6" x14ac:dyDescent="0.25">
      <c r="A21" s="507" t="s">
        <v>737</v>
      </c>
    </row>
    <row r="22" spans="1:6" x14ac:dyDescent="0.25">
      <c r="A22" s="507" t="s">
        <v>738</v>
      </c>
    </row>
    <row r="23" spans="1:6" x14ac:dyDescent="0.25">
      <c r="A23" s="507" t="s">
        <v>739</v>
      </c>
    </row>
    <row r="24" spans="1:6" x14ac:dyDescent="0.25">
      <c r="A24" s="507" t="s">
        <v>740</v>
      </c>
    </row>
    <row r="25" spans="1:6" x14ac:dyDescent="0.25">
      <c r="A25" s="507" t="s">
        <v>741</v>
      </c>
    </row>
    <row r="26" spans="1:6" x14ac:dyDescent="0.25">
      <c r="A26" s="507" t="s">
        <v>742</v>
      </c>
    </row>
    <row r="27" spans="1:6" x14ac:dyDescent="0.25">
      <c r="A27" s="507" t="s">
        <v>743</v>
      </c>
    </row>
    <row r="28" spans="1:6" x14ac:dyDescent="0.25">
      <c r="A28" s="507" t="s">
        <v>744</v>
      </c>
    </row>
    <row r="29" spans="1:6" x14ac:dyDescent="0.25">
      <c r="A29" s="507" t="s">
        <v>790</v>
      </c>
    </row>
    <row r="30" spans="1:6" x14ac:dyDescent="0.25">
      <c r="A30" s="507" t="s">
        <v>803</v>
      </c>
    </row>
    <row r="31" spans="1:6" x14ac:dyDescent="0.25">
      <c r="A31" s="507" t="s">
        <v>804</v>
      </c>
    </row>
    <row r="32" spans="1:6" x14ac:dyDescent="0.25">
      <c r="A32" s="507" t="s">
        <v>1012</v>
      </c>
    </row>
    <row r="33" spans="1:1" x14ac:dyDescent="0.25">
      <c r="A33" s="507" t="s">
        <v>1011</v>
      </c>
    </row>
    <row r="34" spans="1:1" x14ac:dyDescent="0.25">
      <c r="A34" s="507"/>
    </row>
  </sheetData>
  <hyperlinks>
    <hyperlink ref="A2" location="sheet2" display="81 Biogas Plant, Basic conf."/>
    <hyperlink ref="A3" location="sheet3" display="81 Biogas Plant, Add. Straw"/>
    <hyperlink ref="A4" location="sheet4" display="81 Biogas Plant, Add. Org Waste"/>
    <hyperlink ref="A5" location="sheet5" display="82 Biogas, upgrading"/>
    <hyperlink ref="A6" location="sheet6" display="83 Gasif. Fixed Bed, Producer "/>
    <hyperlink ref="A7" location="sheet7" display="84 Gasif. CFB, Bio-SNG"/>
    <hyperlink ref="A8" location="sheet8" display="85 Gasif. Ent. Flow FT, liq fu "/>
    <hyperlink ref="A14" location="sheet12" display="89 Vegetable oil FAME"/>
    <hyperlink ref="A15" location="sheet13" display="90 UCO &amp; animal fat FAME"/>
    <hyperlink ref="A16" location="sheet14" display="91 Hydrogenated veg oil"/>
    <hyperlink ref="A17" location="sheet15" display="92 HVO jet fuel"/>
    <hyperlink ref="A18" location="sheet16" display="93 1st generation ethanol"/>
    <hyperlink ref="A19" location="sheet17" display="94 Pyrolysis oils"/>
    <hyperlink ref="A20" location="sheet18" display="95 Cellulosic ethanol"/>
    <hyperlink ref="A21" location="sheet19" display="97 Methanol from biomass gasif."/>
    <hyperlink ref="A22" location="sheet20" display="98 Methanol from power"/>
    <hyperlink ref="A23" location="sheet21" display="99 SNG from methan. of biogas"/>
    <hyperlink ref="A24" location="sheet22" display="100 Hydrothermal liquifaction"/>
    <hyperlink ref="A25" location="sheet23" display="101 Catalytic Hydropyrolysis 2"/>
    <hyperlink ref="A26" location="sheet24" display="101 Catalytic Hydropyrolysis 1"/>
    <hyperlink ref="A27" location="sheet25" display="102 Hydrogen to Jet"/>
    <hyperlink ref="A28" location="sheet26" display="102 Power to Jet"/>
    <hyperlink ref="A29" location="'103 Hydrogen to Ammonia'!A1" display="102 Power to Jet"/>
    <hyperlink ref="A30" location="'104 Methane pyrolysis, MBR'!C3" display="104 Methane pyrolysis, MBR"/>
    <hyperlink ref="A31" location="'104 Methane pyrolysis, Plasma'!C3" display="104 Methane pyrolysis, Plasma"/>
    <hyperlink ref="A10" location="'86 AEC 100MW'!C3" display="86 AEC 100MW"/>
    <hyperlink ref="A11" location="'86 PEMEC 1MW'!C3" display="86 PEMEC 1MW"/>
    <hyperlink ref="A12" location="'86 PEMEC 100MW'!C3" display="86 PEMEC 100MW"/>
    <hyperlink ref="A13" location="'86 SOEC 1MW'!C3" display="86 SOEC 1MW"/>
    <hyperlink ref="A9" location="'86 AEC 1MW'!C3" display="86 AEC 1MW"/>
    <hyperlink ref="A32" location="'105 Slow pyrolysis, straw'!A1" display="105 Slow pyrolysis, Straw"/>
    <hyperlink ref="A33" location="'105 Slow pyrolysis, digestate'!A1" display="105 Slow pyrolysis, Digestate"/>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2"/>
  <sheetViews>
    <sheetView showGridLines="0" zoomScaleNormal="10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619" t="s">
        <v>880</v>
      </c>
      <c r="D3" s="620"/>
      <c r="E3" s="620"/>
      <c r="F3" s="620"/>
      <c r="G3" s="620"/>
      <c r="H3" s="620"/>
      <c r="I3" s="620"/>
      <c r="J3" s="620"/>
      <c r="K3" s="620"/>
      <c r="L3" s="620"/>
    </row>
    <row r="4" spans="1:13" x14ac:dyDescent="0.25">
      <c r="A4" s="1"/>
      <c r="B4" s="171"/>
      <c r="C4" s="545">
        <v>2020</v>
      </c>
      <c r="D4" s="545">
        <v>2030</v>
      </c>
      <c r="E4" s="545">
        <v>2040</v>
      </c>
      <c r="F4" s="545">
        <v>2050</v>
      </c>
      <c r="G4" s="621" t="s">
        <v>25</v>
      </c>
      <c r="H4" s="621"/>
      <c r="I4" s="621" t="s">
        <v>24</v>
      </c>
      <c r="J4" s="621"/>
      <c r="K4" s="545" t="s">
        <v>19</v>
      </c>
      <c r="L4" s="545" t="s">
        <v>18</v>
      </c>
      <c r="M4" s="10"/>
    </row>
    <row r="5" spans="1:13" x14ac:dyDescent="0.25">
      <c r="A5" s="1"/>
      <c r="B5" s="100" t="s">
        <v>15</v>
      </c>
      <c r="C5" s="100"/>
      <c r="D5" s="100"/>
      <c r="E5" s="100"/>
      <c r="F5" s="100"/>
      <c r="G5" s="545" t="s">
        <v>17</v>
      </c>
      <c r="H5" s="545" t="s">
        <v>16</v>
      </c>
      <c r="I5" s="545" t="s">
        <v>17</v>
      </c>
      <c r="J5" s="545" t="s">
        <v>16</v>
      </c>
      <c r="K5" s="100"/>
      <c r="L5" s="239"/>
      <c r="M5" s="172"/>
    </row>
    <row r="6" spans="1:13" x14ac:dyDescent="0.25">
      <c r="A6" s="1"/>
      <c r="B6" s="171" t="s">
        <v>846</v>
      </c>
      <c r="C6" s="190">
        <v>100</v>
      </c>
      <c r="D6" s="190">
        <v>100</v>
      </c>
      <c r="E6" s="190">
        <v>100</v>
      </c>
      <c r="F6" s="190">
        <v>100</v>
      </c>
      <c r="G6" s="190">
        <v>100</v>
      </c>
      <c r="H6" s="190">
        <v>100</v>
      </c>
      <c r="I6" s="190">
        <v>100</v>
      </c>
      <c r="J6" s="190">
        <v>100</v>
      </c>
      <c r="K6" s="110"/>
      <c r="L6" s="239"/>
      <c r="M6" s="10"/>
    </row>
    <row r="7" spans="1:13" x14ac:dyDescent="0.25">
      <c r="A7" s="1"/>
      <c r="B7" s="171" t="s">
        <v>920</v>
      </c>
      <c r="C7" s="190">
        <f t="shared" ref="C7:J7" si="0">C6*3600*(C15/100)*24/120</f>
        <v>47880</v>
      </c>
      <c r="D7" s="190">
        <f t="shared" si="0"/>
        <v>48960.000000000007</v>
      </c>
      <c r="E7" s="190">
        <f t="shared" si="0"/>
        <v>51480</v>
      </c>
      <c r="F7" s="190">
        <f t="shared" si="0"/>
        <v>54000</v>
      </c>
      <c r="G7" s="190">
        <f t="shared" si="0"/>
        <v>45360</v>
      </c>
      <c r="H7" s="190">
        <f t="shared" si="0"/>
        <v>50399.999999999993</v>
      </c>
      <c r="I7" s="190">
        <f t="shared" si="0"/>
        <v>50399.999999999993</v>
      </c>
      <c r="J7" s="190">
        <f t="shared" si="0"/>
        <v>57600</v>
      </c>
      <c r="K7" s="110" t="s">
        <v>847</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909</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910</v>
      </c>
      <c r="C12" s="190">
        <f t="shared" ref="C12:J12" si="1">C21+(C21*8)</f>
        <v>179.56795679567958</v>
      </c>
      <c r="D12" s="190">
        <f t="shared" si="1"/>
        <v>183.61836183618362</v>
      </c>
      <c r="E12" s="190">
        <f t="shared" si="1"/>
        <v>193.06930693069307</v>
      </c>
      <c r="F12" s="190">
        <f t="shared" si="1"/>
        <v>202.52025202520252</v>
      </c>
      <c r="G12" s="190">
        <f t="shared" si="1"/>
        <v>170.11701170117013</v>
      </c>
      <c r="H12" s="190">
        <f t="shared" si="1"/>
        <v>189.01890189018903</v>
      </c>
      <c r="I12" s="190">
        <f t="shared" si="1"/>
        <v>189.01890189018903</v>
      </c>
      <c r="J12" s="190">
        <f t="shared" si="1"/>
        <v>216.02160216021602</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911</v>
      </c>
      <c r="C15" s="219">
        <f>(63+70)/2</f>
        <v>66.5</v>
      </c>
      <c r="D15" s="219">
        <f>(65+71)/2</f>
        <v>68</v>
      </c>
      <c r="E15" s="219">
        <f>(D15+F15)/2</f>
        <v>71.5</v>
      </c>
      <c r="F15" s="219">
        <f>(70+80)/2</f>
        <v>75</v>
      </c>
      <c r="G15" s="219">
        <v>63</v>
      </c>
      <c r="H15" s="219">
        <v>70</v>
      </c>
      <c r="I15" s="219">
        <v>70</v>
      </c>
      <c r="J15" s="219">
        <v>80</v>
      </c>
      <c r="K15" s="110" t="s">
        <v>4</v>
      </c>
      <c r="L15" s="239" t="s">
        <v>848</v>
      </c>
      <c r="M15" s="186"/>
    </row>
    <row r="16" spans="1:13" x14ac:dyDescent="0.25">
      <c r="A16" s="1"/>
      <c r="B16" s="171" t="s">
        <v>912</v>
      </c>
      <c r="C16" s="219">
        <f t="shared" ref="C16:J16" si="2">(C21*39.4/1000*100)-C15</f>
        <v>12.110861086108613</v>
      </c>
      <c r="D16" s="219">
        <f t="shared" si="2"/>
        <v>12.384038403840378</v>
      </c>
      <c r="E16" s="219">
        <f t="shared" si="2"/>
        <v>13.021452145214511</v>
      </c>
      <c r="F16" s="219">
        <f t="shared" si="2"/>
        <v>13.658865886588657</v>
      </c>
      <c r="G16" s="219">
        <f t="shared" si="2"/>
        <v>11.473447344734481</v>
      </c>
      <c r="H16" s="219">
        <f t="shared" si="2"/>
        <v>12.748274827482746</v>
      </c>
      <c r="I16" s="219">
        <f t="shared" si="2"/>
        <v>12.748274827482746</v>
      </c>
      <c r="J16" s="219">
        <f t="shared" si="2"/>
        <v>14.569456945694569</v>
      </c>
      <c r="K16" s="110" t="s">
        <v>694</v>
      </c>
      <c r="L16" s="239"/>
      <c r="M16" s="10"/>
    </row>
    <row r="17" spans="1:13" x14ac:dyDescent="0.25">
      <c r="A17" s="1"/>
      <c r="B17" s="171" t="s">
        <v>913</v>
      </c>
      <c r="C17" s="219">
        <f>100-C15-C16</f>
        <v>21.389138913891387</v>
      </c>
      <c r="D17" s="219">
        <f t="shared" ref="D17:J17" si="3">100-D15-D16</f>
        <v>19.615961596159622</v>
      </c>
      <c r="E17" s="219">
        <f t="shared" si="3"/>
        <v>15.478547854785489</v>
      </c>
      <c r="F17" s="219">
        <f t="shared" si="3"/>
        <v>11.341134113411343</v>
      </c>
      <c r="G17" s="219">
        <f t="shared" si="3"/>
        <v>25.526552655265519</v>
      </c>
      <c r="H17" s="219">
        <f t="shared" si="3"/>
        <v>17.251725172517254</v>
      </c>
      <c r="I17" s="219">
        <f t="shared" si="3"/>
        <v>17.251725172517254</v>
      </c>
      <c r="J17" s="219">
        <f t="shared" si="3"/>
        <v>5.4305430543054314</v>
      </c>
      <c r="K17" s="110"/>
      <c r="L17" s="239"/>
      <c r="M17" s="10"/>
    </row>
    <row r="18" spans="1:13" x14ac:dyDescent="0.25">
      <c r="A18" s="1"/>
      <c r="B18" s="171" t="s">
        <v>849</v>
      </c>
      <c r="C18" s="219">
        <v>3</v>
      </c>
      <c r="D18" s="219">
        <v>3</v>
      </c>
      <c r="E18" s="219">
        <v>3</v>
      </c>
      <c r="F18" s="219">
        <v>3</v>
      </c>
      <c r="G18" s="219">
        <v>3</v>
      </c>
      <c r="H18" s="219">
        <v>3</v>
      </c>
      <c r="I18" s="219">
        <v>3</v>
      </c>
      <c r="J18" s="219">
        <v>3</v>
      </c>
      <c r="K18" s="110" t="s">
        <v>5</v>
      </c>
      <c r="L18" s="239"/>
      <c r="M18" s="10"/>
    </row>
    <row r="19" spans="1:13" ht="14.1" customHeight="1" x14ac:dyDescent="0.25">
      <c r="A19" s="1"/>
      <c r="B19" s="171" t="s">
        <v>850</v>
      </c>
      <c r="C19" s="219">
        <f>C17-C18</f>
        <v>18.389138913891387</v>
      </c>
      <c r="D19" s="219">
        <f t="shared" ref="D19:J19" si="4">D17-D18</f>
        <v>16.615961596159622</v>
      </c>
      <c r="E19" s="219">
        <f t="shared" si="4"/>
        <v>12.478547854785489</v>
      </c>
      <c r="F19" s="219">
        <f t="shared" si="4"/>
        <v>8.3411341134113428</v>
      </c>
      <c r="G19" s="219">
        <f t="shared" si="4"/>
        <v>22.526552655265519</v>
      </c>
      <c r="H19" s="219">
        <f t="shared" si="4"/>
        <v>14.251725172517254</v>
      </c>
      <c r="I19" s="219">
        <f t="shared" si="4"/>
        <v>14.251725172517254</v>
      </c>
      <c r="J19" s="219">
        <f t="shared" si="4"/>
        <v>2.4305430543054314</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914</v>
      </c>
      <c r="C21" s="219">
        <f>C15/100/33.33*1000</f>
        <v>19.951995199519953</v>
      </c>
      <c r="D21" s="219">
        <f t="shared" ref="D21:J21" si="5">D15/33.33*1000/100</f>
        <v>20.402040204020402</v>
      </c>
      <c r="E21" s="219">
        <f t="shared" si="5"/>
        <v>21.452145214521451</v>
      </c>
      <c r="F21" s="219">
        <f t="shared" si="5"/>
        <v>22.502250225022504</v>
      </c>
      <c r="G21" s="219">
        <f t="shared" si="5"/>
        <v>18.901890189018903</v>
      </c>
      <c r="H21" s="219">
        <f t="shared" si="5"/>
        <v>21.002100210021002</v>
      </c>
      <c r="I21" s="219">
        <f t="shared" si="5"/>
        <v>21.002100210021002</v>
      </c>
      <c r="J21" s="219">
        <f t="shared" si="5"/>
        <v>24.002400240024002</v>
      </c>
      <c r="K21" s="110" t="s">
        <v>4</v>
      </c>
      <c r="L21" s="239" t="s">
        <v>848</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25</v>
      </c>
      <c r="D25" s="190">
        <v>30</v>
      </c>
      <c r="E25" s="190">
        <v>32</v>
      </c>
      <c r="F25" s="190">
        <v>35</v>
      </c>
      <c r="G25" s="190">
        <v>25</v>
      </c>
      <c r="H25" s="190">
        <v>25</v>
      </c>
      <c r="I25" s="190">
        <v>30</v>
      </c>
      <c r="J25" s="190">
        <v>35</v>
      </c>
      <c r="K25" s="110" t="s">
        <v>592</v>
      </c>
      <c r="L25" s="239" t="s">
        <v>851</v>
      </c>
      <c r="M25" s="10"/>
    </row>
    <row r="26" spans="1:13" x14ac:dyDescent="0.25">
      <c r="A26" s="1"/>
      <c r="B26" s="171" t="s">
        <v>12</v>
      </c>
      <c r="C26" s="136">
        <v>0.33</v>
      </c>
      <c r="D26" s="136">
        <v>0.33</v>
      </c>
      <c r="E26" s="136">
        <v>0.33</v>
      </c>
      <c r="F26" s="136">
        <v>0.33</v>
      </c>
      <c r="G26" s="136">
        <v>0.33</v>
      </c>
      <c r="H26" s="136">
        <v>0.33</v>
      </c>
      <c r="I26" s="136">
        <v>0.33</v>
      </c>
      <c r="J26" s="136">
        <v>0.33</v>
      </c>
      <c r="K26" s="110" t="s">
        <v>852</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952</v>
      </c>
      <c r="C28" s="136"/>
      <c r="D28" s="136"/>
      <c r="E28" s="136"/>
      <c r="F28" s="136"/>
      <c r="G28" s="136"/>
      <c r="H28" s="136"/>
      <c r="I28" s="136"/>
      <c r="J28" s="136"/>
      <c r="K28" s="110"/>
      <c r="L28" s="239"/>
      <c r="M28" s="10"/>
    </row>
    <row r="29" spans="1:13" x14ac:dyDescent="0.25">
      <c r="A29" s="1"/>
      <c r="B29" s="171" t="s">
        <v>853</v>
      </c>
      <c r="C29" s="190">
        <v>650</v>
      </c>
      <c r="D29" s="190">
        <v>450</v>
      </c>
      <c r="E29" s="190">
        <v>300</v>
      </c>
      <c r="F29" s="190">
        <v>250</v>
      </c>
      <c r="G29" s="190">
        <v>400</v>
      </c>
      <c r="H29" s="190">
        <v>800</v>
      </c>
      <c r="I29" s="190">
        <v>150</v>
      </c>
      <c r="J29" s="190">
        <v>400</v>
      </c>
      <c r="K29" s="110" t="s">
        <v>854</v>
      </c>
      <c r="L29" s="239"/>
      <c r="M29" s="189"/>
    </row>
    <row r="30" spans="1:13" x14ac:dyDescent="0.25">
      <c r="A30" s="1"/>
      <c r="B30" s="171" t="s">
        <v>921</v>
      </c>
      <c r="C30" s="190">
        <f t="shared" ref="C30:J30" si="6">C29/(C7/1000/C6)</f>
        <v>1357.5605680868839</v>
      </c>
      <c r="D30" s="190">
        <f t="shared" si="6"/>
        <v>919.11764705882331</v>
      </c>
      <c r="E30" s="190">
        <f t="shared" si="6"/>
        <v>582.75058275058279</v>
      </c>
      <c r="F30" s="190">
        <f t="shared" si="6"/>
        <v>462.96296296296293</v>
      </c>
      <c r="G30" s="190">
        <f t="shared" si="6"/>
        <v>881.83421516754845</v>
      </c>
      <c r="H30" s="190">
        <f t="shared" si="6"/>
        <v>1587.3015873015877</v>
      </c>
      <c r="I30" s="190">
        <f t="shared" si="6"/>
        <v>297.61904761904771</v>
      </c>
      <c r="J30" s="190">
        <f t="shared" si="6"/>
        <v>694.44444444444434</v>
      </c>
      <c r="K30" s="110" t="s">
        <v>855</v>
      </c>
      <c r="L30" s="239"/>
      <c r="M30" s="10"/>
    </row>
    <row r="31" spans="1:13" x14ac:dyDescent="0.25">
      <c r="A31" s="1"/>
      <c r="B31" s="171" t="s">
        <v>242</v>
      </c>
      <c r="C31" s="190">
        <v>90</v>
      </c>
      <c r="D31" s="190">
        <v>90</v>
      </c>
      <c r="E31" s="190">
        <v>90</v>
      </c>
      <c r="F31" s="190">
        <v>90</v>
      </c>
      <c r="G31" s="190">
        <v>90</v>
      </c>
      <c r="H31" s="190">
        <v>90</v>
      </c>
      <c r="I31" s="190">
        <v>90</v>
      </c>
      <c r="J31" s="190">
        <v>90</v>
      </c>
      <c r="K31" s="110" t="s">
        <v>0</v>
      </c>
      <c r="L31" s="239"/>
      <c r="M31" s="10"/>
    </row>
    <row r="32" spans="1:13" x14ac:dyDescent="0.25">
      <c r="A32" s="1"/>
      <c r="B32" s="171" t="s">
        <v>243</v>
      </c>
      <c r="C32" s="190">
        <v>10</v>
      </c>
      <c r="D32" s="190">
        <v>10</v>
      </c>
      <c r="E32" s="190">
        <v>10</v>
      </c>
      <c r="F32" s="190">
        <v>10</v>
      </c>
      <c r="G32" s="190">
        <v>10</v>
      </c>
      <c r="H32" s="190">
        <v>10</v>
      </c>
      <c r="I32" s="190">
        <v>10</v>
      </c>
      <c r="J32" s="190">
        <v>10</v>
      </c>
      <c r="K32" s="110" t="s">
        <v>0</v>
      </c>
      <c r="L32" s="239"/>
      <c r="M32" s="10"/>
    </row>
    <row r="33" spans="1:14" x14ac:dyDescent="0.25">
      <c r="A33" s="1"/>
      <c r="B33" s="171" t="s">
        <v>915</v>
      </c>
      <c r="C33" s="190">
        <v>2</v>
      </c>
      <c r="D33" s="190">
        <v>2</v>
      </c>
      <c r="E33" s="190">
        <v>2</v>
      </c>
      <c r="F33" s="190">
        <v>2</v>
      </c>
      <c r="G33" s="190">
        <v>2</v>
      </c>
      <c r="H33" s="190">
        <v>2</v>
      </c>
      <c r="I33" s="190">
        <v>2</v>
      </c>
      <c r="J33" s="190">
        <v>2</v>
      </c>
      <c r="K33" s="110" t="s">
        <v>856</v>
      </c>
      <c r="L33" s="239" t="s">
        <v>857</v>
      </c>
      <c r="M33" s="10"/>
    </row>
    <row r="34" spans="1:14" x14ac:dyDescent="0.25">
      <c r="A34" s="1"/>
      <c r="B34" s="171" t="s">
        <v>858</v>
      </c>
      <c r="C34" s="136" t="s">
        <v>28</v>
      </c>
      <c r="D34" s="136" t="s">
        <v>28</v>
      </c>
      <c r="E34" s="136" t="s">
        <v>28</v>
      </c>
      <c r="F34" s="136" t="s">
        <v>28</v>
      </c>
      <c r="G34" s="136"/>
      <c r="H34" s="136"/>
      <c r="I34" s="136"/>
      <c r="J34" s="136"/>
      <c r="K34" s="110" t="s">
        <v>692</v>
      </c>
      <c r="L34" s="239"/>
      <c r="M34" s="10"/>
    </row>
    <row r="35" spans="1:14" x14ac:dyDescent="0.25">
      <c r="A35" s="1"/>
      <c r="B35" s="171" t="s">
        <v>859</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244</v>
      </c>
      <c r="C37" s="136"/>
      <c r="D37" s="136"/>
      <c r="E37" s="136"/>
      <c r="F37" s="136"/>
      <c r="G37" s="136"/>
      <c r="H37" s="136"/>
      <c r="I37" s="136"/>
      <c r="J37" s="136"/>
      <c r="K37" s="110"/>
      <c r="L37" s="239"/>
      <c r="M37" s="10"/>
    </row>
    <row r="38" spans="1:14" x14ac:dyDescent="0.25">
      <c r="A38" s="1"/>
      <c r="B38" s="171" t="s">
        <v>916</v>
      </c>
      <c r="C38" s="219">
        <v>0.6</v>
      </c>
      <c r="D38" s="219">
        <v>1</v>
      </c>
      <c r="E38" s="219">
        <v>1.2</v>
      </c>
      <c r="F38" s="219">
        <v>1.5</v>
      </c>
      <c r="G38" s="219">
        <v>0.4</v>
      </c>
      <c r="H38" s="219">
        <v>0.6</v>
      </c>
      <c r="I38" s="219">
        <v>1.2</v>
      </c>
      <c r="J38" s="219">
        <v>1.5</v>
      </c>
      <c r="K38" s="110" t="s">
        <v>41</v>
      </c>
      <c r="L38" s="239" t="s">
        <v>860</v>
      </c>
      <c r="M38" s="193"/>
    </row>
    <row r="39" spans="1:14" ht="17.100000000000001" customHeight="1" x14ac:dyDescent="0.25">
      <c r="A39" s="1"/>
      <c r="B39" s="171" t="s">
        <v>917</v>
      </c>
      <c r="C39" s="561">
        <v>12.5</v>
      </c>
      <c r="D39" s="561">
        <v>10</v>
      </c>
      <c r="E39" s="561">
        <v>8</v>
      </c>
      <c r="F39" s="561">
        <v>7.5</v>
      </c>
      <c r="G39" s="561">
        <v>10</v>
      </c>
      <c r="H39" s="561">
        <v>15</v>
      </c>
      <c r="I39" s="561">
        <v>5</v>
      </c>
      <c r="J39" s="561">
        <v>10</v>
      </c>
      <c r="K39" s="562" t="s">
        <v>41</v>
      </c>
      <c r="L39" s="560" t="s">
        <v>860</v>
      </c>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44"/>
      <c r="D42" s="196"/>
      <c r="E42" s="196"/>
      <c r="F42" s="196"/>
      <c r="G42" s="196"/>
      <c r="H42" s="92"/>
      <c r="I42" s="92"/>
      <c r="N42" s="10"/>
    </row>
    <row r="43" spans="1:14" ht="14.45" hidden="1" customHeight="1" x14ac:dyDescent="0.25">
      <c r="A43" s="606"/>
      <c r="B43" s="606"/>
      <c r="C43" s="606"/>
      <c r="D43" s="606"/>
      <c r="E43" s="606"/>
      <c r="F43" s="606"/>
      <c r="G43" s="606"/>
      <c r="H43" s="606"/>
      <c r="I43" s="606"/>
      <c r="J43" s="543"/>
      <c r="K43" s="146"/>
      <c r="L43" s="606"/>
      <c r="M43" s="606"/>
      <c r="N43" s="10"/>
    </row>
    <row r="44" spans="1:14" ht="14.45" hidden="1" customHeight="1" x14ac:dyDescent="0.25">
      <c r="A44" s="146"/>
      <c r="C44" s="606"/>
      <c r="D44" s="607"/>
      <c r="E44" s="607"/>
      <c r="F44" s="607"/>
      <c r="G44" s="607"/>
      <c r="H44" s="607"/>
      <c r="I44" s="607"/>
      <c r="J44" s="607"/>
      <c r="K44" s="607"/>
      <c r="L44" s="606"/>
      <c r="M44" s="606"/>
      <c r="N44" s="10"/>
    </row>
    <row r="45" spans="1:14" ht="14.45" hidden="1" customHeight="1" x14ac:dyDescent="0.25">
      <c r="A45" s="170"/>
      <c r="B45" s="606"/>
      <c r="C45" s="607"/>
      <c r="D45" s="607"/>
      <c r="E45" s="607"/>
      <c r="F45" s="607"/>
      <c r="G45" s="607"/>
      <c r="H45" s="607"/>
      <c r="I45" s="607"/>
      <c r="J45" s="607"/>
      <c r="K45" s="146"/>
      <c r="L45" s="606"/>
      <c r="M45" s="606"/>
      <c r="N45" s="10"/>
    </row>
    <row r="46" spans="1:14" ht="14.45" hidden="1" customHeight="1" x14ac:dyDescent="0.25">
      <c r="A46" s="146"/>
      <c r="C46" s="606"/>
      <c r="D46" s="607"/>
      <c r="E46" s="607"/>
      <c r="F46" s="607"/>
      <c r="G46" s="607"/>
      <c r="H46" s="607"/>
      <c r="I46" s="607"/>
      <c r="J46" s="607"/>
      <c r="K46" s="607"/>
      <c r="L46" s="606"/>
      <c r="M46" s="606"/>
      <c r="N46" s="10"/>
    </row>
    <row r="47" spans="1:14" ht="14.45" hidden="1" customHeight="1" x14ac:dyDescent="0.25">
      <c r="A47" s="146"/>
      <c r="B47" s="606"/>
      <c r="C47" s="607"/>
      <c r="D47" s="607"/>
      <c r="E47" s="607"/>
      <c r="F47" s="607"/>
      <c r="G47" s="607"/>
      <c r="H47" s="607"/>
      <c r="I47" s="607"/>
      <c r="J47" s="607"/>
      <c r="K47" s="146"/>
      <c r="L47" s="606"/>
      <c r="M47" s="606"/>
      <c r="N47" s="10"/>
    </row>
    <row r="48" spans="1:14" ht="3.95" hidden="1" customHeight="1" x14ac:dyDescent="0.25">
      <c r="B48" s="197"/>
      <c r="L48" s="606"/>
      <c r="M48" s="606"/>
      <c r="N48" s="10"/>
    </row>
    <row r="49" spans="1:14" x14ac:dyDescent="0.25">
      <c r="A49" s="146"/>
      <c r="B49" s="543"/>
      <c r="C49" s="543"/>
      <c r="D49" s="198"/>
      <c r="E49" s="543"/>
      <c r="F49" s="543"/>
      <c r="G49" s="543"/>
      <c r="H49" s="543"/>
      <c r="I49" s="543"/>
      <c r="J49" s="543"/>
      <c r="K49" s="146"/>
      <c r="L49" s="606"/>
      <c r="M49" s="606"/>
      <c r="N49" s="10"/>
    </row>
    <row r="50" spans="1:14" ht="14.45" customHeight="1" x14ac:dyDescent="0.25">
      <c r="A50" s="624" t="s">
        <v>6</v>
      </c>
      <c r="B50" s="624"/>
      <c r="C50" s="544"/>
      <c r="D50" s="544"/>
      <c r="E50" s="544"/>
      <c r="F50" s="544"/>
      <c r="G50" s="544"/>
      <c r="H50" s="544"/>
      <c r="I50" s="544"/>
      <c r="J50" s="544"/>
      <c r="K50" s="146"/>
      <c r="L50" s="606"/>
      <c r="M50" s="606"/>
      <c r="N50" s="10"/>
    </row>
    <row r="51" spans="1:14" x14ac:dyDescent="0.25">
      <c r="A51" s="149" t="s">
        <v>5</v>
      </c>
      <c r="B51" s="405" t="s">
        <v>881</v>
      </c>
      <c r="C51" s="410"/>
      <c r="D51" s="410"/>
      <c r="E51" s="410"/>
      <c r="F51" s="410"/>
      <c r="G51" s="410"/>
      <c r="H51" s="410"/>
      <c r="I51" s="410"/>
      <c r="J51" s="410"/>
      <c r="K51" s="402"/>
      <c r="L51" s="402"/>
      <c r="M51" s="402"/>
      <c r="N51" s="406"/>
    </row>
    <row r="52" spans="1:14" x14ac:dyDescent="0.25">
      <c r="A52" s="149" t="s">
        <v>4</v>
      </c>
      <c r="B52" s="405" t="s">
        <v>862</v>
      </c>
      <c r="C52" s="410"/>
      <c r="D52" s="410"/>
      <c r="E52" s="410"/>
      <c r="F52" s="410"/>
      <c r="G52" s="410"/>
      <c r="H52" s="410"/>
      <c r="I52" s="410"/>
      <c r="J52" s="410"/>
      <c r="K52" s="402"/>
      <c r="L52" s="402"/>
      <c r="M52" s="402"/>
      <c r="N52" s="407"/>
    </row>
    <row r="53" spans="1:14" ht="15" customHeight="1" x14ac:dyDescent="0.25">
      <c r="A53" s="149" t="s">
        <v>3</v>
      </c>
      <c r="B53" s="405" t="s">
        <v>882</v>
      </c>
      <c r="C53" s="404"/>
      <c r="D53" s="404"/>
      <c r="E53" s="404"/>
      <c r="F53" s="404"/>
      <c r="G53" s="404"/>
      <c r="H53" s="404"/>
      <c r="I53" s="404"/>
      <c r="J53" s="404"/>
      <c r="K53" s="404"/>
      <c r="L53" s="404"/>
      <c r="M53" s="404"/>
      <c r="N53" s="542"/>
    </row>
    <row r="54" spans="1:14" x14ac:dyDescent="0.25">
      <c r="A54" s="149" t="s">
        <v>2</v>
      </c>
      <c r="B54" s="405" t="s">
        <v>883</v>
      </c>
      <c r="D54" s="410"/>
      <c r="E54" s="410"/>
      <c r="F54" s="410"/>
      <c r="G54" s="410"/>
      <c r="H54" s="410"/>
      <c r="I54" s="410"/>
      <c r="J54" s="410"/>
      <c r="K54" s="410"/>
      <c r="L54" s="402"/>
      <c r="M54" s="402"/>
      <c r="N54" s="542"/>
    </row>
    <row r="55" spans="1:14" ht="15" customHeight="1" x14ac:dyDescent="0.25">
      <c r="A55" s="149" t="s">
        <v>1</v>
      </c>
      <c r="B55" s="405" t="s">
        <v>884</v>
      </c>
      <c r="C55" s="405"/>
      <c r="D55" s="405"/>
      <c r="E55" s="405"/>
      <c r="F55" s="405"/>
      <c r="G55" s="405"/>
      <c r="H55" s="405"/>
      <c r="I55" s="405"/>
      <c r="J55" s="405"/>
      <c r="K55" s="146"/>
      <c r="L55" s="91"/>
      <c r="M55" s="91"/>
      <c r="N55" s="542"/>
    </row>
    <row r="56" spans="1:14" ht="15" customHeight="1" x14ac:dyDescent="0.25">
      <c r="A56" s="149" t="s">
        <v>0</v>
      </c>
      <c r="B56" s="405" t="s">
        <v>885</v>
      </c>
      <c r="C56" s="405"/>
      <c r="D56" s="405"/>
      <c r="E56" s="405"/>
      <c r="F56" s="405"/>
      <c r="G56" s="405"/>
      <c r="H56" s="405"/>
      <c r="I56" s="405"/>
      <c r="J56" s="405"/>
      <c r="K56" s="405"/>
      <c r="L56" s="405"/>
      <c r="M56" s="405"/>
      <c r="N56" s="542"/>
    </row>
    <row r="57" spans="1:14" ht="15" customHeight="1" x14ac:dyDescent="0.25">
      <c r="A57" s="149" t="s">
        <v>40</v>
      </c>
      <c r="B57" s="91" t="s">
        <v>886</v>
      </c>
      <c r="C57" s="91"/>
      <c r="D57" s="91"/>
      <c r="E57" s="91"/>
      <c r="F57" s="91"/>
      <c r="G57" s="91"/>
      <c r="H57" s="91"/>
      <c r="I57" s="91"/>
      <c r="J57" s="91"/>
      <c r="K57" s="91"/>
      <c r="L57" s="91"/>
      <c r="M57" s="91"/>
      <c r="N57" s="542"/>
    </row>
    <row r="58" spans="1:14" ht="15" customHeight="1" x14ac:dyDescent="0.25">
      <c r="A58" s="149" t="s">
        <v>41</v>
      </c>
      <c r="B58" s="91" t="s">
        <v>887</v>
      </c>
      <c r="C58" s="91"/>
      <c r="D58" s="91"/>
      <c r="E58" s="91"/>
      <c r="F58" s="91"/>
      <c r="G58" s="91"/>
      <c r="H58" s="91"/>
      <c r="I58" s="91"/>
      <c r="J58" s="91"/>
      <c r="K58" s="91"/>
      <c r="L58" s="406"/>
      <c r="M58" s="406"/>
      <c r="N58" s="542"/>
    </row>
    <row r="59" spans="1:14" ht="15" customHeight="1" x14ac:dyDescent="0.25">
      <c r="A59" s="149" t="s">
        <v>127</v>
      </c>
      <c r="B59" s="91" t="s">
        <v>869</v>
      </c>
      <c r="C59" s="404"/>
      <c r="D59" s="404"/>
      <c r="E59" s="404"/>
      <c r="F59" s="404"/>
      <c r="G59" s="404"/>
      <c r="H59" s="404"/>
      <c r="I59" s="404"/>
      <c r="J59" s="404"/>
      <c r="K59" s="406"/>
      <c r="L59" s="406"/>
      <c r="M59" s="406"/>
      <c r="N59" s="542"/>
    </row>
    <row r="60" spans="1:14" ht="15" customHeight="1" x14ac:dyDescent="0.25">
      <c r="A60" s="149" t="s">
        <v>98</v>
      </c>
      <c r="B60" s="247" t="s">
        <v>870</v>
      </c>
      <c r="C60" s="247"/>
      <c r="D60" s="247"/>
      <c r="E60" s="247"/>
      <c r="F60" s="247"/>
      <c r="G60" s="247"/>
      <c r="H60" s="247"/>
      <c r="I60" s="247"/>
      <c r="J60" s="247"/>
      <c r="K60" s="247"/>
      <c r="L60" s="247"/>
      <c r="M60" s="247"/>
      <c r="N60" s="247"/>
    </row>
    <row r="61" spans="1:14" ht="15" customHeight="1" x14ac:dyDescent="0.25">
      <c r="A61" s="149" t="s">
        <v>110</v>
      </c>
      <c r="B61" s="247" t="s">
        <v>871</v>
      </c>
      <c r="C61" s="247"/>
      <c r="D61" s="247"/>
      <c r="E61" s="247"/>
      <c r="F61" s="247"/>
      <c r="G61" s="247"/>
      <c r="H61" s="247"/>
      <c r="I61" s="247"/>
      <c r="J61" s="247"/>
      <c r="K61" s="247"/>
      <c r="L61" s="247"/>
      <c r="M61" s="247"/>
      <c r="N61" s="247"/>
    </row>
    <row r="62" spans="1:14" x14ac:dyDescent="0.25">
      <c r="A62" s="149" t="s">
        <v>168</v>
      </c>
      <c r="B62" s="210" t="s">
        <v>872</v>
      </c>
      <c r="C62" s="408"/>
      <c r="D62" s="408"/>
      <c r="E62" s="408"/>
      <c r="F62" s="408"/>
      <c r="G62" s="408"/>
      <c r="H62" s="408"/>
      <c r="I62" s="408"/>
      <c r="J62" s="408"/>
      <c r="K62" s="408"/>
      <c r="L62" s="408"/>
      <c r="M62" s="408"/>
      <c r="N62" s="408"/>
    </row>
    <row r="63" spans="1:14" ht="15" customHeight="1" x14ac:dyDescent="0.25">
      <c r="A63" s="149" t="s">
        <v>692</v>
      </c>
      <c r="B63" s="247" t="s">
        <v>873</v>
      </c>
      <c r="C63" s="247"/>
      <c r="D63" s="247"/>
      <c r="E63" s="247"/>
      <c r="F63" s="247"/>
      <c r="G63" s="247"/>
      <c r="H63" s="247"/>
      <c r="I63" s="247"/>
      <c r="J63" s="247"/>
      <c r="K63" s="247"/>
      <c r="L63" s="247"/>
      <c r="M63" s="247"/>
      <c r="N63" s="247"/>
    </row>
    <row r="64" spans="1:14" x14ac:dyDescent="0.25">
      <c r="A64" s="149" t="s">
        <v>694</v>
      </c>
      <c r="B64" s="210" t="s">
        <v>874</v>
      </c>
      <c r="C64" s="408"/>
      <c r="D64" s="408"/>
      <c r="E64" s="408"/>
      <c r="F64" s="408"/>
      <c r="G64" s="408"/>
      <c r="H64" s="408"/>
      <c r="I64" s="408"/>
      <c r="J64" s="408"/>
      <c r="K64" s="408"/>
      <c r="L64" s="408"/>
      <c r="M64" s="408"/>
      <c r="N64" s="408"/>
    </row>
    <row r="65" spans="1:14" ht="15" customHeight="1" x14ac:dyDescent="0.25">
      <c r="A65" s="149" t="s">
        <v>875</v>
      </c>
      <c r="B65" s="247" t="s">
        <v>876</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42"/>
      <c r="K67" s="542"/>
      <c r="L67" s="542"/>
      <c r="M67" s="542"/>
      <c r="N67" s="542"/>
    </row>
    <row r="68" spans="1:14" x14ac:dyDescent="0.25">
      <c r="A68" s="1">
        <v>21</v>
      </c>
      <c r="B68" s="210" t="s">
        <v>877</v>
      </c>
      <c r="D68" s="541"/>
      <c r="E68" s="541"/>
      <c r="F68" s="541"/>
      <c r="G68" s="541"/>
      <c r="H68" s="541"/>
      <c r="I68" s="541"/>
      <c r="J68" s="541"/>
      <c r="K68" s="541"/>
      <c r="L68" s="542"/>
      <c r="M68" s="542"/>
      <c r="N68" s="542"/>
    </row>
    <row r="69" spans="1:14" x14ac:dyDescent="0.25">
      <c r="A69" s="1">
        <v>24</v>
      </c>
      <c r="B69" s="210" t="s">
        <v>878</v>
      </c>
      <c r="D69" s="541"/>
      <c r="E69" s="541"/>
      <c r="F69" s="541"/>
      <c r="G69" s="541"/>
      <c r="H69" s="541"/>
      <c r="I69" s="541"/>
      <c r="J69" s="541"/>
      <c r="K69" s="541"/>
      <c r="L69" s="542"/>
      <c r="M69" s="542"/>
      <c r="N69" s="542"/>
    </row>
    <row r="70" spans="1:14" x14ac:dyDescent="0.25">
      <c r="A70" s="1">
        <v>26</v>
      </c>
      <c r="B70" s="210" t="s">
        <v>879</v>
      </c>
      <c r="D70" s="541"/>
      <c r="E70" s="541"/>
      <c r="F70" s="541"/>
      <c r="G70" s="541"/>
      <c r="H70" s="541"/>
      <c r="I70" s="541"/>
      <c r="J70" s="541"/>
      <c r="K70" s="541"/>
      <c r="L70" s="542"/>
      <c r="M70" s="542"/>
      <c r="N70" s="542"/>
    </row>
    <row r="71" spans="1:14" x14ac:dyDescent="0.25">
      <c r="A71">
        <v>27</v>
      </c>
      <c r="B71" s="210" t="s">
        <v>919</v>
      </c>
      <c r="C71" s="542"/>
      <c r="D71" s="542"/>
      <c r="E71" s="542"/>
      <c r="F71" s="542"/>
      <c r="G71" s="542"/>
      <c r="H71" s="542"/>
      <c r="I71" s="542"/>
      <c r="J71" s="542"/>
      <c r="K71" s="542"/>
      <c r="L71" s="542"/>
      <c r="M71" s="542"/>
      <c r="N71" s="542"/>
    </row>
    <row r="72" spans="1:14" x14ac:dyDescent="0.25">
      <c r="B72" s="542"/>
      <c r="C72" s="542"/>
      <c r="D72" s="542"/>
      <c r="E72" s="542"/>
      <c r="F72" s="542"/>
      <c r="G72" s="542"/>
      <c r="H72" s="542"/>
      <c r="I72" s="542"/>
      <c r="J72" s="542"/>
      <c r="K72" s="542"/>
      <c r="L72" s="542"/>
      <c r="M72" s="542"/>
      <c r="N72" s="542"/>
    </row>
  </sheetData>
  <mergeCells count="17">
    <mergeCell ref="L48:M48"/>
    <mergeCell ref="L49:M49"/>
    <mergeCell ref="A50:B50"/>
    <mergeCell ref="L50:M50"/>
    <mergeCell ref="B45:J45"/>
    <mergeCell ref="L45:M45"/>
    <mergeCell ref="C46:K46"/>
    <mergeCell ref="L46:M46"/>
    <mergeCell ref="B47:J47"/>
    <mergeCell ref="L47:M47"/>
    <mergeCell ref="C44:K44"/>
    <mergeCell ref="L44:M44"/>
    <mergeCell ref="C3:L3"/>
    <mergeCell ref="G4:H4"/>
    <mergeCell ref="I4:J4"/>
    <mergeCell ref="A43:I43"/>
    <mergeCell ref="L43:M43"/>
  </mergeCells>
  <hyperlinks>
    <hyperlink ref="C3" location="INDEX" display="Biogas plant, additional straw input in the feedstock mix"/>
  </hyperlink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2"/>
  <sheetViews>
    <sheetView showGridLines="0" workbookViewId="0">
      <selection activeCell="B29" sqref="B29"/>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619" t="s">
        <v>888</v>
      </c>
      <c r="D3" s="620"/>
      <c r="E3" s="620"/>
      <c r="F3" s="620"/>
      <c r="G3" s="620"/>
      <c r="H3" s="620"/>
      <c r="I3" s="620"/>
      <c r="J3" s="620"/>
      <c r="K3" s="620"/>
      <c r="L3" s="620"/>
    </row>
    <row r="4" spans="1:13" x14ac:dyDescent="0.25">
      <c r="A4" s="1"/>
      <c r="B4" s="171"/>
      <c r="C4" s="545">
        <v>2020</v>
      </c>
      <c r="D4" s="545">
        <v>2030</v>
      </c>
      <c r="E4" s="545">
        <v>2040</v>
      </c>
      <c r="F4" s="545">
        <v>2050</v>
      </c>
      <c r="G4" s="621" t="s">
        <v>25</v>
      </c>
      <c r="H4" s="621"/>
      <c r="I4" s="621" t="s">
        <v>24</v>
      </c>
      <c r="J4" s="621"/>
      <c r="K4" s="545" t="s">
        <v>19</v>
      </c>
      <c r="L4" s="545" t="s">
        <v>18</v>
      </c>
      <c r="M4" s="10"/>
    </row>
    <row r="5" spans="1:13" x14ac:dyDescent="0.25">
      <c r="A5" s="1"/>
      <c r="B5" s="100" t="s">
        <v>15</v>
      </c>
      <c r="C5" s="100"/>
      <c r="D5" s="100"/>
      <c r="E5" s="100"/>
      <c r="F5" s="100"/>
      <c r="G5" s="545" t="s">
        <v>17</v>
      </c>
      <c r="H5" s="545" t="s">
        <v>16</v>
      </c>
      <c r="I5" s="545" t="s">
        <v>17</v>
      </c>
      <c r="J5" s="545" t="s">
        <v>16</v>
      </c>
      <c r="K5" s="100"/>
      <c r="L5" s="239"/>
      <c r="M5" s="172"/>
    </row>
    <row r="6" spans="1:13" x14ac:dyDescent="0.25">
      <c r="A6" s="1"/>
      <c r="B6" s="171" t="s">
        <v>846</v>
      </c>
      <c r="C6" s="190">
        <v>1</v>
      </c>
      <c r="D6" s="190">
        <v>1</v>
      </c>
      <c r="E6" s="190">
        <v>1</v>
      </c>
      <c r="F6" s="190">
        <v>1</v>
      </c>
      <c r="G6" s="190">
        <v>1</v>
      </c>
      <c r="H6" s="190">
        <v>1</v>
      </c>
      <c r="I6" s="190">
        <v>1</v>
      </c>
      <c r="J6" s="190">
        <v>1</v>
      </c>
      <c r="K6" s="110"/>
      <c r="L6" s="239"/>
      <c r="M6" s="10"/>
    </row>
    <row r="7" spans="1:13" x14ac:dyDescent="0.25">
      <c r="A7" s="1"/>
      <c r="B7" s="171" t="s">
        <v>920</v>
      </c>
      <c r="C7" s="190">
        <f t="shared" ref="C7:J7" si="0">C6*3600*(C15/100)*24/120</f>
        <v>417.6</v>
      </c>
      <c r="D7" s="190">
        <f t="shared" si="0"/>
        <v>471.6</v>
      </c>
      <c r="E7" s="190">
        <f t="shared" si="0"/>
        <v>489.6</v>
      </c>
      <c r="F7" s="190">
        <f t="shared" si="0"/>
        <v>507.6</v>
      </c>
      <c r="G7" s="190">
        <f t="shared" si="0"/>
        <v>432</v>
      </c>
      <c r="H7" s="190">
        <f t="shared" si="0"/>
        <v>460.8</v>
      </c>
      <c r="I7" s="190">
        <f t="shared" si="0"/>
        <v>489.6</v>
      </c>
      <c r="J7" s="190">
        <f t="shared" si="0"/>
        <v>504</v>
      </c>
      <c r="K7" s="110" t="s">
        <v>847</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909</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910</v>
      </c>
      <c r="C12" s="190">
        <f t="shared" ref="C12:J12" si="1">C21+(C21*8)</f>
        <v>156.6156615661566</v>
      </c>
      <c r="D12" s="190">
        <f t="shared" si="1"/>
        <v>176.86768676867689</v>
      </c>
      <c r="E12" s="190">
        <f t="shared" si="1"/>
        <v>183.61836183618362</v>
      </c>
      <c r="F12" s="190">
        <f t="shared" si="1"/>
        <v>190.36903690369036</v>
      </c>
      <c r="G12" s="190">
        <f t="shared" si="1"/>
        <v>162.01620162016201</v>
      </c>
      <c r="H12" s="190">
        <f t="shared" si="1"/>
        <v>172.81728172817284</v>
      </c>
      <c r="I12" s="190">
        <f t="shared" si="1"/>
        <v>183.61836183618362</v>
      </c>
      <c r="J12" s="190">
        <f t="shared" si="1"/>
        <v>189.01890189018903</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911</v>
      </c>
      <c r="C15" s="219">
        <f>(56+60)/2</f>
        <v>58</v>
      </c>
      <c r="D15" s="219">
        <f>(63+68)/2</f>
        <v>65.5</v>
      </c>
      <c r="E15" s="219">
        <f>(D15+F15)/2</f>
        <v>68</v>
      </c>
      <c r="F15" s="219">
        <f>(67+74)/2</f>
        <v>70.5</v>
      </c>
      <c r="G15" s="219">
        <v>60</v>
      </c>
      <c r="H15" s="219">
        <v>64</v>
      </c>
      <c r="I15" s="219">
        <v>68</v>
      </c>
      <c r="J15" s="219">
        <v>70</v>
      </c>
      <c r="K15" s="110" t="s">
        <v>4</v>
      </c>
      <c r="L15" s="239" t="s">
        <v>848</v>
      </c>
      <c r="M15" s="186"/>
    </row>
    <row r="16" spans="1:13" x14ac:dyDescent="0.25">
      <c r="A16" s="1"/>
      <c r="B16" s="171" t="s">
        <v>912</v>
      </c>
      <c r="C16" s="219">
        <f t="shared" ref="C16:J16" si="2">(C21*39.4/1000*100)-C15</f>
        <v>10.562856285628555</v>
      </c>
      <c r="D16" s="219">
        <f t="shared" si="2"/>
        <v>11.928742874287437</v>
      </c>
      <c r="E16" s="219">
        <f t="shared" si="2"/>
        <v>12.384038403840378</v>
      </c>
      <c r="F16" s="219">
        <f t="shared" si="2"/>
        <v>12.83933393339332</v>
      </c>
      <c r="G16" s="219">
        <f t="shared" si="2"/>
        <v>10.927092709270923</v>
      </c>
      <c r="H16" s="219">
        <f t="shared" si="2"/>
        <v>11.655565556555672</v>
      </c>
      <c r="I16" s="219">
        <f t="shared" si="2"/>
        <v>12.384038403840378</v>
      </c>
      <c r="J16" s="219">
        <f t="shared" si="2"/>
        <v>12.748274827482746</v>
      </c>
      <c r="K16" s="110" t="s">
        <v>694</v>
      </c>
      <c r="L16" s="239"/>
      <c r="M16" s="10"/>
    </row>
    <row r="17" spans="1:13" x14ac:dyDescent="0.25">
      <c r="A17" s="1"/>
      <c r="B17" s="171" t="s">
        <v>913</v>
      </c>
      <c r="C17" s="219">
        <f>100-C15-C16</f>
        <v>31.437143714371445</v>
      </c>
      <c r="D17" s="219">
        <f t="shared" ref="D17:J17" si="3">100-D15-D16</f>
        <v>22.571257125712563</v>
      </c>
      <c r="E17" s="219">
        <f t="shared" si="3"/>
        <v>19.615961596159622</v>
      </c>
      <c r="F17" s="219">
        <f t="shared" si="3"/>
        <v>16.66066606660668</v>
      </c>
      <c r="G17" s="219">
        <f t="shared" si="3"/>
        <v>29.072907290729077</v>
      </c>
      <c r="H17" s="219">
        <f t="shared" si="3"/>
        <v>24.344434443444328</v>
      </c>
      <c r="I17" s="219">
        <f t="shared" si="3"/>
        <v>19.615961596159622</v>
      </c>
      <c r="J17" s="219">
        <f t="shared" si="3"/>
        <v>17.251725172517254</v>
      </c>
      <c r="K17" s="110"/>
      <c r="L17" s="239"/>
      <c r="M17" s="10"/>
    </row>
    <row r="18" spans="1:13" x14ac:dyDescent="0.25">
      <c r="A18" s="1"/>
      <c r="B18" s="171" t="s">
        <v>849</v>
      </c>
      <c r="C18" s="219">
        <v>5</v>
      </c>
      <c r="D18" s="219">
        <v>5</v>
      </c>
      <c r="E18" s="219">
        <v>5</v>
      </c>
      <c r="F18" s="219">
        <v>5</v>
      </c>
      <c r="G18" s="219">
        <v>5</v>
      </c>
      <c r="H18" s="219">
        <v>5</v>
      </c>
      <c r="I18" s="219">
        <v>5</v>
      </c>
      <c r="J18" s="219">
        <v>5</v>
      </c>
      <c r="K18" s="110" t="s">
        <v>5</v>
      </c>
      <c r="L18" s="239"/>
      <c r="M18" s="10"/>
    </row>
    <row r="19" spans="1:13" ht="14.45" customHeight="1" x14ac:dyDescent="0.25">
      <c r="A19" s="1"/>
      <c r="B19" s="171" t="s">
        <v>850</v>
      </c>
      <c r="C19" s="219">
        <f>C17-C18</f>
        <v>26.437143714371445</v>
      </c>
      <c r="D19" s="219">
        <f t="shared" ref="D19:J19" si="4">D17-D18</f>
        <v>17.571257125712563</v>
      </c>
      <c r="E19" s="219">
        <f t="shared" si="4"/>
        <v>14.615961596159622</v>
      </c>
      <c r="F19" s="219">
        <f t="shared" si="4"/>
        <v>11.66066606660668</v>
      </c>
      <c r="G19" s="219">
        <f t="shared" si="4"/>
        <v>24.072907290729077</v>
      </c>
      <c r="H19" s="219">
        <f t="shared" si="4"/>
        <v>19.344434443444328</v>
      </c>
      <c r="I19" s="219">
        <f t="shared" si="4"/>
        <v>14.615961596159622</v>
      </c>
      <c r="J19" s="219">
        <f t="shared" si="4"/>
        <v>12.251725172517254</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914</v>
      </c>
      <c r="C21" s="219">
        <f t="shared" ref="C21:J21" si="5">C15/33.33*1000/100</f>
        <v>17.401740174017402</v>
      </c>
      <c r="D21" s="219">
        <f t="shared" si="5"/>
        <v>19.651965196519654</v>
      </c>
      <c r="E21" s="219">
        <f t="shared" si="5"/>
        <v>20.402040204020402</v>
      </c>
      <c r="F21" s="219">
        <f t="shared" si="5"/>
        <v>21.152115211521149</v>
      </c>
      <c r="G21" s="219">
        <f t="shared" si="5"/>
        <v>18.001800180018002</v>
      </c>
      <c r="H21" s="219">
        <f t="shared" si="5"/>
        <v>19.201920192019205</v>
      </c>
      <c r="I21" s="219">
        <f t="shared" si="5"/>
        <v>20.402040204020402</v>
      </c>
      <c r="J21" s="219">
        <f t="shared" si="5"/>
        <v>21.002100210021002</v>
      </c>
      <c r="K21" s="110" t="s">
        <v>4</v>
      </c>
      <c r="L21" s="239" t="s">
        <v>848</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20</v>
      </c>
      <c r="D25" s="190">
        <v>25</v>
      </c>
      <c r="E25" s="190">
        <v>28</v>
      </c>
      <c r="F25" s="190">
        <v>30</v>
      </c>
      <c r="G25" s="190">
        <v>20</v>
      </c>
      <c r="H25" s="190">
        <v>20</v>
      </c>
      <c r="I25" s="190">
        <v>25</v>
      </c>
      <c r="J25" s="190">
        <v>30</v>
      </c>
      <c r="K25" s="110" t="s">
        <v>592</v>
      </c>
      <c r="L25" s="239" t="s">
        <v>851</v>
      </c>
      <c r="M25" s="10"/>
    </row>
    <row r="26" spans="1:13" x14ac:dyDescent="0.25">
      <c r="A26" s="1"/>
      <c r="B26" s="171" t="s">
        <v>12</v>
      </c>
      <c r="C26" s="136">
        <v>0.33</v>
      </c>
      <c r="D26" s="136">
        <v>0.33</v>
      </c>
      <c r="E26" s="136">
        <v>0.33</v>
      </c>
      <c r="F26" s="136">
        <v>0.33</v>
      </c>
      <c r="G26" s="136">
        <v>0.33</v>
      </c>
      <c r="H26" s="136">
        <v>0.33</v>
      </c>
      <c r="I26" s="136">
        <v>0.33</v>
      </c>
      <c r="J26" s="136">
        <v>0.33</v>
      </c>
      <c r="K26" s="110" t="s">
        <v>852</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952</v>
      </c>
      <c r="C28" s="136"/>
      <c r="D28" s="136"/>
      <c r="E28" s="136"/>
      <c r="F28" s="136"/>
      <c r="G28" s="136"/>
      <c r="H28" s="136"/>
      <c r="I28" s="136"/>
      <c r="J28" s="136"/>
      <c r="K28" s="110"/>
      <c r="L28" s="239"/>
      <c r="M28" s="10"/>
    </row>
    <row r="29" spans="1:13" x14ac:dyDescent="0.25">
      <c r="A29" s="1"/>
      <c r="B29" s="171" t="s">
        <v>853</v>
      </c>
      <c r="C29" s="190">
        <v>925</v>
      </c>
      <c r="D29" s="190">
        <v>650</v>
      </c>
      <c r="E29" s="190">
        <v>450</v>
      </c>
      <c r="F29" s="190">
        <v>400</v>
      </c>
      <c r="G29" s="190">
        <v>700</v>
      </c>
      <c r="H29" s="190">
        <v>1250</v>
      </c>
      <c r="I29" s="190">
        <v>300</v>
      </c>
      <c r="J29" s="190">
        <v>500</v>
      </c>
      <c r="K29" s="110" t="s">
        <v>854</v>
      </c>
      <c r="L29" s="239"/>
      <c r="M29" s="189"/>
    </row>
    <row r="30" spans="1:13" x14ac:dyDescent="0.25">
      <c r="A30" s="1"/>
      <c r="B30" s="171" t="s">
        <v>921</v>
      </c>
      <c r="C30" s="190">
        <f t="shared" ref="C30:J30" si="6">(C21/1000)^-1/24*C29</f>
        <v>2214.8168103448279</v>
      </c>
      <c r="D30" s="190">
        <f t="shared" si="6"/>
        <v>1378.1488549618321</v>
      </c>
      <c r="E30" s="190">
        <f t="shared" si="6"/>
        <v>919.02573529411768</v>
      </c>
      <c r="F30" s="190">
        <f t="shared" si="6"/>
        <v>787.94326241134763</v>
      </c>
      <c r="G30" s="190">
        <f t="shared" si="6"/>
        <v>1620.2083333333333</v>
      </c>
      <c r="H30" s="190">
        <f t="shared" si="6"/>
        <v>2712.4023437499995</v>
      </c>
      <c r="I30" s="190">
        <f t="shared" si="6"/>
        <v>612.68382352941182</v>
      </c>
      <c r="J30" s="190">
        <f t="shared" si="6"/>
        <v>991.96428571428578</v>
      </c>
      <c r="K30" s="110" t="s">
        <v>855</v>
      </c>
      <c r="L30" s="239"/>
      <c r="M30" s="10"/>
    </row>
    <row r="31" spans="1:13" x14ac:dyDescent="0.25">
      <c r="A31" s="1"/>
      <c r="B31" s="171" t="s">
        <v>242</v>
      </c>
      <c r="C31" s="190">
        <v>95</v>
      </c>
      <c r="D31" s="190">
        <v>95</v>
      </c>
      <c r="E31" s="190">
        <v>95</v>
      </c>
      <c r="F31" s="190">
        <v>95</v>
      </c>
      <c r="G31" s="190">
        <v>95</v>
      </c>
      <c r="H31" s="190">
        <v>95</v>
      </c>
      <c r="I31" s="190">
        <v>95</v>
      </c>
      <c r="J31" s="190">
        <v>95</v>
      </c>
      <c r="K31" s="110" t="s">
        <v>0</v>
      </c>
      <c r="L31" s="239"/>
      <c r="M31" s="10"/>
    </row>
    <row r="32" spans="1:13" x14ac:dyDescent="0.25">
      <c r="A32" s="1"/>
      <c r="B32" s="171" t="s">
        <v>243</v>
      </c>
      <c r="C32" s="190">
        <v>5</v>
      </c>
      <c r="D32" s="190">
        <v>5</v>
      </c>
      <c r="E32" s="190">
        <v>5</v>
      </c>
      <c r="F32" s="190">
        <v>5</v>
      </c>
      <c r="G32" s="190">
        <v>5</v>
      </c>
      <c r="H32" s="190">
        <v>5</v>
      </c>
      <c r="I32" s="190">
        <v>5</v>
      </c>
      <c r="J32" s="190">
        <v>5</v>
      </c>
      <c r="K32" s="110" t="s">
        <v>0</v>
      </c>
      <c r="L32" s="239"/>
      <c r="M32" s="10"/>
    </row>
    <row r="33" spans="1:14" x14ac:dyDescent="0.25">
      <c r="A33" s="1"/>
      <c r="B33" s="171" t="s">
        <v>915</v>
      </c>
      <c r="C33" s="190">
        <v>7</v>
      </c>
      <c r="D33" s="190">
        <v>7</v>
      </c>
      <c r="E33" s="190">
        <v>7</v>
      </c>
      <c r="F33" s="190">
        <v>7</v>
      </c>
      <c r="G33" s="190">
        <v>7</v>
      </c>
      <c r="H33" s="190">
        <v>7</v>
      </c>
      <c r="I33" s="190">
        <v>7</v>
      </c>
      <c r="J33" s="190">
        <v>7</v>
      </c>
      <c r="K33" s="110" t="s">
        <v>856</v>
      </c>
      <c r="L33" s="239"/>
      <c r="M33" s="10"/>
    </row>
    <row r="34" spans="1:14" x14ac:dyDescent="0.25">
      <c r="A34" s="1"/>
      <c r="B34" s="171" t="s">
        <v>858</v>
      </c>
      <c r="C34" s="136" t="s">
        <v>28</v>
      </c>
      <c r="D34" s="136" t="s">
        <v>28</v>
      </c>
      <c r="E34" s="136" t="s">
        <v>28</v>
      </c>
      <c r="F34" s="136" t="s">
        <v>28</v>
      </c>
      <c r="G34" s="136"/>
      <c r="H34" s="136"/>
      <c r="I34" s="136"/>
      <c r="J34" s="136"/>
      <c r="K34" s="110" t="s">
        <v>692</v>
      </c>
      <c r="L34" s="239"/>
      <c r="M34" s="10"/>
    </row>
    <row r="35" spans="1:14" x14ac:dyDescent="0.25">
      <c r="A35" s="1"/>
      <c r="B35" s="171" t="s">
        <v>859</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26</v>
      </c>
      <c r="C37" s="136"/>
      <c r="D37" s="136"/>
      <c r="E37" s="136"/>
      <c r="F37" s="136"/>
      <c r="G37" s="136"/>
      <c r="H37" s="136"/>
      <c r="I37" s="136"/>
      <c r="J37" s="136"/>
      <c r="K37" s="110"/>
      <c r="L37" s="239"/>
      <c r="M37" s="10"/>
    </row>
    <row r="38" spans="1:14" x14ac:dyDescent="0.25">
      <c r="A38" s="1"/>
      <c r="B38" s="171" t="s">
        <v>916</v>
      </c>
      <c r="C38" s="219">
        <v>2.2000000000000002</v>
      </c>
      <c r="D38" s="219">
        <v>3.5</v>
      </c>
      <c r="E38" s="219">
        <v>3.8</v>
      </c>
      <c r="F38" s="219">
        <v>4</v>
      </c>
      <c r="G38" s="219">
        <v>2.2000000000000002</v>
      </c>
      <c r="H38" s="219">
        <v>2.2000000000000002</v>
      </c>
      <c r="I38" s="219">
        <v>3.2</v>
      </c>
      <c r="J38" s="219">
        <v>4</v>
      </c>
      <c r="K38" s="110"/>
      <c r="L38" s="239" t="s">
        <v>860</v>
      </c>
      <c r="M38" s="193"/>
    </row>
    <row r="39" spans="1:14" ht="17.100000000000001" customHeight="1" x14ac:dyDescent="0.25">
      <c r="A39" s="1"/>
      <c r="B39" s="171" t="s">
        <v>917</v>
      </c>
      <c r="C39" s="561">
        <v>20</v>
      </c>
      <c r="D39" s="561">
        <v>20</v>
      </c>
      <c r="E39" s="561">
        <v>20</v>
      </c>
      <c r="F39" s="561">
        <v>20</v>
      </c>
      <c r="G39" s="561">
        <v>20</v>
      </c>
      <c r="H39" s="561">
        <v>20</v>
      </c>
      <c r="I39" s="561">
        <v>20</v>
      </c>
      <c r="J39" s="561">
        <v>20</v>
      </c>
      <c r="K39" s="562" t="s">
        <v>41</v>
      </c>
      <c r="L39" s="560"/>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44"/>
      <c r="D42" s="196"/>
      <c r="E42" s="196"/>
      <c r="F42" s="196"/>
      <c r="G42" s="196"/>
      <c r="H42" s="92"/>
      <c r="I42" s="92"/>
      <c r="N42" s="10"/>
    </row>
    <row r="43" spans="1:14" ht="14.45" hidden="1" customHeight="1" x14ac:dyDescent="0.25">
      <c r="A43" s="606"/>
      <c r="B43" s="606"/>
      <c r="C43" s="606"/>
      <c r="D43" s="606"/>
      <c r="E43" s="606"/>
      <c r="F43" s="606"/>
      <c r="G43" s="606"/>
      <c r="H43" s="606"/>
      <c r="I43" s="606"/>
      <c r="J43" s="543"/>
      <c r="K43" s="146"/>
      <c r="L43" s="606"/>
      <c r="M43" s="606"/>
      <c r="N43" s="10"/>
    </row>
    <row r="44" spans="1:14" ht="14.45" hidden="1" customHeight="1" x14ac:dyDescent="0.25">
      <c r="A44" s="146"/>
      <c r="C44" s="606"/>
      <c r="D44" s="607"/>
      <c r="E44" s="607"/>
      <c r="F44" s="607"/>
      <c r="G44" s="607"/>
      <c r="H44" s="607"/>
      <c r="I44" s="607"/>
      <c r="J44" s="607"/>
      <c r="K44" s="607"/>
      <c r="L44" s="606"/>
      <c r="M44" s="606"/>
      <c r="N44" s="10"/>
    </row>
    <row r="45" spans="1:14" ht="14.45" hidden="1" customHeight="1" x14ac:dyDescent="0.25">
      <c r="A45" s="170"/>
      <c r="B45" s="606"/>
      <c r="C45" s="607"/>
      <c r="D45" s="607"/>
      <c r="E45" s="607"/>
      <c r="F45" s="607"/>
      <c r="G45" s="607"/>
      <c r="H45" s="607"/>
      <c r="I45" s="607"/>
      <c r="J45" s="607"/>
      <c r="K45" s="146"/>
      <c r="L45" s="606"/>
      <c r="M45" s="606"/>
      <c r="N45" s="10"/>
    </row>
    <row r="46" spans="1:14" ht="14.45" hidden="1" customHeight="1" x14ac:dyDescent="0.25">
      <c r="A46" s="146"/>
      <c r="C46" s="606"/>
      <c r="D46" s="607"/>
      <c r="E46" s="607"/>
      <c r="F46" s="607"/>
      <c r="G46" s="607"/>
      <c r="H46" s="607"/>
      <c r="I46" s="607"/>
      <c r="J46" s="607"/>
      <c r="K46" s="607"/>
      <c r="L46" s="606"/>
      <c r="M46" s="606"/>
      <c r="N46" s="10"/>
    </row>
    <row r="47" spans="1:14" ht="14.45" hidden="1" customHeight="1" x14ac:dyDescent="0.25">
      <c r="A47" s="146"/>
      <c r="B47" s="606"/>
      <c r="C47" s="607"/>
      <c r="D47" s="607"/>
      <c r="E47" s="607"/>
      <c r="F47" s="607"/>
      <c r="G47" s="607"/>
      <c r="H47" s="607"/>
      <c r="I47" s="607"/>
      <c r="J47" s="607"/>
      <c r="K47" s="146"/>
      <c r="L47" s="606"/>
      <c r="M47" s="606"/>
      <c r="N47" s="10"/>
    </row>
    <row r="48" spans="1:14" ht="3.95" hidden="1" customHeight="1" x14ac:dyDescent="0.25">
      <c r="B48" s="197"/>
      <c r="L48" s="606"/>
      <c r="M48" s="606"/>
      <c r="N48" s="10"/>
    </row>
    <row r="49" spans="1:14" x14ac:dyDescent="0.25">
      <c r="A49" s="146"/>
      <c r="B49" s="543"/>
      <c r="C49" s="543"/>
      <c r="D49" s="198"/>
      <c r="E49" s="543"/>
      <c r="F49" s="543"/>
      <c r="G49" s="543"/>
      <c r="H49" s="543"/>
      <c r="I49" s="543"/>
      <c r="J49" s="543"/>
      <c r="K49" s="146"/>
      <c r="L49" s="606"/>
      <c r="M49" s="606"/>
      <c r="N49" s="10"/>
    </row>
    <row r="50" spans="1:14" ht="14.45" customHeight="1" x14ac:dyDescent="0.25">
      <c r="A50" s="624" t="s">
        <v>6</v>
      </c>
      <c r="B50" s="624"/>
      <c r="C50" s="544"/>
      <c r="D50" s="544"/>
      <c r="E50" s="544"/>
      <c r="F50" s="544"/>
      <c r="G50" s="544"/>
      <c r="H50" s="544"/>
      <c r="I50" s="544"/>
      <c r="J50" s="544"/>
      <c r="K50" s="146"/>
      <c r="L50" s="606"/>
      <c r="M50" s="606"/>
      <c r="N50" s="10"/>
    </row>
    <row r="51" spans="1:14" x14ac:dyDescent="0.25">
      <c r="A51" s="149" t="s">
        <v>5</v>
      </c>
      <c r="B51" s="405" t="s">
        <v>861</v>
      </c>
      <c r="C51" s="410"/>
      <c r="D51" s="410"/>
      <c r="E51" s="410"/>
      <c r="F51" s="410"/>
      <c r="G51" s="410"/>
      <c r="H51" s="410"/>
      <c r="I51" s="410"/>
      <c r="J51" s="410"/>
      <c r="K51" s="402"/>
      <c r="L51" s="402"/>
      <c r="M51" s="402"/>
      <c r="N51" s="406"/>
    </row>
    <row r="52" spans="1:14" x14ac:dyDescent="0.25">
      <c r="A52" s="149" t="s">
        <v>4</v>
      </c>
      <c r="B52" s="405" t="s">
        <v>862</v>
      </c>
      <c r="C52" s="410"/>
      <c r="D52" s="410"/>
      <c r="E52" s="410"/>
      <c r="F52" s="410"/>
      <c r="G52" s="410"/>
      <c r="H52" s="410"/>
      <c r="I52" s="410"/>
      <c r="J52" s="410"/>
      <c r="K52" s="402"/>
      <c r="L52" s="402"/>
      <c r="M52" s="402"/>
      <c r="N52" s="407"/>
    </row>
    <row r="53" spans="1:14" ht="15" customHeight="1" x14ac:dyDescent="0.25">
      <c r="A53" s="149" t="s">
        <v>3</v>
      </c>
      <c r="B53" s="405" t="s">
        <v>863</v>
      </c>
      <c r="C53" s="404"/>
      <c r="D53" s="404"/>
      <c r="E53" s="404"/>
      <c r="F53" s="404"/>
      <c r="G53" s="404"/>
      <c r="H53" s="404"/>
      <c r="I53" s="404"/>
      <c r="J53" s="404"/>
      <c r="K53" s="404"/>
      <c r="L53" s="404"/>
      <c r="M53" s="404"/>
      <c r="N53" s="542"/>
    </row>
    <row r="54" spans="1:14" x14ac:dyDescent="0.25">
      <c r="A54" s="149" t="s">
        <v>2</v>
      </c>
      <c r="B54" s="405" t="s">
        <v>889</v>
      </c>
      <c r="D54" s="410"/>
      <c r="E54" s="410"/>
      <c r="F54" s="410"/>
      <c r="G54" s="410"/>
      <c r="H54" s="410"/>
      <c r="I54" s="410"/>
      <c r="J54" s="410"/>
      <c r="K54" s="410"/>
      <c r="L54" s="402"/>
      <c r="M54" s="402"/>
      <c r="N54" s="542"/>
    </row>
    <row r="55" spans="1:14" ht="15" customHeight="1" x14ac:dyDescent="0.25">
      <c r="A55" s="149" t="s">
        <v>1</v>
      </c>
      <c r="B55" s="405" t="s">
        <v>884</v>
      </c>
      <c r="C55" s="405"/>
      <c r="D55" s="405"/>
      <c r="E55" s="405"/>
      <c r="F55" s="405"/>
      <c r="G55" s="405"/>
      <c r="H55" s="405"/>
      <c r="I55" s="405"/>
      <c r="J55" s="405"/>
      <c r="K55" s="146"/>
      <c r="L55" s="91"/>
      <c r="M55" s="91"/>
      <c r="N55" s="542"/>
    </row>
    <row r="56" spans="1:14" ht="15" customHeight="1" x14ac:dyDescent="0.25">
      <c r="A56" s="149" t="s">
        <v>0</v>
      </c>
      <c r="B56" s="405" t="s">
        <v>890</v>
      </c>
      <c r="C56" s="405"/>
      <c r="D56" s="405"/>
      <c r="E56" s="405"/>
      <c r="F56" s="405"/>
      <c r="G56" s="405"/>
      <c r="H56" s="405"/>
      <c r="I56" s="405"/>
      <c r="J56" s="405"/>
      <c r="K56" s="405"/>
      <c r="L56" s="405"/>
      <c r="M56" s="405"/>
      <c r="N56" s="542"/>
    </row>
    <row r="57" spans="1:14" ht="15" customHeight="1" x14ac:dyDescent="0.25">
      <c r="A57" s="149" t="s">
        <v>40</v>
      </c>
      <c r="B57" s="91" t="s">
        <v>891</v>
      </c>
      <c r="C57" s="91"/>
      <c r="D57" s="91"/>
      <c r="E57" s="91"/>
      <c r="F57" s="91"/>
      <c r="G57" s="91"/>
      <c r="H57" s="91"/>
      <c r="I57" s="91"/>
      <c r="J57" s="91"/>
      <c r="K57" s="91"/>
      <c r="L57" s="91"/>
      <c r="M57" s="91"/>
      <c r="N57" s="542"/>
    </row>
    <row r="58" spans="1:14" ht="15" customHeight="1" x14ac:dyDescent="0.25">
      <c r="A58" s="149" t="s">
        <v>41</v>
      </c>
      <c r="B58" s="91" t="s">
        <v>892</v>
      </c>
      <c r="C58" s="91"/>
      <c r="D58" s="91"/>
      <c r="E58" s="91"/>
      <c r="F58" s="91"/>
      <c r="G58" s="91"/>
      <c r="H58" s="91"/>
      <c r="I58" s="91"/>
      <c r="J58" s="91"/>
      <c r="K58" s="91"/>
      <c r="L58" s="406"/>
      <c r="M58" s="406"/>
      <c r="N58" s="542"/>
    </row>
    <row r="59" spans="1:14" ht="15" customHeight="1" x14ac:dyDescent="0.25">
      <c r="A59" s="149" t="s">
        <v>127</v>
      </c>
      <c r="B59" s="91" t="s">
        <v>869</v>
      </c>
      <c r="C59" s="404"/>
      <c r="D59" s="404"/>
      <c r="E59" s="404"/>
      <c r="F59" s="404"/>
      <c r="G59" s="404"/>
      <c r="H59" s="404"/>
      <c r="I59" s="404"/>
      <c r="J59" s="404"/>
      <c r="K59" s="406"/>
      <c r="L59" s="406"/>
      <c r="M59" s="406"/>
      <c r="N59" s="542"/>
    </row>
    <row r="60" spans="1:14" ht="15" customHeight="1" x14ac:dyDescent="0.25">
      <c r="A60" s="149" t="s">
        <v>98</v>
      </c>
      <c r="B60" s="247" t="s">
        <v>893</v>
      </c>
      <c r="C60" s="247"/>
      <c r="D60" s="247"/>
      <c r="E60" s="247"/>
      <c r="F60" s="247"/>
      <c r="G60" s="247"/>
      <c r="H60" s="247"/>
      <c r="I60" s="247"/>
      <c r="J60" s="247"/>
      <c r="K60" s="247"/>
      <c r="L60" s="247"/>
      <c r="M60" s="247"/>
      <c r="N60" s="247"/>
    </row>
    <row r="61" spans="1:14" ht="15" customHeight="1" x14ac:dyDescent="0.25">
      <c r="A61" s="149" t="s">
        <v>110</v>
      </c>
      <c r="B61" s="247" t="s">
        <v>871</v>
      </c>
      <c r="C61" s="247"/>
      <c r="D61" s="247"/>
      <c r="E61" s="247"/>
      <c r="F61" s="247"/>
      <c r="G61" s="247"/>
      <c r="H61" s="247"/>
      <c r="I61" s="247"/>
      <c r="J61" s="247"/>
      <c r="K61" s="247"/>
      <c r="L61" s="247"/>
      <c r="M61" s="247"/>
      <c r="N61" s="247"/>
    </row>
    <row r="62" spans="1:14" x14ac:dyDescent="0.25">
      <c r="A62" s="149" t="s">
        <v>168</v>
      </c>
      <c r="B62" s="210" t="s">
        <v>872</v>
      </c>
      <c r="C62" s="408"/>
      <c r="D62" s="408"/>
      <c r="E62" s="408"/>
      <c r="F62" s="408"/>
      <c r="G62" s="408"/>
      <c r="H62" s="408"/>
      <c r="I62" s="408"/>
      <c r="J62" s="408"/>
      <c r="K62" s="408"/>
      <c r="L62" s="408"/>
      <c r="M62" s="408"/>
      <c r="N62" s="408"/>
    </row>
    <row r="63" spans="1:14" ht="15" customHeight="1" x14ac:dyDescent="0.25">
      <c r="A63" s="149" t="s">
        <v>692</v>
      </c>
      <c r="B63" s="247" t="s">
        <v>873</v>
      </c>
      <c r="C63" s="247"/>
      <c r="D63" s="247"/>
      <c r="E63" s="247"/>
      <c r="F63" s="247"/>
      <c r="G63" s="247"/>
      <c r="H63" s="247"/>
      <c r="I63" s="247"/>
      <c r="J63" s="247"/>
      <c r="K63" s="247"/>
      <c r="L63" s="247"/>
      <c r="M63" s="247"/>
      <c r="N63" s="247"/>
    </row>
    <row r="64" spans="1:14" x14ac:dyDescent="0.25">
      <c r="A64" s="149" t="s">
        <v>694</v>
      </c>
      <c r="B64" s="210" t="s">
        <v>874</v>
      </c>
      <c r="C64" s="408"/>
      <c r="D64" s="408"/>
      <c r="E64" s="408"/>
      <c r="F64" s="408"/>
      <c r="G64" s="408"/>
      <c r="H64" s="408"/>
      <c r="I64" s="408"/>
      <c r="J64" s="408"/>
      <c r="K64" s="408"/>
      <c r="L64" s="408"/>
      <c r="M64" s="408"/>
      <c r="N64" s="408"/>
    </row>
    <row r="65" spans="1:14" ht="15" customHeight="1" x14ac:dyDescent="0.25">
      <c r="A65" s="149" t="s">
        <v>875</v>
      </c>
      <c r="B65" s="247" t="s">
        <v>876</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42"/>
      <c r="K67" s="542"/>
      <c r="L67" s="542"/>
      <c r="M67" s="542"/>
      <c r="N67" s="542"/>
    </row>
    <row r="68" spans="1:14" x14ac:dyDescent="0.25">
      <c r="A68" s="1">
        <v>21</v>
      </c>
      <c r="B68" s="247" t="s">
        <v>877</v>
      </c>
      <c r="D68" s="541"/>
      <c r="E68" s="541"/>
      <c r="F68" s="541"/>
      <c r="G68" s="541"/>
      <c r="H68" s="541"/>
      <c r="I68" s="541"/>
      <c r="J68" s="541"/>
      <c r="K68" s="541"/>
      <c r="L68" s="542"/>
      <c r="M68" s="542"/>
      <c r="N68" s="542"/>
    </row>
    <row r="69" spans="1:14" x14ac:dyDescent="0.25">
      <c r="A69" s="1">
        <v>24</v>
      </c>
      <c r="B69" s="247" t="s">
        <v>878</v>
      </c>
      <c r="D69" s="541"/>
      <c r="E69" s="541"/>
      <c r="F69" s="541"/>
      <c r="G69" s="541"/>
      <c r="H69" s="541"/>
      <c r="I69" s="541"/>
      <c r="J69" s="541"/>
      <c r="K69" s="541"/>
      <c r="L69" s="542"/>
      <c r="M69" s="542"/>
      <c r="N69" s="542"/>
    </row>
    <row r="70" spans="1:14" x14ac:dyDescent="0.25">
      <c r="A70" s="1">
        <v>26</v>
      </c>
      <c r="B70" s="247" t="s">
        <v>879</v>
      </c>
      <c r="D70" s="541"/>
      <c r="E70" s="541"/>
      <c r="F70" s="541"/>
      <c r="G70" s="541"/>
      <c r="H70" s="541"/>
      <c r="I70" s="541"/>
      <c r="J70" s="541"/>
      <c r="K70" s="541"/>
      <c r="L70" s="542"/>
      <c r="M70" s="542"/>
      <c r="N70" s="542"/>
    </row>
    <row r="71" spans="1:14" x14ac:dyDescent="0.25">
      <c r="A71">
        <v>27</v>
      </c>
      <c r="B71" s="247" t="s">
        <v>919</v>
      </c>
      <c r="C71" s="542"/>
      <c r="D71" s="542"/>
      <c r="E71" s="542"/>
      <c r="F71" s="542"/>
      <c r="G71" s="542"/>
      <c r="H71" s="542"/>
      <c r="I71" s="542"/>
      <c r="J71" s="542"/>
      <c r="K71" s="542"/>
      <c r="L71" s="542"/>
      <c r="M71" s="542"/>
      <c r="N71" s="542"/>
    </row>
    <row r="72" spans="1:14" x14ac:dyDescent="0.25">
      <c r="B72" s="542"/>
      <c r="C72" s="542"/>
      <c r="D72" s="542"/>
      <c r="E72" s="542"/>
      <c r="F72" s="542"/>
      <c r="G72" s="542"/>
      <c r="H72" s="542"/>
      <c r="I72" s="542"/>
      <c r="J72" s="542"/>
      <c r="K72" s="542"/>
      <c r="L72" s="542"/>
      <c r="M72" s="542"/>
      <c r="N72" s="542"/>
    </row>
  </sheetData>
  <mergeCells count="17">
    <mergeCell ref="C44:K44"/>
    <mergeCell ref="L44:M44"/>
    <mergeCell ref="B45:J45"/>
    <mergeCell ref="L45:M45"/>
    <mergeCell ref="A50:B50"/>
    <mergeCell ref="L50:M50"/>
    <mergeCell ref="C46:K46"/>
    <mergeCell ref="L46:M46"/>
    <mergeCell ref="B47:J47"/>
    <mergeCell ref="L47:M47"/>
    <mergeCell ref="L48:M48"/>
    <mergeCell ref="L49:M49"/>
    <mergeCell ref="C3:L3"/>
    <mergeCell ref="G4:H4"/>
    <mergeCell ref="I4:J4"/>
    <mergeCell ref="A43:I43"/>
    <mergeCell ref="L43:M43"/>
  </mergeCells>
  <hyperlinks>
    <hyperlink ref="C3" location="INDEX" display="Biogas plant, additional straw input in the feedstock mix"/>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2"/>
  <sheetViews>
    <sheetView showGridLines="0" zoomScaleNormal="10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619" t="s">
        <v>894</v>
      </c>
      <c r="D3" s="620"/>
      <c r="E3" s="620"/>
      <c r="F3" s="620"/>
      <c r="G3" s="620"/>
      <c r="H3" s="620"/>
      <c r="I3" s="620"/>
      <c r="J3" s="620"/>
      <c r="K3" s="620"/>
      <c r="L3" s="620"/>
    </row>
    <row r="4" spans="1:13" x14ac:dyDescent="0.25">
      <c r="A4" s="1"/>
      <c r="B4" s="171"/>
      <c r="C4" s="555">
        <v>2020</v>
      </c>
      <c r="D4" s="555">
        <v>2030</v>
      </c>
      <c r="E4" s="555">
        <v>2040</v>
      </c>
      <c r="F4" s="555">
        <v>2050</v>
      </c>
      <c r="G4" s="621" t="s">
        <v>25</v>
      </c>
      <c r="H4" s="621"/>
      <c r="I4" s="621" t="s">
        <v>24</v>
      </c>
      <c r="J4" s="621"/>
      <c r="K4" s="555" t="s">
        <v>19</v>
      </c>
      <c r="L4" s="555" t="s">
        <v>18</v>
      </c>
      <c r="M4" s="10"/>
    </row>
    <row r="5" spans="1:13" x14ac:dyDescent="0.25">
      <c r="A5" s="1"/>
      <c r="B5" s="100" t="s">
        <v>15</v>
      </c>
      <c r="C5" s="100"/>
      <c r="D5" s="100"/>
      <c r="E5" s="100"/>
      <c r="F5" s="100"/>
      <c r="G5" s="555" t="s">
        <v>17</v>
      </c>
      <c r="H5" s="555" t="s">
        <v>16</v>
      </c>
      <c r="I5" s="555" t="s">
        <v>17</v>
      </c>
      <c r="J5" s="555" t="s">
        <v>16</v>
      </c>
      <c r="K5" s="100"/>
      <c r="L5" s="239"/>
      <c r="M5" s="172"/>
    </row>
    <row r="6" spans="1:13" x14ac:dyDescent="0.25">
      <c r="A6" s="1"/>
      <c r="B6" s="171" t="s">
        <v>846</v>
      </c>
      <c r="C6" s="190">
        <v>100</v>
      </c>
      <c r="D6" s="190">
        <v>100</v>
      </c>
      <c r="E6" s="190">
        <v>100</v>
      </c>
      <c r="F6" s="190">
        <v>100</v>
      </c>
      <c r="G6" s="190">
        <v>100</v>
      </c>
      <c r="H6" s="190">
        <v>100</v>
      </c>
      <c r="I6" s="190">
        <v>100</v>
      </c>
      <c r="J6" s="190">
        <v>100</v>
      </c>
      <c r="K6" s="110"/>
      <c r="L6" s="239"/>
      <c r="M6" s="10"/>
    </row>
    <row r="7" spans="1:13" x14ac:dyDescent="0.25">
      <c r="A7" s="1"/>
      <c r="B7" s="171" t="s">
        <v>920</v>
      </c>
      <c r="C7" s="190">
        <f>C6*3600*(C15/100)*24/120</f>
        <v>41760</v>
      </c>
      <c r="D7" s="190">
        <f t="shared" ref="D7:J7" si="0">D6*3600*(D15/100)*24/120</f>
        <v>47160</v>
      </c>
      <c r="E7" s="190">
        <f t="shared" si="0"/>
        <v>48960.000000000007</v>
      </c>
      <c r="F7" s="190">
        <f t="shared" si="0"/>
        <v>50760</v>
      </c>
      <c r="G7" s="190">
        <f t="shared" si="0"/>
        <v>43200</v>
      </c>
      <c r="H7" s="190">
        <f t="shared" si="0"/>
        <v>46080</v>
      </c>
      <c r="I7" s="190">
        <f t="shared" si="0"/>
        <v>48960.000000000007</v>
      </c>
      <c r="J7" s="190">
        <f t="shared" si="0"/>
        <v>50399.999999999993</v>
      </c>
      <c r="K7" s="110" t="s">
        <v>847</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909</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910</v>
      </c>
      <c r="C12" s="190">
        <f>C21+(C21*8)</f>
        <v>156.6156615661566</v>
      </c>
      <c r="D12" s="190">
        <f t="shared" ref="D12:J12" si="1">D21+(D21*8)</f>
        <v>176.86768676867689</v>
      </c>
      <c r="E12" s="190">
        <f t="shared" si="1"/>
        <v>183.61836183618362</v>
      </c>
      <c r="F12" s="190">
        <f t="shared" si="1"/>
        <v>190.36903690369036</v>
      </c>
      <c r="G12" s="190">
        <f t="shared" si="1"/>
        <v>162.01620162016201</v>
      </c>
      <c r="H12" s="190">
        <f t="shared" si="1"/>
        <v>172.81728172817284</v>
      </c>
      <c r="I12" s="190">
        <f t="shared" si="1"/>
        <v>183.61836183618362</v>
      </c>
      <c r="J12" s="190">
        <f t="shared" si="1"/>
        <v>189.01890189018903</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911</v>
      </c>
      <c r="C15" s="219">
        <f>(56+60)/2</f>
        <v>58</v>
      </c>
      <c r="D15" s="219">
        <f>(63+68)/2</f>
        <v>65.5</v>
      </c>
      <c r="E15" s="219">
        <f>(D15+F15)/2</f>
        <v>68</v>
      </c>
      <c r="F15" s="219">
        <f>(67+74)/2</f>
        <v>70.5</v>
      </c>
      <c r="G15" s="219">
        <v>60</v>
      </c>
      <c r="H15" s="219">
        <v>64</v>
      </c>
      <c r="I15" s="219">
        <v>68</v>
      </c>
      <c r="J15" s="219">
        <v>70</v>
      </c>
      <c r="K15" s="110" t="s">
        <v>4</v>
      </c>
      <c r="L15" s="239" t="s">
        <v>848</v>
      </c>
      <c r="M15" s="186"/>
    </row>
    <row r="16" spans="1:13" x14ac:dyDescent="0.25">
      <c r="A16" s="1"/>
      <c r="B16" s="171" t="s">
        <v>912</v>
      </c>
      <c r="C16" s="219">
        <f>(C21*39.4/1000*100)-C15</f>
        <v>10.562856285628555</v>
      </c>
      <c r="D16" s="219">
        <f t="shared" ref="D16:J16" si="2">(D21*39.4/1000*100)-D15</f>
        <v>11.928742874287437</v>
      </c>
      <c r="E16" s="219">
        <f t="shared" si="2"/>
        <v>12.384038403840378</v>
      </c>
      <c r="F16" s="219">
        <f t="shared" si="2"/>
        <v>12.83933393339332</v>
      </c>
      <c r="G16" s="219">
        <f t="shared" si="2"/>
        <v>10.927092709270923</v>
      </c>
      <c r="H16" s="219">
        <f t="shared" si="2"/>
        <v>11.655565556555672</v>
      </c>
      <c r="I16" s="219">
        <f t="shared" si="2"/>
        <v>12.384038403840378</v>
      </c>
      <c r="J16" s="219">
        <f t="shared" si="2"/>
        <v>12.748274827482746</v>
      </c>
      <c r="K16" s="110" t="s">
        <v>694</v>
      </c>
      <c r="L16" s="239"/>
      <c r="M16" s="10"/>
    </row>
    <row r="17" spans="1:13" x14ac:dyDescent="0.25">
      <c r="A17" s="1"/>
      <c r="B17" s="171" t="s">
        <v>913</v>
      </c>
      <c r="C17" s="219">
        <f>100-C15-C16</f>
        <v>31.437143714371445</v>
      </c>
      <c r="D17" s="219">
        <f t="shared" ref="D17:J17" si="3">100-D15-D16</f>
        <v>22.571257125712563</v>
      </c>
      <c r="E17" s="219">
        <f t="shared" si="3"/>
        <v>19.615961596159622</v>
      </c>
      <c r="F17" s="219">
        <f t="shared" si="3"/>
        <v>16.66066606660668</v>
      </c>
      <c r="G17" s="219">
        <f t="shared" si="3"/>
        <v>29.072907290729077</v>
      </c>
      <c r="H17" s="219">
        <f t="shared" si="3"/>
        <v>24.344434443444328</v>
      </c>
      <c r="I17" s="219">
        <f t="shared" si="3"/>
        <v>19.615961596159622</v>
      </c>
      <c r="J17" s="219">
        <f t="shared" si="3"/>
        <v>17.251725172517254</v>
      </c>
      <c r="K17" s="110"/>
      <c r="L17" s="239"/>
      <c r="M17" s="10"/>
    </row>
    <row r="18" spans="1:13" x14ac:dyDescent="0.25">
      <c r="A18" s="1"/>
      <c r="B18" s="171" t="s">
        <v>849</v>
      </c>
      <c r="C18" s="219">
        <v>3</v>
      </c>
      <c r="D18" s="219">
        <v>3</v>
      </c>
      <c r="E18" s="219">
        <v>3</v>
      </c>
      <c r="F18" s="219">
        <v>3</v>
      </c>
      <c r="G18" s="219">
        <v>3</v>
      </c>
      <c r="H18" s="219">
        <v>3</v>
      </c>
      <c r="I18" s="219">
        <v>3</v>
      </c>
      <c r="J18" s="219">
        <v>3</v>
      </c>
      <c r="K18" s="110" t="s">
        <v>5</v>
      </c>
      <c r="L18" s="239"/>
      <c r="M18" s="10"/>
    </row>
    <row r="19" spans="1:13" ht="14.45" customHeight="1" x14ac:dyDescent="0.25">
      <c r="A19" s="1"/>
      <c r="B19" s="171" t="s">
        <v>850</v>
      </c>
      <c r="C19" s="219">
        <f>C17-C18</f>
        <v>28.437143714371445</v>
      </c>
      <c r="D19" s="219">
        <f t="shared" ref="D19:J19" si="4">D17-D18</f>
        <v>19.571257125712563</v>
      </c>
      <c r="E19" s="219">
        <f t="shared" si="4"/>
        <v>16.615961596159622</v>
      </c>
      <c r="F19" s="219">
        <f t="shared" si="4"/>
        <v>13.66066606660668</v>
      </c>
      <c r="G19" s="219">
        <f t="shared" si="4"/>
        <v>26.072907290729077</v>
      </c>
      <c r="H19" s="219">
        <f t="shared" si="4"/>
        <v>21.344434443444328</v>
      </c>
      <c r="I19" s="219">
        <f t="shared" si="4"/>
        <v>16.615961596159622</v>
      </c>
      <c r="J19" s="219">
        <f t="shared" si="4"/>
        <v>14.251725172517254</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914</v>
      </c>
      <c r="C21" s="219">
        <f>C15/33.33*1000/100</f>
        <v>17.401740174017402</v>
      </c>
      <c r="D21" s="219">
        <f t="shared" ref="D21:J21" si="5">D15/33.33*1000/100</f>
        <v>19.651965196519654</v>
      </c>
      <c r="E21" s="219">
        <f t="shared" si="5"/>
        <v>20.402040204020402</v>
      </c>
      <c r="F21" s="219">
        <f t="shared" si="5"/>
        <v>21.152115211521149</v>
      </c>
      <c r="G21" s="219">
        <f t="shared" si="5"/>
        <v>18.001800180018002</v>
      </c>
      <c r="H21" s="219">
        <f>H15/33.33*1000/100</f>
        <v>19.201920192019205</v>
      </c>
      <c r="I21" s="219">
        <f t="shared" si="5"/>
        <v>20.402040204020402</v>
      </c>
      <c r="J21" s="219">
        <f t="shared" si="5"/>
        <v>21.002100210021002</v>
      </c>
      <c r="K21" s="110"/>
      <c r="L21" s="239" t="s">
        <v>848</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20</v>
      </c>
      <c r="D25" s="190">
        <v>25</v>
      </c>
      <c r="E25" s="190">
        <v>28</v>
      </c>
      <c r="F25" s="190">
        <v>30</v>
      </c>
      <c r="G25" s="190">
        <v>20</v>
      </c>
      <c r="H25" s="190">
        <v>20</v>
      </c>
      <c r="I25" s="190">
        <v>25</v>
      </c>
      <c r="J25" s="190">
        <v>30</v>
      </c>
      <c r="K25" s="110" t="s">
        <v>592</v>
      </c>
      <c r="L25" s="239" t="s">
        <v>851</v>
      </c>
      <c r="M25" s="10"/>
    </row>
    <row r="26" spans="1:13" x14ac:dyDescent="0.25">
      <c r="A26" s="1"/>
      <c r="B26" s="171" t="s">
        <v>12</v>
      </c>
      <c r="C26" s="136">
        <v>0.33</v>
      </c>
      <c r="D26" s="136">
        <v>0.33</v>
      </c>
      <c r="E26" s="136">
        <v>0.33</v>
      </c>
      <c r="F26" s="136">
        <v>0.33</v>
      </c>
      <c r="G26" s="136">
        <v>0.33</v>
      </c>
      <c r="H26" s="136">
        <v>0.33</v>
      </c>
      <c r="I26" s="136">
        <v>0.33</v>
      </c>
      <c r="J26" s="136">
        <v>0.33</v>
      </c>
      <c r="K26" s="110" t="s">
        <v>852</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951</v>
      </c>
      <c r="C28" s="136"/>
      <c r="D28" s="136"/>
      <c r="E28" s="136"/>
      <c r="F28" s="136"/>
      <c r="G28" s="136"/>
      <c r="H28" s="136"/>
      <c r="I28" s="136"/>
      <c r="J28" s="136"/>
      <c r="K28" s="110"/>
      <c r="L28" s="239"/>
      <c r="M28" s="10"/>
    </row>
    <row r="29" spans="1:13" x14ac:dyDescent="0.25">
      <c r="A29" s="1"/>
      <c r="B29" s="171" t="s">
        <v>853</v>
      </c>
      <c r="C29" s="190">
        <v>925</v>
      </c>
      <c r="D29" s="190">
        <v>650</v>
      </c>
      <c r="E29" s="190">
        <v>450</v>
      </c>
      <c r="F29" s="190">
        <v>400</v>
      </c>
      <c r="G29" s="190">
        <v>700</v>
      </c>
      <c r="H29" s="190">
        <v>1250</v>
      </c>
      <c r="I29" s="190">
        <v>300</v>
      </c>
      <c r="J29" s="190">
        <v>500</v>
      </c>
      <c r="K29" s="110" t="s">
        <v>854</v>
      </c>
      <c r="L29" s="239"/>
      <c r="M29" s="189"/>
    </row>
    <row r="30" spans="1:13" x14ac:dyDescent="0.25">
      <c r="A30" s="1"/>
      <c r="B30" s="171" t="s">
        <v>921</v>
      </c>
      <c r="C30" s="190">
        <f t="shared" ref="C30:J30" si="6">(C21/1000)^-1/24*C29</f>
        <v>2214.8168103448279</v>
      </c>
      <c r="D30" s="190">
        <f t="shared" si="6"/>
        <v>1378.1488549618321</v>
      </c>
      <c r="E30" s="190">
        <f t="shared" si="6"/>
        <v>919.02573529411768</v>
      </c>
      <c r="F30" s="190">
        <f t="shared" si="6"/>
        <v>787.94326241134763</v>
      </c>
      <c r="G30" s="190">
        <f t="shared" si="6"/>
        <v>1620.2083333333333</v>
      </c>
      <c r="H30" s="190">
        <f t="shared" si="6"/>
        <v>2712.4023437499995</v>
      </c>
      <c r="I30" s="190">
        <f t="shared" si="6"/>
        <v>612.68382352941182</v>
      </c>
      <c r="J30" s="190">
        <f t="shared" si="6"/>
        <v>991.96428571428578</v>
      </c>
      <c r="K30" s="110" t="s">
        <v>855</v>
      </c>
      <c r="L30" s="239"/>
      <c r="M30" s="10"/>
    </row>
    <row r="31" spans="1:13" x14ac:dyDescent="0.25">
      <c r="A31" s="1"/>
      <c r="B31" s="171" t="s">
        <v>242</v>
      </c>
      <c r="C31" s="190">
        <v>90</v>
      </c>
      <c r="D31" s="190">
        <v>90</v>
      </c>
      <c r="E31" s="190">
        <v>90</v>
      </c>
      <c r="F31" s="190">
        <v>90</v>
      </c>
      <c r="G31" s="190">
        <v>90</v>
      </c>
      <c r="H31" s="190">
        <v>90</v>
      </c>
      <c r="I31" s="190">
        <v>90</v>
      </c>
      <c r="J31" s="190">
        <v>90</v>
      </c>
      <c r="K31" s="110" t="s">
        <v>0</v>
      </c>
      <c r="L31" s="239"/>
      <c r="M31" s="10"/>
    </row>
    <row r="32" spans="1:13" x14ac:dyDescent="0.25">
      <c r="A32" s="1"/>
      <c r="B32" s="171" t="s">
        <v>243</v>
      </c>
      <c r="C32" s="190">
        <v>10</v>
      </c>
      <c r="D32" s="190">
        <v>10</v>
      </c>
      <c r="E32" s="190">
        <v>10</v>
      </c>
      <c r="F32" s="190">
        <v>10</v>
      </c>
      <c r="G32" s="190">
        <v>10</v>
      </c>
      <c r="H32" s="190">
        <v>10</v>
      </c>
      <c r="I32" s="190">
        <v>10</v>
      </c>
      <c r="J32" s="190">
        <v>10</v>
      </c>
      <c r="K32" s="110" t="s">
        <v>0</v>
      </c>
      <c r="L32" s="239"/>
      <c r="M32" s="10"/>
    </row>
    <row r="33" spans="1:14" x14ac:dyDescent="0.25">
      <c r="A33" s="1"/>
      <c r="B33" s="171" t="s">
        <v>915</v>
      </c>
      <c r="C33" s="190">
        <v>4</v>
      </c>
      <c r="D33" s="190">
        <v>4</v>
      </c>
      <c r="E33" s="190">
        <v>4</v>
      </c>
      <c r="F33" s="190">
        <v>4</v>
      </c>
      <c r="G33" s="190">
        <v>4</v>
      </c>
      <c r="H33" s="190">
        <v>4</v>
      </c>
      <c r="I33" s="190">
        <v>4</v>
      </c>
      <c r="J33" s="190">
        <v>4</v>
      </c>
      <c r="K33" s="110" t="s">
        <v>856</v>
      </c>
      <c r="L33" s="239"/>
      <c r="M33" s="10"/>
    </row>
    <row r="34" spans="1:14" x14ac:dyDescent="0.25">
      <c r="A34" s="1"/>
      <c r="B34" s="171" t="s">
        <v>858</v>
      </c>
      <c r="C34" s="136" t="s">
        <v>28</v>
      </c>
      <c r="D34" s="136" t="s">
        <v>28</v>
      </c>
      <c r="E34" s="136" t="s">
        <v>28</v>
      </c>
      <c r="F34" s="136" t="s">
        <v>28</v>
      </c>
      <c r="G34" s="136"/>
      <c r="H34" s="136"/>
      <c r="I34" s="136"/>
      <c r="J34" s="136"/>
      <c r="K34" s="110" t="s">
        <v>692</v>
      </c>
      <c r="L34" s="239"/>
      <c r="M34" s="10"/>
    </row>
    <row r="35" spans="1:14" x14ac:dyDescent="0.25">
      <c r="A35" s="1"/>
      <c r="B35" s="171" t="s">
        <v>859</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26</v>
      </c>
      <c r="C37" s="136"/>
      <c r="D37" s="136"/>
      <c r="E37" s="136"/>
      <c r="F37" s="136"/>
      <c r="G37" s="136"/>
      <c r="H37" s="136"/>
      <c r="I37" s="136"/>
      <c r="J37" s="136"/>
      <c r="K37" s="110"/>
      <c r="L37" s="239"/>
      <c r="M37" s="10"/>
    </row>
    <row r="38" spans="1:14" x14ac:dyDescent="0.25">
      <c r="A38" s="1"/>
      <c r="B38" s="171" t="s">
        <v>916</v>
      </c>
      <c r="C38" s="219">
        <v>2.2000000000000002</v>
      </c>
      <c r="D38" s="219">
        <v>3.5</v>
      </c>
      <c r="E38" s="219">
        <v>3.8</v>
      </c>
      <c r="F38" s="219">
        <v>4</v>
      </c>
      <c r="G38" s="219">
        <v>2.2000000000000002</v>
      </c>
      <c r="H38" s="219">
        <v>2.2000000000000002</v>
      </c>
      <c r="I38" s="219">
        <v>3.2</v>
      </c>
      <c r="J38" s="219">
        <v>4</v>
      </c>
      <c r="K38" s="110"/>
      <c r="L38" s="239" t="s">
        <v>860</v>
      </c>
      <c r="M38" s="193"/>
    </row>
    <row r="39" spans="1:14" ht="17.100000000000001" customHeight="1" x14ac:dyDescent="0.25">
      <c r="A39" s="1"/>
      <c r="B39" s="171" t="s">
        <v>917</v>
      </c>
      <c r="C39" s="561">
        <v>20</v>
      </c>
      <c r="D39" s="561">
        <v>20</v>
      </c>
      <c r="E39" s="561">
        <v>20</v>
      </c>
      <c r="F39" s="561">
        <v>20</v>
      </c>
      <c r="G39" s="561">
        <v>20</v>
      </c>
      <c r="H39" s="561">
        <v>20</v>
      </c>
      <c r="I39" s="561">
        <v>20</v>
      </c>
      <c r="J39" s="561">
        <v>20</v>
      </c>
      <c r="K39" s="562" t="s">
        <v>41</v>
      </c>
      <c r="L39" s="560"/>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56"/>
      <c r="D42" s="196"/>
      <c r="E42" s="196"/>
      <c r="F42" s="196"/>
      <c r="G42" s="196"/>
      <c r="H42" s="92"/>
      <c r="I42" s="92"/>
      <c r="N42" s="10"/>
    </row>
    <row r="43" spans="1:14" ht="14.45" hidden="1" customHeight="1" x14ac:dyDescent="0.25">
      <c r="A43" s="606"/>
      <c r="B43" s="606"/>
      <c r="C43" s="606"/>
      <c r="D43" s="606"/>
      <c r="E43" s="606"/>
      <c r="F43" s="606"/>
      <c r="G43" s="606"/>
      <c r="H43" s="606"/>
      <c r="I43" s="606"/>
      <c r="J43" s="553"/>
      <c r="K43" s="146"/>
      <c r="L43" s="606"/>
      <c r="M43" s="606"/>
      <c r="N43" s="10"/>
    </row>
    <row r="44" spans="1:14" ht="14.45" hidden="1" customHeight="1" x14ac:dyDescent="0.25">
      <c r="A44" s="146"/>
      <c r="C44" s="606"/>
      <c r="D44" s="607"/>
      <c r="E44" s="607"/>
      <c r="F44" s="607"/>
      <c r="G44" s="607"/>
      <c r="H44" s="607"/>
      <c r="I44" s="607"/>
      <c r="J44" s="607"/>
      <c r="K44" s="607"/>
      <c r="L44" s="606"/>
      <c r="M44" s="606"/>
      <c r="N44" s="10"/>
    </row>
    <row r="45" spans="1:14" ht="14.45" hidden="1" customHeight="1" x14ac:dyDescent="0.25">
      <c r="A45" s="170"/>
      <c r="B45" s="606"/>
      <c r="C45" s="607"/>
      <c r="D45" s="607"/>
      <c r="E45" s="607"/>
      <c r="F45" s="607"/>
      <c r="G45" s="607"/>
      <c r="H45" s="607"/>
      <c r="I45" s="607"/>
      <c r="J45" s="607"/>
      <c r="K45" s="146"/>
      <c r="L45" s="606"/>
      <c r="M45" s="606"/>
      <c r="N45" s="10"/>
    </row>
    <row r="46" spans="1:14" ht="14.45" hidden="1" customHeight="1" x14ac:dyDescent="0.25">
      <c r="A46" s="146"/>
      <c r="C46" s="606"/>
      <c r="D46" s="607"/>
      <c r="E46" s="607"/>
      <c r="F46" s="607"/>
      <c r="G46" s="607"/>
      <c r="H46" s="607"/>
      <c r="I46" s="607"/>
      <c r="J46" s="607"/>
      <c r="K46" s="607"/>
      <c r="L46" s="606"/>
      <c r="M46" s="606"/>
      <c r="N46" s="10"/>
    </row>
    <row r="47" spans="1:14" ht="14.45" hidden="1" customHeight="1" x14ac:dyDescent="0.25">
      <c r="A47" s="146"/>
      <c r="B47" s="606"/>
      <c r="C47" s="607"/>
      <c r="D47" s="607"/>
      <c r="E47" s="607"/>
      <c r="F47" s="607"/>
      <c r="G47" s="607"/>
      <c r="H47" s="607"/>
      <c r="I47" s="607"/>
      <c r="J47" s="607"/>
      <c r="K47" s="146"/>
      <c r="L47" s="606"/>
      <c r="M47" s="606"/>
      <c r="N47" s="10"/>
    </row>
    <row r="48" spans="1:14" ht="3.95" hidden="1" customHeight="1" x14ac:dyDescent="0.25">
      <c r="B48" s="197"/>
      <c r="L48" s="606"/>
      <c r="M48" s="606"/>
      <c r="N48" s="10"/>
    </row>
    <row r="49" spans="1:14" x14ac:dyDescent="0.25">
      <c r="A49" s="146"/>
      <c r="B49" s="553"/>
      <c r="C49" s="553"/>
      <c r="D49" s="198"/>
      <c r="E49" s="553"/>
      <c r="F49" s="553"/>
      <c r="G49" s="553"/>
      <c r="H49" s="553"/>
      <c r="I49" s="553"/>
      <c r="J49" s="553"/>
      <c r="K49" s="146"/>
      <c r="L49" s="606"/>
      <c r="M49" s="606"/>
      <c r="N49" s="10"/>
    </row>
    <row r="50" spans="1:14" ht="14.45" customHeight="1" x14ac:dyDescent="0.25">
      <c r="A50" s="624" t="s">
        <v>6</v>
      </c>
      <c r="B50" s="624"/>
      <c r="C50" s="556"/>
      <c r="D50" s="556"/>
      <c r="E50" s="556"/>
      <c r="F50" s="556"/>
      <c r="G50" s="556"/>
      <c r="H50" s="556"/>
      <c r="I50" s="556"/>
      <c r="J50" s="556"/>
      <c r="K50" s="146"/>
      <c r="L50" s="606"/>
      <c r="M50" s="606"/>
      <c r="N50" s="10"/>
    </row>
    <row r="51" spans="1:14" x14ac:dyDescent="0.25">
      <c r="A51" s="149" t="s">
        <v>5</v>
      </c>
      <c r="B51" s="405" t="s">
        <v>881</v>
      </c>
      <c r="C51" s="410"/>
      <c r="D51" s="410"/>
      <c r="E51" s="410"/>
      <c r="F51" s="410"/>
      <c r="G51" s="410"/>
      <c r="H51" s="410"/>
      <c r="I51" s="410"/>
      <c r="J51" s="410"/>
      <c r="K51" s="402"/>
      <c r="L51" s="402"/>
      <c r="M51" s="402"/>
      <c r="N51" s="406"/>
    </row>
    <row r="52" spans="1:14" x14ac:dyDescent="0.25">
      <c r="A52" s="149" t="s">
        <v>4</v>
      </c>
      <c r="B52" s="405" t="s">
        <v>862</v>
      </c>
      <c r="C52" s="410"/>
      <c r="D52" s="410"/>
      <c r="E52" s="410"/>
      <c r="F52" s="410"/>
      <c r="G52" s="410"/>
      <c r="H52" s="410"/>
      <c r="I52" s="410"/>
      <c r="J52" s="410"/>
      <c r="K52" s="402"/>
      <c r="L52" s="402"/>
      <c r="M52" s="402"/>
      <c r="N52" s="407"/>
    </row>
    <row r="53" spans="1:14" ht="15" customHeight="1" x14ac:dyDescent="0.25">
      <c r="A53" s="149" t="s">
        <v>3</v>
      </c>
      <c r="B53" s="405" t="s">
        <v>863</v>
      </c>
      <c r="C53" s="404"/>
      <c r="D53" s="404"/>
      <c r="E53" s="404"/>
      <c r="F53" s="404"/>
      <c r="G53" s="404"/>
      <c r="H53" s="404"/>
      <c r="I53" s="404"/>
      <c r="J53" s="404"/>
      <c r="K53" s="404"/>
      <c r="L53" s="404"/>
      <c r="M53" s="404"/>
      <c r="N53" s="552"/>
    </row>
    <row r="54" spans="1:14" x14ac:dyDescent="0.25">
      <c r="A54" s="149" t="s">
        <v>2</v>
      </c>
      <c r="B54" s="405" t="s">
        <v>889</v>
      </c>
      <c r="D54" s="410"/>
      <c r="E54" s="410"/>
      <c r="F54" s="410"/>
      <c r="G54" s="410"/>
      <c r="H54" s="410"/>
      <c r="I54" s="410"/>
      <c r="J54" s="410"/>
      <c r="K54" s="410"/>
      <c r="L54" s="402"/>
      <c r="M54" s="402"/>
      <c r="N54" s="552"/>
    </row>
    <row r="55" spans="1:14" ht="15" customHeight="1" x14ac:dyDescent="0.25">
      <c r="A55" s="149" t="s">
        <v>1</v>
      </c>
      <c r="B55" s="405" t="s">
        <v>884</v>
      </c>
      <c r="C55" s="405"/>
      <c r="D55" s="405"/>
      <c r="E55" s="405"/>
      <c r="F55" s="405"/>
      <c r="G55" s="405"/>
      <c r="H55" s="405"/>
      <c r="I55" s="405"/>
      <c r="J55" s="405"/>
      <c r="K55" s="146"/>
      <c r="L55" s="91"/>
      <c r="M55" s="91"/>
      <c r="N55" s="552"/>
    </row>
    <row r="56" spans="1:14" ht="15" customHeight="1" x14ac:dyDescent="0.25">
      <c r="A56" s="149" t="s">
        <v>0</v>
      </c>
      <c r="B56" s="405" t="s">
        <v>890</v>
      </c>
      <c r="C56" s="405"/>
      <c r="D56" s="405"/>
      <c r="E56" s="405"/>
      <c r="F56" s="405"/>
      <c r="G56" s="405"/>
      <c r="H56" s="405"/>
      <c r="I56" s="405"/>
      <c r="J56" s="405"/>
      <c r="K56" s="405"/>
      <c r="L56" s="405"/>
      <c r="M56" s="405"/>
      <c r="N56" s="552"/>
    </row>
    <row r="57" spans="1:14" ht="15" customHeight="1" x14ac:dyDescent="0.25">
      <c r="A57" s="149" t="s">
        <v>40</v>
      </c>
      <c r="B57" s="91" t="s">
        <v>895</v>
      </c>
      <c r="C57" s="91"/>
      <c r="D57" s="91"/>
      <c r="E57" s="91"/>
      <c r="F57" s="91"/>
      <c r="G57" s="91"/>
      <c r="H57" s="91"/>
      <c r="I57" s="91"/>
      <c r="J57" s="91"/>
      <c r="K57" s="91"/>
      <c r="L57" s="91"/>
      <c r="M57" s="91"/>
      <c r="N57" s="552"/>
    </row>
    <row r="58" spans="1:14" ht="15" customHeight="1" x14ac:dyDescent="0.25">
      <c r="A58" s="149" t="s">
        <v>41</v>
      </c>
      <c r="B58" s="91" t="s">
        <v>892</v>
      </c>
      <c r="C58" s="91"/>
      <c r="D58" s="91"/>
      <c r="E58" s="91"/>
      <c r="F58" s="91"/>
      <c r="G58" s="91"/>
      <c r="H58" s="91"/>
      <c r="I58" s="91"/>
      <c r="J58" s="91"/>
      <c r="K58" s="91"/>
      <c r="L58" s="406"/>
      <c r="M58" s="406"/>
      <c r="N58" s="552"/>
    </row>
    <row r="59" spans="1:14" ht="15" customHeight="1" x14ac:dyDescent="0.25">
      <c r="A59" s="149" t="s">
        <v>127</v>
      </c>
      <c r="B59" s="247" t="s">
        <v>869</v>
      </c>
      <c r="C59" s="404"/>
      <c r="D59" s="404"/>
      <c r="E59" s="404"/>
      <c r="F59" s="404"/>
      <c r="G59" s="404"/>
      <c r="H59" s="404"/>
      <c r="I59" s="404"/>
      <c r="J59" s="404"/>
      <c r="K59" s="406"/>
      <c r="L59" s="406"/>
      <c r="M59" s="406"/>
      <c r="N59" s="552"/>
    </row>
    <row r="60" spans="1:14" ht="15" customHeight="1" x14ac:dyDescent="0.25">
      <c r="A60" s="149" t="s">
        <v>98</v>
      </c>
      <c r="B60" s="247" t="s">
        <v>893</v>
      </c>
      <c r="C60" s="247"/>
      <c r="D60" s="247"/>
      <c r="E60" s="247"/>
      <c r="F60" s="247"/>
      <c r="G60" s="247"/>
      <c r="H60" s="247"/>
      <c r="I60" s="247"/>
      <c r="J60" s="247"/>
      <c r="K60" s="247"/>
      <c r="L60" s="247"/>
      <c r="M60" s="247"/>
      <c r="N60" s="247"/>
    </row>
    <row r="61" spans="1:14" ht="15" customHeight="1" x14ac:dyDescent="0.25">
      <c r="A61" s="149" t="s">
        <v>110</v>
      </c>
      <c r="B61" s="210" t="s">
        <v>871</v>
      </c>
      <c r="C61" s="247"/>
      <c r="D61" s="247"/>
      <c r="E61" s="247"/>
      <c r="F61" s="247"/>
      <c r="G61" s="247"/>
      <c r="H61" s="247"/>
      <c r="I61" s="247"/>
      <c r="J61" s="247"/>
      <c r="K61" s="247"/>
      <c r="L61" s="247"/>
      <c r="M61" s="247"/>
      <c r="N61" s="247"/>
    </row>
    <row r="62" spans="1:14" x14ac:dyDescent="0.25">
      <c r="A62" s="149" t="s">
        <v>168</v>
      </c>
      <c r="B62" s="247" t="s">
        <v>872</v>
      </c>
      <c r="C62" s="408"/>
      <c r="D62" s="408"/>
      <c r="E62" s="408"/>
      <c r="F62" s="408"/>
      <c r="G62" s="408"/>
      <c r="H62" s="408"/>
      <c r="I62" s="408"/>
      <c r="J62" s="408"/>
      <c r="K62" s="408"/>
      <c r="L62" s="408"/>
      <c r="M62" s="408"/>
      <c r="N62" s="408"/>
    </row>
    <row r="63" spans="1:14" ht="15" customHeight="1" x14ac:dyDescent="0.25">
      <c r="A63" s="149" t="s">
        <v>692</v>
      </c>
      <c r="B63" s="210" t="s">
        <v>873</v>
      </c>
      <c r="C63" s="247"/>
      <c r="D63" s="247"/>
      <c r="E63" s="247"/>
      <c r="F63" s="247"/>
      <c r="G63" s="247"/>
      <c r="H63" s="247"/>
      <c r="I63" s="247"/>
      <c r="J63" s="247"/>
      <c r="K63" s="247"/>
      <c r="L63" s="247"/>
      <c r="M63" s="247"/>
      <c r="N63" s="247"/>
    </row>
    <row r="64" spans="1:14" x14ac:dyDescent="0.25">
      <c r="A64" s="149" t="s">
        <v>694</v>
      </c>
      <c r="B64" s="91" t="s">
        <v>874</v>
      </c>
      <c r="C64" s="408"/>
      <c r="D64" s="408"/>
      <c r="E64" s="408"/>
      <c r="G64" s="408"/>
      <c r="H64" s="408"/>
      <c r="I64" s="408"/>
      <c r="J64" s="408"/>
      <c r="K64" s="408"/>
      <c r="L64" s="408"/>
      <c r="M64" s="408"/>
      <c r="N64" s="408"/>
    </row>
    <row r="65" spans="1:14" ht="15" customHeight="1" x14ac:dyDescent="0.25">
      <c r="A65" s="149" t="s">
        <v>875</v>
      </c>
      <c r="B65" s="247" t="s">
        <v>876</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52"/>
      <c r="K67" s="552"/>
      <c r="L67" s="552"/>
      <c r="M67" s="552"/>
      <c r="N67" s="552"/>
    </row>
    <row r="68" spans="1:14" x14ac:dyDescent="0.25">
      <c r="A68" s="1">
        <v>21</v>
      </c>
      <c r="B68" s="247" t="s">
        <v>877</v>
      </c>
      <c r="D68" s="554"/>
      <c r="E68" s="554"/>
      <c r="F68" s="554"/>
      <c r="G68" s="554"/>
      <c r="H68" s="554"/>
      <c r="I68" s="554"/>
      <c r="J68" s="554"/>
      <c r="K68" s="554"/>
      <c r="L68" s="552"/>
      <c r="M68" s="552"/>
      <c r="N68" s="552"/>
    </row>
    <row r="69" spans="1:14" x14ac:dyDescent="0.25">
      <c r="A69" s="1">
        <v>24</v>
      </c>
      <c r="B69" s="247" t="s">
        <v>878</v>
      </c>
      <c r="D69" s="554"/>
      <c r="E69" s="554"/>
      <c r="F69" s="554"/>
      <c r="G69" s="554"/>
      <c r="H69" s="554"/>
      <c r="I69" s="554"/>
      <c r="J69" s="554"/>
      <c r="K69" s="554"/>
      <c r="L69" s="552"/>
      <c r="M69" s="552"/>
      <c r="N69" s="552"/>
    </row>
    <row r="70" spans="1:14" x14ac:dyDescent="0.25">
      <c r="A70" s="1">
        <v>26</v>
      </c>
      <c r="B70" s="247" t="s">
        <v>879</v>
      </c>
      <c r="D70" s="554"/>
      <c r="E70" s="554"/>
      <c r="F70" s="554"/>
      <c r="G70" s="554"/>
      <c r="H70" s="554"/>
      <c r="I70" s="554"/>
      <c r="J70" s="554"/>
      <c r="K70" s="554"/>
      <c r="L70" s="552"/>
      <c r="M70" s="552"/>
      <c r="N70" s="552"/>
    </row>
    <row r="71" spans="1:14" x14ac:dyDescent="0.25">
      <c r="A71">
        <v>27</v>
      </c>
      <c r="B71" s="247" t="s">
        <v>919</v>
      </c>
      <c r="C71" s="552"/>
      <c r="D71" s="552"/>
      <c r="E71" s="552"/>
      <c r="F71" s="552"/>
      <c r="G71" s="552"/>
      <c r="H71" s="552"/>
      <c r="I71" s="552"/>
      <c r="J71" s="552"/>
      <c r="K71" s="552"/>
      <c r="L71" s="552"/>
      <c r="M71" s="552"/>
      <c r="N71" s="552"/>
    </row>
    <row r="72" spans="1:14" x14ac:dyDescent="0.25">
      <c r="B72" s="552"/>
      <c r="C72" s="552"/>
      <c r="D72" s="552"/>
      <c r="E72" s="552"/>
      <c r="F72" s="552"/>
      <c r="G72" s="552"/>
      <c r="H72" s="552"/>
      <c r="I72" s="552"/>
      <c r="J72" s="552"/>
      <c r="K72" s="552"/>
      <c r="L72" s="552"/>
      <c r="M72" s="552"/>
      <c r="N72" s="552"/>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4"/>
  <sheetViews>
    <sheetView showGridLines="0" zoomScaleNormal="100" workbookViewId="0">
      <selection activeCell="B28" sqref="B28"/>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619" t="s">
        <v>896</v>
      </c>
      <c r="D3" s="620"/>
      <c r="E3" s="620"/>
      <c r="F3" s="620"/>
      <c r="G3" s="620"/>
      <c r="H3" s="620"/>
      <c r="I3" s="620"/>
      <c r="J3" s="620"/>
      <c r="K3" s="620"/>
      <c r="L3" s="620"/>
    </row>
    <row r="4" spans="1:13" x14ac:dyDescent="0.25">
      <c r="A4" s="1"/>
      <c r="B4" s="171"/>
      <c r="C4" s="555">
        <v>2020</v>
      </c>
      <c r="D4" s="555">
        <v>2030</v>
      </c>
      <c r="E4" s="555">
        <v>2040</v>
      </c>
      <c r="F4" s="555">
        <v>2050</v>
      </c>
      <c r="G4" s="621" t="s">
        <v>25</v>
      </c>
      <c r="H4" s="621"/>
      <c r="I4" s="621" t="s">
        <v>24</v>
      </c>
      <c r="J4" s="621"/>
      <c r="K4" s="555" t="s">
        <v>19</v>
      </c>
      <c r="L4" s="555" t="s">
        <v>18</v>
      </c>
      <c r="M4" s="10"/>
    </row>
    <row r="5" spans="1:13" x14ac:dyDescent="0.25">
      <c r="A5" s="1"/>
      <c r="B5" s="100" t="s">
        <v>15</v>
      </c>
      <c r="C5" s="100"/>
      <c r="D5" s="100"/>
      <c r="E5" s="100"/>
      <c r="F5" s="100"/>
      <c r="G5" s="555" t="s">
        <v>17</v>
      </c>
      <c r="H5" s="555" t="s">
        <v>16</v>
      </c>
      <c r="I5" s="555" t="s">
        <v>17</v>
      </c>
      <c r="J5" s="555" t="s">
        <v>16</v>
      </c>
      <c r="K5" s="100"/>
      <c r="L5" s="239"/>
      <c r="M5" s="172"/>
    </row>
    <row r="6" spans="1:13" x14ac:dyDescent="0.25">
      <c r="A6" s="1"/>
      <c r="B6" s="171" t="s">
        <v>239</v>
      </c>
      <c r="C6" s="190">
        <v>1</v>
      </c>
      <c r="D6" s="190">
        <v>1</v>
      </c>
      <c r="E6" s="190">
        <v>1</v>
      </c>
      <c r="F6" s="190">
        <v>1</v>
      </c>
      <c r="G6" s="190">
        <v>1</v>
      </c>
      <c r="H6" s="190">
        <v>1</v>
      </c>
      <c r="I6" s="190">
        <v>1</v>
      </c>
      <c r="J6" s="190">
        <v>1</v>
      </c>
      <c r="K6" s="110" t="s">
        <v>5</v>
      </c>
      <c r="L6" s="239"/>
      <c r="M6" s="10"/>
    </row>
    <row r="7" spans="1:13" x14ac:dyDescent="0.25">
      <c r="A7" s="1"/>
      <c r="B7" s="171" t="s">
        <v>920</v>
      </c>
      <c r="C7" s="190">
        <f t="shared" ref="C7:J7" si="0">C6*3600*(C16/100)*24/120</f>
        <v>558</v>
      </c>
      <c r="D7" s="190">
        <f t="shared" si="0"/>
        <v>579.6</v>
      </c>
      <c r="E7" s="190">
        <f t="shared" si="0"/>
        <v>590.4</v>
      </c>
      <c r="F7" s="190">
        <f t="shared" si="0"/>
        <v>601.20000000000005</v>
      </c>
      <c r="G7" s="190">
        <f t="shared" si="0"/>
        <v>532.79999999999995</v>
      </c>
      <c r="H7" s="190">
        <f t="shared" si="0"/>
        <v>583.20000000000005</v>
      </c>
      <c r="I7" s="190">
        <f t="shared" si="0"/>
        <v>554.4</v>
      </c>
      <c r="J7" s="190">
        <f t="shared" si="0"/>
        <v>609.12</v>
      </c>
      <c r="K7" s="110" t="s">
        <v>1</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909</v>
      </c>
      <c r="C10" s="219">
        <v>79.5</v>
      </c>
      <c r="D10" s="219">
        <v>80.5</v>
      </c>
      <c r="E10" s="219">
        <v>81.400000000000006</v>
      </c>
      <c r="F10" s="219">
        <v>81.400000000000006</v>
      </c>
      <c r="G10" s="219">
        <v>79</v>
      </c>
      <c r="H10" s="219">
        <v>82</v>
      </c>
      <c r="I10" s="219">
        <v>81</v>
      </c>
      <c r="J10" s="219">
        <v>83</v>
      </c>
      <c r="K10" s="110" t="s">
        <v>5</v>
      </c>
      <c r="L10" s="239"/>
      <c r="M10" s="10"/>
    </row>
    <row r="11" spans="1:13" x14ac:dyDescent="0.25">
      <c r="A11" s="1"/>
      <c r="B11" s="171" t="s">
        <v>922</v>
      </c>
      <c r="C11" s="219">
        <f>100-C10</f>
        <v>20.5</v>
      </c>
      <c r="D11" s="219">
        <f t="shared" ref="D11:J11" si="1">100-D10</f>
        <v>19.5</v>
      </c>
      <c r="E11" s="219">
        <f t="shared" si="1"/>
        <v>18.599999999999994</v>
      </c>
      <c r="F11" s="219">
        <f t="shared" si="1"/>
        <v>18.599999999999994</v>
      </c>
      <c r="G11" s="219">
        <f t="shared" si="1"/>
        <v>21</v>
      </c>
      <c r="H11" s="219">
        <f t="shared" si="1"/>
        <v>18</v>
      </c>
      <c r="I11" s="219">
        <f t="shared" si="1"/>
        <v>19</v>
      </c>
      <c r="J11" s="219">
        <f t="shared" si="1"/>
        <v>17</v>
      </c>
      <c r="K11" s="110"/>
      <c r="L11" s="239"/>
      <c r="M11" s="10"/>
    </row>
    <row r="12" spans="1:13" x14ac:dyDescent="0.25">
      <c r="A12" s="1"/>
      <c r="B12" s="171"/>
      <c r="C12" s="549"/>
      <c r="D12" s="549"/>
      <c r="E12" s="549"/>
      <c r="F12" s="549"/>
      <c r="G12" s="549"/>
      <c r="H12" s="549"/>
      <c r="I12" s="549"/>
      <c r="J12" s="549"/>
      <c r="K12" s="549"/>
      <c r="L12" s="549"/>
      <c r="M12" s="10"/>
    </row>
    <row r="13" spans="1:13" x14ac:dyDescent="0.25">
      <c r="A13" s="1"/>
      <c r="B13" s="171" t="s">
        <v>923</v>
      </c>
      <c r="C13" s="190">
        <f>C20+(C20*8)</f>
        <v>209.27092709270929</v>
      </c>
      <c r="D13" s="190">
        <f t="shared" ref="D13:J13" si="2">D20+(D20*8)</f>
        <v>217.37173717371738</v>
      </c>
      <c r="E13" s="190">
        <f t="shared" si="2"/>
        <v>221.42214221422142</v>
      </c>
      <c r="F13" s="190">
        <f t="shared" si="2"/>
        <v>225.47254725472547</v>
      </c>
      <c r="G13" s="190">
        <f t="shared" si="2"/>
        <v>199.81998199819981</v>
      </c>
      <c r="H13" s="190">
        <f t="shared" si="2"/>
        <v>218.72187218721871</v>
      </c>
      <c r="I13" s="190">
        <f t="shared" si="2"/>
        <v>207.92079207920793</v>
      </c>
      <c r="J13" s="190">
        <f t="shared" si="2"/>
        <v>228.44284428442845</v>
      </c>
      <c r="K13" s="110"/>
      <c r="L13" s="239"/>
      <c r="M13" s="10"/>
    </row>
    <row r="14" spans="1:13" x14ac:dyDescent="0.25">
      <c r="A14" s="1"/>
      <c r="B14" s="559"/>
      <c r="C14" s="549"/>
      <c r="D14" s="549"/>
      <c r="E14" s="549"/>
      <c r="F14" s="549"/>
      <c r="G14" s="549"/>
      <c r="H14" s="549"/>
      <c r="I14" s="549"/>
      <c r="J14" s="549"/>
      <c r="K14" s="549"/>
      <c r="L14" s="549"/>
      <c r="M14" s="181"/>
    </row>
    <row r="15" spans="1:13" x14ac:dyDescent="0.25">
      <c r="A15" s="1"/>
      <c r="B15" s="183" t="s">
        <v>94</v>
      </c>
      <c r="C15" s="557"/>
      <c r="D15" s="550"/>
      <c r="E15" s="557"/>
      <c r="F15" s="557"/>
      <c r="G15" s="551"/>
      <c r="H15" s="551"/>
      <c r="I15" s="551"/>
      <c r="J15" s="551"/>
      <c r="K15" s="557"/>
      <c r="L15" s="557"/>
      <c r="M15" s="10"/>
    </row>
    <row r="16" spans="1:13" x14ac:dyDescent="0.25">
      <c r="A16" s="1"/>
      <c r="B16" s="171" t="s">
        <v>925</v>
      </c>
      <c r="C16" s="219">
        <f>(74+81)/2</f>
        <v>77.5</v>
      </c>
      <c r="D16" s="219">
        <f>(77+84)/2</f>
        <v>80.5</v>
      </c>
      <c r="E16" s="219">
        <f>(D16+F16)/2</f>
        <v>82</v>
      </c>
      <c r="F16" s="219">
        <f>(77+90)/2</f>
        <v>83.5</v>
      </c>
      <c r="G16" s="219">
        <v>74</v>
      </c>
      <c r="H16" s="219">
        <v>81</v>
      </c>
      <c r="I16" s="219">
        <v>77</v>
      </c>
      <c r="J16" s="219">
        <v>84.6</v>
      </c>
      <c r="K16" s="110" t="s">
        <v>897</v>
      </c>
      <c r="L16" s="239" t="s">
        <v>848</v>
      </c>
      <c r="M16" s="186"/>
    </row>
    <row r="17" spans="1:13" x14ac:dyDescent="0.25">
      <c r="A17" s="1"/>
      <c r="B17" s="171" t="s">
        <v>924</v>
      </c>
      <c r="C17" s="219">
        <f t="shared" ref="C17:J17" si="3">C16/33.33*39.4-C16</f>
        <v>14.114161416141613</v>
      </c>
      <c r="D17" s="219">
        <f t="shared" si="3"/>
        <v>14.660516051605157</v>
      </c>
      <c r="E17" s="219">
        <f t="shared" si="3"/>
        <v>14.933693369336936</v>
      </c>
      <c r="F17" s="219">
        <f t="shared" si="3"/>
        <v>15.206870687068701</v>
      </c>
      <c r="G17" s="219">
        <f>G16/33.33*39.4-G16</f>
        <v>13.476747674767466</v>
      </c>
      <c r="H17" s="219">
        <f t="shared" si="3"/>
        <v>14.751575157515745</v>
      </c>
      <c r="I17" s="219">
        <f t="shared" si="3"/>
        <v>14.023102310231025</v>
      </c>
      <c r="J17" s="219">
        <f t="shared" si="3"/>
        <v>15.407200720072012</v>
      </c>
      <c r="K17" s="110" t="s">
        <v>41</v>
      </c>
      <c r="L17" s="239"/>
      <c r="M17" s="10"/>
    </row>
    <row r="18" spans="1:13" x14ac:dyDescent="0.25">
      <c r="A18" s="1"/>
      <c r="B18" s="171" t="s">
        <v>926</v>
      </c>
      <c r="C18" s="219">
        <f t="shared" ref="C18:J18" si="4">100-C16-C17</f>
        <v>8.3858385838583871</v>
      </c>
      <c r="D18" s="219">
        <f t="shared" si="4"/>
        <v>4.8394839483948431</v>
      </c>
      <c r="E18" s="219">
        <f t="shared" si="4"/>
        <v>3.066306630663064</v>
      </c>
      <c r="F18" s="219">
        <f t="shared" si="4"/>
        <v>1.2931293129312991</v>
      </c>
      <c r="G18" s="219">
        <f t="shared" si="4"/>
        <v>12.523252325232534</v>
      </c>
      <c r="H18" s="219">
        <f>100-H16-H17</f>
        <v>4.2484248424842548</v>
      </c>
      <c r="I18" s="219">
        <f t="shared" si="4"/>
        <v>8.9768976897689754</v>
      </c>
      <c r="J18" s="219">
        <f t="shared" si="4"/>
        <v>-7.2007200720065612E-3</v>
      </c>
      <c r="K18" s="110"/>
      <c r="L18" s="239"/>
      <c r="M18" s="10"/>
    </row>
    <row r="19" spans="1:13" x14ac:dyDescent="0.25">
      <c r="A19" s="1"/>
      <c r="B19" s="171"/>
      <c r="C19" s="549"/>
      <c r="D19" s="549"/>
      <c r="E19" s="549"/>
      <c r="F19" s="549"/>
      <c r="G19" s="549"/>
      <c r="H19" s="549"/>
      <c r="I19" s="549"/>
      <c r="J19" s="549"/>
      <c r="K19" s="549"/>
      <c r="L19" s="549"/>
      <c r="M19" s="10"/>
    </row>
    <row r="20" spans="1:13" x14ac:dyDescent="0.25">
      <c r="A20" s="1"/>
      <c r="B20" s="171" t="s">
        <v>927</v>
      </c>
      <c r="C20" s="219">
        <f>C16/33.33*1000/100</f>
        <v>23.252325232523255</v>
      </c>
      <c r="D20" s="219">
        <f t="shared" ref="D20:J20" si="5">D16/33.33*1000/100</f>
        <v>24.152415241524153</v>
      </c>
      <c r="E20" s="219">
        <f t="shared" si="5"/>
        <v>24.602460246024602</v>
      </c>
      <c r="F20" s="219">
        <f t="shared" si="5"/>
        <v>25.052505250525051</v>
      </c>
      <c r="G20" s="219">
        <f t="shared" si="5"/>
        <v>22.202220222022202</v>
      </c>
      <c r="H20" s="219">
        <f t="shared" si="5"/>
        <v>24.3024302430243</v>
      </c>
      <c r="I20" s="219">
        <f t="shared" si="5"/>
        <v>23.102310231023104</v>
      </c>
      <c r="J20" s="219">
        <f t="shared" si="5"/>
        <v>25.382538253825384</v>
      </c>
      <c r="K20" s="110"/>
      <c r="L20" s="239"/>
      <c r="M20" s="10"/>
    </row>
    <row r="21" spans="1:13" x14ac:dyDescent="0.25">
      <c r="A21" s="1"/>
      <c r="B21" s="171"/>
      <c r="C21" s="190"/>
      <c r="D21" s="190"/>
      <c r="E21" s="190"/>
      <c r="F21" s="190"/>
      <c r="G21" s="190"/>
      <c r="H21" s="190"/>
      <c r="I21" s="190"/>
      <c r="J21" s="190"/>
      <c r="K21" s="110"/>
      <c r="L21" s="239"/>
      <c r="M21" s="10"/>
    </row>
    <row r="22" spans="1:13" x14ac:dyDescent="0.25">
      <c r="A22" s="1"/>
      <c r="B22" s="171" t="s">
        <v>99</v>
      </c>
      <c r="C22" s="219">
        <v>1.4</v>
      </c>
      <c r="D22" s="219">
        <v>1.4</v>
      </c>
      <c r="E22" s="219">
        <v>1.4</v>
      </c>
      <c r="F22" s="219">
        <v>1.4</v>
      </c>
      <c r="G22" s="219">
        <v>1.4</v>
      </c>
      <c r="H22" s="219">
        <v>1.4</v>
      </c>
      <c r="I22" s="219">
        <v>1.4</v>
      </c>
      <c r="J22" s="219">
        <v>1.4</v>
      </c>
      <c r="K22" s="110" t="s">
        <v>5</v>
      </c>
      <c r="L22" s="239"/>
      <c r="M22" s="10"/>
    </row>
    <row r="23" spans="1:13" x14ac:dyDescent="0.25">
      <c r="A23" s="1"/>
      <c r="B23" s="171" t="s">
        <v>100</v>
      </c>
      <c r="C23" s="190">
        <v>5</v>
      </c>
      <c r="D23" s="190">
        <v>5</v>
      </c>
      <c r="E23" s="190">
        <v>5</v>
      </c>
      <c r="F23" s="190">
        <v>5</v>
      </c>
      <c r="G23" s="190">
        <v>5</v>
      </c>
      <c r="H23" s="190">
        <v>5</v>
      </c>
      <c r="I23" s="190">
        <v>5</v>
      </c>
      <c r="J23" s="190">
        <v>5</v>
      </c>
      <c r="K23" s="110" t="s">
        <v>5</v>
      </c>
      <c r="L23" s="239"/>
      <c r="M23" s="10"/>
    </row>
    <row r="24" spans="1:13" x14ac:dyDescent="0.25">
      <c r="A24" s="1"/>
      <c r="B24" s="171" t="s">
        <v>14</v>
      </c>
      <c r="C24" s="190">
        <v>10</v>
      </c>
      <c r="D24" s="190">
        <v>20</v>
      </c>
      <c r="E24" s="190">
        <v>20</v>
      </c>
      <c r="F24" s="190">
        <v>20</v>
      </c>
      <c r="G24" s="190">
        <v>10</v>
      </c>
      <c r="H24" s="190">
        <v>10</v>
      </c>
      <c r="I24" s="190">
        <v>15</v>
      </c>
      <c r="J24" s="190">
        <v>20</v>
      </c>
      <c r="K24" s="110" t="s">
        <v>5</v>
      </c>
      <c r="L24" s="239"/>
      <c r="M24" s="10"/>
    </row>
    <row r="25" spans="1:13" x14ac:dyDescent="0.25">
      <c r="A25" s="1"/>
      <c r="B25" s="171" t="s">
        <v>898</v>
      </c>
      <c r="C25" s="219">
        <v>4</v>
      </c>
      <c r="D25" s="219">
        <v>0.5</v>
      </c>
      <c r="E25" s="219">
        <v>0.5</v>
      </c>
      <c r="F25" s="219">
        <v>0.5</v>
      </c>
      <c r="G25" s="219">
        <v>4</v>
      </c>
      <c r="H25" s="219">
        <v>4</v>
      </c>
      <c r="I25" s="219">
        <v>0.5</v>
      </c>
      <c r="J25" s="219">
        <v>1</v>
      </c>
      <c r="K25" s="110" t="s">
        <v>5</v>
      </c>
      <c r="L25" s="239"/>
      <c r="M25" s="10"/>
    </row>
    <row r="26" spans="1:13" x14ac:dyDescent="0.25">
      <c r="A26" s="1"/>
      <c r="B26" s="558"/>
      <c r="C26" s="558"/>
      <c r="D26" s="558"/>
      <c r="E26" s="558"/>
      <c r="F26" s="558"/>
      <c r="G26" s="558"/>
      <c r="H26" s="558"/>
      <c r="I26" s="558"/>
      <c r="J26" s="558"/>
      <c r="K26" s="558"/>
      <c r="L26" s="558"/>
      <c r="M26" s="10"/>
    </row>
    <row r="27" spans="1:13" x14ac:dyDescent="0.25">
      <c r="A27" s="1"/>
      <c r="B27" s="187" t="s">
        <v>951</v>
      </c>
      <c r="C27" s="136"/>
      <c r="D27" s="136"/>
      <c r="E27" s="136"/>
      <c r="F27" s="136"/>
      <c r="G27" s="136"/>
      <c r="H27" s="136"/>
      <c r="I27" s="136"/>
      <c r="J27" s="136"/>
      <c r="K27" s="110"/>
      <c r="L27" s="239"/>
      <c r="M27" s="10"/>
    </row>
    <row r="28" spans="1:13" x14ac:dyDescent="0.25">
      <c r="A28" s="1"/>
      <c r="B28" s="171" t="s">
        <v>899</v>
      </c>
      <c r="C28" s="190">
        <f>((2800+5600)/2*0.85)/(C10/100)</f>
        <v>4490.566037735849</v>
      </c>
      <c r="D28" s="190">
        <f>(800+2800)/2*0.85/(D10/100)</f>
        <v>1900.6211180124224</v>
      </c>
      <c r="E28" s="190">
        <f>D28/2+F28/2</f>
        <v>1341.8953255909778</v>
      </c>
      <c r="F28" s="190">
        <f>(500+1000)/2*0.85/(F10/100)</f>
        <v>783.16953316953311</v>
      </c>
      <c r="G28" s="190">
        <f>2800*0.85/(G10/100)</f>
        <v>3012.658227848101</v>
      </c>
      <c r="H28" s="190">
        <f>5600*0.85/(H10/100)</f>
        <v>5804.8780487804879</v>
      </c>
      <c r="I28" s="190">
        <f>500*0.85/(I10/100)</f>
        <v>524.69135802469134</v>
      </c>
      <c r="J28" s="190">
        <f>1000*0.85/(J10/100)</f>
        <v>1024.0963855421687</v>
      </c>
      <c r="K28" s="110" t="s">
        <v>399</v>
      </c>
      <c r="L28" s="239" t="s">
        <v>848</v>
      </c>
      <c r="M28" s="189"/>
    </row>
    <row r="29" spans="1:13" x14ac:dyDescent="0.25">
      <c r="A29" s="1"/>
      <c r="B29" s="171" t="s">
        <v>921</v>
      </c>
      <c r="C29" s="190">
        <f t="shared" ref="C29:J29" si="6">(C20/1000)^-1/24*C28</f>
        <v>8046.8046256847219</v>
      </c>
      <c r="D29" s="190">
        <f t="shared" si="6"/>
        <v>3278.8665560742261</v>
      </c>
      <c r="E29" s="190">
        <f t="shared" si="6"/>
        <v>2272.6306505054517</v>
      </c>
      <c r="F29" s="190">
        <f t="shared" si="6"/>
        <v>1302.5469331607055</v>
      </c>
      <c r="G29" s="190">
        <f t="shared" si="6"/>
        <v>5653.8231269243925</v>
      </c>
      <c r="H29" s="190">
        <f t="shared" si="6"/>
        <v>9952.4992472146951</v>
      </c>
      <c r="I29" s="190">
        <f t="shared" si="6"/>
        <v>946.31834215167544</v>
      </c>
      <c r="J29" s="190">
        <f t="shared" si="6"/>
        <v>1681.1038480161778</v>
      </c>
      <c r="K29" s="110" t="s">
        <v>900</v>
      </c>
      <c r="L29" s="239" t="s">
        <v>848</v>
      </c>
      <c r="M29" s="10"/>
    </row>
    <row r="30" spans="1:13" x14ac:dyDescent="0.25">
      <c r="A30" s="1"/>
      <c r="B30" s="171" t="s">
        <v>242</v>
      </c>
      <c r="C30" s="190">
        <v>80</v>
      </c>
      <c r="D30" s="190">
        <v>80</v>
      </c>
      <c r="E30" s="190">
        <v>80</v>
      </c>
      <c r="F30" s="190">
        <v>80</v>
      </c>
      <c r="G30" s="190">
        <v>80</v>
      </c>
      <c r="H30" s="190">
        <v>80</v>
      </c>
      <c r="I30" s="190">
        <v>80</v>
      </c>
      <c r="J30" s="190">
        <v>80</v>
      </c>
      <c r="K30" s="110" t="s">
        <v>5</v>
      </c>
      <c r="L30" s="239"/>
      <c r="M30" s="10"/>
    </row>
    <row r="31" spans="1:13" x14ac:dyDescent="0.25">
      <c r="A31" s="1"/>
      <c r="B31" s="171" t="s">
        <v>243</v>
      </c>
      <c r="C31" s="190">
        <v>20</v>
      </c>
      <c r="D31" s="190">
        <v>20</v>
      </c>
      <c r="E31" s="190">
        <v>20</v>
      </c>
      <c r="F31" s="190">
        <v>20</v>
      </c>
      <c r="G31" s="190">
        <v>20</v>
      </c>
      <c r="H31" s="190">
        <v>20</v>
      </c>
      <c r="I31" s="190">
        <v>20</v>
      </c>
      <c r="J31" s="190">
        <v>20</v>
      </c>
      <c r="K31" s="110" t="s">
        <v>5</v>
      </c>
      <c r="L31" s="239"/>
      <c r="M31" s="10"/>
    </row>
    <row r="32" spans="1:13" x14ac:dyDescent="0.25">
      <c r="A32" s="1"/>
      <c r="B32" s="171" t="s">
        <v>915</v>
      </c>
      <c r="C32" s="190">
        <v>12</v>
      </c>
      <c r="D32" s="190">
        <v>12</v>
      </c>
      <c r="E32" s="190">
        <v>12</v>
      </c>
      <c r="F32" s="190">
        <v>12</v>
      </c>
      <c r="G32" s="190">
        <v>12</v>
      </c>
      <c r="H32" s="190">
        <v>12</v>
      </c>
      <c r="I32" s="190">
        <v>12</v>
      </c>
      <c r="J32" s="190">
        <v>12</v>
      </c>
      <c r="K32" s="190" t="s">
        <v>901</v>
      </c>
      <c r="L32" s="239" t="s">
        <v>860</v>
      </c>
      <c r="M32" s="10"/>
    </row>
    <row r="33" spans="1:14" x14ac:dyDescent="0.25">
      <c r="A33" s="1"/>
      <c r="B33" s="171" t="s">
        <v>858</v>
      </c>
      <c r="C33" s="136" t="s">
        <v>28</v>
      </c>
      <c r="D33" s="136" t="s">
        <v>28</v>
      </c>
      <c r="E33" s="136" t="s">
        <v>28</v>
      </c>
      <c r="F33" s="136" t="s">
        <v>28</v>
      </c>
      <c r="G33" s="136"/>
      <c r="H33" s="136"/>
      <c r="I33" s="136"/>
      <c r="J33" s="136"/>
      <c r="K33" s="110" t="s">
        <v>0</v>
      </c>
      <c r="L33" s="239"/>
      <c r="M33" s="10"/>
    </row>
    <row r="34" spans="1:14" x14ac:dyDescent="0.25">
      <c r="A34" s="1"/>
      <c r="B34" s="171" t="s">
        <v>859</v>
      </c>
      <c r="C34" s="136" t="s">
        <v>28</v>
      </c>
      <c r="D34" s="136" t="s">
        <v>28</v>
      </c>
      <c r="E34" s="136" t="s">
        <v>28</v>
      </c>
      <c r="F34" s="136" t="s">
        <v>28</v>
      </c>
      <c r="G34" s="136"/>
      <c r="H34" s="136"/>
      <c r="I34" s="136"/>
      <c r="J34" s="136"/>
      <c r="K34" s="110"/>
      <c r="L34" s="239"/>
      <c r="M34" s="10"/>
    </row>
    <row r="35" spans="1:14" x14ac:dyDescent="0.25">
      <c r="A35" s="1"/>
      <c r="B35" s="563"/>
      <c r="C35" s="563"/>
      <c r="D35" s="563"/>
      <c r="E35" s="563"/>
      <c r="F35" s="563"/>
      <c r="G35" s="563"/>
      <c r="H35" s="563"/>
      <c r="I35" s="563"/>
      <c r="J35" s="563"/>
      <c r="K35" s="563"/>
      <c r="L35" s="563"/>
      <c r="M35" s="10"/>
    </row>
    <row r="36" spans="1:14" x14ac:dyDescent="0.25">
      <c r="A36" s="1"/>
      <c r="B36" s="187" t="s">
        <v>26</v>
      </c>
      <c r="C36" s="136"/>
      <c r="D36" s="136"/>
      <c r="E36" s="136"/>
      <c r="F36" s="136"/>
      <c r="G36" s="136"/>
      <c r="H36" s="136"/>
      <c r="I36" s="136"/>
      <c r="J36" s="136"/>
      <c r="K36" s="110"/>
      <c r="L36" s="239"/>
      <c r="M36" s="10"/>
    </row>
    <row r="37" spans="1:14" x14ac:dyDescent="0.25">
      <c r="A37" s="1"/>
      <c r="B37" s="171" t="s">
        <v>916</v>
      </c>
      <c r="C37" s="136">
        <v>0.65</v>
      </c>
      <c r="D37" s="136">
        <v>1</v>
      </c>
      <c r="E37" s="136">
        <v>1.5</v>
      </c>
      <c r="F37" s="136">
        <v>1.5</v>
      </c>
      <c r="G37" s="136">
        <v>0.5</v>
      </c>
      <c r="H37" s="136">
        <v>0.65</v>
      </c>
      <c r="I37" s="136">
        <v>1.5</v>
      </c>
      <c r="J37" s="136">
        <v>1.8</v>
      </c>
      <c r="K37" s="110"/>
      <c r="L37" s="239" t="s">
        <v>860</v>
      </c>
      <c r="M37" s="193"/>
    </row>
    <row r="38" spans="1:14" ht="17.100000000000001" customHeight="1" x14ac:dyDescent="0.25">
      <c r="A38" s="1"/>
      <c r="B38" s="171" t="s">
        <v>917</v>
      </c>
      <c r="C38" s="561">
        <v>35</v>
      </c>
      <c r="D38" s="561">
        <v>20</v>
      </c>
      <c r="E38" s="561">
        <v>15</v>
      </c>
      <c r="F38" s="561">
        <v>10</v>
      </c>
      <c r="G38" s="561">
        <v>35</v>
      </c>
      <c r="H38" s="561">
        <v>35</v>
      </c>
      <c r="I38" s="561">
        <v>10</v>
      </c>
      <c r="J38" s="561">
        <v>20</v>
      </c>
      <c r="K38" s="562"/>
      <c r="L38" s="560" t="s">
        <v>860</v>
      </c>
      <c r="M38" s="193"/>
    </row>
    <row r="39" spans="1:14" ht="48" hidden="1" x14ac:dyDescent="0.25">
      <c r="A39" s="1"/>
      <c r="B39" s="194">
        <f>500/7.48</f>
        <v>66.844919786096256</v>
      </c>
      <c r="C39" s="144" t="s">
        <v>153</v>
      </c>
      <c r="D39" s="141" t="e">
        <f>#REF!*100</f>
        <v>#REF!</v>
      </c>
      <c r="E39" s="141" t="e">
        <f>#REF!</f>
        <v>#REF!</v>
      </c>
      <c r="F39" s="141" t="e">
        <f>E39</f>
        <v>#REF!</v>
      </c>
      <c r="G39" s="141" t="e">
        <f>F39</f>
        <v>#REF!</v>
      </c>
      <c r="H39" s="145"/>
      <c r="I39" s="145"/>
      <c r="J39" s="112"/>
      <c r="K39" s="112"/>
      <c r="L39" s="118" t="s">
        <v>154</v>
      </c>
      <c r="M39" s="143" t="s">
        <v>155</v>
      </c>
      <c r="N39" s="195"/>
    </row>
    <row r="40" spans="1:14" hidden="1" x14ac:dyDescent="0.25">
      <c r="A40" s="1"/>
      <c r="C40" s="194"/>
      <c r="D40" s="194"/>
      <c r="E40" s="194"/>
      <c r="F40" s="194"/>
      <c r="G40" s="194"/>
      <c r="N40" s="10"/>
    </row>
    <row r="41" spans="1:14" hidden="1" x14ac:dyDescent="0.25">
      <c r="A41" s="1"/>
      <c r="C41" s="556"/>
      <c r="D41" s="196"/>
      <c r="E41" s="196"/>
      <c r="F41" s="196"/>
      <c r="G41" s="196"/>
      <c r="H41" s="92"/>
      <c r="I41" s="92"/>
      <c r="N41" s="10"/>
    </row>
    <row r="42" spans="1:14" ht="14.45" hidden="1" customHeight="1" x14ac:dyDescent="0.25">
      <c r="A42" s="606"/>
      <c r="B42" s="606"/>
      <c r="C42" s="606"/>
      <c r="D42" s="606"/>
      <c r="E42" s="606"/>
      <c r="F42" s="606"/>
      <c r="G42" s="606"/>
      <c r="H42" s="606"/>
      <c r="I42" s="606"/>
      <c r="J42" s="553"/>
      <c r="K42" s="146"/>
      <c r="L42" s="606"/>
      <c r="M42" s="606"/>
      <c r="N42" s="10"/>
    </row>
    <row r="43" spans="1:14" ht="14.45" hidden="1" customHeight="1" x14ac:dyDescent="0.25">
      <c r="A43" s="146"/>
      <c r="C43" s="606"/>
      <c r="D43" s="607"/>
      <c r="E43" s="607"/>
      <c r="F43" s="607"/>
      <c r="G43" s="607"/>
      <c r="H43" s="607"/>
      <c r="I43" s="607"/>
      <c r="J43" s="607"/>
      <c r="K43" s="607"/>
      <c r="L43" s="606"/>
      <c r="M43" s="606"/>
      <c r="N43" s="10"/>
    </row>
    <row r="44" spans="1:14" ht="14.45" hidden="1" customHeight="1" x14ac:dyDescent="0.25">
      <c r="A44" s="170"/>
      <c r="B44" s="606"/>
      <c r="C44" s="607"/>
      <c r="D44" s="607"/>
      <c r="E44" s="607"/>
      <c r="F44" s="607"/>
      <c r="G44" s="607"/>
      <c r="H44" s="607"/>
      <c r="I44" s="607"/>
      <c r="J44" s="607"/>
      <c r="K44" s="146"/>
      <c r="L44" s="606"/>
      <c r="M44" s="606"/>
      <c r="N44" s="10"/>
    </row>
    <row r="45" spans="1:14" ht="14.45" hidden="1" customHeight="1" x14ac:dyDescent="0.25">
      <c r="A45" s="146"/>
      <c r="C45" s="606"/>
      <c r="D45" s="607"/>
      <c r="E45" s="607"/>
      <c r="F45" s="607"/>
      <c r="G45" s="607"/>
      <c r="H45" s="607"/>
      <c r="I45" s="607"/>
      <c r="J45" s="607"/>
      <c r="K45" s="607"/>
      <c r="L45" s="606"/>
      <c r="M45" s="606"/>
      <c r="N45" s="10"/>
    </row>
    <row r="46" spans="1:14" ht="14.45" hidden="1" customHeight="1" x14ac:dyDescent="0.25">
      <c r="A46" s="146"/>
      <c r="B46" s="606"/>
      <c r="C46" s="607"/>
      <c r="D46" s="607"/>
      <c r="E46" s="607"/>
      <c r="F46" s="607"/>
      <c r="G46" s="607"/>
      <c r="H46" s="607"/>
      <c r="I46" s="607"/>
      <c r="J46" s="607"/>
      <c r="K46" s="146"/>
      <c r="L46" s="606"/>
      <c r="M46" s="606"/>
      <c r="N46" s="10"/>
    </row>
    <row r="47" spans="1:14" ht="3.95" hidden="1" customHeight="1" x14ac:dyDescent="0.25">
      <c r="B47" s="197"/>
      <c r="L47" s="606"/>
      <c r="M47" s="606"/>
      <c r="N47" s="10"/>
    </row>
    <row r="48" spans="1:14" x14ac:dyDescent="0.25">
      <c r="A48" s="146"/>
      <c r="B48" s="553"/>
      <c r="C48" s="553"/>
      <c r="D48" s="198"/>
      <c r="E48" s="553"/>
      <c r="F48" s="553"/>
      <c r="G48" s="553"/>
      <c r="H48" s="553"/>
      <c r="I48" s="553"/>
      <c r="J48" s="553"/>
      <c r="K48" s="146"/>
      <c r="L48" s="606"/>
      <c r="M48" s="606"/>
      <c r="N48" s="10"/>
    </row>
    <row r="49" spans="1:14" ht="14.45" customHeight="1" x14ac:dyDescent="0.25">
      <c r="A49" s="624" t="s">
        <v>6</v>
      </c>
      <c r="B49" s="624"/>
      <c r="C49" s="556"/>
      <c r="D49" s="556"/>
      <c r="E49" s="556"/>
      <c r="F49" s="556"/>
      <c r="G49" s="556"/>
      <c r="H49" s="556"/>
      <c r="I49" s="556"/>
      <c r="J49" s="556"/>
      <c r="K49" s="146"/>
      <c r="L49" s="606"/>
      <c r="M49" s="606"/>
      <c r="N49" s="10"/>
    </row>
    <row r="50" spans="1:14" x14ac:dyDescent="0.25">
      <c r="A50" s="149" t="s">
        <v>5</v>
      </c>
      <c r="B50" s="405" t="s">
        <v>902</v>
      </c>
      <c r="C50" s="410"/>
      <c r="D50" s="410"/>
      <c r="E50" s="410"/>
      <c r="F50" s="410"/>
      <c r="G50" s="410"/>
      <c r="H50" s="410"/>
      <c r="I50" s="410"/>
      <c r="J50" s="410"/>
      <c r="K50" s="402"/>
      <c r="L50" s="402"/>
      <c r="M50" s="402"/>
      <c r="N50" s="406"/>
    </row>
    <row r="51" spans="1:14" x14ac:dyDescent="0.25">
      <c r="A51" s="149" t="s">
        <v>4</v>
      </c>
      <c r="B51" s="405" t="s">
        <v>903</v>
      </c>
      <c r="C51" s="410"/>
      <c r="D51" s="410"/>
      <c r="E51" s="410"/>
      <c r="F51" s="410"/>
      <c r="G51" s="410"/>
      <c r="H51" s="410"/>
      <c r="I51" s="410"/>
      <c r="J51" s="410"/>
      <c r="K51" s="402"/>
      <c r="L51" s="402"/>
      <c r="M51" s="402"/>
      <c r="N51" s="407"/>
    </row>
    <row r="52" spans="1:14" ht="15" customHeight="1" x14ac:dyDescent="0.25">
      <c r="A52" s="149" t="s">
        <v>3</v>
      </c>
      <c r="B52" s="405" t="s">
        <v>884</v>
      </c>
      <c r="C52" s="404"/>
      <c r="D52" s="404"/>
      <c r="E52" s="404"/>
      <c r="F52" s="404"/>
      <c r="G52" s="404"/>
      <c r="H52" s="404"/>
      <c r="I52" s="404"/>
      <c r="J52" s="404"/>
      <c r="K52" s="404"/>
      <c r="L52" s="404"/>
      <c r="M52" s="404"/>
      <c r="N52" s="552"/>
    </row>
    <row r="53" spans="1:14" x14ac:dyDescent="0.25">
      <c r="A53" s="149" t="s">
        <v>2</v>
      </c>
      <c r="B53" s="405" t="s">
        <v>904</v>
      </c>
      <c r="D53" s="410"/>
      <c r="E53" s="410"/>
      <c r="F53" s="410"/>
      <c r="G53" s="410"/>
      <c r="H53" s="410"/>
      <c r="I53" s="410"/>
      <c r="J53" s="410"/>
      <c r="K53" s="410"/>
      <c r="L53" s="402"/>
      <c r="M53" s="402"/>
      <c r="N53" s="552"/>
    </row>
    <row r="54" spans="1:14" ht="15" customHeight="1" x14ac:dyDescent="0.25">
      <c r="A54" s="149" t="s">
        <v>1</v>
      </c>
      <c r="B54" s="405" t="s">
        <v>905</v>
      </c>
      <c r="C54" s="405"/>
      <c r="D54" s="405"/>
      <c r="E54" s="405"/>
      <c r="F54" s="405"/>
      <c r="G54" s="405"/>
      <c r="H54" s="405"/>
      <c r="I54" s="405"/>
      <c r="J54" s="405"/>
      <c r="K54" s="146"/>
      <c r="L54" s="91"/>
      <c r="M54" s="91"/>
      <c r="N54" s="552"/>
    </row>
    <row r="55" spans="1:14" ht="15" customHeight="1" x14ac:dyDescent="0.25">
      <c r="A55" s="149" t="s">
        <v>0</v>
      </c>
      <c r="B55" s="405" t="s">
        <v>906</v>
      </c>
      <c r="C55" s="405"/>
      <c r="D55" s="405"/>
      <c r="E55" s="405"/>
      <c r="F55" s="405"/>
      <c r="G55" s="405"/>
      <c r="H55" s="405"/>
      <c r="I55" s="405"/>
      <c r="J55" s="405"/>
      <c r="K55" s="405"/>
      <c r="L55" s="405"/>
      <c r="M55" s="405"/>
      <c r="N55" s="552"/>
    </row>
    <row r="56" spans="1:14" ht="15" customHeight="1" x14ac:dyDescent="0.25">
      <c r="A56" s="149" t="s">
        <v>40</v>
      </c>
      <c r="B56" s="91" t="s">
        <v>907</v>
      </c>
      <c r="C56" s="91"/>
      <c r="D56" s="91"/>
      <c r="E56" s="91"/>
      <c r="F56" s="91"/>
      <c r="G56" s="91"/>
      <c r="H56" s="91"/>
      <c r="I56" s="91"/>
      <c r="J56" s="91"/>
      <c r="K56" s="91"/>
      <c r="L56" s="91"/>
      <c r="M56" s="91"/>
      <c r="N56" s="552"/>
    </row>
    <row r="57" spans="1:14" ht="15" customHeight="1" x14ac:dyDescent="0.25">
      <c r="A57" s="149" t="s">
        <v>41</v>
      </c>
      <c r="B57" s="91" t="s">
        <v>874</v>
      </c>
      <c r="C57" s="91"/>
      <c r="D57" s="91"/>
      <c r="E57" s="91"/>
      <c r="F57" s="91"/>
      <c r="G57" s="91"/>
      <c r="H57" s="91"/>
      <c r="I57" s="91"/>
      <c r="J57" s="91"/>
      <c r="K57" s="91"/>
      <c r="L57" s="406"/>
      <c r="M57" s="406"/>
      <c r="N57" s="552"/>
    </row>
    <row r="58" spans="1:14" ht="15" customHeight="1" x14ac:dyDescent="0.25">
      <c r="A58" s="149" t="s">
        <v>127</v>
      </c>
      <c r="B58" s="247" t="s">
        <v>908</v>
      </c>
      <c r="C58" s="404"/>
      <c r="D58" s="404"/>
      <c r="E58" s="404"/>
      <c r="F58" s="404"/>
      <c r="G58" s="404"/>
      <c r="H58" s="404"/>
      <c r="I58" s="404"/>
      <c r="J58" s="404"/>
      <c r="K58" s="406"/>
      <c r="L58" s="406"/>
      <c r="M58" s="406"/>
      <c r="N58" s="552"/>
    </row>
    <row r="59" spans="1:14" x14ac:dyDescent="0.25">
      <c r="A59" s="149"/>
      <c r="B59" s="210"/>
      <c r="C59" s="408"/>
      <c r="D59" s="408"/>
      <c r="E59" s="408"/>
      <c r="F59" s="408"/>
      <c r="G59" s="408"/>
      <c r="H59" s="408"/>
      <c r="I59" s="408"/>
      <c r="J59" s="408"/>
      <c r="K59" s="408"/>
      <c r="L59" s="408"/>
      <c r="M59" s="408"/>
      <c r="N59" s="408"/>
    </row>
    <row r="60" spans="1:14" x14ac:dyDescent="0.25">
      <c r="A60" s="147" t="s">
        <v>27</v>
      </c>
      <c r="B60" s="409"/>
      <c r="C60" s="409"/>
      <c r="D60" s="409"/>
      <c r="E60" s="409"/>
      <c r="F60" s="409"/>
      <c r="G60" s="409"/>
      <c r="H60" s="409"/>
      <c r="I60" s="409"/>
      <c r="J60" s="552"/>
      <c r="K60" s="552"/>
      <c r="L60" s="552"/>
      <c r="M60" s="552"/>
      <c r="N60" s="552"/>
    </row>
    <row r="61" spans="1:14" x14ac:dyDescent="0.25">
      <c r="A61" s="1">
        <v>21</v>
      </c>
      <c r="B61" s="247" t="s">
        <v>877</v>
      </c>
      <c r="D61" s="554"/>
      <c r="E61" s="554"/>
      <c r="F61" s="554"/>
      <c r="G61" s="554"/>
      <c r="H61" s="554"/>
      <c r="I61" s="554"/>
      <c r="J61" s="554"/>
      <c r="K61" s="554"/>
      <c r="L61" s="552"/>
      <c r="M61" s="552"/>
      <c r="N61" s="552"/>
    </row>
    <row r="62" spans="1:14" x14ac:dyDescent="0.25">
      <c r="A62" s="1">
        <v>24</v>
      </c>
      <c r="B62" s="247" t="s">
        <v>878</v>
      </c>
      <c r="D62" s="554"/>
      <c r="E62" s="554"/>
      <c r="F62" s="554"/>
      <c r="G62" s="554"/>
      <c r="H62" s="554"/>
      <c r="I62" s="554"/>
      <c r="J62" s="554"/>
      <c r="K62" s="554"/>
      <c r="L62" s="552"/>
      <c r="M62" s="552"/>
      <c r="N62" s="552"/>
    </row>
    <row r="63" spans="1:14" x14ac:dyDescent="0.25">
      <c r="A63" s="1">
        <v>26</v>
      </c>
      <c r="B63" s="247" t="s">
        <v>879</v>
      </c>
      <c r="D63" s="554"/>
      <c r="E63" s="554"/>
      <c r="F63" s="554"/>
      <c r="G63" s="554"/>
      <c r="H63" s="554"/>
      <c r="I63" s="554"/>
      <c r="J63" s="554"/>
      <c r="K63" s="554"/>
      <c r="L63" s="552"/>
      <c r="M63" s="552"/>
      <c r="N63" s="552"/>
    </row>
    <row r="64" spans="1:14" x14ac:dyDescent="0.25">
      <c r="B64" s="552"/>
      <c r="C64" s="552"/>
      <c r="D64" s="552"/>
      <c r="E64" s="552"/>
      <c r="F64" s="552"/>
      <c r="G64" s="552"/>
      <c r="H64" s="552"/>
      <c r="I64" s="552"/>
      <c r="J64" s="552"/>
      <c r="K64" s="552"/>
      <c r="L64" s="552"/>
      <c r="M64" s="552"/>
      <c r="N64" s="552"/>
    </row>
  </sheetData>
  <mergeCells count="17">
    <mergeCell ref="C43:K43"/>
    <mergeCell ref="L43:M43"/>
    <mergeCell ref="C3:L3"/>
    <mergeCell ref="G4:H4"/>
    <mergeCell ref="I4:J4"/>
    <mergeCell ref="A42:I42"/>
    <mergeCell ref="L42:M42"/>
    <mergeCell ref="L47:M47"/>
    <mergeCell ref="L48:M48"/>
    <mergeCell ref="A49:B49"/>
    <mergeCell ref="L49:M49"/>
    <mergeCell ref="B44:J44"/>
    <mergeCell ref="L44:M44"/>
    <mergeCell ref="C45:K45"/>
    <mergeCell ref="L45:M45"/>
    <mergeCell ref="B46:J46"/>
    <mergeCell ref="L46:M46"/>
  </mergeCells>
  <hyperlinks>
    <hyperlink ref="C3" location="INDEX" display="Biogas plant, additional straw input in the feedstock mix"/>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M65"/>
  <sheetViews>
    <sheetView showGridLines="0" zoomScale="80" zoomScaleNormal="80" workbookViewId="0">
      <selection activeCell="C3" sqref="C3:M3"/>
    </sheetView>
  </sheetViews>
  <sheetFormatPr defaultRowHeight="15" x14ac:dyDescent="0.25"/>
  <cols>
    <col min="1" max="1" width="2.140625" customWidth="1"/>
    <col min="2" max="2" width="39.85546875" customWidth="1"/>
    <col min="3" max="12" width="7.140625" customWidth="1"/>
  </cols>
  <sheetData>
    <row r="2" spans="2:13" x14ac:dyDescent="0.25">
      <c r="H2" s="255"/>
    </row>
    <row r="3" spans="2:13" ht="15" customHeight="1" x14ac:dyDescent="0.25">
      <c r="B3" s="256" t="s">
        <v>20</v>
      </c>
      <c r="C3" s="657" t="s">
        <v>252</v>
      </c>
      <c r="D3" s="658"/>
      <c r="E3" s="658"/>
      <c r="F3" s="658"/>
      <c r="G3" s="658"/>
      <c r="H3" s="658"/>
      <c r="I3" s="658"/>
      <c r="J3" s="658"/>
      <c r="K3" s="658"/>
      <c r="L3" s="658"/>
      <c r="M3" s="659"/>
    </row>
    <row r="4" spans="2:13" ht="24" customHeight="1" x14ac:dyDescent="0.25">
      <c r="B4" s="257"/>
      <c r="C4" s="258">
        <v>2015</v>
      </c>
      <c r="D4" s="258">
        <v>2020</v>
      </c>
      <c r="E4" s="258">
        <v>2030</v>
      </c>
      <c r="F4" s="258">
        <v>2040</v>
      </c>
      <c r="G4" s="259">
        <v>2050</v>
      </c>
      <c r="H4" s="660" t="s">
        <v>25</v>
      </c>
      <c r="I4" s="660"/>
      <c r="J4" s="660" t="s">
        <v>24</v>
      </c>
      <c r="K4" s="660"/>
      <c r="L4" s="258" t="s">
        <v>19</v>
      </c>
      <c r="M4" s="258" t="s">
        <v>18</v>
      </c>
    </row>
    <row r="5" spans="2:13" x14ac:dyDescent="0.25">
      <c r="B5" s="257"/>
      <c r="C5" s="258"/>
      <c r="D5" s="258"/>
      <c r="E5" s="258"/>
      <c r="F5" s="258"/>
      <c r="G5" s="259"/>
      <c r="H5" s="258" t="s">
        <v>17</v>
      </c>
      <c r="I5" s="258" t="s">
        <v>16</v>
      </c>
      <c r="J5" s="258" t="s">
        <v>17</v>
      </c>
      <c r="K5" s="258" t="s">
        <v>16</v>
      </c>
      <c r="L5" s="258"/>
      <c r="M5" s="258"/>
    </row>
    <row r="6" spans="2:13" x14ac:dyDescent="0.25">
      <c r="B6" s="260" t="s">
        <v>15</v>
      </c>
      <c r="C6" s="261"/>
      <c r="D6" s="261"/>
      <c r="E6" s="261"/>
      <c r="F6" s="261"/>
      <c r="G6" s="261"/>
      <c r="H6" s="262"/>
      <c r="I6" s="261"/>
      <c r="J6" s="261"/>
      <c r="K6" s="261"/>
      <c r="L6" s="263"/>
      <c r="M6" s="264"/>
    </row>
    <row r="7" spans="2:13" x14ac:dyDescent="0.25">
      <c r="B7" s="265" t="s">
        <v>253</v>
      </c>
      <c r="C7" s="257">
        <v>100</v>
      </c>
      <c r="D7" s="257">
        <v>100</v>
      </c>
      <c r="E7" s="257">
        <v>100</v>
      </c>
      <c r="F7" s="257">
        <v>100</v>
      </c>
      <c r="G7" s="266">
        <v>100</v>
      </c>
      <c r="H7" s="267">
        <v>0.5</v>
      </c>
      <c r="I7" s="267">
        <v>2</v>
      </c>
      <c r="J7" s="267">
        <v>0.5</v>
      </c>
      <c r="K7" s="267">
        <v>2</v>
      </c>
      <c r="L7" s="268" t="s">
        <v>5</v>
      </c>
      <c r="M7" s="268">
        <v>1</v>
      </c>
    </row>
    <row r="8" spans="2:13" x14ac:dyDescent="0.25">
      <c r="B8" s="269" t="s">
        <v>586</v>
      </c>
      <c r="C8" s="270">
        <v>125</v>
      </c>
      <c r="D8" s="270">
        <v>125</v>
      </c>
      <c r="E8" s="270">
        <v>125</v>
      </c>
      <c r="F8" s="270">
        <v>125</v>
      </c>
      <c r="G8" s="271">
        <v>125</v>
      </c>
      <c r="H8" s="272">
        <v>0.5</v>
      </c>
      <c r="I8" s="272">
        <v>2</v>
      </c>
      <c r="J8" s="272">
        <v>0.5</v>
      </c>
      <c r="K8" s="272">
        <v>2</v>
      </c>
      <c r="L8" s="273" t="s">
        <v>254</v>
      </c>
      <c r="M8" s="273"/>
    </row>
    <row r="9" spans="2:13" x14ac:dyDescent="0.25">
      <c r="B9" s="274" t="s">
        <v>240</v>
      </c>
      <c r="C9" s="275"/>
      <c r="D9" s="275"/>
      <c r="E9" s="275"/>
      <c r="F9" s="275"/>
      <c r="G9" s="275"/>
      <c r="H9" s="266"/>
      <c r="I9" s="275"/>
      <c r="J9" s="275"/>
      <c r="K9" s="275"/>
      <c r="L9" s="276"/>
      <c r="M9" s="277"/>
    </row>
    <row r="10" spans="2:13" x14ac:dyDescent="0.25">
      <c r="B10" s="278" t="s">
        <v>256</v>
      </c>
      <c r="C10" s="279">
        <v>0.92500000000000004</v>
      </c>
      <c r="D10" s="279">
        <v>0.92600000000000005</v>
      </c>
      <c r="E10" s="279">
        <v>0.92900000000000005</v>
      </c>
      <c r="F10" s="279">
        <v>0.93100000000000005</v>
      </c>
      <c r="G10" s="280">
        <v>0.93300000000000005</v>
      </c>
      <c r="H10" s="281">
        <v>0.99</v>
      </c>
      <c r="I10" s="281">
        <v>1.01</v>
      </c>
      <c r="J10" s="281">
        <v>0.99</v>
      </c>
      <c r="K10" s="281">
        <v>1.01</v>
      </c>
      <c r="L10" s="282" t="s">
        <v>257</v>
      </c>
      <c r="M10" s="282">
        <v>4</v>
      </c>
    </row>
    <row r="11" spans="2:13" x14ac:dyDescent="0.25">
      <c r="B11" s="265" t="s">
        <v>258</v>
      </c>
      <c r="C11" s="257">
        <v>4.5999999999999999E-2</v>
      </c>
      <c r="D11" s="257">
        <v>4.5999999999999999E-2</v>
      </c>
      <c r="E11" s="257">
        <v>4.5999999999999999E-2</v>
      </c>
      <c r="F11" s="257">
        <v>4.5999999999999999E-2</v>
      </c>
      <c r="G11" s="266">
        <v>4.5999999999999999E-2</v>
      </c>
      <c r="H11" s="283">
        <v>0.93</v>
      </c>
      <c r="I11" s="283">
        <v>1.07</v>
      </c>
      <c r="J11" s="283">
        <v>0.93</v>
      </c>
      <c r="K11" s="283">
        <v>1.07</v>
      </c>
      <c r="L11" s="268" t="s">
        <v>259</v>
      </c>
      <c r="M11" s="268">
        <v>4</v>
      </c>
    </row>
    <row r="12" spans="2:13" x14ac:dyDescent="0.25">
      <c r="B12" s="265" t="s">
        <v>260</v>
      </c>
      <c r="C12" s="257">
        <v>4.0000000000000001E-3</v>
      </c>
      <c r="D12" s="257">
        <v>4.0000000000000001E-3</v>
      </c>
      <c r="E12" s="257">
        <v>3.0000000000000001E-3</v>
      </c>
      <c r="F12" s="284">
        <v>2.5000000000000001E-3</v>
      </c>
      <c r="G12" s="266">
        <v>2E-3</v>
      </c>
      <c r="H12" s="283">
        <v>0.5</v>
      </c>
      <c r="I12" s="283">
        <v>1.5</v>
      </c>
      <c r="J12" s="283">
        <v>0.75</v>
      </c>
      <c r="K12" s="283">
        <v>1.25</v>
      </c>
      <c r="L12" s="268" t="s">
        <v>257</v>
      </c>
      <c r="M12" s="268">
        <v>4</v>
      </c>
    </row>
    <row r="13" spans="2:13" x14ac:dyDescent="0.25">
      <c r="B13" s="265" t="s">
        <v>261</v>
      </c>
      <c r="C13" s="257">
        <v>2.5000000000000001E-2</v>
      </c>
      <c r="D13" s="257">
        <v>2.4E-2</v>
      </c>
      <c r="E13" s="257">
        <v>2.1999999999999999E-2</v>
      </c>
      <c r="F13" s="257">
        <v>0.02</v>
      </c>
      <c r="G13" s="266">
        <v>1.7999999999999999E-2</v>
      </c>
      <c r="H13" s="283">
        <v>0.5</v>
      </c>
      <c r="I13" s="283">
        <v>1.5</v>
      </c>
      <c r="J13" s="283">
        <v>0.75</v>
      </c>
      <c r="K13" s="283">
        <v>1.25</v>
      </c>
      <c r="L13" s="268" t="s">
        <v>257</v>
      </c>
      <c r="M13" s="268">
        <v>4</v>
      </c>
    </row>
    <row r="14" spans="2:13" x14ac:dyDescent="0.25">
      <c r="B14" s="285" t="s">
        <v>241</v>
      </c>
      <c r="C14" s="257"/>
      <c r="D14" s="257"/>
      <c r="E14" s="257"/>
      <c r="F14" s="257"/>
      <c r="G14" s="266"/>
      <c r="H14" s="257"/>
      <c r="I14" s="257"/>
      <c r="J14" s="257"/>
      <c r="K14" s="257"/>
      <c r="L14" s="268"/>
      <c r="M14" s="268"/>
    </row>
    <row r="15" spans="2:13" x14ac:dyDescent="0.25">
      <c r="B15" s="265" t="s">
        <v>262</v>
      </c>
      <c r="C15" s="257">
        <v>0.90300000000000002</v>
      </c>
      <c r="D15" s="257">
        <v>0.90300000000000002</v>
      </c>
      <c r="E15" s="257">
        <v>0.90300000000000002</v>
      </c>
      <c r="F15" s="257">
        <v>0.90300000000000002</v>
      </c>
      <c r="G15" s="266">
        <v>0.90300000000000002</v>
      </c>
      <c r="H15" s="283">
        <v>0.99</v>
      </c>
      <c r="I15" s="283">
        <v>1.01</v>
      </c>
      <c r="J15" s="283">
        <v>0.99</v>
      </c>
      <c r="K15" s="283">
        <v>1.01</v>
      </c>
      <c r="L15" s="268" t="s">
        <v>0</v>
      </c>
      <c r="M15" s="268">
        <v>4</v>
      </c>
    </row>
    <row r="16" spans="2:13" x14ac:dyDescent="0.25">
      <c r="B16" s="265" t="s">
        <v>263</v>
      </c>
      <c r="C16" s="257">
        <v>3.9E-2</v>
      </c>
      <c r="D16" s="257">
        <v>3.9E-2</v>
      </c>
      <c r="E16" s="257">
        <v>3.9E-2</v>
      </c>
      <c r="F16" s="257">
        <v>3.9E-2</v>
      </c>
      <c r="G16" s="266">
        <v>3.9E-2</v>
      </c>
      <c r="H16" s="283">
        <v>0.99</v>
      </c>
      <c r="I16" s="283">
        <v>1.01</v>
      </c>
      <c r="J16" s="283">
        <v>0.99</v>
      </c>
      <c r="K16" s="283">
        <v>1.01</v>
      </c>
      <c r="L16" s="268" t="s">
        <v>0</v>
      </c>
      <c r="M16" s="268">
        <v>4</v>
      </c>
    </row>
    <row r="17" spans="2:13" x14ac:dyDescent="0.25">
      <c r="B17" s="274"/>
      <c r="C17" s="275"/>
      <c r="D17" s="275"/>
      <c r="E17" s="275"/>
      <c r="F17" s="275"/>
      <c r="G17" s="275"/>
      <c r="H17" s="266"/>
      <c r="I17" s="275"/>
      <c r="J17" s="275"/>
      <c r="K17" s="275"/>
      <c r="L17" s="276"/>
      <c r="M17" s="277"/>
    </row>
    <row r="18" spans="2:13" x14ac:dyDescent="0.25">
      <c r="B18" s="265" t="s">
        <v>99</v>
      </c>
      <c r="C18" s="257">
        <v>0</v>
      </c>
      <c r="D18" s="257">
        <v>0</v>
      </c>
      <c r="E18" s="257">
        <v>0</v>
      </c>
      <c r="F18" s="257">
        <v>0</v>
      </c>
      <c r="G18" s="266">
        <v>0</v>
      </c>
      <c r="H18" s="257"/>
      <c r="I18" s="257"/>
      <c r="J18" s="257"/>
      <c r="K18" s="257"/>
      <c r="L18" s="268" t="s">
        <v>41</v>
      </c>
      <c r="M18" s="268"/>
    </row>
    <row r="19" spans="2:13" x14ac:dyDescent="0.25">
      <c r="B19" s="265" t="s">
        <v>23</v>
      </c>
      <c r="C19" s="286">
        <v>2</v>
      </c>
      <c r="D19" s="286">
        <v>2</v>
      </c>
      <c r="E19" s="286">
        <v>2</v>
      </c>
      <c r="F19" s="286">
        <v>2</v>
      </c>
      <c r="G19" s="287">
        <v>2</v>
      </c>
      <c r="H19" s="257"/>
      <c r="I19" s="257"/>
      <c r="J19" s="257"/>
      <c r="K19" s="268"/>
      <c r="L19" s="268"/>
      <c r="M19" s="257"/>
    </row>
    <row r="20" spans="2:13" x14ac:dyDescent="0.25">
      <c r="B20" s="265" t="s">
        <v>14</v>
      </c>
      <c r="C20" s="286">
        <v>25</v>
      </c>
      <c r="D20" s="286">
        <v>25</v>
      </c>
      <c r="E20" s="286">
        <v>25</v>
      </c>
      <c r="F20" s="286">
        <v>25</v>
      </c>
      <c r="G20" s="287">
        <v>25</v>
      </c>
      <c r="H20" s="257"/>
      <c r="I20" s="257"/>
      <c r="J20" s="257"/>
      <c r="K20" s="268"/>
      <c r="L20" s="268"/>
      <c r="M20" s="257"/>
    </row>
    <row r="21" spans="2:13" x14ac:dyDescent="0.25">
      <c r="B21" s="265" t="s">
        <v>12</v>
      </c>
      <c r="C21" s="286">
        <v>1.5</v>
      </c>
      <c r="D21" s="286">
        <v>1.5</v>
      </c>
      <c r="E21" s="286">
        <v>1.5</v>
      </c>
      <c r="F21" s="286">
        <v>1.5</v>
      </c>
      <c r="G21" s="287">
        <v>1.5</v>
      </c>
      <c r="H21" s="257"/>
      <c r="I21" s="257"/>
      <c r="J21" s="257"/>
      <c r="K21" s="268"/>
      <c r="L21" s="268"/>
      <c r="M21" s="257"/>
    </row>
    <row r="22" spans="2:13" x14ac:dyDescent="0.25">
      <c r="B22" s="274" t="s">
        <v>9</v>
      </c>
      <c r="C22" s="275"/>
      <c r="D22" s="275"/>
      <c r="E22" s="275"/>
      <c r="F22" s="275"/>
      <c r="G22" s="275"/>
      <c r="H22" s="266"/>
      <c r="I22" s="275"/>
      <c r="J22" s="275"/>
      <c r="K22" s="275"/>
      <c r="L22" s="276"/>
      <c r="M22" s="277"/>
    </row>
    <row r="23" spans="2:13" x14ac:dyDescent="0.25">
      <c r="B23" s="265" t="s">
        <v>587</v>
      </c>
      <c r="C23" s="288">
        <f>C32/1.25</f>
        <v>0.51200000000000001</v>
      </c>
      <c r="D23" s="288">
        <f t="shared" ref="D23:E23" si="0">D32/1.25</f>
        <v>0.504</v>
      </c>
      <c r="E23" s="288">
        <f t="shared" si="0"/>
        <v>0.496</v>
      </c>
      <c r="F23" s="288">
        <v>0.49</v>
      </c>
      <c r="G23" s="289">
        <f>G32/1.25</f>
        <v>0.48</v>
      </c>
      <c r="H23" s="283">
        <v>0.9</v>
      </c>
      <c r="I23" s="283">
        <v>1.1000000000000001</v>
      </c>
      <c r="J23" s="283">
        <v>0.9</v>
      </c>
      <c r="K23" s="283">
        <v>1.1000000000000001</v>
      </c>
      <c r="L23" s="268" t="s">
        <v>265</v>
      </c>
      <c r="M23" s="268"/>
    </row>
    <row r="24" spans="2:13" x14ac:dyDescent="0.25">
      <c r="B24" s="265" t="s">
        <v>266</v>
      </c>
      <c r="C24" s="290" t="s">
        <v>267</v>
      </c>
      <c r="D24" s="257">
        <v>75</v>
      </c>
      <c r="E24" s="257">
        <v>75</v>
      </c>
      <c r="F24" s="257">
        <v>75</v>
      </c>
      <c r="G24" s="266">
        <v>75</v>
      </c>
      <c r="H24" s="257"/>
      <c r="I24" s="257"/>
      <c r="J24" s="257"/>
      <c r="K24" s="257"/>
      <c r="L24" s="268" t="s">
        <v>40</v>
      </c>
      <c r="M24" s="268"/>
    </row>
    <row r="25" spans="2:13" x14ac:dyDescent="0.25">
      <c r="B25" s="265" t="s">
        <v>268</v>
      </c>
      <c r="C25" s="290" t="s">
        <v>269</v>
      </c>
      <c r="D25" s="257">
        <v>25</v>
      </c>
      <c r="E25" s="257">
        <v>25</v>
      </c>
      <c r="F25" s="257">
        <v>25</v>
      </c>
      <c r="G25" s="266">
        <v>25</v>
      </c>
      <c r="H25" s="257"/>
      <c r="I25" s="257"/>
      <c r="J25" s="257"/>
      <c r="K25" s="257"/>
      <c r="L25" s="268" t="s">
        <v>40</v>
      </c>
      <c r="M25" s="268"/>
    </row>
    <row r="26" spans="2:13" x14ac:dyDescent="0.25">
      <c r="B26" s="265" t="s">
        <v>588</v>
      </c>
      <c r="C26" s="284">
        <v>1.7600000000000001E-2</v>
      </c>
      <c r="D26" s="284">
        <v>1.7600000000000001E-2</v>
      </c>
      <c r="E26" s="284">
        <v>1.7600000000000001E-2</v>
      </c>
      <c r="F26" s="284">
        <v>1.7600000000000001E-2</v>
      </c>
      <c r="G26" s="291">
        <v>1.7600000000000001E-2</v>
      </c>
      <c r="H26" s="283">
        <v>0.9</v>
      </c>
      <c r="I26" s="283">
        <v>1.1000000000000001</v>
      </c>
      <c r="J26" s="283">
        <v>0.9</v>
      </c>
      <c r="K26" s="283">
        <v>1.1000000000000001</v>
      </c>
      <c r="L26" s="268" t="s">
        <v>271</v>
      </c>
      <c r="M26" s="268"/>
    </row>
    <row r="27" spans="2:13" x14ac:dyDescent="0.25">
      <c r="B27" s="265" t="s">
        <v>589</v>
      </c>
      <c r="C27" s="288">
        <v>6.77</v>
      </c>
      <c r="D27" s="288">
        <v>6.77</v>
      </c>
      <c r="E27" s="288">
        <v>6.77</v>
      </c>
      <c r="F27" s="288">
        <v>6.77</v>
      </c>
      <c r="G27" s="289">
        <v>6.77</v>
      </c>
      <c r="H27" s="283">
        <v>0.9</v>
      </c>
      <c r="I27" s="283">
        <v>1.1000000000000001</v>
      </c>
      <c r="J27" s="283">
        <v>0.9</v>
      </c>
      <c r="K27" s="283">
        <v>1.1000000000000001</v>
      </c>
      <c r="L27" s="268" t="s">
        <v>271</v>
      </c>
      <c r="M27" s="268"/>
    </row>
    <row r="28" spans="2:13" x14ac:dyDescent="0.25">
      <c r="B28" s="265" t="s">
        <v>590</v>
      </c>
      <c r="C28" s="257">
        <v>0</v>
      </c>
      <c r="D28" s="257">
        <v>0</v>
      </c>
      <c r="E28" s="257">
        <v>0</v>
      </c>
      <c r="F28" s="257">
        <v>0</v>
      </c>
      <c r="G28" s="266">
        <v>0</v>
      </c>
      <c r="H28" s="257"/>
      <c r="I28" s="257"/>
      <c r="J28" s="257"/>
      <c r="K28" s="257"/>
      <c r="L28" s="268"/>
      <c r="M28" s="268"/>
    </row>
    <row r="29" spans="2:13" x14ac:dyDescent="0.25">
      <c r="B29" s="274" t="s">
        <v>244</v>
      </c>
      <c r="C29" s="275"/>
      <c r="D29" s="275"/>
      <c r="E29" s="275"/>
      <c r="F29" s="275"/>
      <c r="G29" s="275"/>
      <c r="H29" s="266"/>
      <c r="I29" s="275"/>
      <c r="J29" s="275"/>
      <c r="K29" s="275"/>
      <c r="L29" s="276"/>
      <c r="M29" s="277"/>
    </row>
    <row r="30" spans="2:13" x14ac:dyDescent="0.25">
      <c r="B30" s="265" t="s">
        <v>273</v>
      </c>
      <c r="C30" s="286">
        <v>37.200000000000003</v>
      </c>
      <c r="D30" s="286">
        <v>37.200000000000003</v>
      </c>
      <c r="E30" s="286">
        <v>37.200000000000003</v>
      </c>
      <c r="F30" s="286">
        <v>37.200000000000003</v>
      </c>
      <c r="G30" s="287">
        <v>37.200000000000003</v>
      </c>
      <c r="H30" s="257"/>
      <c r="I30" s="257"/>
      <c r="J30" s="257"/>
      <c r="K30" s="268"/>
      <c r="L30" s="268"/>
      <c r="M30" s="257"/>
    </row>
    <row r="31" spans="2:13" x14ac:dyDescent="0.25">
      <c r="B31" s="265" t="s">
        <v>591</v>
      </c>
      <c r="C31" s="286">
        <v>0.88500000000000001</v>
      </c>
      <c r="D31" s="286">
        <v>0.88500000000000001</v>
      </c>
      <c r="E31" s="286">
        <v>0.88500000000000001</v>
      </c>
      <c r="F31" s="286">
        <v>0.88500000000000001</v>
      </c>
      <c r="G31" s="287">
        <v>0.88500000000000001</v>
      </c>
      <c r="H31" s="257"/>
      <c r="I31" s="257"/>
      <c r="J31" s="257"/>
      <c r="K31" s="257"/>
      <c r="L31" s="257"/>
      <c r="M31" s="257"/>
    </row>
    <row r="32" spans="2:13" x14ac:dyDescent="0.25">
      <c r="B32" s="265" t="s">
        <v>264</v>
      </c>
      <c r="C32" s="290">
        <v>0.64</v>
      </c>
      <c r="D32" s="257">
        <v>0.63</v>
      </c>
      <c r="E32" s="257">
        <v>0.62</v>
      </c>
      <c r="F32" s="257">
        <v>0.61</v>
      </c>
      <c r="G32" s="289">
        <v>0.6</v>
      </c>
      <c r="H32" s="283">
        <v>0.9</v>
      </c>
      <c r="I32" s="283">
        <v>1.1000000000000001</v>
      </c>
      <c r="J32" s="283">
        <v>0.9</v>
      </c>
      <c r="K32" s="283">
        <v>1.1000000000000001</v>
      </c>
      <c r="L32" s="268" t="s">
        <v>592</v>
      </c>
      <c r="M32" s="268"/>
    </row>
    <row r="33" spans="2:13" x14ac:dyDescent="0.25">
      <c r="B33" s="265" t="s">
        <v>266</v>
      </c>
      <c r="C33" s="290" t="s">
        <v>267</v>
      </c>
      <c r="D33" s="257">
        <v>75</v>
      </c>
      <c r="E33" s="257">
        <v>75</v>
      </c>
      <c r="F33" s="257">
        <v>75</v>
      </c>
      <c r="G33" s="266">
        <v>75</v>
      </c>
      <c r="H33" s="257"/>
      <c r="I33" s="257"/>
      <c r="J33" s="257"/>
      <c r="K33" s="257"/>
      <c r="L33" s="268" t="s">
        <v>40</v>
      </c>
      <c r="M33" s="268"/>
    </row>
    <row r="34" spans="2:13" x14ac:dyDescent="0.25">
      <c r="B34" s="265" t="s">
        <v>268</v>
      </c>
      <c r="C34" s="290" t="s">
        <v>269</v>
      </c>
      <c r="D34" s="257">
        <v>25</v>
      </c>
      <c r="E34" s="257">
        <v>25</v>
      </c>
      <c r="F34" s="257">
        <v>25</v>
      </c>
      <c r="G34" s="266">
        <v>25</v>
      </c>
      <c r="H34" s="257"/>
      <c r="I34" s="257"/>
      <c r="J34" s="257"/>
      <c r="K34" s="257"/>
      <c r="L34" s="268" t="s">
        <v>40</v>
      </c>
      <c r="M34" s="268"/>
    </row>
    <row r="35" spans="2:13" x14ac:dyDescent="0.25">
      <c r="B35" s="265" t="s">
        <v>270</v>
      </c>
      <c r="C35" s="284">
        <v>2.1999999999999999E-2</v>
      </c>
      <c r="D35" s="284">
        <v>2.1999999999999999E-2</v>
      </c>
      <c r="E35" s="284">
        <v>2.1999999999999999E-2</v>
      </c>
      <c r="F35" s="284">
        <v>2.1999999999999999E-2</v>
      </c>
      <c r="G35" s="291">
        <v>2.1999999999999999E-2</v>
      </c>
      <c r="H35" s="283">
        <v>0.9</v>
      </c>
      <c r="I35" s="283">
        <v>1.1000000000000001</v>
      </c>
      <c r="J35" s="283">
        <v>0.9</v>
      </c>
      <c r="K35" s="283">
        <v>1.1000000000000001</v>
      </c>
      <c r="L35" s="268" t="s">
        <v>271</v>
      </c>
      <c r="M35" s="268"/>
    </row>
    <row r="36" spans="2:13" x14ac:dyDescent="0.25">
      <c r="B36" s="265" t="s">
        <v>272</v>
      </c>
      <c r="C36" s="284">
        <v>7.0000000000000007E-2</v>
      </c>
      <c r="D36" s="284">
        <v>7.0000000000000007E-2</v>
      </c>
      <c r="E36" s="284">
        <v>7.0000000000000007E-2</v>
      </c>
      <c r="F36" s="284">
        <v>7.0000000000000007E-2</v>
      </c>
      <c r="G36" s="291">
        <v>7.0000000000000007E-2</v>
      </c>
      <c r="H36" s="283">
        <v>0.9</v>
      </c>
      <c r="I36" s="283">
        <v>1.1000000000000001</v>
      </c>
      <c r="J36" s="283">
        <v>0.9</v>
      </c>
      <c r="K36" s="283">
        <v>1.1000000000000001</v>
      </c>
      <c r="L36" s="268" t="s">
        <v>271</v>
      </c>
      <c r="M36" s="268"/>
    </row>
    <row r="39" spans="2:13" x14ac:dyDescent="0.25">
      <c r="B39" s="253" t="s">
        <v>6</v>
      </c>
    </row>
    <row r="40" spans="2:13" x14ac:dyDescent="0.25">
      <c r="B40" s="252" t="s">
        <v>274</v>
      </c>
    </row>
    <row r="41" spans="2:13" x14ac:dyDescent="0.25">
      <c r="B41" s="252" t="s">
        <v>275</v>
      </c>
    </row>
    <row r="42" spans="2:13" x14ac:dyDescent="0.25">
      <c r="B42" s="252" t="s">
        <v>276</v>
      </c>
    </row>
    <row r="43" spans="2:13" x14ac:dyDescent="0.25">
      <c r="B43" s="252" t="s">
        <v>277</v>
      </c>
    </row>
    <row r="44" spans="2:13" x14ac:dyDescent="0.25">
      <c r="B44" s="252" t="s">
        <v>278</v>
      </c>
    </row>
    <row r="45" spans="2:13" x14ac:dyDescent="0.25">
      <c r="B45" s="252" t="s">
        <v>279</v>
      </c>
    </row>
    <row r="46" spans="2:13" x14ac:dyDescent="0.25">
      <c r="B46" s="252" t="s">
        <v>280</v>
      </c>
    </row>
    <row r="47" spans="2:13" x14ac:dyDescent="0.25">
      <c r="B47" s="252" t="s">
        <v>281</v>
      </c>
    </row>
    <row r="48" spans="2:13" x14ac:dyDescent="0.25">
      <c r="B48" s="252" t="s">
        <v>282</v>
      </c>
    </row>
    <row r="49" spans="2:2" x14ac:dyDescent="0.25">
      <c r="B49" s="252" t="s">
        <v>283</v>
      </c>
    </row>
    <row r="50" spans="2:2" x14ac:dyDescent="0.25">
      <c r="B50" s="252" t="s">
        <v>284</v>
      </c>
    </row>
    <row r="51" spans="2:2" x14ac:dyDescent="0.25">
      <c r="B51" s="252" t="s">
        <v>285</v>
      </c>
    </row>
    <row r="52" spans="2:2" x14ac:dyDescent="0.25">
      <c r="B52" s="252" t="s">
        <v>286</v>
      </c>
    </row>
    <row r="54" spans="2:2" x14ac:dyDescent="0.25">
      <c r="B54" s="253" t="s">
        <v>287</v>
      </c>
    </row>
    <row r="55" spans="2:2" x14ac:dyDescent="0.25">
      <c r="B55" s="252" t="s">
        <v>579</v>
      </c>
    </row>
    <row r="56" spans="2:2" x14ac:dyDescent="0.25">
      <c r="B56" s="252" t="s">
        <v>288</v>
      </c>
    </row>
    <row r="57" spans="2:2" x14ac:dyDescent="0.25">
      <c r="B57" s="252" t="s">
        <v>289</v>
      </c>
    </row>
    <row r="58" spans="2:2" x14ac:dyDescent="0.25">
      <c r="B58" s="252" t="s">
        <v>290</v>
      </c>
    </row>
    <row r="59" spans="2:2" x14ac:dyDescent="0.25">
      <c r="B59" s="252" t="s">
        <v>291</v>
      </c>
    </row>
    <row r="60" spans="2:2" x14ac:dyDescent="0.25">
      <c r="B60" s="252" t="s">
        <v>292</v>
      </c>
    </row>
    <row r="61" spans="2:2" x14ac:dyDescent="0.25">
      <c r="B61" s="252" t="s">
        <v>293</v>
      </c>
    </row>
    <row r="62" spans="2:2" x14ac:dyDescent="0.25">
      <c r="B62" s="252" t="s">
        <v>294</v>
      </c>
    </row>
    <row r="63" spans="2:2" x14ac:dyDescent="0.25">
      <c r="B63" s="252" t="s">
        <v>295</v>
      </c>
    </row>
    <row r="64" spans="2:2" x14ac:dyDescent="0.25">
      <c r="B64" s="252" t="s">
        <v>296</v>
      </c>
    </row>
    <row r="65" spans="2:2" x14ac:dyDescent="0.25">
      <c r="B65" s="252" t="s">
        <v>297</v>
      </c>
    </row>
  </sheetData>
  <mergeCells count="3">
    <mergeCell ref="C3:M3"/>
    <mergeCell ref="H4:I4"/>
    <mergeCell ref="J4:K4"/>
  </mergeCells>
  <hyperlinks>
    <hyperlink ref="B56" r:id="rId1" display="https://www.iisd.org/gsi/sites/default/files/bf_awc_germany.pdf"/>
    <hyperlink ref="B57" r:id="rId2" display="http://www.desmetballestra.com/images/PDF-Brochures-2014/Biodiesel2015.pdf"/>
    <hyperlink ref="B58" r:id="rId3" display="http://www.eia.gov/cfapps/ipdbproject/IEDIndex3.cfm?tid=79&amp;pid=79&amp;aid=1"/>
    <hyperlink ref="B59" r:id="rId4" display="https://ens.dk/sites/ens.dk/files/Statistik/energy_statistics_2015.pdf"/>
    <hyperlink ref="B60" r:id="rId5" display="http://task39.sites.olt.ubc.ca/files/2015/06/IEA-Bioenergy-Task-39-Newsletter-Issue-39-May-2015-final.pdf"/>
    <hyperlink ref="B61" r:id="rId6" display="https://doi.org/10.1016/j.biortech.2017.12.031"/>
    <hyperlink ref="B62" r:id="rId7" display="https://www.cargill.com/2017/cargill-to-build-state-of-the-art-biodiesel-plant-in-wichita-ks"/>
    <hyperlink ref="B63" r:id="rId8" display="http://www.irena.org/-/media/Files/IRENA/Agency/Publication/2013/Road_Transport.ashx"/>
    <hyperlink ref="B64" r:id="rId9" display="http://task39.sites.olt.ubc.ca/files/2013/05/Technological-learning-in-the-German-Biodiesel-Industry.pdf"/>
    <hyperlink ref="B65" r:id="rId10" display="http://www.extension.iastate.edu/agdm/energy/xls/d1-15biodieselprofitability.xlsx"/>
    <hyperlink ref="C3" location="INDEX" display="Vegetable Oil FAME"/>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M64"/>
  <sheetViews>
    <sheetView showGridLines="0" workbookViewId="0">
      <selection activeCell="D18" sqref="D18"/>
    </sheetView>
  </sheetViews>
  <sheetFormatPr defaultRowHeight="15" x14ac:dyDescent="0.25"/>
  <cols>
    <col min="1" max="1" width="2.140625" customWidth="1"/>
    <col min="2" max="2" width="39.85546875" customWidth="1"/>
    <col min="3" max="12" width="6.42578125" customWidth="1"/>
  </cols>
  <sheetData>
    <row r="2" spans="2:13" x14ac:dyDescent="0.25">
      <c r="H2" s="255"/>
    </row>
    <row r="3" spans="2:13" ht="15" customHeight="1" x14ac:dyDescent="0.25">
      <c r="B3" s="292" t="s">
        <v>20</v>
      </c>
      <c r="C3" s="654" t="s">
        <v>593</v>
      </c>
      <c r="D3" s="661"/>
      <c r="E3" s="661"/>
      <c r="F3" s="661"/>
      <c r="G3" s="661"/>
      <c r="H3" s="661"/>
      <c r="I3" s="661"/>
      <c r="J3" s="661"/>
      <c r="K3" s="661"/>
      <c r="L3" s="661"/>
      <c r="M3" s="661"/>
    </row>
    <row r="4" spans="2:13" ht="22.5" customHeight="1" x14ac:dyDescent="0.25">
      <c r="B4" s="292"/>
      <c r="C4" s="292">
        <v>2015</v>
      </c>
      <c r="D4" s="292">
        <v>2020</v>
      </c>
      <c r="E4" s="292">
        <v>2030</v>
      </c>
      <c r="F4" s="292">
        <v>2040</v>
      </c>
      <c r="G4" s="292">
        <v>2050</v>
      </c>
      <c r="H4" s="661" t="s">
        <v>25</v>
      </c>
      <c r="I4" s="661"/>
      <c r="J4" s="661" t="s">
        <v>24</v>
      </c>
      <c r="K4" s="661"/>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296" t="s">
        <v>15</v>
      </c>
      <c r="C6" s="297"/>
      <c r="D6" s="297"/>
      <c r="E6" s="297"/>
      <c r="F6" s="297"/>
      <c r="G6" s="297"/>
      <c r="H6" s="297"/>
      <c r="I6" s="297"/>
      <c r="J6" s="297"/>
      <c r="K6" s="297"/>
      <c r="L6" s="298"/>
      <c r="M6" s="299"/>
    </row>
    <row r="7" spans="2:13" x14ac:dyDescent="0.25">
      <c r="B7" s="300" t="s">
        <v>253</v>
      </c>
      <c r="C7" s="301">
        <v>50</v>
      </c>
      <c r="D7" s="301">
        <v>50</v>
      </c>
      <c r="E7" s="301">
        <v>50</v>
      </c>
      <c r="F7" s="301">
        <v>50</v>
      </c>
      <c r="G7" s="301">
        <v>50</v>
      </c>
      <c r="H7" s="302">
        <v>0.5</v>
      </c>
      <c r="I7" s="302">
        <v>2</v>
      </c>
      <c r="J7" s="302">
        <v>0.5</v>
      </c>
      <c r="K7" s="302">
        <v>2</v>
      </c>
      <c r="L7" s="303" t="s">
        <v>5</v>
      </c>
      <c r="M7" s="303">
        <v>1</v>
      </c>
    </row>
    <row r="8" spans="2:13" x14ac:dyDescent="0.25">
      <c r="B8" s="304" t="s">
        <v>594</v>
      </c>
      <c r="C8" s="305">
        <v>60</v>
      </c>
      <c r="D8" s="305">
        <v>60</v>
      </c>
      <c r="E8" s="305">
        <v>60</v>
      </c>
      <c r="F8" s="305">
        <v>60</v>
      </c>
      <c r="G8" s="305">
        <v>60</v>
      </c>
      <c r="H8" s="306">
        <v>0.5</v>
      </c>
      <c r="I8" s="306">
        <v>2</v>
      </c>
      <c r="J8" s="306">
        <v>0.5</v>
      </c>
      <c r="K8" s="306">
        <v>2</v>
      </c>
      <c r="L8" s="307" t="s">
        <v>254</v>
      </c>
      <c r="M8" s="307"/>
    </row>
    <row r="9" spans="2:13" x14ac:dyDescent="0.25">
      <c r="B9" s="296" t="s">
        <v>255</v>
      </c>
      <c r="C9" s="297"/>
      <c r="D9" s="297"/>
      <c r="E9" s="297"/>
      <c r="F9" s="297"/>
      <c r="G9" s="297"/>
      <c r="H9" s="297"/>
      <c r="I9" s="297"/>
      <c r="J9" s="297"/>
      <c r="K9" s="297"/>
      <c r="L9" s="298"/>
      <c r="M9" s="299"/>
    </row>
    <row r="10" spans="2:13" x14ac:dyDescent="0.25">
      <c r="B10" s="304" t="s">
        <v>256</v>
      </c>
      <c r="C10" s="305">
        <v>0.90600000000000003</v>
      </c>
      <c r="D10" s="305">
        <v>0.90900000000000003</v>
      </c>
      <c r="E10" s="305">
        <v>0.91200000000000003</v>
      </c>
      <c r="F10" s="305">
        <v>0.91200000000000003</v>
      </c>
      <c r="G10" s="305">
        <v>0.91200000000000003</v>
      </c>
      <c r="H10" s="308">
        <v>0.99</v>
      </c>
      <c r="I10" s="308">
        <v>1.01</v>
      </c>
      <c r="J10" s="308">
        <v>0.99</v>
      </c>
      <c r="K10" s="308">
        <v>1.01</v>
      </c>
      <c r="L10" s="307" t="s">
        <v>257</v>
      </c>
      <c r="M10" s="307">
        <v>1</v>
      </c>
    </row>
    <row r="11" spans="2:13" x14ac:dyDescent="0.25">
      <c r="B11" s="304" t="s">
        <v>258</v>
      </c>
      <c r="C11" s="305">
        <v>4.3999999999999997E-2</v>
      </c>
      <c r="D11" s="305">
        <v>4.3999999999999997E-2</v>
      </c>
      <c r="E11" s="305">
        <v>4.3999999999999997E-2</v>
      </c>
      <c r="F11" s="305">
        <v>4.3999999999999997E-2</v>
      </c>
      <c r="G11" s="305">
        <v>4.3999999999999997E-2</v>
      </c>
      <c r="H11" s="308">
        <v>0.93</v>
      </c>
      <c r="I11" s="308">
        <v>1.07</v>
      </c>
      <c r="J11" s="308">
        <v>0.93</v>
      </c>
      <c r="K11" s="308">
        <v>1.07</v>
      </c>
      <c r="L11" s="307" t="s">
        <v>259</v>
      </c>
      <c r="M11" s="307">
        <v>1</v>
      </c>
    </row>
    <row r="12" spans="2:13" x14ac:dyDescent="0.25">
      <c r="B12" s="304" t="s">
        <v>260</v>
      </c>
      <c r="C12" s="305">
        <v>7.0000000000000001E-3</v>
      </c>
      <c r="D12" s="305">
        <v>6.0000000000000001E-3</v>
      </c>
      <c r="E12" s="305">
        <v>5.0000000000000001E-3</v>
      </c>
      <c r="F12" s="305">
        <v>5.0000000000000001E-3</v>
      </c>
      <c r="G12" s="305">
        <v>4.0000000000000001E-3</v>
      </c>
      <c r="H12" s="308">
        <v>0.5</v>
      </c>
      <c r="I12" s="308">
        <v>1.5</v>
      </c>
      <c r="J12" s="308">
        <v>0.5</v>
      </c>
      <c r="K12" s="308">
        <v>1.5</v>
      </c>
      <c r="L12" s="307" t="s">
        <v>257</v>
      </c>
      <c r="M12" s="307">
        <v>1</v>
      </c>
    </row>
    <row r="13" spans="2:13" x14ac:dyDescent="0.25">
      <c r="B13" s="304" t="s">
        <v>261</v>
      </c>
      <c r="C13" s="305">
        <v>4.3999999999999997E-2</v>
      </c>
      <c r="D13" s="305">
        <v>0.04</v>
      </c>
      <c r="E13" s="305">
        <v>3.5999999999999997E-2</v>
      </c>
      <c r="F13" s="305">
        <v>3.4000000000000002E-2</v>
      </c>
      <c r="G13" s="305">
        <v>3.2000000000000001E-2</v>
      </c>
      <c r="H13" s="308">
        <v>0.5</v>
      </c>
      <c r="I13" s="308">
        <v>0.5</v>
      </c>
      <c r="J13" s="308">
        <v>0.5</v>
      </c>
      <c r="K13" s="308">
        <v>0.5</v>
      </c>
      <c r="L13" s="307" t="s">
        <v>257</v>
      </c>
      <c r="M13" s="307">
        <v>1</v>
      </c>
    </row>
    <row r="14" spans="2:13" x14ac:dyDescent="0.25">
      <c r="B14" s="296" t="s">
        <v>241</v>
      </c>
      <c r="C14" s="297"/>
      <c r="D14" s="297"/>
      <c r="E14" s="297"/>
      <c r="F14" s="297"/>
      <c r="G14" s="297"/>
      <c r="H14" s="297"/>
      <c r="I14" s="297"/>
      <c r="J14" s="297"/>
      <c r="K14" s="297"/>
      <c r="L14" s="298"/>
      <c r="M14" s="299"/>
    </row>
    <row r="15" spans="2:13" x14ac:dyDescent="0.25">
      <c r="B15" s="304" t="s">
        <v>595</v>
      </c>
      <c r="C15" s="305">
        <v>0.84</v>
      </c>
      <c r="D15" s="305">
        <v>0.85</v>
      </c>
      <c r="E15" s="305">
        <v>0.86</v>
      </c>
      <c r="F15" s="305">
        <v>0.86</v>
      </c>
      <c r="G15" s="305">
        <v>0.87</v>
      </c>
      <c r="H15" s="308">
        <v>0.99</v>
      </c>
      <c r="I15" s="308">
        <v>1.01</v>
      </c>
      <c r="J15" s="308">
        <v>0.99</v>
      </c>
      <c r="K15" s="308">
        <v>1.01</v>
      </c>
      <c r="L15" s="307" t="s">
        <v>0</v>
      </c>
      <c r="M15" s="307">
        <v>1</v>
      </c>
    </row>
    <row r="16" spans="2:13" x14ac:dyDescent="0.25">
      <c r="B16" s="304" t="s">
        <v>596</v>
      </c>
      <c r="C16" s="305">
        <v>0.04</v>
      </c>
      <c r="D16" s="305">
        <v>0.04</v>
      </c>
      <c r="E16" s="305">
        <v>0.04</v>
      </c>
      <c r="F16" s="305">
        <v>0.04</v>
      </c>
      <c r="G16" s="305">
        <v>0.04</v>
      </c>
      <c r="H16" s="308">
        <v>0.99</v>
      </c>
      <c r="I16" s="308">
        <v>1.01</v>
      </c>
      <c r="J16" s="308">
        <v>0.99</v>
      </c>
      <c r="K16" s="308">
        <v>1.01</v>
      </c>
      <c r="L16" s="307" t="s">
        <v>0</v>
      </c>
      <c r="M16" s="307">
        <v>1</v>
      </c>
    </row>
    <row r="17" spans="2:13" x14ac:dyDescent="0.25">
      <c r="B17" s="296"/>
      <c r="C17" s="297"/>
      <c r="D17" s="297"/>
      <c r="E17" s="297"/>
      <c r="F17" s="297"/>
      <c r="G17" s="297"/>
      <c r="H17" s="297"/>
      <c r="I17" s="297"/>
      <c r="J17" s="297"/>
      <c r="K17" s="297"/>
      <c r="L17" s="298"/>
      <c r="M17" s="299"/>
    </row>
    <row r="18" spans="2:13" x14ac:dyDescent="0.25">
      <c r="B18" s="304" t="s">
        <v>99</v>
      </c>
      <c r="C18" s="305">
        <v>0</v>
      </c>
      <c r="D18" s="305">
        <v>0</v>
      </c>
      <c r="E18" s="305">
        <v>0</v>
      </c>
      <c r="F18" s="305">
        <v>0</v>
      </c>
      <c r="G18" s="305">
        <v>0</v>
      </c>
      <c r="H18" s="305"/>
      <c r="I18" s="305"/>
      <c r="J18" s="305"/>
      <c r="K18" s="305"/>
      <c r="L18" s="307" t="s">
        <v>41</v>
      </c>
      <c r="M18" s="307"/>
    </row>
    <row r="19" spans="2:13" x14ac:dyDescent="0.25">
      <c r="B19" s="304" t="s">
        <v>23</v>
      </c>
      <c r="C19" s="309">
        <v>2</v>
      </c>
      <c r="D19" s="309">
        <v>2</v>
      </c>
      <c r="E19" s="309">
        <v>2</v>
      </c>
      <c r="F19" s="309">
        <v>2</v>
      </c>
      <c r="G19" s="309">
        <v>2</v>
      </c>
      <c r="H19" s="305"/>
      <c r="I19" s="305"/>
      <c r="J19" s="305"/>
      <c r="K19" s="305"/>
      <c r="L19" s="307"/>
      <c r="M19" s="307"/>
    </row>
    <row r="20" spans="2:13" x14ac:dyDescent="0.25">
      <c r="B20" s="304" t="s">
        <v>14</v>
      </c>
      <c r="C20" s="309">
        <v>25</v>
      </c>
      <c r="D20" s="309">
        <v>25</v>
      </c>
      <c r="E20" s="309">
        <v>25</v>
      </c>
      <c r="F20" s="309">
        <v>25</v>
      </c>
      <c r="G20" s="309">
        <v>25</v>
      </c>
      <c r="H20" s="305"/>
      <c r="I20" s="305"/>
      <c r="J20" s="305"/>
      <c r="K20" s="305"/>
      <c r="L20" s="307"/>
      <c r="M20" s="307"/>
    </row>
    <row r="21" spans="2:13" x14ac:dyDescent="0.25">
      <c r="B21" s="304" t="s">
        <v>12</v>
      </c>
      <c r="C21" s="309">
        <v>1.5</v>
      </c>
      <c r="D21" s="309">
        <v>1.5</v>
      </c>
      <c r="E21" s="309">
        <v>1.5</v>
      </c>
      <c r="F21" s="309">
        <v>1.5</v>
      </c>
      <c r="G21" s="309">
        <v>1.5</v>
      </c>
      <c r="H21" s="305"/>
      <c r="I21" s="305"/>
      <c r="J21" s="305"/>
      <c r="K21" s="305"/>
      <c r="L21" s="307"/>
      <c r="M21" s="307"/>
    </row>
    <row r="22" spans="2:13" x14ac:dyDescent="0.25">
      <c r="B22" s="296" t="s">
        <v>9</v>
      </c>
      <c r="C22" s="297"/>
      <c r="D22" s="297"/>
      <c r="E22" s="297"/>
      <c r="F22" s="297"/>
      <c r="G22" s="297"/>
      <c r="H22" s="297"/>
      <c r="I22" s="297"/>
      <c r="J22" s="297"/>
      <c r="K22" s="297"/>
      <c r="L22" s="298"/>
      <c r="M22" s="299"/>
    </row>
    <row r="23" spans="2:13" x14ac:dyDescent="0.25">
      <c r="B23" s="304" t="s">
        <v>587</v>
      </c>
      <c r="C23" s="310">
        <v>1.0811526411014516</v>
      </c>
      <c r="D23" s="311">
        <v>1.016120903290838</v>
      </c>
      <c r="E23" s="311">
        <v>0.93483123102757082</v>
      </c>
      <c r="F23" s="311">
        <v>0.89418639489593754</v>
      </c>
      <c r="G23" s="311">
        <v>0.84</v>
      </c>
      <c r="H23" s="306">
        <v>0.8</v>
      </c>
      <c r="I23" s="306">
        <v>1.2</v>
      </c>
      <c r="J23" s="306">
        <v>0.9</v>
      </c>
      <c r="K23" s="306">
        <v>1.1000000000000001</v>
      </c>
      <c r="L23" s="307" t="s">
        <v>265</v>
      </c>
      <c r="M23" s="307">
        <v>3</v>
      </c>
    </row>
    <row r="24" spans="2:13" x14ac:dyDescent="0.25">
      <c r="B24" s="304" t="s">
        <v>266</v>
      </c>
      <c r="C24" s="312">
        <v>75</v>
      </c>
      <c r="D24" s="305">
        <v>75</v>
      </c>
      <c r="E24" s="305">
        <v>75</v>
      </c>
      <c r="F24" s="305">
        <v>75</v>
      </c>
      <c r="G24" s="305">
        <v>75</v>
      </c>
      <c r="H24" s="305"/>
      <c r="I24" s="305"/>
      <c r="J24" s="305"/>
      <c r="K24" s="305"/>
      <c r="L24" s="307" t="s">
        <v>40</v>
      </c>
      <c r="M24" s="307"/>
    </row>
    <row r="25" spans="2:13" x14ac:dyDescent="0.25">
      <c r="B25" s="304" t="s">
        <v>268</v>
      </c>
      <c r="C25" s="305">
        <v>25</v>
      </c>
      <c r="D25" s="305">
        <v>25</v>
      </c>
      <c r="E25" s="305">
        <v>25</v>
      </c>
      <c r="F25" s="305">
        <v>25</v>
      </c>
      <c r="G25" s="305">
        <v>25</v>
      </c>
      <c r="H25" s="308"/>
      <c r="I25" s="308"/>
      <c r="J25" s="308"/>
      <c r="K25" s="308"/>
      <c r="L25" s="307" t="s">
        <v>40</v>
      </c>
      <c r="M25" s="307"/>
    </row>
    <row r="26" spans="2:13" x14ac:dyDescent="0.25">
      <c r="B26" s="304" t="s">
        <v>588</v>
      </c>
      <c r="C26" s="313">
        <v>0.1224105461393597</v>
      </c>
      <c r="D26" s="313">
        <v>0.1224105461393597</v>
      </c>
      <c r="E26" s="313">
        <v>0.1224105461393597</v>
      </c>
      <c r="F26" s="313">
        <v>0.1224105461393597</v>
      </c>
      <c r="G26" s="313">
        <v>0.1224105461393597</v>
      </c>
      <c r="H26" s="308">
        <v>0.9</v>
      </c>
      <c r="I26" s="308">
        <v>1.1000000000000001</v>
      </c>
      <c r="J26" s="308">
        <v>0.9</v>
      </c>
      <c r="K26" s="308">
        <v>1.1000000000000001</v>
      </c>
      <c r="L26" s="307" t="s">
        <v>271</v>
      </c>
      <c r="M26" s="307">
        <v>4</v>
      </c>
    </row>
    <row r="27" spans="2:13" x14ac:dyDescent="0.25">
      <c r="B27" s="304" t="s">
        <v>589</v>
      </c>
      <c r="C27" s="311">
        <v>7.6543947517200612</v>
      </c>
      <c r="D27" s="311">
        <v>7.6543947517200612</v>
      </c>
      <c r="E27" s="311">
        <v>7.6543947517200612</v>
      </c>
      <c r="F27" s="311">
        <v>7.6543947517200612</v>
      </c>
      <c r="G27" s="311">
        <v>7.6543947517200612</v>
      </c>
      <c r="H27" s="308">
        <v>0.9</v>
      </c>
      <c r="I27" s="308">
        <v>1.1000000000000001</v>
      </c>
      <c r="J27" s="308">
        <v>0.9</v>
      </c>
      <c r="K27" s="308">
        <v>1.1000000000000001</v>
      </c>
      <c r="L27" s="307" t="s">
        <v>271</v>
      </c>
      <c r="M27" s="307">
        <v>4</v>
      </c>
    </row>
    <row r="28" spans="2:13" x14ac:dyDescent="0.25">
      <c r="B28" s="304" t="s">
        <v>590</v>
      </c>
      <c r="C28" s="311">
        <v>0</v>
      </c>
      <c r="D28" s="311">
        <v>0</v>
      </c>
      <c r="E28" s="311">
        <v>0</v>
      </c>
      <c r="F28" s="311">
        <v>0</v>
      </c>
      <c r="G28" s="311">
        <v>0</v>
      </c>
      <c r="H28" s="305"/>
      <c r="I28" s="305"/>
      <c r="J28" s="305"/>
      <c r="K28" s="305"/>
      <c r="L28" s="307"/>
      <c r="M28" s="307"/>
    </row>
    <row r="29" spans="2:13" x14ac:dyDescent="0.25">
      <c r="B29" s="296" t="s">
        <v>244</v>
      </c>
      <c r="C29" s="297"/>
      <c r="D29" s="297"/>
      <c r="E29" s="297"/>
      <c r="F29" s="297"/>
      <c r="G29" s="297"/>
      <c r="H29" s="297"/>
      <c r="I29" s="297"/>
      <c r="J29" s="297"/>
      <c r="K29" s="297"/>
      <c r="L29" s="298"/>
      <c r="M29" s="299"/>
    </row>
    <row r="30" spans="2:13" x14ac:dyDescent="0.25">
      <c r="B30" s="304" t="s">
        <v>273</v>
      </c>
      <c r="C30" s="309">
        <v>37.200000000000003</v>
      </c>
      <c r="D30" s="309">
        <v>37.200000000000003</v>
      </c>
      <c r="E30" s="309">
        <v>37.200000000000003</v>
      </c>
      <c r="F30" s="309">
        <v>37.200000000000003</v>
      </c>
      <c r="G30" s="309">
        <v>37.200000000000003</v>
      </c>
      <c r="H30" s="305"/>
      <c r="I30" s="305"/>
      <c r="J30" s="305"/>
      <c r="K30" s="305"/>
      <c r="L30" s="307"/>
      <c r="M30" s="307"/>
    </row>
    <row r="31" spans="2:13" x14ac:dyDescent="0.25">
      <c r="B31" s="304" t="s">
        <v>591</v>
      </c>
      <c r="C31" s="309">
        <v>0.88500000000000001</v>
      </c>
      <c r="D31" s="309">
        <v>0.88500000000000001</v>
      </c>
      <c r="E31" s="309">
        <v>0.88500000000000001</v>
      </c>
      <c r="F31" s="309">
        <v>0.88500000000000001</v>
      </c>
      <c r="G31" s="309">
        <v>0.88500000000000001</v>
      </c>
      <c r="H31" s="305"/>
      <c r="I31" s="305"/>
      <c r="J31" s="305"/>
      <c r="K31" s="305"/>
      <c r="L31" s="305"/>
      <c r="M31" s="305"/>
    </row>
    <row r="32" spans="2:13" x14ac:dyDescent="0.25">
      <c r="B32" s="304" t="s">
        <v>264</v>
      </c>
      <c r="C32" s="309">
        <v>1.33</v>
      </c>
      <c r="D32" s="309">
        <v>1.25</v>
      </c>
      <c r="E32" s="309">
        <v>1.1499999999999999</v>
      </c>
      <c r="F32" s="315">
        <v>1.1000000000000001</v>
      </c>
      <c r="G32" s="315">
        <v>1</v>
      </c>
      <c r="H32" s="316">
        <v>0.8</v>
      </c>
      <c r="I32" s="316">
        <v>1.2</v>
      </c>
      <c r="J32" s="316">
        <v>0.9</v>
      </c>
      <c r="K32" s="316">
        <v>1.1000000000000001</v>
      </c>
      <c r="L32" s="305"/>
      <c r="M32" s="305"/>
    </row>
    <row r="33" spans="2:13" x14ac:dyDescent="0.25">
      <c r="B33" s="304" t="s">
        <v>266</v>
      </c>
      <c r="C33" s="312">
        <v>75</v>
      </c>
      <c r="D33" s="305">
        <v>75</v>
      </c>
      <c r="E33" s="305">
        <v>75</v>
      </c>
      <c r="F33" s="305">
        <v>75</v>
      </c>
      <c r="G33" s="305">
        <v>75</v>
      </c>
      <c r="H33" s="305"/>
      <c r="I33" s="305"/>
      <c r="J33" s="305"/>
      <c r="K33" s="305"/>
      <c r="L33" s="307" t="s">
        <v>40</v>
      </c>
      <c r="M33" s="305"/>
    </row>
    <row r="34" spans="2:13" x14ac:dyDescent="0.25">
      <c r="B34" s="304" t="s">
        <v>268</v>
      </c>
      <c r="C34" s="305">
        <v>25</v>
      </c>
      <c r="D34" s="305">
        <v>25</v>
      </c>
      <c r="E34" s="305">
        <v>25</v>
      </c>
      <c r="F34" s="305">
        <v>25</v>
      </c>
      <c r="G34" s="305">
        <v>25</v>
      </c>
      <c r="H34" s="305"/>
      <c r="I34" s="305"/>
      <c r="J34" s="305"/>
      <c r="K34" s="305"/>
      <c r="L34" s="307" t="s">
        <v>40</v>
      </c>
      <c r="M34" s="305"/>
    </row>
    <row r="35" spans="2:13" x14ac:dyDescent="0.25">
      <c r="B35" s="304" t="s">
        <v>270</v>
      </c>
      <c r="C35" s="311">
        <v>0.14689265536723164</v>
      </c>
      <c r="D35" s="311">
        <v>0.14689265536723164</v>
      </c>
      <c r="E35" s="311">
        <v>0.14689265536723164</v>
      </c>
      <c r="F35" s="311">
        <v>0.14689265536723164</v>
      </c>
      <c r="G35" s="311">
        <v>0.14689265536723164</v>
      </c>
      <c r="H35" s="306">
        <v>0.9</v>
      </c>
      <c r="I35" s="306">
        <v>1.1000000000000001</v>
      </c>
      <c r="J35" s="306">
        <v>0.9</v>
      </c>
      <c r="K35" s="306">
        <v>1.1000000000000001</v>
      </c>
      <c r="L35" s="307" t="s">
        <v>271</v>
      </c>
      <c r="M35" s="305"/>
    </row>
    <row r="36" spans="2:13" x14ac:dyDescent="0.25">
      <c r="B36" s="304" t="s">
        <v>272</v>
      </c>
      <c r="C36" s="311">
        <v>7.909604519774012E-2</v>
      </c>
      <c r="D36" s="311">
        <v>7.909604519774012E-2</v>
      </c>
      <c r="E36" s="311">
        <v>7.909604519774012E-2</v>
      </c>
      <c r="F36" s="311">
        <v>7.909604519774012E-2</v>
      </c>
      <c r="G36" s="311">
        <v>7.909604519774012E-2</v>
      </c>
      <c r="H36" s="306">
        <v>0.9</v>
      </c>
      <c r="I36" s="306">
        <v>1.1000000000000001</v>
      </c>
      <c r="J36" s="306">
        <v>0.9</v>
      </c>
      <c r="K36" s="306">
        <v>1.1000000000000001</v>
      </c>
      <c r="L36" s="307" t="s">
        <v>271</v>
      </c>
      <c r="M36" s="305"/>
    </row>
    <row r="38" spans="2:13" x14ac:dyDescent="0.25">
      <c r="B38" s="253" t="s">
        <v>6</v>
      </c>
    </row>
    <row r="39" spans="2:13" x14ac:dyDescent="0.25">
      <c r="B39" s="252" t="s">
        <v>274</v>
      </c>
    </row>
    <row r="40" spans="2:13" x14ac:dyDescent="0.25">
      <c r="B40" s="252" t="s">
        <v>275</v>
      </c>
    </row>
    <row r="41" spans="2:13" x14ac:dyDescent="0.25">
      <c r="B41" s="252" t="s">
        <v>276</v>
      </c>
    </row>
    <row r="42" spans="2:13" x14ac:dyDescent="0.25">
      <c r="B42" s="252" t="s">
        <v>277</v>
      </c>
    </row>
    <row r="43" spans="2:13" x14ac:dyDescent="0.25">
      <c r="B43" s="252" t="s">
        <v>278</v>
      </c>
    </row>
    <row r="44" spans="2:13" x14ac:dyDescent="0.25">
      <c r="B44" s="252" t="s">
        <v>279</v>
      </c>
    </row>
    <row r="45" spans="2:13" x14ac:dyDescent="0.25">
      <c r="B45" s="252" t="s">
        <v>280</v>
      </c>
    </row>
    <row r="46" spans="2:13" x14ac:dyDescent="0.25">
      <c r="B46" s="252" t="s">
        <v>281</v>
      </c>
    </row>
    <row r="47" spans="2:13" x14ac:dyDescent="0.25">
      <c r="B47" s="252" t="s">
        <v>282</v>
      </c>
    </row>
    <row r="48" spans="2:13" x14ac:dyDescent="0.25">
      <c r="B48" s="252" t="s">
        <v>283</v>
      </c>
    </row>
    <row r="49" spans="2:2" x14ac:dyDescent="0.25">
      <c r="B49" s="252" t="s">
        <v>284</v>
      </c>
    </row>
    <row r="50" spans="2:2" x14ac:dyDescent="0.25">
      <c r="B50" s="252" t="s">
        <v>285</v>
      </c>
    </row>
    <row r="51" spans="2:2" x14ac:dyDescent="0.25">
      <c r="B51" s="252" t="s">
        <v>286</v>
      </c>
    </row>
    <row r="53" spans="2:2" x14ac:dyDescent="0.25">
      <c r="B53" s="253" t="s">
        <v>287</v>
      </c>
    </row>
    <row r="54" spans="2:2" x14ac:dyDescent="0.25">
      <c r="B54" s="252" t="s">
        <v>579</v>
      </c>
    </row>
    <row r="55" spans="2:2" x14ac:dyDescent="0.25">
      <c r="B55" s="252" t="s">
        <v>288</v>
      </c>
    </row>
    <row r="56" spans="2:2" x14ac:dyDescent="0.25">
      <c r="B56" s="252" t="s">
        <v>289</v>
      </c>
    </row>
    <row r="57" spans="2:2" x14ac:dyDescent="0.25">
      <c r="B57" s="252" t="s">
        <v>290</v>
      </c>
    </row>
    <row r="58" spans="2:2" x14ac:dyDescent="0.25">
      <c r="B58" s="252" t="s">
        <v>291</v>
      </c>
    </row>
    <row r="59" spans="2:2" x14ac:dyDescent="0.25">
      <c r="B59" s="252" t="s">
        <v>292</v>
      </c>
    </row>
    <row r="60" spans="2:2" x14ac:dyDescent="0.25">
      <c r="B60" s="252" t="s">
        <v>293</v>
      </c>
    </row>
    <row r="61" spans="2:2" x14ac:dyDescent="0.25">
      <c r="B61" s="252" t="s">
        <v>294</v>
      </c>
    </row>
    <row r="62" spans="2:2" x14ac:dyDescent="0.25">
      <c r="B62" s="252" t="s">
        <v>295</v>
      </c>
    </row>
    <row r="63" spans="2:2" x14ac:dyDescent="0.25">
      <c r="B63" s="252" t="s">
        <v>296</v>
      </c>
    </row>
    <row r="64" spans="2:2" x14ac:dyDescent="0.25">
      <c r="B64" s="252" t="s">
        <v>297</v>
      </c>
    </row>
  </sheetData>
  <mergeCells count="3">
    <mergeCell ref="C3:M3"/>
    <mergeCell ref="H4:I4"/>
    <mergeCell ref="J4:K4"/>
  </mergeCells>
  <hyperlinks>
    <hyperlink ref="B55" r:id="rId1" display="https://www.iisd.org/gsi/sites/default/files/bf_awc_germany.pdf"/>
    <hyperlink ref="B56" r:id="rId2" display="http://www.desmetballestra.com/images/PDF-Brochures-2014/Biodiesel2015.pdf"/>
    <hyperlink ref="B57" r:id="rId3" display="http://www.eia.gov/cfapps/ipdbproject/IEDIndex3.cfm?tid=79&amp;pid=79&amp;aid=1"/>
    <hyperlink ref="B58" r:id="rId4" display="https://ens.dk/sites/ens.dk/files/Statistik/energy_statistics_2015.pdf"/>
    <hyperlink ref="B59" r:id="rId5" display="http://task39.sites.olt.ubc.ca/files/2015/06/IEA-Bioenergy-Task-39-Newsletter-Issue-39-May-2015-final.pdf"/>
    <hyperlink ref="B60" r:id="rId6" display="https://doi.org/10.1016/j.biortech.2017.12.031"/>
    <hyperlink ref="B61" r:id="rId7" display="https://www.cargill.com/2017/cargill-to-build-state-of-the-art-biodiesel-plant-in-wichita-ks"/>
    <hyperlink ref="B62" r:id="rId8" display="http://www.irena.org/-/media/Files/IRENA/Agency/Publication/2013/Road_Transport.ashx"/>
    <hyperlink ref="B63" r:id="rId9" display="http://task39.sites.olt.ubc.ca/files/2013/05/Technological-learning-in-the-German-Biodiesel-Industry.pdf"/>
    <hyperlink ref="B64" r:id="rId10" display="http://www.extension.iastate.edu/agdm/energy/xls/d1-15biodieselprofitability.xlsx"/>
    <hyperlink ref="C3" location="INDEX" display="UCO and Animal Fat FAM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M70"/>
  <sheetViews>
    <sheetView showGridLines="0" workbookViewId="0">
      <selection activeCell="J48" sqref="J48"/>
    </sheetView>
  </sheetViews>
  <sheetFormatPr defaultRowHeight="15" x14ac:dyDescent="0.25"/>
  <cols>
    <col min="1" max="1" width="2.140625" customWidth="1"/>
    <col min="2" max="2" width="39.85546875" customWidth="1"/>
    <col min="3" max="12" width="8" customWidth="1"/>
  </cols>
  <sheetData>
    <row r="2" spans="2:13" x14ac:dyDescent="0.25">
      <c r="H2" s="255"/>
    </row>
    <row r="3" spans="2:13" x14ac:dyDescent="0.25">
      <c r="B3" s="292" t="s">
        <v>20</v>
      </c>
      <c r="C3" s="654" t="s">
        <v>664</v>
      </c>
      <c r="D3" s="661"/>
      <c r="E3" s="661"/>
      <c r="F3" s="661"/>
      <c r="G3" s="661"/>
      <c r="H3" s="661"/>
      <c r="I3" s="661"/>
      <c r="J3" s="661"/>
      <c r="K3" s="661"/>
      <c r="L3" s="661"/>
      <c r="M3" s="661"/>
    </row>
    <row r="4" spans="2:13" ht="15" customHeight="1" x14ac:dyDescent="0.25">
      <c r="B4" s="305"/>
      <c r="C4" s="305">
        <v>2015</v>
      </c>
      <c r="D4" s="305">
        <v>2020</v>
      </c>
      <c r="E4" s="305">
        <v>2030</v>
      </c>
      <c r="F4" s="305">
        <v>2040</v>
      </c>
      <c r="G4" s="305">
        <v>2050</v>
      </c>
      <c r="H4" s="662" t="s">
        <v>25</v>
      </c>
      <c r="I4" s="662"/>
      <c r="J4" s="662" t="s">
        <v>24</v>
      </c>
      <c r="K4" s="662"/>
      <c r="L4" s="307" t="s">
        <v>19</v>
      </c>
      <c r="M4" s="30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298</v>
      </c>
      <c r="C7" s="301">
        <v>500</v>
      </c>
      <c r="D7" s="301">
        <v>500</v>
      </c>
      <c r="E7" s="301">
        <v>750</v>
      </c>
      <c r="F7" s="301">
        <v>850</v>
      </c>
      <c r="G7" s="301">
        <v>1000</v>
      </c>
      <c r="H7" s="302">
        <v>0.5</v>
      </c>
      <c r="I7" s="302">
        <v>2</v>
      </c>
      <c r="J7" s="302">
        <v>0.5</v>
      </c>
      <c r="K7" s="302">
        <v>1</v>
      </c>
      <c r="L7" s="303" t="s">
        <v>299</v>
      </c>
      <c r="M7" s="303"/>
    </row>
    <row r="8" spans="2:13" x14ac:dyDescent="0.25">
      <c r="B8" s="305" t="s">
        <v>300</v>
      </c>
      <c r="C8" s="305">
        <v>730</v>
      </c>
      <c r="D8" s="305">
        <v>730</v>
      </c>
      <c r="E8" s="305">
        <v>1100</v>
      </c>
      <c r="F8" s="305">
        <v>1250</v>
      </c>
      <c r="G8" s="305">
        <v>1460</v>
      </c>
      <c r="H8" s="306">
        <v>0.5</v>
      </c>
      <c r="I8" s="306">
        <v>2</v>
      </c>
      <c r="J8" s="306">
        <v>0.5</v>
      </c>
      <c r="K8" s="306">
        <v>1</v>
      </c>
      <c r="L8" s="307" t="s">
        <v>301</v>
      </c>
      <c r="M8" s="307"/>
    </row>
    <row r="9" spans="2:13" x14ac:dyDescent="0.25">
      <c r="B9" s="320" t="s">
        <v>240</v>
      </c>
      <c r="C9" s="297"/>
      <c r="D9" s="297"/>
      <c r="E9" s="297"/>
      <c r="F9" s="297"/>
      <c r="G9" s="297"/>
      <c r="H9" s="297"/>
      <c r="I9" s="297"/>
      <c r="J9" s="297"/>
      <c r="K9" s="297"/>
      <c r="L9" s="298"/>
      <c r="M9" s="299"/>
    </row>
    <row r="10" spans="2:13" x14ac:dyDescent="0.25">
      <c r="B10" s="305" t="s">
        <v>302</v>
      </c>
      <c r="C10" s="305">
        <v>0.88100000000000001</v>
      </c>
      <c r="D10" s="305">
        <v>0.88100000000000001</v>
      </c>
      <c r="E10" s="305">
        <v>0.88100000000000001</v>
      </c>
      <c r="F10" s="305">
        <v>0.88100000000000001</v>
      </c>
      <c r="G10" s="305">
        <v>0.88100000000000001</v>
      </c>
      <c r="H10" s="308">
        <v>0.99</v>
      </c>
      <c r="I10" s="308">
        <v>1.01</v>
      </c>
      <c r="J10" s="308">
        <v>0.99</v>
      </c>
      <c r="K10" s="308">
        <v>1.01</v>
      </c>
      <c r="L10" s="307" t="s">
        <v>3</v>
      </c>
      <c r="M10" s="307" t="s">
        <v>303</v>
      </c>
    </row>
    <row r="11" spans="2:13" x14ac:dyDescent="0.25">
      <c r="B11" s="305" t="s">
        <v>304</v>
      </c>
      <c r="C11" s="305">
        <v>0.105</v>
      </c>
      <c r="D11" s="305">
        <v>0.105</v>
      </c>
      <c r="E11" s="305">
        <v>0.105</v>
      </c>
      <c r="F11" s="305">
        <v>0.105</v>
      </c>
      <c r="G11" s="305">
        <v>0.105</v>
      </c>
      <c r="H11" s="308">
        <v>0.93</v>
      </c>
      <c r="I11" s="308">
        <v>1.07</v>
      </c>
      <c r="J11" s="308">
        <v>0.93</v>
      </c>
      <c r="K11" s="308">
        <v>1.07</v>
      </c>
      <c r="L11" s="307" t="s">
        <v>305</v>
      </c>
      <c r="M11" s="307" t="s">
        <v>303</v>
      </c>
    </row>
    <row r="12" spans="2:13" x14ac:dyDescent="0.25">
      <c r="B12" s="305" t="s">
        <v>306</v>
      </c>
      <c r="C12" s="305">
        <v>8.0000000000000002E-3</v>
      </c>
      <c r="D12" s="305">
        <v>8.0000000000000002E-3</v>
      </c>
      <c r="E12" s="305">
        <v>8.0000000000000002E-3</v>
      </c>
      <c r="F12" s="305">
        <v>8.0000000000000002E-3</v>
      </c>
      <c r="G12" s="305">
        <v>8.0000000000000002E-3</v>
      </c>
      <c r="H12" s="308">
        <v>0.5</v>
      </c>
      <c r="I12" s="308">
        <v>1.5</v>
      </c>
      <c r="J12" s="308">
        <v>0.5</v>
      </c>
      <c r="K12" s="308">
        <v>1.5</v>
      </c>
      <c r="L12" s="307" t="s">
        <v>3</v>
      </c>
      <c r="M12" s="307" t="s">
        <v>303</v>
      </c>
    </row>
    <row r="13" spans="2:13" x14ac:dyDescent="0.25">
      <c r="B13" s="305" t="s">
        <v>307</v>
      </c>
      <c r="C13" s="305">
        <v>7.0000000000000001E-3</v>
      </c>
      <c r="D13" s="305">
        <v>7.0000000000000001E-3</v>
      </c>
      <c r="E13" s="305">
        <v>7.0000000000000001E-3</v>
      </c>
      <c r="F13" s="305">
        <v>7.0000000000000001E-3</v>
      </c>
      <c r="G13" s="305">
        <v>7.0000000000000001E-3</v>
      </c>
      <c r="H13" s="308">
        <v>0.5</v>
      </c>
      <c r="I13" s="308">
        <v>0.5</v>
      </c>
      <c r="J13" s="308">
        <v>0.5</v>
      </c>
      <c r="K13" s="308">
        <v>0.5</v>
      </c>
      <c r="L13" s="307" t="s">
        <v>3</v>
      </c>
      <c r="M13" s="307" t="s">
        <v>303</v>
      </c>
    </row>
    <row r="14" spans="2:13" x14ac:dyDescent="0.25">
      <c r="B14" s="320" t="s">
        <v>241</v>
      </c>
      <c r="C14" s="297"/>
      <c r="D14" s="297"/>
      <c r="E14" s="297"/>
      <c r="F14" s="297"/>
      <c r="G14" s="297"/>
      <c r="H14" s="297"/>
      <c r="I14" s="297"/>
      <c r="J14" s="297"/>
      <c r="K14" s="297"/>
      <c r="L14" s="298"/>
      <c r="M14" s="299"/>
    </row>
    <row r="15" spans="2:13" x14ac:dyDescent="0.25">
      <c r="B15" s="305" t="s">
        <v>308</v>
      </c>
      <c r="C15" s="313">
        <v>0.85</v>
      </c>
      <c r="D15" s="313">
        <v>0.85</v>
      </c>
      <c r="E15" s="313">
        <v>0.85</v>
      </c>
      <c r="F15" s="313">
        <v>0.85</v>
      </c>
      <c r="G15" s="313">
        <v>0.85</v>
      </c>
      <c r="H15" s="308">
        <v>0.99</v>
      </c>
      <c r="I15" s="308">
        <v>1.01</v>
      </c>
      <c r="J15" s="308">
        <v>0.99</v>
      </c>
      <c r="K15" s="308">
        <v>1.01</v>
      </c>
      <c r="L15" s="307" t="s">
        <v>309</v>
      </c>
      <c r="M15" s="307"/>
    </row>
    <row r="16" spans="2:13" x14ac:dyDescent="0.25">
      <c r="B16" s="305" t="s">
        <v>597</v>
      </c>
      <c r="C16" s="313">
        <v>6.6000000000000003E-2</v>
      </c>
      <c r="D16" s="313">
        <v>6.6000000000000003E-2</v>
      </c>
      <c r="E16" s="313">
        <v>6.6000000000000003E-2</v>
      </c>
      <c r="F16" s="313">
        <v>6.6000000000000003E-2</v>
      </c>
      <c r="G16" s="313">
        <v>6.6000000000000003E-2</v>
      </c>
      <c r="H16" s="308">
        <v>0.99</v>
      </c>
      <c r="I16" s="308">
        <v>1.01</v>
      </c>
      <c r="J16" s="308">
        <v>0.99</v>
      </c>
      <c r="K16" s="308">
        <v>1.01</v>
      </c>
      <c r="L16" s="307" t="s">
        <v>309</v>
      </c>
      <c r="M16" s="307"/>
    </row>
    <row r="17" spans="2:13" x14ac:dyDescent="0.25">
      <c r="B17" s="305" t="s">
        <v>598</v>
      </c>
      <c r="C17" s="313">
        <v>3.3000000000000002E-2</v>
      </c>
      <c r="D17" s="313">
        <v>3.3000000000000002E-2</v>
      </c>
      <c r="E17" s="313">
        <v>3.3000000000000002E-2</v>
      </c>
      <c r="F17" s="313">
        <v>3.3000000000000002E-2</v>
      </c>
      <c r="G17" s="313">
        <v>3.3000000000000002E-2</v>
      </c>
      <c r="H17" s="308">
        <v>0.99</v>
      </c>
      <c r="I17" s="308">
        <v>1.01</v>
      </c>
      <c r="J17" s="308">
        <v>0.99</v>
      </c>
      <c r="K17" s="308">
        <v>1.01</v>
      </c>
      <c r="L17" s="307" t="s">
        <v>309</v>
      </c>
      <c r="M17" s="307"/>
    </row>
    <row r="18" spans="2:13" x14ac:dyDescent="0.25">
      <c r="B18" s="305" t="s">
        <v>599</v>
      </c>
      <c r="C18" s="313">
        <v>2.75E-2</v>
      </c>
      <c r="D18" s="313">
        <v>2.75E-2</v>
      </c>
      <c r="E18" s="313">
        <v>2.75E-2</v>
      </c>
      <c r="F18" s="313">
        <v>2.75E-2</v>
      </c>
      <c r="G18" s="313">
        <v>2.75E-2</v>
      </c>
      <c r="H18" s="308">
        <v>0.99</v>
      </c>
      <c r="I18" s="308">
        <v>1.01</v>
      </c>
      <c r="J18" s="308">
        <v>0.99</v>
      </c>
      <c r="K18" s="308">
        <v>1.01</v>
      </c>
      <c r="L18" s="307" t="s">
        <v>309</v>
      </c>
      <c r="M18" s="307"/>
    </row>
    <row r="19" spans="2:13" x14ac:dyDescent="0.25">
      <c r="B19" s="305" t="s">
        <v>600</v>
      </c>
      <c r="C19" s="313">
        <f>0.0237*0.15</f>
        <v>3.5549999999999996E-3</v>
      </c>
      <c r="D19" s="313">
        <f t="shared" ref="D19:G19" si="0">0.0237*0.15</f>
        <v>3.5549999999999996E-3</v>
      </c>
      <c r="E19" s="313">
        <f t="shared" si="0"/>
        <v>3.5549999999999996E-3</v>
      </c>
      <c r="F19" s="313">
        <f t="shared" si="0"/>
        <v>3.5549999999999996E-3</v>
      </c>
      <c r="G19" s="313">
        <f t="shared" si="0"/>
        <v>3.5549999999999996E-3</v>
      </c>
      <c r="H19" s="308">
        <v>0.99</v>
      </c>
      <c r="I19" s="308">
        <v>1.01</v>
      </c>
      <c r="J19" s="308">
        <v>0.99</v>
      </c>
      <c r="K19" s="308">
        <v>1.01</v>
      </c>
      <c r="L19" s="307" t="s">
        <v>309</v>
      </c>
      <c r="M19" s="307"/>
    </row>
    <row r="20" spans="2:13" x14ac:dyDescent="0.25">
      <c r="B20" s="320"/>
      <c r="C20" s="297"/>
      <c r="D20" s="297"/>
      <c r="E20" s="297"/>
      <c r="F20" s="297"/>
      <c r="G20" s="297"/>
      <c r="H20" s="297"/>
      <c r="I20" s="297"/>
      <c r="J20" s="297"/>
      <c r="K20" s="297"/>
      <c r="L20" s="298"/>
      <c r="M20" s="299"/>
    </row>
    <row r="21" spans="2:13" x14ac:dyDescent="0.25">
      <c r="B21" s="305" t="s">
        <v>99</v>
      </c>
      <c r="C21" s="305">
        <v>0</v>
      </c>
      <c r="D21" s="305">
        <v>0</v>
      </c>
      <c r="E21" s="305">
        <v>0</v>
      </c>
      <c r="F21" s="305">
        <v>0</v>
      </c>
      <c r="G21" s="305">
        <v>0</v>
      </c>
      <c r="H21" s="305"/>
      <c r="I21" s="305"/>
      <c r="J21" s="305"/>
      <c r="K21" s="305"/>
      <c r="L21" s="307" t="s">
        <v>127</v>
      </c>
      <c r="M21" s="307"/>
    </row>
    <row r="22" spans="2:13" x14ac:dyDescent="0.25">
      <c r="B22" s="305" t="s">
        <v>23</v>
      </c>
      <c r="C22" s="305">
        <v>2</v>
      </c>
      <c r="D22" s="305">
        <v>2</v>
      </c>
      <c r="E22" s="305">
        <v>2</v>
      </c>
      <c r="F22" s="305">
        <v>2</v>
      </c>
      <c r="G22" s="305">
        <v>2</v>
      </c>
      <c r="H22" s="305"/>
      <c r="I22" s="305"/>
      <c r="J22" s="305"/>
      <c r="K22" s="305"/>
      <c r="L22" s="307"/>
      <c r="M22" s="307">
        <v>7</v>
      </c>
    </row>
    <row r="23" spans="2:13" x14ac:dyDescent="0.25">
      <c r="B23" s="305" t="s">
        <v>14</v>
      </c>
      <c r="C23" s="309">
        <v>25</v>
      </c>
      <c r="D23" s="309">
        <v>25</v>
      </c>
      <c r="E23" s="309">
        <v>25</v>
      </c>
      <c r="F23" s="309">
        <v>25</v>
      </c>
      <c r="G23" s="309">
        <v>25</v>
      </c>
      <c r="H23" s="305"/>
      <c r="I23" s="305"/>
      <c r="J23" s="305"/>
      <c r="K23" s="305"/>
      <c r="L23" s="307"/>
      <c r="M23" s="307"/>
    </row>
    <row r="24" spans="2:13" x14ac:dyDescent="0.25">
      <c r="B24" s="305" t="s">
        <v>12</v>
      </c>
      <c r="C24" s="309">
        <v>2</v>
      </c>
      <c r="D24" s="309">
        <v>2</v>
      </c>
      <c r="E24" s="309">
        <v>2</v>
      </c>
      <c r="F24" s="309">
        <v>2</v>
      </c>
      <c r="G24" s="309">
        <v>2</v>
      </c>
      <c r="H24" s="305"/>
      <c r="I24" s="305"/>
      <c r="J24" s="305"/>
      <c r="K24" s="305"/>
      <c r="L24" s="307"/>
      <c r="M24" s="307"/>
    </row>
    <row r="25" spans="2:13" x14ac:dyDescent="0.25">
      <c r="B25" s="320" t="s">
        <v>9</v>
      </c>
      <c r="C25" s="297"/>
      <c r="D25" s="297"/>
      <c r="E25" s="297"/>
      <c r="F25" s="297"/>
      <c r="G25" s="297"/>
      <c r="H25" s="297"/>
      <c r="I25" s="297"/>
      <c r="J25" s="297"/>
      <c r="K25" s="297"/>
      <c r="L25" s="298"/>
      <c r="M25" s="299"/>
    </row>
    <row r="26" spans="2:13" x14ac:dyDescent="0.25">
      <c r="B26" s="305" t="s">
        <v>587</v>
      </c>
      <c r="C26" s="311">
        <v>0.76498843622131285</v>
      </c>
      <c r="D26" s="311">
        <v>0.75609322184664662</v>
      </c>
      <c r="E26" s="311">
        <v>0.63754427390791024</v>
      </c>
      <c r="F26" s="311">
        <v>0.59840000000000004</v>
      </c>
      <c r="G26" s="311">
        <v>0.57818893435331797</v>
      </c>
      <c r="H26" s="308">
        <v>0.9</v>
      </c>
      <c r="I26" s="308">
        <v>1.1000000000000001</v>
      </c>
      <c r="J26" s="308">
        <v>0.9</v>
      </c>
      <c r="K26" s="308">
        <v>1.1000000000000001</v>
      </c>
      <c r="L26" s="307" t="s">
        <v>311</v>
      </c>
      <c r="M26" s="307" t="s">
        <v>312</v>
      </c>
    </row>
    <row r="27" spans="2:13" x14ac:dyDescent="0.25">
      <c r="B27" s="305" t="s">
        <v>313</v>
      </c>
      <c r="C27" s="312">
        <v>75</v>
      </c>
      <c r="D27" s="305">
        <v>75</v>
      </c>
      <c r="E27" s="305">
        <v>75</v>
      </c>
      <c r="F27" s="305">
        <v>75</v>
      </c>
      <c r="G27" s="305">
        <v>75</v>
      </c>
      <c r="H27" s="305"/>
      <c r="I27" s="305"/>
      <c r="J27" s="305"/>
      <c r="K27" s="305"/>
      <c r="L27" s="307"/>
      <c r="M27" s="307"/>
    </row>
    <row r="28" spans="2:13" x14ac:dyDescent="0.25">
      <c r="B28" s="305" t="s">
        <v>314</v>
      </c>
      <c r="C28" s="305">
        <v>25</v>
      </c>
      <c r="D28" s="305">
        <v>25</v>
      </c>
      <c r="E28" s="305">
        <v>25</v>
      </c>
      <c r="F28" s="305">
        <v>25</v>
      </c>
      <c r="G28" s="305">
        <v>25</v>
      </c>
      <c r="H28" s="305"/>
      <c r="I28" s="305"/>
      <c r="J28" s="305"/>
      <c r="K28" s="305"/>
      <c r="L28" s="307"/>
      <c r="M28" s="307"/>
    </row>
    <row r="29" spans="2:13" x14ac:dyDescent="0.25">
      <c r="B29" s="305" t="s">
        <v>588</v>
      </c>
      <c r="C29" s="313">
        <v>3.558085749866572E-2</v>
      </c>
      <c r="D29" s="313">
        <v>3.558085749866572E-2</v>
      </c>
      <c r="E29" s="313">
        <v>3.5419126328217233E-2</v>
      </c>
      <c r="F29" s="313">
        <v>3.5324675324675321E-2</v>
      </c>
      <c r="G29" s="313">
        <v>3.558085749866572E-2</v>
      </c>
      <c r="H29" s="308">
        <v>0.9</v>
      </c>
      <c r="I29" s="308">
        <v>1.1000000000000001</v>
      </c>
      <c r="J29" s="308">
        <v>0.9</v>
      </c>
      <c r="K29" s="308">
        <v>1.1000000000000001</v>
      </c>
      <c r="L29" s="307" t="s">
        <v>316</v>
      </c>
      <c r="M29" s="307">
        <v>7</v>
      </c>
    </row>
    <row r="30" spans="2:13" x14ac:dyDescent="0.25">
      <c r="B30" s="305" t="s">
        <v>589</v>
      </c>
      <c r="C30" s="311">
        <v>8.4812467537895504</v>
      </c>
      <c r="D30" s="311">
        <v>8.4812467537895504</v>
      </c>
      <c r="E30" s="311">
        <v>8.4812467537895539</v>
      </c>
      <c r="F30" s="311">
        <v>8.4812467537895522</v>
      </c>
      <c r="G30" s="311">
        <v>8.4812467537895504</v>
      </c>
      <c r="H30" s="308">
        <v>0.9</v>
      </c>
      <c r="I30" s="308">
        <v>1.1000000000000001</v>
      </c>
      <c r="J30" s="308">
        <v>0.9</v>
      </c>
      <c r="K30" s="308">
        <v>1.1000000000000001</v>
      </c>
      <c r="L30" s="307" t="s">
        <v>316</v>
      </c>
      <c r="M30" s="307">
        <v>7</v>
      </c>
    </row>
    <row r="31" spans="2:13" x14ac:dyDescent="0.25">
      <c r="B31" s="305" t="s">
        <v>601</v>
      </c>
      <c r="C31" s="305">
        <v>0</v>
      </c>
      <c r="D31" s="305">
        <v>0</v>
      </c>
      <c r="E31" s="305">
        <v>0</v>
      </c>
      <c r="F31" s="305">
        <v>0</v>
      </c>
      <c r="G31" s="305">
        <v>0</v>
      </c>
      <c r="H31" s="308"/>
      <c r="I31" s="308"/>
      <c r="J31" s="308"/>
      <c r="K31" s="308"/>
      <c r="L31" s="307"/>
      <c r="M31" s="307"/>
    </row>
    <row r="32" spans="2:13" x14ac:dyDescent="0.25">
      <c r="B32" s="320" t="s">
        <v>244</v>
      </c>
      <c r="C32" s="297"/>
      <c r="D32" s="297"/>
      <c r="E32" s="297"/>
      <c r="F32" s="297"/>
      <c r="G32" s="297"/>
      <c r="H32" s="297"/>
      <c r="I32" s="297"/>
      <c r="J32" s="297"/>
      <c r="K32" s="297"/>
      <c r="L32" s="298"/>
      <c r="M32" s="299"/>
    </row>
    <row r="33" spans="2:13" x14ac:dyDescent="0.25">
      <c r="B33" s="305" t="s">
        <v>318</v>
      </c>
      <c r="C33" s="314">
        <v>44.1</v>
      </c>
      <c r="D33" s="314">
        <v>44.1</v>
      </c>
      <c r="E33" s="314">
        <v>44.1</v>
      </c>
      <c r="F33" s="314">
        <v>44.1</v>
      </c>
      <c r="G33" s="314">
        <v>44.1</v>
      </c>
      <c r="H33" s="305"/>
      <c r="I33" s="305"/>
      <c r="J33" s="305"/>
      <c r="K33" s="305"/>
      <c r="L33" s="305"/>
      <c r="M33" s="305"/>
    </row>
    <row r="34" spans="2:13" x14ac:dyDescent="0.25">
      <c r="B34" s="305" t="s">
        <v>591</v>
      </c>
      <c r="C34" s="309">
        <v>0.77</v>
      </c>
      <c r="D34" s="309">
        <v>0.77</v>
      </c>
      <c r="E34" s="309">
        <v>0.77</v>
      </c>
      <c r="F34" s="309">
        <v>0.77</v>
      </c>
      <c r="G34" s="309">
        <v>0.77</v>
      </c>
      <c r="H34" s="305"/>
      <c r="I34" s="305"/>
      <c r="J34" s="305"/>
      <c r="K34" s="305"/>
      <c r="L34" s="305"/>
      <c r="M34" s="305"/>
    </row>
    <row r="35" spans="2:13" x14ac:dyDescent="0.25">
      <c r="B35" s="305" t="s">
        <v>310</v>
      </c>
      <c r="C35" s="311">
        <v>1.1168831168831168</v>
      </c>
      <c r="D35" s="311">
        <v>1.1038961038961039</v>
      </c>
      <c r="E35" s="311">
        <v>0.93506493506493504</v>
      </c>
      <c r="F35" s="311">
        <v>0.88</v>
      </c>
      <c r="G35" s="311">
        <v>0.84415584415584421</v>
      </c>
      <c r="H35" s="308">
        <v>0.9</v>
      </c>
      <c r="I35" s="308">
        <v>1.1000000000000001</v>
      </c>
      <c r="J35" s="308">
        <v>0.9</v>
      </c>
      <c r="K35" s="308">
        <v>1.1000000000000001</v>
      </c>
      <c r="L35" s="307" t="s">
        <v>311</v>
      </c>
      <c r="M35" s="307" t="s">
        <v>312</v>
      </c>
    </row>
    <row r="36" spans="2:13" x14ac:dyDescent="0.25">
      <c r="B36" s="305" t="s">
        <v>313</v>
      </c>
      <c r="C36" s="312">
        <v>75</v>
      </c>
      <c r="D36" s="305">
        <v>75</v>
      </c>
      <c r="E36" s="305">
        <v>75</v>
      </c>
      <c r="F36" s="305">
        <v>75</v>
      </c>
      <c r="G36" s="305">
        <v>75</v>
      </c>
      <c r="H36" s="305"/>
      <c r="I36" s="305"/>
      <c r="J36" s="305"/>
      <c r="K36" s="305"/>
      <c r="L36" s="305"/>
      <c r="M36" s="305"/>
    </row>
    <row r="37" spans="2:13" x14ac:dyDescent="0.25">
      <c r="B37" s="305" t="s">
        <v>314</v>
      </c>
      <c r="C37" s="305">
        <v>25</v>
      </c>
      <c r="D37" s="305">
        <v>25</v>
      </c>
      <c r="E37" s="305">
        <v>25</v>
      </c>
      <c r="F37" s="305">
        <v>25</v>
      </c>
      <c r="G37" s="305">
        <v>25</v>
      </c>
      <c r="H37" s="305"/>
      <c r="I37" s="305"/>
      <c r="J37" s="305"/>
      <c r="K37" s="305"/>
      <c r="L37" s="305"/>
      <c r="M37" s="305"/>
    </row>
    <row r="38" spans="2:13" x14ac:dyDescent="0.25">
      <c r="B38" s="305" t="s">
        <v>315</v>
      </c>
      <c r="C38" s="313">
        <v>5.1948051948051945E-2</v>
      </c>
      <c r="D38" s="313">
        <v>5.1948051948051945E-2</v>
      </c>
      <c r="E38" s="313">
        <v>5.1948051948051945E-2</v>
      </c>
      <c r="F38" s="313">
        <v>5.1948051948051945E-2</v>
      </c>
      <c r="G38" s="313">
        <v>5.1948051948051945E-2</v>
      </c>
      <c r="H38" s="308">
        <v>0.9</v>
      </c>
      <c r="I38" s="308">
        <v>1.1000000000000001</v>
      </c>
      <c r="J38" s="308">
        <v>0.9</v>
      </c>
      <c r="K38" s="308">
        <v>1.1000000000000001</v>
      </c>
      <c r="L38" s="307" t="s">
        <v>316</v>
      </c>
      <c r="M38" s="307">
        <v>7</v>
      </c>
    </row>
    <row r="39" spans="2:13" x14ac:dyDescent="0.25">
      <c r="B39" s="305" t="s">
        <v>317</v>
      </c>
      <c r="C39" s="313">
        <v>0.10389610389610389</v>
      </c>
      <c r="D39" s="313">
        <v>0.10389610389610389</v>
      </c>
      <c r="E39" s="313">
        <v>0.10389610389610389</v>
      </c>
      <c r="F39" s="313">
        <v>0.10389610389610389</v>
      </c>
      <c r="G39" s="313">
        <v>0.10389610389610389</v>
      </c>
      <c r="H39" s="308">
        <v>0.9</v>
      </c>
      <c r="I39" s="308">
        <v>1.1000000000000001</v>
      </c>
      <c r="J39" s="308">
        <v>0.9</v>
      </c>
      <c r="K39" s="308">
        <v>1.1000000000000001</v>
      </c>
      <c r="L39" s="307" t="s">
        <v>316</v>
      </c>
      <c r="M39" s="307">
        <v>7</v>
      </c>
    </row>
    <row r="40" spans="2:13" x14ac:dyDescent="0.25">
      <c r="B40" s="305" t="s">
        <v>602</v>
      </c>
      <c r="C40" s="305">
        <v>0</v>
      </c>
      <c r="D40" s="305">
        <v>0</v>
      </c>
      <c r="E40" s="305">
        <v>0</v>
      </c>
      <c r="F40" s="305">
        <v>0</v>
      </c>
      <c r="G40" s="305">
        <v>0</v>
      </c>
      <c r="H40" s="305"/>
      <c r="I40" s="305"/>
      <c r="J40" s="305"/>
      <c r="K40" s="305"/>
      <c r="L40" s="305"/>
      <c r="M40" s="305"/>
    </row>
    <row r="41" spans="2:13" x14ac:dyDescent="0.25">
      <c r="C41" s="251"/>
    </row>
    <row r="42" spans="2:13" x14ac:dyDescent="0.25">
      <c r="B42" s="253" t="s">
        <v>6</v>
      </c>
      <c r="C42" s="251"/>
    </row>
    <row r="43" spans="2:13" x14ac:dyDescent="0.25">
      <c r="B43" s="252" t="s">
        <v>319</v>
      </c>
      <c r="C43" s="251"/>
    </row>
    <row r="44" spans="2:13" x14ac:dyDescent="0.25">
      <c r="B44" s="252" t="s">
        <v>320</v>
      </c>
      <c r="C44" s="251"/>
    </row>
    <row r="45" spans="2:13" x14ac:dyDescent="0.25">
      <c r="B45" s="252" t="s">
        <v>321</v>
      </c>
      <c r="C45" s="251"/>
    </row>
    <row r="46" spans="2:13" x14ac:dyDescent="0.25">
      <c r="B46" s="252" t="s">
        <v>322</v>
      </c>
      <c r="C46" s="251"/>
    </row>
    <row r="47" spans="2:13" x14ac:dyDescent="0.25">
      <c r="B47" s="252" t="s">
        <v>323</v>
      </c>
    </row>
    <row r="48" spans="2:13" x14ac:dyDescent="0.25">
      <c r="B48" s="252" t="s">
        <v>324</v>
      </c>
    </row>
    <row r="49" spans="1:2" x14ac:dyDescent="0.25">
      <c r="B49" s="252" t="s">
        <v>325</v>
      </c>
    </row>
    <row r="50" spans="1:2" x14ac:dyDescent="0.25">
      <c r="B50" s="252" t="s">
        <v>326</v>
      </c>
    </row>
    <row r="51" spans="1:2" x14ac:dyDescent="0.25">
      <c r="B51" s="252" t="s">
        <v>327</v>
      </c>
    </row>
    <row r="52" spans="1:2" x14ac:dyDescent="0.25">
      <c r="B52" s="252" t="s">
        <v>328</v>
      </c>
    </row>
    <row r="53" spans="1:2" x14ac:dyDescent="0.25">
      <c r="B53" s="252" t="s">
        <v>329</v>
      </c>
    </row>
    <row r="54" spans="1:2" x14ac:dyDescent="0.25">
      <c r="B54" s="252" t="s">
        <v>330</v>
      </c>
    </row>
    <row r="55" spans="1:2" x14ac:dyDescent="0.25">
      <c r="B55" s="252" t="s">
        <v>331</v>
      </c>
    </row>
    <row r="57" spans="1:2" x14ac:dyDescent="0.25">
      <c r="B57" s="253" t="s">
        <v>287</v>
      </c>
    </row>
    <row r="58" spans="1:2" x14ac:dyDescent="0.25">
      <c r="B58" s="252" t="s">
        <v>332</v>
      </c>
    </row>
    <row r="59" spans="1:2" x14ac:dyDescent="0.25">
      <c r="B59" s="252" t="s">
        <v>333</v>
      </c>
    </row>
    <row r="60" spans="1:2" x14ac:dyDescent="0.25">
      <c r="B60" s="252" t="s">
        <v>334</v>
      </c>
    </row>
    <row r="61" spans="1:2" x14ac:dyDescent="0.25">
      <c r="B61" s="252" t="s">
        <v>335</v>
      </c>
    </row>
    <row r="62" spans="1:2" x14ac:dyDescent="0.25">
      <c r="A62" s="252"/>
      <c r="B62" s="252" t="s">
        <v>336</v>
      </c>
    </row>
    <row r="63" spans="1:2" x14ac:dyDescent="0.25">
      <c r="B63" s="252" t="s">
        <v>337</v>
      </c>
    </row>
    <row r="64" spans="1:2" x14ac:dyDescent="0.25">
      <c r="B64" s="252" t="s">
        <v>338</v>
      </c>
    </row>
    <row r="65" spans="2:2" x14ac:dyDescent="0.25">
      <c r="B65" s="252" t="s">
        <v>339</v>
      </c>
    </row>
    <row r="66" spans="2:2" x14ac:dyDescent="0.25">
      <c r="B66" s="252" t="s">
        <v>340</v>
      </c>
    </row>
    <row r="67" spans="2:2" x14ac:dyDescent="0.25">
      <c r="B67" s="252" t="s">
        <v>341</v>
      </c>
    </row>
    <row r="68" spans="2:2" x14ac:dyDescent="0.25">
      <c r="B68" s="252" t="s">
        <v>342</v>
      </c>
    </row>
    <row r="69" spans="2:2" x14ac:dyDescent="0.25">
      <c r="B69" s="252" t="s">
        <v>343</v>
      </c>
    </row>
    <row r="70" spans="2:2" x14ac:dyDescent="0.25">
      <c r="B70" s="252" t="s">
        <v>344</v>
      </c>
    </row>
  </sheetData>
  <mergeCells count="3">
    <mergeCell ref="C3:M3"/>
    <mergeCell ref="H4:I4"/>
    <mergeCell ref="J4:K4"/>
  </mergeCells>
  <hyperlinks>
    <hyperlink ref="B58" r:id="rId1" display="https://www.arb.ca.gov/fuels/lcfs/2a2b/apps/nes-na-tallow-rpt-011414.pdf"/>
    <hyperlink ref="B59" r:id="rId2" display="https://www.epa.gov/sites/production/files/2017-05/documents/reg-geismar-deter-ltr-2017-04-13.pdf"/>
    <hyperlink ref="B60" r:id="rId3" display="https://www.uop.com/wp-content/uploads/2012/12/UOP-Hydrorefining-Green-Diesel-Tech-Paper.pdf"/>
    <hyperlink ref="B61" r:id="rId4" display="https://www.doi.org/10.1002/bbb.1613"/>
    <hyperlink ref="B62" r:id="rId5" display="https://www.neste.com/en/corporate-info/investors/financials"/>
    <hyperlink ref="B63" r:id="rId6" display="https://www.eia.gov/dnav/pet/pet_pri_spt_s1_d.htm"/>
    <hyperlink ref="B64" r:id="rId7" display="http://www.extension.iastate.edu/agdm/energy/xls/d1-15biodieselprofitability.xlsx"/>
    <hyperlink ref="B65" r:id="rId8" display="https://www.intechopen.com/books/hydrogenation/hydroconversion-of-triglycerides-into-green-liquid-fuels"/>
    <hyperlink ref="B66" r:id="rId9" display="https://doi.org/10.1186/s13068-017-0945-3"/>
    <hyperlink ref="B67" r:id="rId10" display="https://doi.org/10.1016/j.seta.2014.01.008"/>
    <hyperlink ref="B68" r:id="rId11" display="https://www.prnewswire.com/news-releases/diamond-green-diesel-to-be-expanded-to-275-million-gallons-annually-300248085.html"/>
    <hyperlink ref="B69" r:id="rId12" display="https://www.neste.com/sites/default/files/attachments/neste_renewable_diesel_handbook.pdf"/>
    <hyperlink ref="B70" r:id="rId13" display="http://platformduurzamebiobrandstoffen.nl/wp-content/uploads/2017/07/2017_SGAB_Cost-of-Biofuels.pdf"/>
    <hyperlink ref="C3" location="INDEX" display="HVO / renwable diesel"/>
  </hyperlinks>
  <pageMargins left="0.7" right="0.7" top="0.75" bottom="0.75" header="0.3" footer="0.3"/>
  <pageSetup paperSize="9"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M64"/>
  <sheetViews>
    <sheetView showGridLines="0" workbookViewId="0">
      <selection activeCell="D18" sqref="D18"/>
    </sheetView>
  </sheetViews>
  <sheetFormatPr defaultRowHeight="15" x14ac:dyDescent="0.25"/>
  <cols>
    <col min="1" max="1" width="2.140625" customWidth="1"/>
    <col min="2" max="2" width="39.85546875" customWidth="1"/>
    <col min="3" max="12" width="7.5703125" customWidth="1"/>
  </cols>
  <sheetData>
    <row r="2" spans="2:13" x14ac:dyDescent="0.25">
      <c r="H2" s="255"/>
    </row>
    <row r="3" spans="2:13" ht="15" customHeight="1" x14ac:dyDescent="0.25">
      <c r="B3" s="292" t="s">
        <v>20</v>
      </c>
      <c r="C3" s="654" t="s">
        <v>345</v>
      </c>
      <c r="D3" s="661"/>
      <c r="E3" s="661"/>
      <c r="F3" s="661"/>
      <c r="G3" s="661"/>
      <c r="H3" s="661"/>
      <c r="I3" s="661"/>
      <c r="J3" s="661"/>
      <c r="K3" s="661"/>
      <c r="L3" s="661"/>
      <c r="M3" s="661"/>
    </row>
    <row r="4" spans="2:13" ht="15" customHeight="1" x14ac:dyDescent="0.25">
      <c r="B4" s="292"/>
      <c r="C4" s="292">
        <v>2015</v>
      </c>
      <c r="D4" s="292">
        <v>2020</v>
      </c>
      <c r="E4" s="292">
        <v>2030</v>
      </c>
      <c r="F4" s="292">
        <v>2040</v>
      </c>
      <c r="G4" s="292">
        <v>2050</v>
      </c>
      <c r="H4" s="661" t="s">
        <v>25</v>
      </c>
      <c r="I4" s="661"/>
      <c r="J4" s="661" t="s">
        <v>24</v>
      </c>
      <c r="K4" s="661"/>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320" t="s">
        <v>15</v>
      </c>
      <c r="C6" s="297"/>
      <c r="D6" s="297"/>
      <c r="E6" s="297"/>
      <c r="F6" s="297"/>
      <c r="G6" s="297"/>
      <c r="H6" s="297"/>
      <c r="I6" s="297"/>
      <c r="J6" s="297"/>
      <c r="K6" s="297"/>
      <c r="L6" s="298"/>
      <c r="M6" s="299"/>
    </row>
    <row r="7" spans="2:13" x14ac:dyDescent="0.25">
      <c r="B7" s="301" t="s">
        <v>298</v>
      </c>
      <c r="C7" s="301">
        <v>400</v>
      </c>
      <c r="D7" s="301">
        <v>400</v>
      </c>
      <c r="E7" s="301">
        <v>600</v>
      </c>
      <c r="F7" s="301">
        <v>700</v>
      </c>
      <c r="G7" s="301">
        <v>800</v>
      </c>
      <c r="H7" s="302">
        <v>0.5</v>
      </c>
      <c r="I7" s="302">
        <v>2</v>
      </c>
      <c r="J7" s="302">
        <v>0.5</v>
      </c>
      <c r="K7" s="302">
        <v>1</v>
      </c>
      <c r="L7" s="303" t="s">
        <v>299</v>
      </c>
      <c r="M7" s="303"/>
    </row>
    <row r="8" spans="2:13" x14ac:dyDescent="0.25">
      <c r="B8" s="305" t="s">
        <v>300</v>
      </c>
      <c r="C8" s="305">
        <v>580</v>
      </c>
      <c r="D8" s="305">
        <v>580</v>
      </c>
      <c r="E8" s="305">
        <v>875</v>
      </c>
      <c r="F8" s="305">
        <v>1020</v>
      </c>
      <c r="G8" s="305">
        <v>1165</v>
      </c>
      <c r="H8" s="306">
        <v>0.5</v>
      </c>
      <c r="I8" s="306">
        <v>2</v>
      </c>
      <c r="J8" s="306">
        <v>0.5</v>
      </c>
      <c r="K8" s="306">
        <v>1</v>
      </c>
      <c r="L8" s="307" t="s">
        <v>301</v>
      </c>
      <c r="M8" s="307"/>
    </row>
    <row r="9" spans="2:13" x14ac:dyDescent="0.25">
      <c r="B9" s="320" t="s">
        <v>255</v>
      </c>
      <c r="C9" s="297"/>
      <c r="D9" s="297"/>
      <c r="E9" s="297"/>
      <c r="F9" s="297"/>
      <c r="G9" s="297"/>
      <c r="H9" s="297"/>
      <c r="I9" s="297"/>
      <c r="J9" s="297"/>
      <c r="K9" s="297"/>
      <c r="L9" s="298"/>
      <c r="M9" s="299"/>
    </row>
    <row r="10" spans="2:13" x14ac:dyDescent="0.25">
      <c r="B10" s="305" t="s">
        <v>302</v>
      </c>
      <c r="C10" s="305">
        <v>0.77900000000000003</v>
      </c>
      <c r="D10" s="305">
        <v>0.77900000000000003</v>
      </c>
      <c r="E10" s="305">
        <v>0.77900000000000003</v>
      </c>
      <c r="F10" s="305">
        <v>0.77900000000000003</v>
      </c>
      <c r="G10" s="305">
        <v>0.77900000000000003</v>
      </c>
      <c r="H10" s="308">
        <v>0.9</v>
      </c>
      <c r="I10" s="308">
        <v>1.1000000000000001</v>
      </c>
      <c r="J10" s="308">
        <v>0.9</v>
      </c>
      <c r="K10" s="308">
        <v>1.1000000000000001</v>
      </c>
      <c r="L10" s="307" t="s">
        <v>346</v>
      </c>
      <c r="M10" s="307" t="s">
        <v>347</v>
      </c>
    </row>
    <row r="11" spans="2:13" x14ac:dyDescent="0.25">
      <c r="B11" s="305" t="s">
        <v>304</v>
      </c>
      <c r="C11" s="305">
        <v>9.9000000000000005E-2</v>
      </c>
      <c r="D11" s="305">
        <v>9.9000000000000005E-2</v>
      </c>
      <c r="E11" s="305">
        <v>9.9000000000000005E-2</v>
      </c>
      <c r="F11" s="305">
        <v>9.9000000000000005E-2</v>
      </c>
      <c r="G11" s="305">
        <v>9.9000000000000005E-2</v>
      </c>
      <c r="H11" s="308">
        <v>0.9</v>
      </c>
      <c r="I11" s="308">
        <v>1.1000000000000001</v>
      </c>
      <c r="J11" s="308">
        <v>0.9</v>
      </c>
      <c r="K11" s="308">
        <v>1.1000000000000001</v>
      </c>
      <c r="L11" s="307" t="s">
        <v>348</v>
      </c>
      <c r="M11" s="307" t="s">
        <v>347</v>
      </c>
    </row>
    <row r="12" spans="2:13" x14ac:dyDescent="0.25">
      <c r="B12" s="305" t="s">
        <v>306</v>
      </c>
      <c r="C12" s="305">
        <v>3.0000000000000001E-3</v>
      </c>
      <c r="D12" s="305">
        <v>3.0000000000000001E-3</v>
      </c>
      <c r="E12" s="305">
        <v>3.0000000000000001E-3</v>
      </c>
      <c r="F12" s="305">
        <v>3.0000000000000001E-3</v>
      </c>
      <c r="G12" s="305">
        <v>3.0000000000000001E-3</v>
      </c>
      <c r="H12" s="308">
        <v>0.9</v>
      </c>
      <c r="I12" s="308">
        <v>1.1000000000000001</v>
      </c>
      <c r="J12" s="308">
        <v>0.9</v>
      </c>
      <c r="K12" s="308">
        <v>1.1000000000000001</v>
      </c>
      <c r="L12" s="307" t="s">
        <v>346</v>
      </c>
      <c r="M12" s="307" t="s">
        <v>347</v>
      </c>
    </row>
    <row r="13" spans="2:13" x14ac:dyDescent="0.25">
      <c r="B13" s="305" t="s">
        <v>307</v>
      </c>
      <c r="C13" s="305">
        <v>0.11899999999999999</v>
      </c>
      <c r="D13" s="305">
        <v>0.11899999999999999</v>
      </c>
      <c r="E13" s="305">
        <v>0.11899999999999999</v>
      </c>
      <c r="F13" s="305">
        <v>0.11899999999999999</v>
      </c>
      <c r="G13" s="305">
        <v>0.11899999999999999</v>
      </c>
      <c r="H13" s="308">
        <v>0.9</v>
      </c>
      <c r="I13" s="308">
        <v>1.1000000000000001</v>
      </c>
      <c r="J13" s="308">
        <v>0.9</v>
      </c>
      <c r="K13" s="308">
        <v>1.1000000000000001</v>
      </c>
      <c r="L13" s="307" t="s">
        <v>346</v>
      </c>
      <c r="M13" s="307" t="s">
        <v>347</v>
      </c>
    </row>
    <row r="14" spans="2:13" x14ac:dyDescent="0.25">
      <c r="B14" s="320" t="s">
        <v>241</v>
      </c>
      <c r="C14" s="297"/>
      <c r="D14" s="297"/>
      <c r="E14" s="297"/>
      <c r="F14" s="297"/>
      <c r="G14" s="297"/>
      <c r="H14" s="297"/>
      <c r="I14" s="297"/>
      <c r="J14" s="297"/>
      <c r="K14" s="297"/>
      <c r="L14" s="298"/>
      <c r="M14" s="299"/>
    </row>
    <row r="15" spans="2:13" x14ac:dyDescent="0.25">
      <c r="B15" s="305" t="s">
        <v>349</v>
      </c>
      <c r="C15" s="305">
        <v>0.66</v>
      </c>
      <c r="D15" s="305">
        <v>0.66</v>
      </c>
      <c r="E15" s="305">
        <v>0.66</v>
      </c>
      <c r="F15" s="305">
        <v>0.66</v>
      </c>
      <c r="G15" s="305">
        <v>0.66</v>
      </c>
      <c r="H15" s="308">
        <v>0.9</v>
      </c>
      <c r="I15" s="308">
        <v>1.1000000000000001</v>
      </c>
      <c r="J15" s="308">
        <v>0.9</v>
      </c>
      <c r="K15" s="308">
        <v>1.1000000000000001</v>
      </c>
      <c r="L15" s="307" t="s">
        <v>309</v>
      </c>
      <c r="M15" s="307"/>
    </row>
    <row r="16" spans="2:13" x14ac:dyDescent="0.25">
      <c r="B16" s="321" t="s">
        <v>597</v>
      </c>
      <c r="C16" s="322">
        <v>6.5100000000000005E-2</v>
      </c>
      <c r="D16" s="322">
        <v>6.5100000000000005E-2</v>
      </c>
      <c r="E16" s="322">
        <v>6.5100000000000005E-2</v>
      </c>
      <c r="F16" s="322">
        <v>6.5100000000000005E-2</v>
      </c>
      <c r="G16" s="322">
        <v>6.5100000000000005E-2</v>
      </c>
      <c r="H16" s="308">
        <v>0.9</v>
      </c>
      <c r="I16" s="308">
        <v>1.1000000000000001</v>
      </c>
      <c r="J16" s="308">
        <v>0.9</v>
      </c>
      <c r="K16" s="308">
        <v>1.1000000000000001</v>
      </c>
      <c r="L16" s="307" t="s">
        <v>309</v>
      </c>
      <c r="M16" s="307"/>
    </row>
    <row r="17" spans="2:13" x14ac:dyDescent="0.25">
      <c r="B17" s="321" t="s">
        <v>599</v>
      </c>
      <c r="C17" s="322">
        <v>9.2399999999999996E-2</v>
      </c>
      <c r="D17" s="322">
        <v>9.2399999999999996E-2</v>
      </c>
      <c r="E17" s="322">
        <v>9.2399999999999996E-2</v>
      </c>
      <c r="F17" s="322">
        <v>9.2399999999999996E-2</v>
      </c>
      <c r="G17" s="322">
        <v>9.2399999999999996E-2</v>
      </c>
      <c r="H17" s="308">
        <v>0.9</v>
      </c>
      <c r="I17" s="308">
        <v>1.1000000000000001</v>
      </c>
      <c r="J17" s="308">
        <v>0.9</v>
      </c>
      <c r="K17" s="308">
        <v>1.1000000000000001</v>
      </c>
      <c r="L17" s="307" t="s">
        <v>309</v>
      </c>
      <c r="M17" s="307"/>
    </row>
    <row r="18" spans="2:13" x14ac:dyDescent="0.25">
      <c r="B18" s="321" t="s">
        <v>598</v>
      </c>
      <c r="C18" s="322">
        <v>0.1</v>
      </c>
      <c r="D18" s="322">
        <v>0.1</v>
      </c>
      <c r="E18" s="322">
        <v>0.1</v>
      </c>
      <c r="F18" s="322">
        <v>0.1</v>
      </c>
      <c r="G18" s="322">
        <v>0.1</v>
      </c>
      <c r="H18" s="308">
        <v>0.9</v>
      </c>
      <c r="I18" s="308">
        <v>1.1000000000000001</v>
      </c>
      <c r="J18" s="308">
        <v>0.9</v>
      </c>
      <c r="K18" s="308">
        <v>1.1000000000000001</v>
      </c>
      <c r="L18" s="307" t="s">
        <v>309</v>
      </c>
      <c r="M18" s="307"/>
    </row>
    <row r="19" spans="2:13" x14ac:dyDescent="0.25">
      <c r="B19" s="321" t="s">
        <v>600</v>
      </c>
      <c r="C19" s="322">
        <f t="shared" ref="C19:G19" si="0">0.177*0.15</f>
        <v>2.6549999999999997E-2</v>
      </c>
      <c r="D19" s="322">
        <f t="shared" si="0"/>
        <v>2.6549999999999997E-2</v>
      </c>
      <c r="E19" s="322">
        <f t="shared" si="0"/>
        <v>2.6549999999999997E-2</v>
      </c>
      <c r="F19" s="322">
        <f t="shared" si="0"/>
        <v>2.6549999999999997E-2</v>
      </c>
      <c r="G19" s="322">
        <f t="shared" si="0"/>
        <v>2.6549999999999997E-2</v>
      </c>
      <c r="H19" s="308">
        <v>0.9</v>
      </c>
      <c r="I19" s="308">
        <v>1.1000000000000001</v>
      </c>
      <c r="J19" s="308">
        <v>0.9</v>
      </c>
      <c r="K19" s="308">
        <v>1.1000000000000001</v>
      </c>
      <c r="L19" s="307" t="s">
        <v>309</v>
      </c>
      <c r="M19" s="307"/>
    </row>
    <row r="20" spans="2:13" x14ac:dyDescent="0.25">
      <c r="B20" s="320"/>
      <c r="C20" s="297"/>
      <c r="D20" s="297"/>
      <c r="E20" s="297"/>
      <c r="F20" s="297"/>
      <c r="G20" s="297"/>
      <c r="H20" s="297"/>
      <c r="I20" s="297"/>
      <c r="J20" s="297"/>
      <c r="K20" s="297"/>
      <c r="L20" s="298"/>
      <c r="M20" s="299"/>
    </row>
    <row r="21" spans="2:13" x14ac:dyDescent="0.25">
      <c r="B21" s="305" t="s">
        <v>99</v>
      </c>
      <c r="C21" s="305">
        <v>0</v>
      </c>
      <c r="D21" s="305">
        <v>0</v>
      </c>
      <c r="E21" s="305">
        <v>0</v>
      </c>
      <c r="F21" s="305">
        <v>0</v>
      </c>
      <c r="G21" s="305">
        <v>0</v>
      </c>
      <c r="H21" s="305"/>
      <c r="I21" s="305"/>
      <c r="J21" s="305"/>
      <c r="K21" s="305"/>
      <c r="L21" s="307" t="s">
        <v>127</v>
      </c>
      <c r="M21" s="307"/>
    </row>
    <row r="22" spans="2:13" x14ac:dyDescent="0.25">
      <c r="B22" s="305" t="s">
        <v>23</v>
      </c>
      <c r="C22" s="309">
        <v>2</v>
      </c>
      <c r="D22" s="309">
        <v>2</v>
      </c>
      <c r="E22" s="309">
        <v>2</v>
      </c>
      <c r="F22" s="309">
        <v>2</v>
      </c>
      <c r="G22" s="309">
        <v>2</v>
      </c>
      <c r="H22" s="305"/>
      <c r="I22" s="305"/>
      <c r="J22" s="305"/>
      <c r="K22" s="305"/>
      <c r="L22" s="307"/>
      <c r="M22" s="307"/>
    </row>
    <row r="23" spans="2:13" x14ac:dyDescent="0.25">
      <c r="B23" s="305" t="s">
        <v>14</v>
      </c>
      <c r="C23" s="309">
        <v>25</v>
      </c>
      <c r="D23" s="309">
        <v>25</v>
      </c>
      <c r="E23" s="309">
        <v>25</v>
      </c>
      <c r="F23" s="309">
        <v>25</v>
      </c>
      <c r="G23" s="309">
        <v>25</v>
      </c>
      <c r="H23" s="305"/>
      <c r="I23" s="305"/>
      <c r="J23" s="305"/>
      <c r="K23" s="305"/>
      <c r="L23" s="307"/>
      <c r="M23" s="307"/>
    </row>
    <row r="24" spans="2:13" x14ac:dyDescent="0.25">
      <c r="B24" s="305" t="s">
        <v>12</v>
      </c>
      <c r="C24" s="309">
        <v>2</v>
      </c>
      <c r="D24" s="309">
        <v>2</v>
      </c>
      <c r="E24" s="309">
        <v>2</v>
      </c>
      <c r="F24" s="309">
        <v>2</v>
      </c>
      <c r="G24" s="309">
        <v>2</v>
      </c>
      <c r="H24" s="305"/>
      <c r="I24" s="305"/>
      <c r="J24" s="305"/>
      <c r="K24" s="305"/>
      <c r="L24" s="307"/>
      <c r="M24" s="307"/>
    </row>
    <row r="25" spans="2:13" x14ac:dyDescent="0.25">
      <c r="B25" s="320" t="s">
        <v>9</v>
      </c>
      <c r="C25" s="297"/>
      <c r="D25" s="297"/>
      <c r="E25" s="297"/>
      <c r="F25" s="297"/>
      <c r="G25" s="297"/>
      <c r="H25" s="297"/>
      <c r="I25" s="297"/>
      <c r="J25" s="297"/>
      <c r="K25" s="297"/>
      <c r="L25" s="298"/>
      <c r="M25" s="299"/>
    </row>
    <row r="26" spans="2:13" x14ac:dyDescent="0.25">
      <c r="B26" s="305" t="s">
        <v>603</v>
      </c>
      <c r="C26" s="311">
        <v>0.95835199283475159</v>
      </c>
      <c r="D26" s="311">
        <v>0.95835199283475159</v>
      </c>
      <c r="E26" s="311">
        <v>0.81038961038961044</v>
      </c>
      <c r="F26" s="311">
        <v>0.75490196078431382</v>
      </c>
      <c r="G26" s="311">
        <v>0.7134496404882672</v>
      </c>
      <c r="H26" s="306">
        <v>0.5</v>
      </c>
      <c r="I26" s="306">
        <v>1.5</v>
      </c>
      <c r="J26" s="306">
        <v>0.5</v>
      </c>
      <c r="K26" s="306">
        <v>1.5</v>
      </c>
      <c r="L26" s="307" t="s">
        <v>350</v>
      </c>
      <c r="M26" s="307"/>
    </row>
    <row r="27" spans="2:13" x14ac:dyDescent="0.25">
      <c r="B27" s="305" t="s">
        <v>313</v>
      </c>
      <c r="C27" s="312">
        <v>75</v>
      </c>
      <c r="D27" s="305">
        <v>75</v>
      </c>
      <c r="E27" s="305">
        <v>75</v>
      </c>
      <c r="F27" s="305">
        <v>75</v>
      </c>
      <c r="G27" s="305">
        <v>75</v>
      </c>
      <c r="H27" s="305"/>
      <c r="I27" s="305"/>
      <c r="J27" s="305"/>
      <c r="K27" s="305"/>
      <c r="L27" s="307"/>
      <c r="M27" s="307"/>
    </row>
    <row r="28" spans="2:13" x14ac:dyDescent="0.25">
      <c r="B28" s="305" t="s">
        <v>314</v>
      </c>
      <c r="C28" s="312">
        <v>25</v>
      </c>
      <c r="D28" s="305">
        <v>25</v>
      </c>
      <c r="E28" s="305">
        <v>25</v>
      </c>
      <c r="F28" s="305">
        <v>25</v>
      </c>
      <c r="G28" s="305">
        <v>25</v>
      </c>
      <c r="H28" s="305"/>
      <c r="I28" s="305"/>
      <c r="J28" s="305"/>
      <c r="K28" s="305"/>
      <c r="L28" s="307"/>
      <c r="M28" s="307"/>
    </row>
    <row r="29" spans="2:13" x14ac:dyDescent="0.25">
      <c r="B29" s="305" t="s">
        <v>588</v>
      </c>
      <c r="C29" s="313">
        <v>3.5826242722794444E-2</v>
      </c>
      <c r="D29" s="313">
        <v>3.5826242722794444E-2</v>
      </c>
      <c r="E29" s="313">
        <v>3.5621521335807045E-2</v>
      </c>
      <c r="F29" s="313">
        <v>3.5650623885917998E-2</v>
      </c>
      <c r="G29" s="313">
        <v>3.5672482024413352E-2</v>
      </c>
      <c r="H29" s="308">
        <v>0.9</v>
      </c>
      <c r="I29" s="308">
        <v>1.1000000000000001</v>
      </c>
      <c r="J29" s="308">
        <v>0.9</v>
      </c>
      <c r="K29" s="308">
        <v>1.1000000000000001</v>
      </c>
      <c r="L29" s="307" t="s">
        <v>316</v>
      </c>
      <c r="M29" s="307"/>
    </row>
    <row r="30" spans="2:13" x14ac:dyDescent="0.25">
      <c r="B30" s="305" t="s">
        <v>589</v>
      </c>
      <c r="C30" s="313">
        <v>8.5005223145936188</v>
      </c>
      <c r="D30" s="313">
        <v>8.5005223145936188</v>
      </c>
      <c r="E30" s="313">
        <v>8.5005223145936188</v>
      </c>
      <c r="F30" s="313">
        <v>8.5005223145936188</v>
      </c>
      <c r="G30" s="313">
        <v>8.5005223145936188</v>
      </c>
      <c r="H30" s="308">
        <v>0.9</v>
      </c>
      <c r="I30" s="308">
        <v>1.1000000000000001</v>
      </c>
      <c r="J30" s="308">
        <v>0.9</v>
      </c>
      <c r="K30" s="308">
        <v>1.1000000000000001</v>
      </c>
      <c r="L30" s="307" t="s">
        <v>316</v>
      </c>
      <c r="M30" s="307"/>
    </row>
    <row r="31" spans="2:13" x14ac:dyDescent="0.25">
      <c r="B31" s="305" t="s">
        <v>351</v>
      </c>
      <c r="C31" s="305">
        <v>0</v>
      </c>
      <c r="D31" s="305">
        <v>0</v>
      </c>
      <c r="E31" s="305">
        <v>0</v>
      </c>
      <c r="F31" s="305"/>
      <c r="G31" s="305">
        <v>0</v>
      </c>
      <c r="H31" s="305"/>
      <c r="I31" s="305"/>
      <c r="J31" s="305"/>
      <c r="K31" s="305"/>
      <c r="L31" s="307"/>
      <c r="M31" s="307"/>
    </row>
    <row r="32" spans="2:13" x14ac:dyDescent="0.25">
      <c r="B32" s="320" t="s">
        <v>244</v>
      </c>
      <c r="C32" s="297"/>
      <c r="D32" s="297"/>
      <c r="E32" s="297"/>
      <c r="F32" s="297"/>
      <c r="G32" s="297"/>
      <c r="H32" s="297"/>
      <c r="I32" s="297"/>
      <c r="J32" s="297"/>
      <c r="K32" s="297"/>
      <c r="L32" s="298"/>
      <c r="M32" s="299"/>
    </row>
    <row r="33" spans="2:13" x14ac:dyDescent="0.25">
      <c r="B33" s="305" t="s">
        <v>318</v>
      </c>
      <c r="C33" s="309">
        <v>44</v>
      </c>
      <c r="D33" s="309">
        <v>44</v>
      </c>
      <c r="E33" s="309">
        <v>44</v>
      </c>
      <c r="F33" s="309">
        <v>44</v>
      </c>
      <c r="G33" s="309">
        <v>44</v>
      </c>
      <c r="H33" s="305"/>
      <c r="I33" s="305"/>
      <c r="J33" s="305"/>
      <c r="K33" s="305"/>
      <c r="L33" s="307"/>
      <c r="M33" s="307"/>
    </row>
    <row r="34" spans="2:13" x14ac:dyDescent="0.25">
      <c r="B34" s="305" t="s">
        <v>591</v>
      </c>
      <c r="C34" s="309">
        <v>0.77</v>
      </c>
      <c r="D34" s="309">
        <v>0.77</v>
      </c>
      <c r="E34" s="309">
        <v>0.77</v>
      </c>
      <c r="F34" s="309">
        <v>0.77</v>
      </c>
      <c r="G34" s="309">
        <v>0.77</v>
      </c>
      <c r="H34" s="305"/>
      <c r="I34" s="305"/>
      <c r="J34" s="305"/>
      <c r="K34" s="305"/>
      <c r="L34" s="305"/>
      <c r="M34" s="305"/>
    </row>
    <row r="35" spans="2:13" x14ac:dyDescent="0.25">
      <c r="B35" s="305" t="s">
        <v>604</v>
      </c>
      <c r="C35" s="311">
        <v>1.3896103896103897</v>
      </c>
      <c r="D35" s="311">
        <v>1.3896103896103897</v>
      </c>
      <c r="E35" s="311">
        <v>1.1818181818181819</v>
      </c>
      <c r="F35" s="311">
        <v>1.1000000000000001</v>
      </c>
      <c r="G35" s="311">
        <v>1.0389610389610391</v>
      </c>
      <c r="H35" s="306">
        <v>0.5</v>
      </c>
      <c r="I35" s="306">
        <v>1.5</v>
      </c>
      <c r="J35" s="306">
        <v>0.5</v>
      </c>
      <c r="K35" s="306">
        <v>1.5</v>
      </c>
      <c r="L35" s="307" t="s">
        <v>350</v>
      </c>
      <c r="M35" s="307"/>
    </row>
    <row r="36" spans="2:13" x14ac:dyDescent="0.25">
      <c r="B36" s="305" t="s">
        <v>605</v>
      </c>
      <c r="C36" s="312">
        <v>75</v>
      </c>
      <c r="D36" s="305">
        <v>75</v>
      </c>
      <c r="E36" s="305">
        <v>75</v>
      </c>
      <c r="F36" s="305">
        <v>75</v>
      </c>
      <c r="G36" s="305">
        <v>75</v>
      </c>
      <c r="H36" s="305"/>
      <c r="I36" s="305"/>
      <c r="J36" s="305"/>
      <c r="K36" s="305"/>
      <c r="L36" s="307"/>
      <c r="M36" s="305"/>
    </row>
    <row r="37" spans="2:13" x14ac:dyDescent="0.25">
      <c r="B37" s="305" t="s">
        <v>314</v>
      </c>
      <c r="C37" s="312">
        <v>25</v>
      </c>
      <c r="D37" s="305">
        <v>25</v>
      </c>
      <c r="E37" s="305">
        <v>25</v>
      </c>
      <c r="F37" s="305">
        <v>25</v>
      </c>
      <c r="G37" s="305">
        <v>25</v>
      </c>
      <c r="H37" s="305"/>
      <c r="I37" s="305"/>
      <c r="J37" s="305"/>
      <c r="K37" s="305"/>
      <c r="L37" s="307"/>
      <c r="M37" s="305"/>
    </row>
    <row r="38" spans="2:13" x14ac:dyDescent="0.25">
      <c r="B38" s="305" t="s">
        <v>315</v>
      </c>
      <c r="C38" s="313">
        <v>5.1948051948051945E-2</v>
      </c>
      <c r="D38" s="313">
        <v>5.1948051948051945E-2</v>
      </c>
      <c r="E38" s="313">
        <v>5.1948051948051945E-2</v>
      </c>
      <c r="F38" s="313">
        <v>5.1948051948051945E-2</v>
      </c>
      <c r="G38" s="313">
        <v>5.1948051948051945E-2</v>
      </c>
      <c r="H38" s="308">
        <v>0.9</v>
      </c>
      <c r="I38" s="308">
        <v>1.1000000000000001</v>
      </c>
      <c r="J38" s="308">
        <v>0.9</v>
      </c>
      <c r="K38" s="308">
        <v>1.1000000000000001</v>
      </c>
      <c r="L38" s="307" t="s">
        <v>316</v>
      </c>
      <c r="M38" s="305"/>
    </row>
    <row r="39" spans="2:13" x14ac:dyDescent="0.25">
      <c r="B39" s="305" t="s">
        <v>317</v>
      </c>
      <c r="C39" s="313">
        <v>0.10389610389610389</v>
      </c>
      <c r="D39" s="313">
        <v>0.10389610389610389</v>
      </c>
      <c r="E39" s="313">
        <v>0.10389610389610389</v>
      </c>
      <c r="F39" s="313">
        <v>0.10389610389610389</v>
      </c>
      <c r="G39" s="313">
        <v>0.10389610389610389</v>
      </c>
      <c r="H39" s="308">
        <v>0.9</v>
      </c>
      <c r="I39" s="308">
        <v>1.1000000000000001</v>
      </c>
      <c r="J39" s="308">
        <v>0.9</v>
      </c>
      <c r="K39" s="308">
        <v>1.1000000000000001</v>
      </c>
      <c r="L39" s="307" t="s">
        <v>316</v>
      </c>
      <c r="M39" s="305"/>
    </row>
    <row r="40" spans="2:13" x14ac:dyDescent="0.25">
      <c r="B40" s="305" t="s">
        <v>602</v>
      </c>
      <c r="C40" s="305">
        <v>0</v>
      </c>
      <c r="D40" s="305">
        <v>0</v>
      </c>
      <c r="E40" s="305">
        <v>0</v>
      </c>
      <c r="F40" s="305">
        <v>0</v>
      </c>
      <c r="G40" s="305">
        <v>0</v>
      </c>
      <c r="H40" s="305"/>
      <c r="I40" s="305"/>
      <c r="J40" s="305"/>
      <c r="K40" s="305"/>
      <c r="L40" s="307"/>
      <c r="M40" s="305"/>
    </row>
    <row r="42" spans="2:13" x14ac:dyDescent="0.25">
      <c r="B42" s="253" t="s">
        <v>6</v>
      </c>
    </row>
    <row r="43" spans="2:13" x14ac:dyDescent="0.25">
      <c r="B43" s="252" t="s">
        <v>352</v>
      </c>
    </row>
    <row r="44" spans="2:13" x14ac:dyDescent="0.25">
      <c r="B44" s="252" t="s">
        <v>320</v>
      </c>
    </row>
    <row r="45" spans="2:13" x14ac:dyDescent="0.25">
      <c r="B45" s="252" t="s">
        <v>321</v>
      </c>
    </row>
    <row r="46" spans="2:13" x14ac:dyDescent="0.25">
      <c r="B46" s="252" t="s">
        <v>353</v>
      </c>
    </row>
    <row r="47" spans="2:13" x14ac:dyDescent="0.25">
      <c r="B47" s="252" t="s">
        <v>323</v>
      </c>
    </row>
    <row r="48" spans="2:13" x14ac:dyDescent="0.25">
      <c r="B48" s="252" t="s">
        <v>324</v>
      </c>
    </row>
    <row r="49" spans="2:2" x14ac:dyDescent="0.25">
      <c r="B49" s="252" t="s">
        <v>325</v>
      </c>
    </row>
    <row r="50" spans="2:2" x14ac:dyDescent="0.25">
      <c r="B50" s="252" t="s">
        <v>326</v>
      </c>
    </row>
    <row r="51" spans="2:2" x14ac:dyDescent="0.25">
      <c r="B51" s="252" t="s">
        <v>327</v>
      </c>
    </row>
    <row r="52" spans="2:2" x14ac:dyDescent="0.25">
      <c r="B52" s="252" t="s">
        <v>328</v>
      </c>
    </row>
    <row r="53" spans="2:2" x14ac:dyDescent="0.25">
      <c r="B53" s="252" t="s">
        <v>329</v>
      </c>
    </row>
    <row r="54" spans="2:2" x14ac:dyDescent="0.25">
      <c r="B54" s="252" t="s">
        <v>330</v>
      </c>
    </row>
    <row r="55" spans="2:2" x14ac:dyDescent="0.25">
      <c r="B55" s="252" t="s">
        <v>354</v>
      </c>
    </row>
    <row r="57" spans="2:2" x14ac:dyDescent="0.25">
      <c r="B57" s="253" t="s">
        <v>287</v>
      </c>
    </row>
    <row r="58" spans="2:2" x14ac:dyDescent="0.25">
      <c r="B58" s="252" t="s">
        <v>355</v>
      </c>
    </row>
    <row r="59" spans="2:2" x14ac:dyDescent="0.25">
      <c r="B59" s="252" t="s">
        <v>356</v>
      </c>
    </row>
    <row r="60" spans="2:2" x14ac:dyDescent="0.25">
      <c r="B60" s="252" t="s">
        <v>357</v>
      </c>
    </row>
    <row r="61" spans="2:2" x14ac:dyDescent="0.25">
      <c r="B61" s="252" t="s">
        <v>358</v>
      </c>
    </row>
    <row r="62" spans="2:2" x14ac:dyDescent="0.25">
      <c r="B62" s="252" t="s">
        <v>359</v>
      </c>
    </row>
    <row r="63" spans="2:2" x14ac:dyDescent="0.25">
      <c r="B63" s="252" t="s">
        <v>360</v>
      </c>
    </row>
    <row r="64" spans="2:2" x14ac:dyDescent="0.25">
      <c r="B64" s="252" t="s">
        <v>361</v>
      </c>
    </row>
  </sheetData>
  <mergeCells count="3">
    <mergeCell ref="C3:M3"/>
    <mergeCell ref="H4:I4"/>
    <mergeCell ref="J4:K4"/>
  </mergeCells>
  <hyperlinks>
    <hyperlink ref="B58" r:id="rId1" display="https://energy.gov/sites/prod/files/2017/07/f35/BETO_2017WTE-Workshop_BryanSherbacow-AltAir.pdf"/>
    <hyperlink ref="B59" r:id="rId2" display="https://dspace.library.uu.nl/bitstream/handle/1874/347665/MSc Thesis K.Y Antonissen%2c May 2016 %281%29.pdf?sequence=2&amp;isAllowed=y"/>
    <hyperlink ref="B60" r:id="rId3" display="https://doi.org/10.1186/s13068-017-0739-7"/>
    <hyperlink ref="B61" r:id="rId4" display="https://doi.org/10.1186/s13068-017-0945-3"/>
    <hyperlink ref="B62" r:id="rId5" display="https://doi.org/10.2516/ogst/2014007"/>
    <hyperlink ref="B63" r:id="rId6" display="http://web.mit.edu/aeroastro/partner/reports/proj28/partner-proj28-2010-001.pdf"/>
    <hyperlink ref="B64" r:id="rId7" display="https://www.doi.org/10.1002/bbb.1613"/>
    <hyperlink ref="C3" location="INDEX" display="HVO Jet Fuel"/>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M64"/>
  <sheetViews>
    <sheetView showGridLines="0" workbookViewId="0">
      <selection activeCell="D18" sqref="D18"/>
    </sheetView>
  </sheetViews>
  <sheetFormatPr defaultRowHeight="15" x14ac:dyDescent="0.25"/>
  <cols>
    <col min="1" max="1" width="2.140625" customWidth="1"/>
    <col min="2" max="2" width="39.85546875" customWidth="1"/>
    <col min="3" max="12" width="7.28515625" customWidth="1"/>
  </cols>
  <sheetData>
    <row r="2" spans="2:13" x14ac:dyDescent="0.25">
      <c r="H2" s="255"/>
    </row>
    <row r="3" spans="2:13" ht="15" customHeight="1" x14ac:dyDescent="0.25">
      <c r="B3" s="292" t="s">
        <v>20</v>
      </c>
      <c r="C3" s="654" t="s">
        <v>606</v>
      </c>
      <c r="D3" s="661"/>
      <c r="E3" s="661"/>
      <c r="F3" s="661"/>
      <c r="G3" s="661"/>
      <c r="H3" s="661"/>
      <c r="I3" s="661"/>
      <c r="J3" s="661"/>
      <c r="K3" s="661"/>
      <c r="L3" s="661"/>
      <c r="M3" s="661"/>
    </row>
    <row r="4" spans="2:13" ht="15" customHeight="1" x14ac:dyDescent="0.25">
      <c r="B4" s="292"/>
      <c r="C4" s="292">
        <v>2015</v>
      </c>
      <c r="D4" s="292">
        <v>2020</v>
      </c>
      <c r="E4" s="292">
        <v>2030</v>
      </c>
      <c r="F4" s="292">
        <v>2040</v>
      </c>
      <c r="G4" s="292">
        <v>2050</v>
      </c>
      <c r="H4" s="661" t="s">
        <v>25</v>
      </c>
      <c r="I4" s="661"/>
      <c r="J4" s="661" t="s">
        <v>24</v>
      </c>
      <c r="K4" s="661"/>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320" t="s">
        <v>15</v>
      </c>
      <c r="C6" s="297"/>
      <c r="D6" s="297"/>
      <c r="E6" s="297"/>
      <c r="F6" s="297"/>
      <c r="G6" s="297"/>
      <c r="H6" s="297"/>
      <c r="I6" s="297"/>
      <c r="J6" s="297"/>
      <c r="K6" s="297"/>
      <c r="L6" s="298"/>
      <c r="M6" s="299"/>
    </row>
    <row r="7" spans="2:13" x14ac:dyDescent="0.25">
      <c r="B7" s="301" t="s">
        <v>362</v>
      </c>
      <c r="C7" s="301">
        <v>320</v>
      </c>
      <c r="D7" s="301">
        <v>320</v>
      </c>
      <c r="E7" s="301">
        <v>400</v>
      </c>
      <c r="F7" s="301">
        <v>450</v>
      </c>
      <c r="G7" s="301">
        <v>500</v>
      </c>
      <c r="H7" s="302">
        <v>0.5</v>
      </c>
      <c r="I7" s="302">
        <v>1.2</v>
      </c>
      <c r="J7" s="302">
        <v>0.6</v>
      </c>
      <c r="K7" s="302">
        <v>1</v>
      </c>
      <c r="L7" s="303" t="s">
        <v>299</v>
      </c>
      <c r="M7" s="303">
        <v>11</v>
      </c>
    </row>
    <row r="8" spans="2:13" x14ac:dyDescent="0.25">
      <c r="B8" s="305" t="s">
        <v>363</v>
      </c>
      <c r="C8" s="305">
        <v>280</v>
      </c>
      <c r="D8" s="305">
        <v>280</v>
      </c>
      <c r="E8" s="305">
        <v>350</v>
      </c>
      <c r="F8" s="305">
        <v>400</v>
      </c>
      <c r="G8" s="305">
        <v>440</v>
      </c>
      <c r="H8" s="306">
        <v>0.5</v>
      </c>
      <c r="I8" s="306">
        <v>1.2</v>
      </c>
      <c r="J8" s="306">
        <v>0.6</v>
      </c>
      <c r="K8" s="306">
        <v>1</v>
      </c>
      <c r="L8" s="307" t="s">
        <v>299</v>
      </c>
      <c r="M8" s="307"/>
    </row>
    <row r="9" spans="2:13" x14ac:dyDescent="0.25">
      <c r="B9" s="320" t="s">
        <v>255</v>
      </c>
      <c r="C9" s="297"/>
      <c r="D9" s="297"/>
      <c r="E9" s="297"/>
      <c r="F9" s="297"/>
      <c r="G9" s="297"/>
      <c r="H9" s="297"/>
      <c r="I9" s="297"/>
      <c r="J9" s="297"/>
      <c r="K9" s="297"/>
      <c r="L9" s="298"/>
      <c r="M9" s="299"/>
    </row>
    <row r="10" spans="2:13" x14ac:dyDescent="0.25">
      <c r="B10" s="305" t="s">
        <v>364</v>
      </c>
      <c r="C10" s="305">
        <v>0.83</v>
      </c>
      <c r="D10" s="305">
        <v>0.83</v>
      </c>
      <c r="E10" s="305">
        <v>0.84</v>
      </c>
      <c r="F10" s="305">
        <v>0.85</v>
      </c>
      <c r="G10" s="305">
        <v>0.85</v>
      </c>
      <c r="H10" s="308">
        <v>0.98</v>
      </c>
      <c r="I10" s="308">
        <v>1.05</v>
      </c>
      <c r="J10" s="308">
        <v>0.98</v>
      </c>
      <c r="K10" s="308">
        <v>1.02</v>
      </c>
      <c r="L10" s="307" t="s">
        <v>3</v>
      </c>
      <c r="M10" s="307"/>
    </row>
    <row r="11" spans="2:13" x14ac:dyDescent="0.25">
      <c r="B11" s="305" t="s">
        <v>260</v>
      </c>
      <c r="C11" s="305">
        <v>0.02</v>
      </c>
      <c r="D11" s="305">
        <v>0.02</v>
      </c>
      <c r="E11" s="305">
        <v>0.02</v>
      </c>
      <c r="F11" s="305">
        <v>0.02</v>
      </c>
      <c r="G11" s="305">
        <v>0.02</v>
      </c>
      <c r="H11" s="308">
        <v>0.75</v>
      </c>
      <c r="I11" s="308">
        <v>1.25</v>
      </c>
      <c r="J11" s="308">
        <v>0.75</v>
      </c>
      <c r="K11" s="308">
        <v>1.25</v>
      </c>
      <c r="L11" s="307" t="s">
        <v>2</v>
      </c>
      <c r="M11" s="307"/>
    </row>
    <row r="12" spans="2:13" x14ac:dyDescent="0.25">
      <c r="B12" s="305" t="s">
        <v>261</v>
      </c>
      <c r="C12" s="305">
        <v>0.15</v>
      </c>
      <c r="D12" s="305">
        <v>0.15</v>
      </c>
      <c r="E12" s="305">
        <v>0.14000000000000001</v>
      </c>
      <c r="F12" s="305">
        <v>0.13</v>
      </c>
      <c r="G12" s="305">
        <v>0.13</v>
      </c>
      <c r="H12" s="308">
        <v>0.75</v>
      </c>
      <c r="I12" s="308">
        <v>1.25</v>
      </c>
      <c r="J12" s="308">
        <v>0.75</v>
      </c>
      <c r="K12" s="308">
        <v>1.25</v>
      </c>
      <c r="L12" s="307" t="s">
        <v>2</v>
      </c>
      <c r="M12" s="307"/>
    </row>
    <row r="13" spans="2:13" x14ac:dyDescent="0.25">
      <c r="B13" s="292" t="s">
        <v>241</v>
      </c>
      <c r="C13" s="305"/>
      <c r="D13" s="305"/>
      <c r="E13" s="305"/>
      <c r="F13" s="305"/>
      <c r="G13" s="305"/>
      <c r="H13" s="308"/>
      <c r="I13" s="308"/>
      <c r="J13" s="308"/>
      <c r="K13" s="308"/>
      <c r="L13" s="307"/>
      <c r="M13" s="307"/>
    </row>
    <row r="14" spans="2:13" x14ac:dyDescent="0.25">
      <c r="B14" s="305" t="s">
        <v>365</v>
      </c>
      <c r="C14" s="305">
        <v>0.46</v>
      </c>
      <c r="D14" s="305">
        <v>46</v>
      </c>
      <c r="E14" s="305">
        <v>0.47</v>
      </c>
      <c r="F14" s="305">
        <v>0.47</v>
      </c>
      <c r="G14" s="305">
        <v>0.47</v>
      </c>
      <c r="H14" s="305">
        <v>0.95</v>
      </c>
      <c r="I14" s="305">
        <v>1.02</v>
      </c>
      <c r="J14" s="305">
        <v>0.95</v>
      </c>
      <c r="K14" s="305">
        <v>1.02</v>
      </c>
      <c r="L14" s="307" t="s">
        <v>250</v>
      </c>
      <c r="M14" s="307"/>
    </row>
    <row r="15" spans="2:13" x14ac:dyDescent="0.25">
      <c r="B15" s="305" t="s">
        <v>366</v>
      </c>
      <c r="C15" s="305">
        <v>0.28999999999999998</v>
      </c>
      <c r="D15" s="305">
        <v>0.27</v>
      </c>
      <c r="E15" s="305">
        <v>0.28000000000000003</v>
      </c>
      <c r="F15" s="305">
        <v>0.25</v>
      </c>
      <c r="G15" s="305">
        <v>0.25</v>
      </c>
      <c r="H15" s="308">
        <v>0.98</v>
      </c>
      <c r="I15" s="308">
        <v>1.05</v>
      </c>
      <c r="J15" s="308">
        <v>0.98</v>
      </c>
      <c r="K15" s="308">
        <v>1.02</v>
      </c>
      <c r="L15" s="307" t="s">
        <v>250</v>
      </c>
      <c r="M15" s="307"/>
    </row>
    <row r="16" spans="2:13" x14ac:dyDescent="0.25">
      <c r="B16" s="320"/>
      <c r="C16" s="297"/>
      <c r="D16" s="297"/>
      <c r="E16" s="297"/>
      <c r="F16" s="297"/>
      <c r="G16" s="297"/>
      <c r="H16" s="297"/>
      <c r="I16" s="297"/>
      <c r="J16" s="297"/>
      <c r="K16" s="297"/>
      <c r="L16" s="298"/>
      <c r="M16" s="299"/>
    </row>
    <row r="17" spans="2:13" x14ac:dyDescent="0.25">
      <c r="B17" s="305" t="s">
        <v>99</v>
      </c>
      <c r="C17" s="305">
        <v>0</v>
      </c>
      <c r="D17" s="305">
        <v>0</v>
      </c>
      <c r="E17" s="305">
        <v>0</v>
      </c>
      <c r="F17" s="305">
        <v>0</v>
      </c>
      <c r="G17" s="305">
        <v>0</v>
      </c>
      <c r="H17" s="305"/>
      <c r="I17" s="305"/>
      <c r="J17" s="305"/>
      <c r="K17" s="305"/>
      <c r="L17" s="307"/>
      <c r="M17" s="307"/>
    </row>
    <row r="18" spans="2:13" x14ac:dyDescent="0.25">
      <c r="B18" s="305" t="s">
        <v>23</v>
      </c>
      <c r="C18" s="305">
        <v>2</v>
      </c>
      <c r="D18" s="305">
        <v>2</v>
      </c>
      <c r="E18" s="305">
        <v>2</v>
      </c>
      <c r="F18" s="305">
        <v>2</v>
      </c>
      <c r="G18" s="305">
        <v>2</v>
      </c>
      <c r="H18" s="305"/>
      <c r="I18" s="305"/>
      <c r="J18" s="305"/>
      <c r="K18" s="305"/>
      <c r="L18" s="307"/>
      <c r="M18" s="307"/>
    </row>
    <row r="19" spans="2:13" x14ac:dyDescent="0.25">
      <c r="B19" s="305" t="s">
        <v>14</v>
      </c>
      <c r="C19" s="309">
        <v>25</v>
      </c>
      <c r="D19" s="309">
        <v>25</v>
      </c>
      <c r="E19" s="309">
        <v>25</v>
      </c>
      <c r="F19" s="309">
        <v>25</v>
      </c>
      <c r="G19" s="309">
        <v>25</v>
      </c>
      <c r="H19" s="305"/>
      <c r="I19" s="305"/>
      <c r="J19" s="305"/>
      <c r="K19" s="305"/>
      <c r="L19" s="307"/>
      <c r="M19" s="307"/>
    </row>
    <row r="20" spans="2:13" x14ac:dyDescent="0.25">
      <c r="B20" s="305" t="s">
        <v>12</v>
      </c>
      <c r="C20" s="312">
        <v>2</v>
      </c>
      <c r="D20" s="312">
        <v>2</v>
      </c>
      <c r="E20" s="312">
        <v>2</v>
      </c>
      <c r="F20" s="312">
        <v>2</v>
      </c>
      <c r="G20" s="312">
        <v>2</v>
      </c>
      <c r="H20" s="305"/>
      <c r="I20" s="305"/>
      <c r="J20" s="305"/>
      <c r="K20" s="305"/>
      <c r="L20" s="307"/>
      <c r="M20" s="307"/>
    </row>
    <row r="21" spans="2:13" x14ac:dyDescent="0.25">
      <c r="B21" s="320" t="s">
        <v>9</v>
      </c>
      <c r="C21" s="297"/>
      <c r="D21" s="297"/>
      <c r="E21" s="297"/>
      <c r="F21" s="297"/>
      <c r="G21" s="297"/>
      <c r="H21" s="297"/>
      <c r="I21" s="297"/>
      <c r="J21" s="297"/>
      <c r="K21" s="297"/>
      <c r="L21" s="298"/>
      <c r="M21" s="299"/>
    </row>
    <row r="22" spans="2:13" x14ac:dyDescent="0.25">
      <c r="B22" s="305" t="s">
        <v>607</v>
      </c>
      <c r="C22" s="311">
        <v>0.73779385171790235</v>
      </c>
      <c r="D22" s="311">
        <v>0.72332730560578651</v>
      </c>
      <c r="E22" s="311">
        <v>0.69439421338155505</v>
      </c>
      <c r="F22" s="311">
        <v>0.66374999999999995</v>
      </c>
      <c r="G22" s="311">
        <v>0.6616800920598388</v>
      </c>
      <c r="H22" s="306">
        <v>0.95</v>
      </c>
      <c r="I22" s="306">
        <v>1.25</v>
      </c>
      <c r="J22" s="306">
        <v>0.95</v>
      </c>
      <c r="K22" s="306">
        <v>1.25</v>
      </c>
      <c r="L22" s="307" t="s">
        <v>368</v>
      </c>
      <c r="M22" s="307">
        <v>10</v>
      </c>
    </row>
    <row r="23" spans="2:13" x14ac:dyDescent="0.25">
      <c r="B23" s="305" t="s">
        <v>313</v>
      </c>
      <c r="C23" s="305">
        <v>75</v>
      </c>
      <c r="D23" s="305">
        <v>75</v>
      </c>
      <c r="E23" s="305">
        <v>75</v>
      </c>
      <c r="F23" s="309">
        <v>75</v>
      </c>
      <c r="G23" s="305">
        <v>75</v>
      </c>
      <c r="H23" s="305"/>
      <c r="I23" s="305"/>
      <c r="J23" s="305"/>
      <c r="K23" s="305"/>
      <c r="L23" s="307"/>
      <c r="M23" s="307"/>
    </row>
    <row r="24" spans="2:13" x14ac:dyDescent="0.25">
      <c r="B24" s="305" t="s">
        <v>314</v>
      </c>
      <c r="C24" s="312">
        <v>25</v>
      </c>
      <c r="D24" s="305">
        <v>25</v>
      </c>
      <c r="E24" s="305">
        <v>25</v>
      </c>
      <c r="F24" s="309">
        <v>25</v>
      </c>
      <c r="G24" s="305">
        <v>25</v>
      </c>
      <c r="H24" s="305"/>
      <c r="I24" s="305"/>
      <c r="J24" s="305"/>
      <c r="K24" s="305"/>
      <c r="L24" s="307"/>
      <c r="M24" s="307"/>
    </row>
    <row r="25" spans="2:13" x14ac:dyDescent="0.25">
      <c r="B25" s="305" t="s">
        <v>608</v>
      </c>
      <c r="C25" s="313">
        <v>6.0759493670886074E-2</v>
      </c>
      <c r="D25" s="313">
        <v>6.0759493670886074E-2</v>
      </c>
      <c r="E25" s="313">
        <v>6.0759493670886074E-2</v>
      </c>
      <c r="F25" s="313">
        <v>6.0759493670886074E-2</v>
      </c>
      <c r="G25" s="313">
        <v>6.0759493670886074E-2</v>
      </c>
      <c r="H25" s="306">
        <v>0.95</v>
      </c>
      <c r="I25" s="306">
        <v>1.25</v>
      </c>
      <c r="J25" s="306">
        <v>0.95</v>
      </c>
      <c r="K25" s="306">
        <v>1.25</v>
      </c>
      <c r="L25" s="307" t="s">
        <v>98</v>
      </c>
      <c r="M25" s="307">
        <v>8</v>
      </c>
    </row>
    <row r="26" spans="2:13" x14ac:dyDescent="0.25">
      <c r="B26" s="305" t="s">
        <v>589</v>
      </c>
      <c r="C26" s="313">
        <v>8.3007194396164632</v>
      </c>
      <c r="D26" s="313">
        <v>8.3007194396164632</v>
      </c>
      <c r="E26" s="313">
        <v>8.3007194396164632</v>
      </c>
      <c r="F26" s="313">
        <v>8.300719439616465</v>
      </c>
      <c r="G26" s="313">
        <v>8.300719439616465</v>
      </c>
      <c r="H26" s="308">
        <v>0.9</v>
      </c>
      <c r="I26" s="308">
        <v>1.1000000000000001</v>
      </c>
      <c r="J26" s="308">
        <v>0.9</v>
      </c>
      <c r="K26" s="308">
        <v>1.1000000000000001</v>
      </c>
      <c r="L26" s="307" t="s">
        <v>371</v>
      </c>
      <c r="M26" s="307">
        <v>8</v>
      </c>
    </row>
    <row r="27" spans="2:13" x14ac:dyDescent="0.25">
      <c r="B27" s="305" t="s">
        <v>372</v>
      </c>
      <c r="C27" s="305">
        <v>0</v>
      </c>
      <c r="D27" s="305">
        <v>0</v>
      </c>
      <c r="E27" s="305">
        <v>0</v>
      </c>
      <c r="F27" s="305">
        <v>0</v>
      </c>
      <c r="G27" s="305">
        <v>0</v>
      </c>
      <c r="H27" s="308"/>
      <c r="I27" s="308"/>
      <c r="J27" s="308"/>
      <c r="K27" s="308"/>
      <c r="L27" s="307" t="s">
        <v>41</v>
      </c>
      <c r="M27" s="307"/>
    </row>
    <row r="28" spans="2:13" x14ac:dyDescent="0.25">
      <c r="B28" s="320" t="s">
        <v>244</v>
      </c>
      <c r="C28" s="297"/>
      <c r="D28" s="297"/>
      <c r="E28" s="297"/>
      <c r="F28" s="297"/>
      <c r="G28" s="297"/>
      <c r="H28" s="297"/>
      <c r="I28" s="297"/>
      <c r="J28" s="297"/>
      <c r="K28" s="297"/>
      <c r="L28" s="298"/>
      <c r="M28" s="299"/>
    </row>
    <row r="29" spans="2:13" x14ac:dyDescent="0.25">
      <c r="B29" s="305" t="s">
        <v>318</v>
      </c>
      <c r="C29" s="309">
        <v>26.9</v>
      </c>
      <c r="D29" s="309">
        <v>26.9</v>
      </c>
      <c r="E29" s="309">
        <v>26.9</v>
      </c>
      <c r="F29" s="309">
        <v>26.9</v>
      </c>
      <c r="G29" s="309">
        <v>26.9</v>
      </c>
      <c r="H29" s="305"/>
      <c r="I29" s="305"/>
      <c r="J29" s="305"/>
      <c r="K29" s="305"/>
      <c r="L29" s="305"/>
      <c r="M29" s="305"/>
    </row>
    <row r="30" spans="2:13" x14ac:dyDescent="0.25">
      <c r="B30" s="305" t="s">
        <v>591</v>
      </c>
      <c r="C30" s="309">
        <v>0.79</v>
      </c>
      <c r="D30" s="309">
        <v>0.79</v>
      </c>
      <c r="E30" s="309">
        <v>0.79</v>
      </c>
      <c r="F30" s="309">
        <v>0.79</v>
      </c>
      <c r="G30" s="309">
        <v>0.79</v>
      </c>
      <c r="H30" s="305"/>
      <c r="I30" s="305"/>
      <c r="J30" s="305"/>
      <c r="K30" s="305"/>
      <c r="L30" s="305"/>
      <c r="M30" s="305"/>
    </row>
    <row r="31" spans="2:13" x14ac:dyDescent="0.25">
      <c r="B31" s="305" t="s">
        <v>367</v>
      </c>
      <c r="C31" s="311">
        <v>0.64556962025316456</v>
      </c>
      <c r="D31" s="311">
        <v>0.63291139240506322</v>
      </c>
      <c r="E31" s="311">
        <v>0.60759493670886067</v>
      </c>
      <c r="F31" s="311">
        <v>0.59</v>
      </c>
      <c r="G31" s="311">
        <v>0.58227848101265822</v>
      </c>
      <c r="H31" s="306">
        <v>0.95</v>
      </c>
      <c r="I31" s="306">
        <v>1.25</v>
      </c>
      <c r="J31" s="306">
        <v>0.95</v>
      </c>
      <c r="K31" s="306">
        <v>1.25</v>
      </c>
      <c r="L31" s="307" t="s">
        <v>368</v>
      </c>
      <c r="M31" s="307">
        <v>10</v>
      </c>
    </row>
    <row r="32" spans="2:13" x14ac:dyDescent="0.25">
      <c r="B32" s="305" t="s">
        <v>313</v>
      </c>
      <c r="C32" s="305">
        <v>75</v>
      </c>
      <c r="D32" s="305">
        <v>75</v>
      </c>
      <c r="E32" s="305">
        <v>75</v>
      </c>
      <c r="F32" s="305">
        <v>75</v>
      </c>
      <c r="G32" s="305">
        <v>75</v>
      </c>
      <c r="H32" s="305"/>
      <c r="I32" s="305"/>
      <c r="J32" s="305"/>
      <c r="K32" s="305"/>
      <c r="L32" s="307"/>
      <c r="M32" s="307"/>
    </row>
    <row r="33" spans="2:13" x14ac:dyDescent="0.25">
      <c r="B33" s="305" t="s">
        <v>314</v>
      </c>
      <c r="C33" s="312">
        <v>25</v>
      </c>
      <c r="D33" s="305">
        <v>25</v>
      </c>
      <c r="E33" s="305">
        <v>25</v>
      </c>
      <c r="F33" s="305">
        <v>25</v>
      </c>
      <c r="G33" s="305">
        <v>25</v>
      </c>
      <c r="H33" s="305"/>
      <c r="I33" s="305"/>
      <c r="J33" s="305"/>
      <c r="K33" s="305"/>
      <c r="L33" s="307"/>
      <c r="M33" s="307"/>
    </row>
    <row r="34" spans="2:13" x14ac:dyDescent="0.25">
      <c r="B34" s="305" t="s">
        <v>369</v>
      </c>
      <c r="C34" s="313">
        <v>6.0759493670886074E-2</v>
      </c>
      <c r="D34" s="313">
        <v>6.0759493670886074E-2</v>
      </c>
      <c r="E34" s="313">
        <v>6.0759493670886074E-2</v>
      </c>
      <c r="F34" s="313">
        <v>6.0759493670886074E-2</v>
      </c>
      <c r="G34" s="313">
        <v>6.0759493670886074E-2</v>
      </c>
      <c r="H34" s="305">
        <v>0.95</v>
      </c>
      <c r="I34" s="306">
        <v>1.25</v>
      </c>
      <c r="J34" s="306">
        <v>0.95</v>
      </c>
      <c r="K34" s="306">
        <v>1.25</v>
      </c>
      <c r="L34" s="307" t="s">
        <v>98</v>
      </c>
      <c r="M34" s="307">
        <v>8</v>
      </c>
    </row>
    <row r="35" spans="2:13" x14ac:dyDescent="0.25">
      <c r="B35" s="305" t="s">
        <v>370</v>
      </c>
      <c r="C35" s="313">
        <v>6.20253164556962E-2</v>
      </c>
      <c r="D35" s="313">
        <v>6.20253164556962E-2</v>
      </c>
      <c r="E35" s="313">
        <v>6.20253164556962E-2</v>
      </c>
      <c r="F35" s="313">
        <v>6.20253164556962E-2</v>
      </c>
      <c r="G35" s="313">
        <v>6.20253164556962E-2</v>
      </c>
      <c r="H35" s="308">
        <v>0.9</v>
      </c>
      <c r="I35" s="308">
        <v>1.1000000000000001</v>
      </c>
      <c r="J35" s="308">
        <v>0.9</v>
      </c>
      <c r="K35" s="308">
        <v>1.1000000000000001</v>
      </c>
      <c r="L35" s="307" t="s">
        <v>371</v>
      </c>
      <c r="M35" s="307">
        <v>8</v>
      </c>
    </row>
    <row r="36" spans="2:13" x14ac:dyDescent="0.25">
      <c r="B36" s="305" t="s">
        <v>372</v>
      </c>
      <c r="C36" s="305">
        <v>0</v>
      </c>
      <c r="D36" s="305">
        <v>0</v>
      </c>
      <c r="E36" s="305">
        <v>0</v>
      </c>
      <c r="F36" s="305">
        <v>0</v>
      </c>
      <c r="G36" s="305">
        <v>0</v>
      </c>
      <c r="H36" s="308"/>
      <c r="I36" s="308"/>
      <c r="J36" s="308"/>
      <c r="K36" s="308"/>
      <c r="L36" s="307" t="s">
        <v>41</v>
      </c>
      <c r="M36" s="307"/>
    </row>
    <row r="38" spans="2:13" x14ac:dyDescent="0.25">
      <c r="B38" s="253" t="s">
        <v>6</v>
      </c>
    </row>
    <row r="39" spans="2:13" x14ac:dyDescent="0.25">
      <c r="B39" s="252" t="s">
        <v>373</v>
      </c>
    </row>
    <row r="40" spans="2:13" x14ac:dyDescent="0.25">
      <c r="B40" s="252" t="s">
        <v>320</v>
      </c>
    </row>
    <row r="41" spans="2:13" x14ac:dyDescent="0.25">
      <c r="B41" s="252" t="s">
        <v>321</v>
      </c>
    </row>
    <row r="42" spans="2:13" x14ac:dyDescent="0.25">
      <c r="B42" s="252" t="s">
        <v>374</v>
      </c>
    </row>
    <row r="43" spans="2:13" x14ac:dyDescent="0.25">
      <c r="B43" s="252" t="s">
        <v>375</v>
      </c>
    </row>
    <row r="44" spans="2:13" x14ac:dyDescent="0.25">
      <c r="B44" s="252" t="s">
        <v>376</v>
      </c>
    </row>
    <row r="45" spans="2:13" x14ac:dyDescent="0.25">
      <c r="B45" s="252" t="s">
        <v>377</v>
      </c>
    </row>
    <row r="46" spans="2:13" x14ac:dyDescent="0.25">
      <c r="B46" s="252" t="s">
        <v>378</v>
      </c>
    </row>
    <row r="47" spans="2:13" x14ac:dyDescent="0.25">
      <c r="B47" s="252" t="s">
        <v>379</v>
      </c>
    </row>
    <row r="48" spans="2:13" x14ac:dyDescent="0.25">
      <c r="B48" s="252" t="s">
        <v>380</v>
      </c>
    </row>
    <row r="49" spans="2:2" x14ac:dyDescent="0.25">
      <c r="B49" s="252" t="s">
        <v>381</v>
      </c>
    </row>
    <row r="51" spans="2:2" x14ac:dyDescent="0.25">
      <c r="B51" s="253" t="s">
        <v>287</v>
      </c>
    </row>
    <row r="52" spans="2:2" x14ac:dyDescent="0.25">
      <c r="B52" s="252" t="s">
        <v>580</v>
      </c>
    </row>
    <row r="53" spans="2:2" x14ac:dyDescent="0.25">
      <c r="B53" s="252" t="s">
        <v>382</v>
      </c>
    </row>
    <row r="54" spans="2:2" x14ac:dyDescent="0.25">
      <c r="B54" s="252" t="s">
        <v>383</v>
      </c>
    </row>
    <row r="55" spans="2:2" x14ac:dyDescent="0.25">
      <c r="B55" s="252" t="s">
        <v>582</v>
      </c>
    </row>
    <row r="56" spans="2:2" x14ac:dyDescent="0.25">
      <c r="B56" s="252" t="s">
        <v>384</v>
      </c>
    </row>
    <row r="57" spans="2:2" x14ac:dyDescent="0.25">
      <c r="B57" s="252" t="s">
        <v>385</v>
      </c>
    </row>
    <row r="58" spans="2:2" x14ac:dyDescent="0.25">
      <c r="B58" s="252" t="s">
        <v>386</v>
      </c>
    </row>
    <row r="59" spans="2:2" x14ac:dyDescent="0.25">
      <c r="B59" s="252" t="s">
        <v>387</v>
      </c>
    </row>
    <row r="60" spans="2:2" x14ac:dyDescent="0.25">
      <c r="B60" s="252" t="s">
        <v>388</v>
      </c>
    </row>
    <row r="61" spans="2:2" x14ac:dyDescent="0.25">
      <c r="B61" s="252" t="s">
        <v>389</v>
      </c>
    </row>
    <row r="62" spans="2:2" x14ac:dyDescent="0.25">
      <c r="B62" s="252" t="s">
        <v>390</v>
      </c>
    </row>
    <row r="63" spans="2:2" x14ac:dyDescent="0.25">
      <c r="B63" s="252" t="s">
        <v>581</v>
      </c>
    </row>
    <row r="64" spans="2:2" x14ac:dyDescent="0.25">
      <c r="B64" s="252" t="s">
        <v>391</v>
      </c>
    </row>
  </sheetData>
  <mergeCells count="3">
    <mergeCell ref="C3:M3"/>
    <mergeCell ref="H4:I4"/>
    <mergeCell ref="J4:K4"/>
  </mergeCells>
  <hyperlinks>
    <hyperlink ref="B53" r:id="rId1" display="https://ens.dk/sites/ens.dk/files/Statistik/energy_statistics_2015.pdf"/>
    <hyperlink ref="B54" r:id="rId2" display="http://epure.org/about-ethanol/fuel-market/fuel-blends/"/>
    <hyperlink ref="B56" r:id="rId3" display="http://naldc.nal.usda.gov/download/22550/PDF"/>
    <hyperlink ref="B57" r:id="rId4" display="http://task39.sites.olt.ubc.ca/files/2013/05/IEA_Bioenergy_Task-39_Improving_carbon_and_energy_balance.pdf"/>
    <hyperlink ref="B58" r:id="rId5" display="http://www.eia.gov/cfapps/ipdbproject/IEDIndex3.cfm?tid=79&amp;pid=79&amp;aid=1"/>
    <hyperlink ref="B59" r:id="rId6" display="http://epure.org/media/1137/state-of-the-industry-report-2014.pdf"/>
    <hyperlink ref="B60" r:id="rId7" display="http://epure.org/media/1610/2016-industry-statistics.pdf"/>
    <hyperlink ref="B61" r:id="rId8" display="http://www.extension.iastate.edu/agdm/energy/xls/d1-10ethanolprofitability.xlsx"/>
    <hyperlink ref="B62" r:id="rId9" display="http://www.capjournal.com/news/ringneck-energy-pouring-cement-building-foundations-for-ethanol-plant-near/article_4ee23aac-adec-11e7-80fb-a7814e744ba7.html"/>
    <hyperlink ref="B64" r:id="rId10" display="http://ringneckenergy.com/wp-content/uploads/2016/12/2015_PPM_w_Exhibits.pdf"/>
    <hyperlink ref="C3" location="INDEX" display="1st Generation Ethanol"/>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M58"/>
  <sheetViews>
    <sheetView showGridLines="0" workbookViewId="0">
      <selection activeCell="D18" sqref="D18"/>
    </sheetView>
  </sheetViews>
  <sheetFormatPr defaultRowHeight="15" x14ac:dyDescent="0.25"/>
  <cols>
    <col min="1" max="1" width="2.140625" customWidth="1"/>
    <col min="2" max="2" width="39.85546875" customWidth="1"/>
    <col min="3" max="12" width="7.140625" customWidth="1"/>
  </cols>
  <sheetData>
    <row r="2" spans="2:13" x14ac:dyDescent="0.25">
      <c r="H2" s="255"/>
    </row>
    <row r="3" spans="2:13" ht="15" customHeight="1" x14ac:dyDescent="0.25">
      <c r="B3" s="292" t="s">
        <v>20</v>
      </c>
      <c r="C3" s="657" t="s">
        <v>392</v>
      </c>
      <c r="D3" s="663"/>
      <c r="E3" s="663"/>
      <c r="F3" s="663"/>
      <c r="G3" s="663"/>
      <c r="H3" s="663"/>
      <c r="I3" s="663"/>
      <c r="J3" s="663"/>
      <c r="K3" s="663"/>
      <c r="L3" s="663"/>
      <c r="M3" s="664"/>
    </row>
    <row r="4" spans="2:13" ht="15" customHeight="1" x14ac:dyDescent="0.25">
      <c r="B4" s="292"/>
      <c r="C4" s="292">
        <v>2015</v>
      </c>
      <c r="D4" s="292">
        <v>2020</v>
      </c>
      <c r="E4" s="292">
        <v>2030</v>
      </c>
      <c r="F4" s="292">
        <v>2040</v>
      </c>
      <c r="G4" s="292">
        <v>2050</v>
      </c>
      <c r="H4" s="665" t="s">
        <v>25</v>
      </c>
      <c r="I4" s="664"/>
      <c r="J4" s="665" t="s">
        <v>24</v>
      </c>
      <c r="K4" s="664"/>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320" t="s">
        <v>15</v>
      </c>
      <c r="C6" s="297"/>
      <c r="D6" s="297"/>
      <c r="E6" s="297"/>
      <c r="F6" s="297"/>
      <c r="G6" s="297"/>
      <c r="H6" s="297"/>
      <c r="I6" s="297"/>
      <c r="J6" s="297"/>
      <c r="K6" s="297"/>
      <c r="L6" s="298"/>
      <c r="M6" s="299"/>
    </row>
    <row r="7" spans="2:13" x14ac:dyDescent="0.25">
      <c r="B7" s="301" t="s">
        <v>393</v>
      </c>
      <c r="C7" s="301">
        <v>20</v>
      </c>
      <c r="D7" s="301">
        <v>80</v>
      </c>
      <c r="E7" s="301">
        <v>200</v>
      </c>
      <c r="F7" s="301">
        <v>500</v>
      </c>
      <c r="G7" s="301">
        <v>1000</v>
      </c>
      <c r="H7" s="302">
        <v>0.5</v>
      </c>
      <c r="I7" s="302">
        <v>1.25</v>
      </c>
      <c r="J7" s="302">
        <v>0.75</v>
      </c>
      <c r="K7" s="302">
        <v>1.25</v>
      </c>
      <c r="L7" s="303" t="s">
        <v>299</v>
      </c>
      <c r="M7" s="303" t="s">
        <v>394</v>
      </c>
    </row>
    <row r="8" spans="2:13" x14ac:dyDescent="0.25">
      <c r="B8" s="305" t="s">
        <v>395</v>
      </c>
      <c r="C8" s="305">
        <v>10</v>
      </c>
      <c r="D8" s="305">
        <v>40</v>
      </c>
      <c r="E8" s="305">
        <v>105</v>
      </c>
      <c r="F8" s="305">
        <v>265</v>
      </c>
      <c r="G8" s="305">
        <v>520</v>
      </c>
      <c r="H8" s="306">
        <v>0.5</v>
      </c>
      <c r="I8" s="306">
        <v>1.25</v>
      </c>
      <c r="J8" s="306">
        <v>0.75</v>
      </c>
      <c r="K8" s="306">
        <v>1.25</v>
      </c>
      <c r="L8" s="307" t="s">
        <v>301</v>
      </c>
      <c r="M8" s="307" t="s">
        <v>394</v>
      </c>
    </row>
    <row r="9" spans="2:13" x14ac:dyDescent="0.25">
      <c r="B9" s="320" t="s">
        <v>255</v>
      </c>
      <c r="C9" s="297"/>
      <c r="D9" s="297"/>
      <c r="E9" s="297"/>
      <c r="F9" s="297"/>
      <c r="G9" s="297"/>
      <c r="H9" s="297"/>
      <c r="I9" s="297"/>
      <c r="J9" s="297"/>
      <c r="K9" s="297"/>
      <c r="L9" s="298"/>
      <c r="M9" s="299"/>
    </row>
    <row r="10" spans="2:13" x14ac:dyDescent="0.25">
      <c r="B10" s="318" t="s">
        <v>364</v>
      </c>
      <c r="C10" s="318">
        <v>1</v>
      </c>
      <c r="D10" s="318">
        <v>1</v>
      </c>
      <c r="E10" s="318">
        <v>1</v>
      </c>
      <c r="F10" s="318">
        <v>1</v>
      </c>
      <c r="G10" s="318">
        <v>1</v>
      </c>
      <c r="H10" s="323">
        <v>0.9</v>
      </c>
      <c r="I10" s="323">
        <v>1.5</v>
      </c>
      <c r="J10" s="323">
        <v>0.9</v>
      </c>
      <c r="K10" s="323">
        <v>1.25</v>
      </c>
      <c r="L10" s="319" t="s">
        <v>1</v>
      </c>
      <c r="M10" s="319">
        <v>4</v>
      </c>
    </row>
    <row r="11" spans="2:13" x14ac:dyDescent="0.25">
      <c r="B11" s="320" t="s">
        <v>241</v>
      </c>
      <c r="C11" s="297"/>
      <c r="D11" s="297"/>
      <c r="E11" s="297"/>
      <c r="F11" s="297"/>
      <c r="G11" s="297"/>
      <c r="H11" s="324"/>
      <c r="I11" s="324"/>
      <c r="J11" s="324"/>
      <c r="K11" s="324"/>
      <c r="L11" s="298"/>
      <c r="M11" s="299"/>
    </row>
    <row r="12" spans="2:13" x14ac:dyDescent="0.25">
      <c r="B12" s="301" t="s">
        <v>396</v>
      </c>
      <c r="C12" s="301">
        <v>0.6</v>
      </c>
      <c r="D12" s="301">
        <v>0.6</v>
      </c>
      <c r="E12" s="301">
        <v>0.62</v>
      </c>
      <c r="F12" s="301">
        <v>0.64</v>
      </c>
      <c r="G12" s="301">
        <v>0.65</v>
      </c>
      <c r="H12" s="325">
        <v>0.9</v>
      </c>
      <c r="I12" s="325">
        <v>1.1000000000000001</v>
      </c>
      <c r="J12" s="325">
        <v>0.9</v>
      </c>
      <c r="K12" s="325">
        <v>1.1000000000000001</v>
      </c>
      <c r="L12" s="303" t="s">
        <v>1</v>
      </c>
      <c r="M12" s="303">
        <v>4</v>
      </c>
    </row>
    <row r="13" spans="2:13" x14ac:dyDescent="0.25">
      <c r="B13" s="305" t="s">
        <v>609</v>
      </c>
      <c r="C13" s="305">
        <v>0.23200000000000001</v>
      </c>
      <c r="D13" s="305">
        <v>0.23200000000000001</v>
      </c>
      <c r="E13" s="305">
        <v>0.23200000000000001</v>
      </c>
      <c r="F13" s="305">
        <v>0.23200000000000001</v>
      </c>
      <c r="G13" s="305">
        <v>0.23200000000000001</v>
      </c>
      <c r="H13" s="308">
        <v>0.9</v>
      </c>
      <c r="I13" s="308">
        <v>1.1000000000000001</v>
      </c>
      <c r="J13" s="308">
        <v>0.9</v>
      </c>
      <c r="K13" s="308">
        <v>1.1000000000000001</v>
      </c>
      <c r="L13" s="307" t="s">
        <v>1</v>
      </c>
      <c r="M13" s="307">
        <v>4</v>
      </c>
    </row>
    <row r="14" spans="2:13" x14ac:dyDescent="0.25">
      <c r="B14" s="318" t="s">
        <v>610</v>
      </c>
      <c r="C14" s="318">
        <v>1.6E-2</v>
      </c>
      <c r="D14" s="318">
        <v>1.6E-2</v>
      </c>
      <c r="E14" s="318">
        <v>1.6E-2</v>
      </c>
      <c r="F14" s="318">
        <v>1.6E-2</v>
      </c>
      <c r="G14" s="318">
        <v>1.6E-2</v>
      </c>
      <c r="H14" s="318">
        <v>0.9</v>
      </c>
      <c r="I14" s="318">
        <v>1.1000000000000001</v>
      </c>
      <c r="J14" s="318">
        <v>0.9</v>
      </c>
      <c r="K14" s="318">
        <v>1.1000000000000001</v>
      </c>
      <c r="L14" s="319" t="s">
        <v>1</v>
      </c>
      <c r="M14" s="319">
        <v>4</v>
      </c>
    </row>
    <row r="15" spans="2:13" x14ac:dyDescent="0.25">
      <c r="B15" s="326"/>
      <c r="C15" s="297"/>
      <c r="D15" s="297"/>
      <c r="E15" s="297"/>
      <c r="F15" s="297"/>
      <c r="G15" s="297"/>
      <c r="H15" s="324"/>
      <c r="I15" s="324"/>
      <c r="J15" s="324"/>
      <c r="K15" s="324"/>
      <c r="L15" s="298"/>
      <c r="M15" s="299"/>
    </row>
    <row r="16" spans="2:13" x14ac:dyDescent="0.25">
      <c r="B16" s="301" t="s">
        <v>99</v>
      </c>
      <c r="C16" s="301" t="s">
        <v>397</v>
      </c>
      <c r="D16" s="301">
        <v>4</v>
      </c>
      <c r="E16" s="301">
        <v>0</v>
      </c>
      <c r="F16" s="301">
        <v>0</v>
      </c>
      <c r="G16" s="301">
        <v>0</v>
      </c>
      <c r="H16" s="301"/>
      <c r="I16" s="301"/>
      <c r="J16" s="301"/>
      <c r="K16" s="301"/>
      <c r="L16" s="303"/>
      <c r="M16" s="303"/>
    </row>
    <row r="17" spans="2:13" x14ac:dyDescent="0.25">
      <c r="B17" s="305" t="s">
        <v>23</v>
      </c>
      <c r="C17" s="305">
        <v>4</v>
      </c>
      <c r="D17" s="305">
        <v>4</v>
      </c>
      <c r="E17" s="305">
        <v>4</v>
      </c>
      <c r="F17" s="305">
        <v>4</v>
      </c>
      <c r="G17" s="305">
        <v>4</v>
      </c>
      <c r="H17" s="305"/>
      <c r="I17" s="305"/>
      <c r="J17" s="305"/>
      <c r="K17" s="305"/>
      <c r="L17" s="307" t="s">
        <v>3</v>
      </c>
      <c r="M17" s="307">
        <v>8</v>
      </c>
    </row>
    <row r="18" spans="2:13" x14ac:dyDescent="0.25">
      <c r="B18" s="305" t="s">
        <v>14</v>
      </c>
      <c r="C18" s="305">
        <v>25</v>
      </c>
      <c r="D18" s="305">
        <v>25</v>
      </c>
      <c r="E18" s="305">
        <v>25</v>
      </c>
      <c r="F18" s="305">
        <v>25</v>
      </c>
      <c r="G18" s="305">
        <v>25</v>
      </c>
      <c r="H18" s="305"/>
      <c r="I18" s="305"/>
      <c r="J18" s="305"/>
      <c r="K18" s="305"/>
      <c r="L18" s="307"/>
      <c r="M18" s="307"/>
    </row>
    <row r="19" spans="2:13" x14ac:dyDescent="0.25">
      <c r="B19" s="318" t="s">
        <v>12</v>
      </c>
      <c r="C19" s="327">
        <v>2</v>
      </c>
      <c r="D19" s="327">
        <v>2</v>
      </c>
      <c r="E19" s="327">
        <v>2</v>
      </c>
      <c r="F19" s="327">
        <v>2</v>
      </c>
      <c r="G19" s="327">
        <v>2</v>
      </c>
      <c r="H19" s="318"/>
      <c r="I19" s="318"/>
      <c r="J19" s="318"/>
      <c r="K19" s="318"/>
      <c r="L19" s="319"/>
      <c r="M19" s="319"/>
    </row>
    <row r="20" spans="2:13" x14ac:dyDescent="0.25">
      <c r="B20" s="320" t="s">
        <v>9</v>
      </c>
      <c r="C20" s="328"/>
      <c r="D20" s="328"/>
      <c r="E20" s="328"/>
      <c r="F20" s="328"/>
      <c r="G20" s="328"/>
      <c r="H20" s="297"/>
      <c r="I20" s="297"/>
      <c r="J20" s="297"/>
      <c r="K20" s="297"/>
      <c r="L20" s="298"/>
      <c r="M20" s="299"/>
    </row>
    <row r="21" spans="2:13" x14ac:dyDescent="0.25">
      <c r="B21" s="329" t="s">
        <v>611</v>
      </c>
      <c r="C21" s="330">
        <v>2.4</v>
      </c>
      <c r="D21" s="330">
        <v>1.92</v>
      </c>
      <c r="E21" s="330">
        <v>1.1428571428571428</v>
      </c>
      <c r="F21" s="330">
        <v>0.84905660377358494</v>
      </c>
      <c r="G21" s="330">
        <v>0.69230769230769229</v>
      </c>
      <c r="H21" s="301">
        <v>0.75</v>
      </c>
      <c r="I21" s="301">
        <v>1.25</v>
      </c>
      <c r="J21" s="301">
        <v>0.75</v>
      </c>
      <c r="K21" s="301">
        <v>1.25</v>
      </c>
      <c r="L21" s="303" t="s">
        <v>399</v>
      </c>
      <c r="M21" s="303" t="s">
        <v>400</v>
      </c>
    </row>
    <row r="22" spans="2:13" x14ac:dyDescent="0.25">
      <c r="B22" s="305" t="s">
        <v>313</v>
      </c>
      <c r="C22" s="311">
        <v>75</v>
      </c>
      <c r="D22" s="311">
        <v>75</v>
      </c>
      <c r="E22" s="311">
        <v>75</v>
      </c>
      <c r="F22" s="311">
        <v>75</v>
      </c>
      <c r="G22" s="311">
        <v>75</v>
      </c>
      <c r="H22" s="306"/>
      <c r="I22" s="306"/>
      <c r="J22" s="306"/>
      <c r="K22" s="306"/>
      <c r="L22" s="307"/>
      <c r="M22" s="307"/>
    </row>
    <row r="23" spans="2:13" x14ac:dyDescent="0.25">
      <c r="B23" s="305" t="s">
        <v>314</v>
      </c>
      <c r="C23" s="305">
        <v>25</v>
      </c>
      <c r="D23" s="305">
        <v>25</v>
      </c>
      <c r="E23" s="305">
        <v>25</v>
      </c>
      <c r="F23" s="309">
        <v>25</v>
      </c>
      <c r="G23" s="305">
        <v>25</v>
      </c>
      <c r="H23" s="305"/>
      <c r="I23" s="305"/>
      <c r="J23" s="305"/>
      <c r="K23" s="305"/>
      <c r="L23" s="307"/>
      <c r="M23" s="307"/>
    </row>
    <row r="24" spans="2:13" x14ac:dyDescent="0.25">
      <c r="B24" s="305" t="s">
        <v>612</v>
      </c>
      <c r="C24" s="312">
        <v>7.1999999999999995E-2</v>
      </c>
      <c r="D24" s="305">
        <v>7.1999999999999995E-2</v>
      </c>
      <c r="E24" s="313">
        <v>6.8571428571428561E-2</v>
      </c>
      <c r="F24" s="331">
        <v>6.7924528301886791E-2</v>
      </c>
      <c r="G24" s="313">
        <v>6.9230769230769235E-2</v>
      </c>
      <c r="H24" s="305">
        <v>0.75</v>
      </c>
      <c r="I24" s="305">
        <v>1.25</v>
      </c>
      <c r="J24" s="305">
        <v>0.75</v>
      </c>
      <c r="K24" s="305">
        <v>1.25</v>
      </c>
      <c r="L24" s="307" t="s">
        <v>402</v>
      </c>
      <c r="M24" s="307">
        <v>6</v>
      </c>
    </row>
    <row r="25" spans="2:13" x14ac:dyDescent="0.25">
      <c r="B25" s="305" t="s">
        <v>613</v>
      </c>
      <c r="C25" s="311">
        <v>2.7</v>
      </c>
      <c r="D25" s="311">
        <v>2.7</v>
      </c>
      <c r="E25" s="311">
        <v>2.7</v>
      </c>
      <c r="F25" s="311">
        <v>2.7</v>
      </c>
      <c r="G25" s="311">
        <v>2.7</v>
      </c>
      <c r="H25" s="306">
        <v>0.75</v>
      </c>
      <c r="I25" s="306">
        <v>1.25</v>
      </c>
      <c r="J25" s="306">
        <v>0.75</v>
      </c>
      <c r="K25" s="306">
        <v>1.25</v>
      </c>
      <c r="L25" s="307" t="s">
        <v>402</v>
      </c>
      <c r="M25" s="307">
        <v>6</v>
      </c>
    </row>
    <row r="26" spans="2:13" x14ac:dyDescent="0.25">
      <c r="B26" s="318" t="s">
        <v>404</v>
      </c>
      <c r="C26" s="332" t="s">
        <v>397</v>
      </c>
      <c r="D26" s="332">
        <v>0</v>
      </c>
      <c r="E26" s="332">
        <v>0</v>
      </c>
      <c r="F26" s="332"/>
      <c r="G26" s="332">
        <v>0</v>
      </c>
      <c r="H26" s="323"/>
      <c r="I26" s="323"/>
      <c r="J26" s="323"/>
      <c r="K26" s="323"/>
      <c r="L26" s="319"/>
      <c r="M26" s="319"/>
    </row>
    <row r="27" spans="2:13" x14ac:dyDescent="0.25">
      <c r="B27" s="320" t="s">
        <v>244</v>
      </c>
      <c r="C27" s="297"/>
      <c r="D27" s="297"/>
      <c r="E27" s="297"/>
      <c r="F27" s="297"/>
      <c r="G27" s="297"/>
      <c r="H27" s="324"/>
      <c r="I27" s="324"/>
      <c r="J27" s="324"/>
      <c r="K27" s="324"/>
      <c r="L27" s="298"/>
      <c r="M27" s="299"/>
    </row>
    <row r="28" spans="2:13" x14ac:dyDescent="0.25">
      <c r="B28" s="301" t="s">
        <v>405</v>
      </c>
      <c r="C28" s="301">
        <v>16</v>
      </c>
      <c r="D28" s="301">
        <v>16</v>
      </c>
      <c r="E28" s="301">
        <v>16</v>
      </c>
      <c r="F28" s="301">
        <v>16</v>
      </c>
      <c r="G28" s="301">
        <v>16</v>
      </c>
      <c r="H28" s="301"/>
      <c r="I28" s="301"/>
      <c r="J28" s="301"/>
      <c r="K28" s="301"/>
      <c r="L28" s="303"/>
      <c r="M28" s="303"/>
    </row>
    <row r="29" spans="2:13" x14ac:dyDescent="0.25">
      <c r="B29" s="305" t="s">
        <v>591</v>
      </c>
      <c r="C29" s="309">
        <v>1.2</v>
      </c>
      <c r="D29" s="309">
        <v>1.2</v>
      </c>
      <c r="E29" s="309">
        <v>1.2</v>
      </c>
      <c r="F29" s="309">
        <v>1.2</v>
      </c>
      <c r="G29" s="309">
        <v>1.2</v>
      </c>
      <c r="H29" s="305"/>
      <c r="I29" s="305"/>
      <c r="J29" s="305"/>
      <c r="K29" s="305"/>
      <c r="L29" s="305"/>
      <c r="M29" s="305"/>
    </row>
    <row r="30" spans="2:13" x14ac:dyDescent="0.25">
      <c r="B30" s="305" t="s">
        <v>398</v>
      </c>
      <c r="C30" s="309">
        <v>1.2</v>
      </c>
      <c r="D30" s="309">
        <v>0.96</v>
      </c>
      <c r="E30" s="309">
        <v>0.6</v>
      </c>
      <c r="F30" s="309">
        <v>0.45</v>
      </c>
      <c r="G30" s="309">
        <v>0.36</v>
      </c>
      <c r="H30" s="305">
        <v>0.75</v>
      </c>
      <c r="I30" s="305">
        <v>1.25</v>
      </c>
      <c r="J30" s="305">
        <v>0.75</v>
      </c>
      <c r="K30" s="305">
        <v>1.25</v>
      </c>
      <c r="L30" s="305" t="s">
        <v>399</v>
      </c>
      <c r="M30" s="305" t="s">
        <v>400</v>
      </c>
    </row>
    <row r="31" spans="2:13" x14ac:dyDescent="0.25">
      <c r="B31" s="305" t="s">
        <v>313</v>
      </c>
      <c r="C31" s="311">
        <v>75</v>
      </c>
      <c r="D31" s="311">
        <v>75</v>
      </c>
      <c r="E31" s="311">
        <v>75</v>
      </c>
      <c r="F31" s="311">
        <v>75</v>
      </c>
      <c r="G31" s="311">
        <v>75</v>
      </c>
      <c r="H31" s="306"/>
      <c r="I31" s="306"/>
      <c r="J31" s="306"/>
      <c r="K31" s="306"/>
      <c r="L31" s="307"/>
      <c r="M31" s="307"/>
    </row>
    <row r="32" spans="2:13" x14ac:dyDescent="0.25">
      <c r="B32" s="305" t="s">
        <v>314</v>
      </c>
      <c r="C32" s="305">
        <v>25</v>
      </c>
      <c r="D32" s="305">
        <v>25</v>
      </c>
      <c r="E32" s="305">
        <v>25</v>
      </c>
      <c r="F32" s="305">
        <v>25</v>
      </c>
      <c r="G32" s="305">
        <v>25</v>
      </c>
      <c r="H32" s="305"/>
      <c r="I32" s="305"/>
      <c r="J32" s="305"/>
      <c r="K32" s="305"/>
      <c r="L32" s="307"/>
      <c r="M32" s="307"/>
    </row>
    <row r="33" spans="2:13" x14ac:dyDescent="0.25">
      <c r="B33" s="305" t="s">
        <v>401</v>
      </c>
      <c r="C33" s="312">
        <v>3.5999999999999997E-2</v>
      </c>
      <c r="D33" s="305">
        <v>3.5999999999999997E-2</v>
      </c>
      <c r="E33" s="305">
        <v>3.5999999999999997E-2</v>
      </c>
      <c r="F33" s="305">
        <v>3.5999999999999997E-2</v>
      </c>
      <c r="G33" s="305">
        <v>3.5999999999999997E-2</v>
      </c>
      <c r="H33" s="305">
        <v>0.75</v>
      </c>
      <c r="I33" s="305">
        <v>1.25</v>
      </c>
      <c r="J33" s="305">
        <v>0.75</v>
      </c>
      <c r="K33" s="305">
        <v>1.25</v>
      </c>
      <c r="L33" s="307" t="s">
        <v>402</v>
      </c>
      <c r="M33" s="307">
        <v>6</v>
      </c>
    </row>
    <row r="34" spans="2:13" x14ac:dyDescent="0.25">
      <c r="B34" s="305" t="s">
        <v>403</v>
      </c>
      <c r="C34" s="313">
        <v>1.2E-2</v>
      </c>
      <c r="D34" s="313">
        <v>1.2E-2</v>
      </c>
      <c r="E34" s="313">
        <v>1.2E-2</v>
      </c>
      <c r="F34" s="313">
        <v>1.2E-2</v>
      </c>
      <c r="G34" s="313">
        <v>1.2E-2</v>
      </c>
      <c r="H34" s="305">
        <v>0.75</v>
      </c>
      <c r="I34" s="306">
        <v>1.25</v>
      </c>
      <c r="J34" s="306">
        <v>0.75</v>
      </c>
      <c r="K34" s="306">
        <v>1.25</v>
      </c>
      <c r="L34" s="307" t="s">
        <v>402</v>
      </c>
      <c r="M34" s="307">
        <v>6</v>
      </c>
    </row>
    <row r="35" spans="2:13" x14ac:dyDescent="0.25">
      <c r="B35" s="305" t="s">
        <v>404</v>
      </c>
      <c r="C35" s="313" t="s">
        <v>397</v>
      </c>
      <c r="D35" s="313">
        <v>0</v>
      </c>
      <c r="E35" s="313">
        <v>0</v>
      </c>
      <c r="F35" s="313">
        <v>0</v>
      </c>
      <c r="G35" s="313">
        <v>0</v>
      </c>
      <c r="H35" s="308"/>
      <c r="I35" s="308"/>
      <c r="J35" s="308"/>
      <c r="K35" s="308"/>
      <c r="L35" s="307"/>
      <c r="M35" s="307"/>
    </row>
    <row r="36" spans="2:13" x14ac:dyDescent="0.25">
      <c r="B36" s="253" t="s">
        <v>6</v>
      </c>
    </row>
    <row r="37" spans="2:13" x14ac:dyDescent="0.25">
      <c r="B37" s="252" t="s">
        <v>406</v>
      </c>
    </row>
    <row r="38" spans="2:13" x14ac:dyDescent="0.25">
      <c r="B38" s="252" t="s">
        <v>320</v>
      </c>
    </row>
    <row r="39" spans="2:13" x14ac:dyDescent="0.25">
      <c r="B39" s="252" t="s">
        <v>407</v>
      </c>
    </row>
    <row r="40" spans="2:13" x14ac:dyDescent="0.25">
      <c r="B40" s="252" t="s">
        <v>408</v>
      </c>
    </row>
    <row r="41" spans="2:13" x14ac:dyDescent="0.25">
      <c r="B41" s="252" t="s">
        <v>409</v>
      </c>
    </row>
    <row r="42" spans="2:13" x14ac:dyDescent="0.25">
      <c r="B42" s="252" t="s">
        <v>410</v>
      </c>
    </row>
    <row r="43" spans="2:13" x14ac:dyDescent="0.25">
      <c r="B43" s="252" t="s">
        <v>411</v>
      </c>
    </row>
    <row r="44" spans="2:13" x14ac:dyDescent="0.25">
      <c r="B44" s="252" t="s">
        <v>412</v>
      </c>
    </row>
    <row r="46" spans="2:13" x14ac:dyDescent="0.25">
      <c r="B46" s="253" t="s">
        <v>287</v>
      </c>
    </row>
    <row r="47" spans="2:13" x14ac:dyDescent="0.25">
      <c r="B47" s="252" t="s">
        <v>413</v>
      </c>
    </row>
    <row r="48" spans="2:13" x14ac:dyDescent="0.25">
      <c r="B48" s="252" t="s">
        <v>414</v>
      </c>
    </row>
    <row r="49" spans="2:2" x14ac:dyDescent="0.25">
      <c r="B49" s="252" t="s">
        <v>415</v>
      </c>
    </row>
    <row r="50" spans="2:2" x14ac:dyDescent="0.25">
      <c r="B50" s="252" t="s">
        <v>416</v>
      </c>
    </row>
    <row r="51" spans="2:2" x14ac:dyDescent="0.25">
      <c r="B51" s="252" t="s">
        <v>417</v>
      </c>
    </row>
    <row r="52" spans="2:2" x14ac:dyDescent="0.25">
      <c r="B52" s="252" t="s">
        <v>418</v>
      </c>
    </row>
    <row r="53" spans="2:2" x14ac:dyDescent="0.25">
      <c r="B53" s="252" t="s">
        <v>419</v>
      </c>
    </row>
    <row r="54" spans="2:2" x14ac:dyDescent="0.25">
      <c r="B54" s="252" t="s">
        <v>420</v>
      </c>
    </row>
    <row r="55" spans="2:2" x14ac:dyDescent="0.25">
      <c r="B55" s="252" t="s">
        <v>421</v>
      </c>
    </row>
    <row r="56" spans="2:2" x14ac:dyDescent="0.25">
      <c r="B56" s="252" t="s">
        <v>422</v>
      </c>
    </row>
    <row r="57" spans="2:2" x14ac:dyDescent="0.25">
      <c r="B57" s="252" t="s">
        <v>423</v>
      </c>
    </row>
    <row r="58" spans="2:2" x14ac:dyDescent="0.25">
      <c r="B58" s="252" t="s">
        <v>424</v>
      </c>
    </row>
  </sheetData>
  <mergeCells count="3">
    <mergeCell ref="C3:M3"/>
    <mergeCell ref="H4:I4"/>
    <mergeCell ref="J4:K4"/>
  </mergeCells>
  <hyperlinks>
    <hyperlink ref="B47" r:id="rId1" display="http://www.gastechnology.org/tcbiomass/tcb2015/Muggen_Gerhard-Presentation-tcbiomass2015.pdf"/>
    <hyperlink ref="B48" r:id="rId2" display="https://www.btg-btl.com/en/company/projects/empyro"/>
    <hyperlink ref="B49" r:id="rId3" display="https://ec.europa.eu/energy/sites/ener/files/documents/32_dharmesh_mahajan-honeywell.pdf"/>
    <hyperlink ref="B50" r:id="rId4" display="https://doi.org/10.1016/S0146-6380(99)00120-5"/>
    <hyperlink ref="B51" r:id="rId5" display="https://www.btg-btl.com/nieuwsbrieven/2017/november/en"/>
    <hyperlink ref="B52" r:id="rId6" display="https://www.nrel.gov/docs/fy11osti/46586.pdf"/>
    <hyperlink ref="B53" r:id="rId7" display="http://dx.doi.org/10.1080/17597269.2015.1118780"/>
    <hyperlink ref="B54" r:id="rId8" display="https://doi.org/10.1016/j.fuel.2014.11.078"/>
    <hyperlink ref="B55" r:id="rId9" display="http://www.besustainablemagazine.com/cms2/empyro-bv-breaks-ground-of-its-biomass-to-liquid-pyrolysis-plant/"/>
    <hyperlink ref="B56" r:id="rId10" display="https://www.energy.gov/sites/prod/files/2016/10/f33/Graham_0.pdf"/>
    <hyperlink ref="B57" r:id="rId11" display="https://www.btg-btl.com/en/applications/oilproperties"/>
    <hyperlink ref="B58" r:id="rId12" display="http://www.etc-cte.ec.gc.ca/databases/oilproperties/pdf/web_bunker_c_fuel_oil.pdf"/>
    <hyperlink ref="C3" location="INDEX" display="Fast Pyrolysis Bio Oi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L80"/>
  <sheetViews>
    <sheetView showGridLines="0" workbookViewId="0">
      <selection activeCell="I18" sqref="I18"/>
    </sheetView>
  </sheetViews>
  <sheetFormatPr defaultRowHeight="15" x14ac:dyDescent="0.25"/>
  <cols>
    <col min="1" max="1" width="2.140625" customWidth="1"/>
    <col min="2" max="2" width="39.85546875" customWidth="1"/>
    <col min="3" max="3" width="9" customWidth="1"/>
    <col min="4" max="4" width="9.140625" customWidth="1"/>
    <col min="5" max="5" width="8.28515625" customWidth="1"/>
    <col min="6" max="9" width="8.42578125" customWidth="1"/>
    <col min="10" max="10" width="8.140625" customWidth="1"/>
    <col min="11" max="11" width="6.42578125" customWidth="1"/>
    <col min="12" max="12" width="9.85546875" customWidth="1"/>
  </cols>
  <sheetData>
    <row r="2" spans="1:12" x14ac:dyDescent="0.25">
      <c r="A2" s="1"/>
      <c r="B2" s="10"/>
      <c r="C2" s="10"/>
      <c r="D2" s="10"/>
      <c r="E2" s="10"/>
      <c r="F2" s="10"/>
      <c r="G2" s="10"/>
      <c r="H2" s="10"/>
    </row>
    <row r="3" spans="1:12" ht="15" customHeight="1" x14ac:dyDescent="0.25">
      <c r="A3" s="1"/>
      <c r="B3" s="100" t="s">
        <v>20</v>
      </c>
      <c r="C3" s="608" t="s">
        <v>84</v>
      </c>
      <c r="D3" s="609"/>
      <c r="E3" s="609"/>
      <c r="F3" s="609"/>
      <c r="G3" s="609"/>
      <c r="H3" s="609"/>
      <c r="I3" s="609"/>
      <c r="J3" s="609"/>
      <c r="K3" s="609"/>
      <c r="L3" s="610"/>
    </row>
    <row r="4" spans="1:12" ht="27" customHeight="1" x14ac:dyDescent="0.25">
      <c r="A4" s="1"/>
      <c r="B4" s="101"/>
      <c r="C4" s="102">
        <v>2015</v>
      </c>
      <c r="D4" s="102">
        <v>2020</v>
      </c>
      <c r="E4" s="102">
        <v>2030</v>
      </c>
      <c r="F4" s="102">
        <v>2050</v>
      </c>
      <c r="G4" s="611" t="s">
        <v>25</v>
      </c>
      <c r="H4" s="612"/>
      <c r="I4" s="611" t="s">
        <v>24</v>
      </c>
      <c r="J4" s="612"/>
      <c r="K4" s="102" t="s">
        <v>19</v>
      </c>
      <c r="L4" s="102" t="s">
        <v>18</v>
      </c>
    </row>
    <row r="5" spans="1:12" x14ac:dyDescent="0.25">
      <c r="A5" s="1"/>
      <c r="B5" s="103" t="s">
        <v>15</v>
      </c>
      <c r="C5" s="104"/>
      <c r="D5" s="104"/>
      <c r="E5" s="104"/>
      <c r="F5" s="104"/>
      <c r="G5" s="104" t="s">
        <v>17</v>
      </c>
      <c r="H5" s="104" t="s">
        <v>16</v>
      </c>
      <c r="I5" s="104" t="s">
        <v>17</v>
      </c>
      <c r="J5" s="104" t="s">
        <v>16</v>
      </c>
      <c r="K5" s="104"/>
      <c r="L5" s="105"/>
    </row>
    <row r="6" spans="1:12" x14ac:dyDescent="0.25">
      <c r="A6" s="1"/>
      <c r="B6" s="106" t="s">
        <v>134</v>
      </c>
      <c r="G6" s="107"/>
      <c r="H6" s="107"/>
      <c r="I6" s="107"/>
      <c r="J6" s="107"/>
    </row>
    <row r="7" spans="1:12" x14ac:dyDescent="0.25">
      <c r="A7" s="1"/>
      <c r="B7" s="108" t="s">
        <v>85</v>
      </c>
      <c r="C7" s="109">
        <v>9.2417432910061201</v>
      </c>
      <c r="D7" s="109">
        <v>8.6829269484640879</v>
      </c>
      <c r="E7" s="109">
        <v>8.6829269484640879</v>
      </c>
      <c r="F7" s="109">
        <v>8.6829269484640879</v>
      </c>
      <c r="G7" s="109">
        <v>8.3175689619055078</v>
      </c>
      <c r="H7" s="109">
        <v>9.5512196433104979</v>
      </c>
      <c r="I7" s="109">
        <v>8.3175689619055078</v>
      </c>
      <c r="J7" s="109">
        <v>9.5512196433104979</v>
      </c>
      <c r="K7" s="110" t="s">
        <v>5</v>
      </c>
      <c r="L7" s="111"/>
    </row>
    <row r="8" spans="1:12" x14ac:dyDescent="0.25">
      <c r="A8" s="1"/>
      <c r="B8" s="112"/>
      <c r="C8" s="112"/>
      <c r="D8" s="112"/>
      <c r="E8" s="110"/>
      <c r="F8" s="110"/>
      <c r="G8" s="110"/>
      <c r="H8" s="110"/>
      <c r="I8" s="110"/>
      <c r="J8" s="110"/>
      <c r="K8" s="110"/>
      <c r="L8" s="110"/>
    </row>
    <row r="9" spans="1:12" x14ac:dyDescent="0.25">
      <c r="A9" s="1"/>
      <c r="B9" s="113" t="s">
        <v>86</v>
      </c>
      <c r="C9" s="110"/>
      <c r="D9" s="110"/>
      <c r="E9" s="110"/>
      <c r="F9" s="110"/>
      <c r="G9" s="110"/>
      <c r="H9" s="110"/>
      <c r="I9" s="110"/>
      <c r="J9" s="110"/>
      <c r="K9" s="110"/>
      <c r="L9" s="110"/>
    </row>
    <row r="10" spans="1:12" x14ac:dyDescent="0.25">
      <c r="A10" s="1"/>
      <c r="B10" s="114" t="s">
        <v>87</v>
      </c>
      <c r="C10" s="450">
        <v>365000</v>
      </c>
      <c r="D10" s="450">
        <v>365000</v>
      </c>
      <c r="E10" s="450">
        <v>365000</v>
      </c>
      <c r="F10" s="450">
        <v>365000</v>
      </c>
      <c r="G10" s="450">
        <v>365000</v>
      </c>
      <c r="H10" s="450">
        <v>365000</v>
      </c>
      <c r="I10" s="450">
        <v>365000</v>
      </c>
      <c r="J10" s="450">
        <v>365000</v>
      </c>
      <c r="K10" s="110" t="s">
        <v>88</v>
      </c>
      <c r="L10" s="111" t="s">
        <v>89</v>
      </c>
    </row>
    <row r="11" spans="1:12" x14ac:dyDescent="0.25">
      <c r="A11" s="1"/>
      <c r="B11" s="115" t="s">
        <v>90</v>
      </c>
      <c r="C11" s="109">
        <v>3.6969498399920031</v>
      </c>
      <c r="D11" s="109">
        <v>3.8195864970641451</v>
      </c>
      <c r="E11" s="109">
        <v>3.8195864970641451</v>
      </c>
      <c r="F11" s="109">
        <v>3.8195864970641451</v>
      </c>
      <c r="G11" s="109">
        <v>1.9194756290809074</v>
      </c>
      <c r="H11" s="109">
        <v>6.7181647017831763</v>
      </c>
      <c r="I11" s="109">
        <v>1.9194756290809074</v>
      </c>
      <c r="J11" s="109">
        <v>6.7181647017831763</v>
      </c>
      <c r="K11" s="116" t="s">
        <v>5</v>
      </c>
      <c r="L11" s="111" t="s">
        <v>89</v>
      </c>
    </row>
    <row r="12" spans="1:12" x14ac:dyDescent="0.25">
      <c r="A12" s="1"/>
      <c r="B12" s="448" t="s">
        <v>91</v>
      </c>
      <c r="C12" s="109">
        <v>8.1999027314237374</v>
      </c>
      <c r="D12" s="109">
        <v>7.9596457265634744</v>
      </c>
      <c r="E12" s="109">
        <v>7.9596457265634744</v>
      </c>
      <c r="F12" s="109">
        <v>7.9596457265634744</v>
      </c>
      <c r="G12" s="109">
        <f>G11*C12/C11</f>
        <v>4.257432244153974</v>
      </c>
      <c r="H12" s="109">
        <f t="shared" ref="H12:J12" si="0">H11*D12/D11</f>
        <v>14</v>
      </c>
      <c r="I12" s="109">
        <f t="shared" si="0"/>
        <v>4</v>
      </c>
      <c r="J12" s="109">
        <f t="shared" si="0"/>
        <v>14</v>
      </c>
      <c r="K12" s="116"/>
      <c r="L12" s="111"/>
    </row>
    <row r="13" spans="1:12" x14ac:dyDescent="0.25">
      <c r="A13" s="1"/>
      <c r="B13" s="112" t="s">
        <v>92</v>
      </c>
      <c r="C13" s="109">
        <v>8.3858637444973674</v>
      </c>
      <c r="D13" s="109">
        <v>8.9255616752262199</v>
      </c>
      <c r="E13" s="109">
        <v>8.9255616752262199</v>
      </c>
      <c r="F13" s="109">
        <v>8.9255616752262199</v>
      </c>
      <c r="G13" s="109">
        <v>7.1980336090534029</v>
      </c>
      <c r="H13" s="109">
        <v>11.996722681755671</v>
      </c>
      <c r="I13" s="109">
        <v>7.1980336090534029</v>
      </c>
      <c r="J13" s="109">
        <v>11.996722681755671</v>
      </c>
      <c r="K13" s="118" t="s">
        <v>5</v>
      </c>
      <c r="L13" s="111" t="s">
        <v>89</v>
      </c>
    </row>
    <row r="14" spans="1:12" x14ac:dyDescent="0.25">
      <c r="A14" s="1"/>
      <c r="B14" s="449" t="s">
        <v>93</v>
      </c>
      <c r="C14" s="109">
        <v>18.600000000000001</v>
      </c>
      <c r="D14" s="109">
        <v>18.600000000000001</v>
      </c>
      <c r="E14" s="109">
        <v>18.600000000000001</v>
      </c>
      <c r="F14" s="109">
        <v>18.600000000000001</v>
      </c>
      <c r="G14" s="109">
        <f t="shared" ref="G14:J14" si="1">G13*C14/C13</f>
        <v>15.965370915577404</v>
      </c>
      <c r="H14" s="109">
        <f t="shared" si="1"/>
        <v>25</v>
      </c>
      <c r="I14" s="109">
        <f t="shared" si="1"/>
        <v>15</v>
      </c>
      <c r="J14" s="109">
        <f t="shared" si="1"/>
        <v>25</v>
      </c>
      <c r="K14" s="118"/>
      <c r="L14" s="112"/>
    </row>
    <row r="15" spans="1:12" x14ac:dyDescent="0.25">
      <c r="A15" s="1"/>
      <c r="B15" s="114"/>
      <c r="C15" s="176"/>
      <c r="D15" s="176"/>
      <c r="E15" s="176"/>
      <c r="F15" s="176"/>
      <c r="G15" s="119"/>
      <c r="H15" s="119"/>
      <c r="I15" s="116"/>
      <c r="J15" s="116"/>
      <c r="K15" s="116"/>
      <c r="L15" s="116"/>
    </row>
    <row r="16" spans="1:12" x14ac:dyDescent="0.25">
      <c r="A16" s="1"/>
      <c r="B16" s="120" t="s">
        <v>94</v>
      </c>
      <c r="C16" s="451"/>
      <c r="D16" s="451"/>
      <c r="E16" s="452"/>
      <c r="F16" s="452"/>
      <c r="G16" s="116"/>
      <c r="H16" s="116"/>
      <c r="I16" s="116"/>
      <c r="J16" s="116"/>
      <c r="K16" s="116"/>
      <c r="L16" s="123"/>
    </row>
    <row r="17" spans="1:12" x14ac:dyDescent="0.25">
      <c r="A17" s="1"/>
      <c r="B17" s="124" t="s">
        <v>95</v>
      </c>
      <c r="C17" s="454">
        <v>100</v>
      </c>
      <c r="D17" s="454">
        <v>100</v>
      </c>
      <c r="E17" s="454">
        <v>100</v>
      </c>
      <c r="F17" s="455">
        <v>100</v>
      </c>
      <c r="G17" s="455">
        <v>95.792225493464429</v>
      </c>
      <c r="H17" s="455">
        <v>110.00000000000001</v>
      </c>
      <c r="I17" s="455">
        <v>95.792225493464429</v>
      </c>
      <c r="J17" s="454">
        <v>110.00000000000001</v>
      </c>
      <c r="K17" s="116" t="s">
        <v>0</v>
      </c>
      <c r="L17" s="126"/>
    </row>
    <row r="18" spans="1:12" x14ac:dyDescent="0.25">
      <c r="A18" s="1"/>
      <c r="B18" s="114" t="s">
        <v>96</v>
      </c>
      <c r="C18" s="127">
        <v>0.79848662034292872</v>
      </c>
      <c r="D18" s="127">
        <v>0.75020488834729715</v>
      </c>
      <c r="E18" s="127">
        <v>0.75020488834729715</v>
      </c>
      <c r="F18" s="127">
        <v>0.75020488834729715</v>
      </c>
      <c r="G18" s="127">
        <v>0.71863795830863586</v>
      </c>
      <c r="H18" s="127">
        <v>0.82522537718202693</v>
      </c>
      <c r="I18" s="127">
        <v>0.71863795830863586</v>
      </c>
      <c r="J18" s="127">
        <v>0.82522537718202693</v>
      </c>
      <c r="K18" s="116" t="s">
        <v>40</v>
      </c>
      <c r="L18" s="111" t="s">
        <v>97</v>
      </c>
    </row>
    <row r="19" spans="1:12" x14ac:dyDescent="0.25">
      <c r="A19" s="1"/>
      <c r="B19" s="114" t="s">
        <v>135</v>
      </c>
      <c r="C19" s="118"/>
      <c r="D19" s="118"/>
      <c r="E19" s="118"/>
      <c r="F19" s="118"/>
      <c r="G19" s="118"/>
      <c r="H19" s="118"/>
      <c r="I19" s="118"/>
      <c r="J19" s="118"/>
      <c r="K19" s="116" t="s">
        <v>98</v>
      </c>
      <c r="L19" s="123"/>
    </row>
    <row r="20" spans="1:12" x14ac:dyDescent="0.25">
      <c r="A20" s="1"/>
      <c r="B20" s="114"/>
      <c r="C20" s="118"/>
      <c r="D20" s="118"/>
      <c r="E20" s="118"/>
      <c r="F20" s="118"/>
      <c r="G20" s="118"/>
      <c r="H20" s="118"/>
      <c r="I20" s="118"/>
      <c r="J20" s="118"/>
      <c r="K20" s="116"/>
      <c r="L20" s="123"/>
    </row>
    <row r="21" spans="1:12" x14ac:dyDescent="0.25">
      <c r="A21" s="1"/>
      <c r="B21" s="114" t="s">
        <v>99</v>
      </c>
      <c r="C21" s="116">
        <v>0</v>
      </c>
      <c r="D21" s="116">
        <v>0</v>
      </c>
      <c r="E21" s="128">
        <v>0</v>
      </c>
      <c r="F21" s="129">
        <v>0</v>
      </c>
      <c r="G21" s="116"/>
      <c r="H21" s="116"/>
      <c r="I21" s="116"/>
      <c r="J21" s="116"/>
      <c r="K21" s="116"/>
      <c r="L21" s="123"/>
    </row>
    <row r="22" spans="1:12" x14ac:dyDescent="0.25">
      <c r="A22" s="1"/>
      <c r="B22" s="114" t="s">
        <v>100</v>
      </c>
      <c r="C22" s="116">
        <v>10</v>
      </c>
      <c r="D22" s="116">
        <v>10</v>
      </c>
      <c r="E22" s="128">
        <v>10</v>
      </c>
      <c r="F22" s="129">
        <v>10</v>
      </c>
      <c r="G22" s="116"/>
      <c r="H22" s="116"/>
      <c r="I22" s="116"/>
      <c r="J22" s="116"/>
      <c r="K22" s="116"/>
      <c r="L22" s="116"/>
    </row>
    <row r="23" spans="1:12" x14ac:dyDescent="0.25">
      <c r="A23" s="1"/>
      <c r="B23" s="108" t="s">
        <v>14</v>
      </c>
      <c r="C23" s="116">
        <v>20</v>
      </c>
      <c r="D23" s="116">
        <v>20</v>
      </c>
      <c r="E23" s="128">
        <v>20</v>
      </c>
      <c r="F23" s="129">
        <v>20</v>
      </c>
      <c r="G23" s="110"/>
      <c r="H23" s="110"/>
      <c r="I23" s="110"/>
      <c r="J23" s="110"/>
      <c r="K23" s="110"/>
      <c r="L23" s="110"/>
    </row>
    <row r="24" spans="1:12" x14ac:dyDescent="0.25">
      <c r="A24" s="1"/>
      <c r="B24" s="108" t="s">
        <v>12</v>
      </c>
      <c r="C24" s="116">
        <v>1</v>
      </c>
      <c r="D24" s="116">
        <v>1</v>
      </c>
      <c r="E24" s="128">
        <v>1</v>
      </c>
      <c r="F24" s="129">
        <v>1</v>
      </c>
      <c r="G24" s="110"/>
      <c r="H24" s="110"/>
      <c r="I24" s="110"/>
      <c r="J24" s="110"/>
      <c r="K24" s="110"/>
      <c r="L24" s="110"/>
    </row>
    <row r="25" spans="1:12" x14ac:dyDescent="0.25">
      <c r="A25" s="1"/>
      <c r="B25" s="108"/>
      <c r="C25" s="110"/>
      <c r="D25" s="110"/>
      <c r="E25" s="110"/>
      <c r="F25" s="110"/>
      <c r="G25" s="110"/>
      <c r="H25" s="110"/>
      <c r="I25" s="110"/>
      <c r="J25" s="110"/>
      <c r="K25" s="110"/>
      <c r="L25" s="110"/>
    </row>
    <row r="26" spans="1:12" x14ac:dyDescent="0.25">
      <c r="A26" s="1"/>
      <c r="B26" s="100" t="s">
        <v>9</v>
      </c>
      <c r="C26" s="403"/>
      <c r="D26" s="403"/>
      <c r="E26" s="403"/>
      <c r="F26" s="403"/>
      <c r="G26" s="403"/>
      <c r="H26" s="403"/>
      <c r="I26" s="403"/>
      <c r="J26" s="403"/>
      <c r="K26" s="130"/>
      <c r="L26" s="100"/>
    </row>
    <row r="27" spans="1:12" x14ac:dyDescent="0.25">
      <c r="A27" s="1"/>
      <c r="B27" s="108" t="s">
        <v>101</v>
      </c>
      <c r="C27" s="131">
        <v>1.8141415733691493</v>
      </c>
      <c r="D27" s="131">
        <v>1.7106920331911744</v>
      </c>
      <c r="E27" s="131">
        <v>1.5396228298720569</v>
      </c>
      <c r="F27" s="131">
        <v>1.3856605468848513</v>
      </c>
      <c r="G27" s="131">
        <v>1.5396228298720569</v>
      </c>
      <c r="H27" s="131">
        <v>1.9007689257679714</v>
      </c>
      <c r="I27" s="131">
        <v>1.2470944921963663</v>
      </c>
      <c r="J27" s="131">
        <v>1.5396228298720569</v>
      </c>
      <c r="K27" s="110" t="s">
        <v>102</v>
      </c>
      <c r="L27" s="132" t="s">
        <v>103</v>
      </c>
    </row>
    <row r="28" spans="1:12" x14ac:dyDescent="0.25">
      <c r="A28" s="1"/>
      <c r="B28" s="114" t="s">
        <v>8</v>
      </c>
      <c r="C28" s="133" t="s">
        <v>28</v>
      </c>
      <c r="D28" s="133" t="s">
        <v>28</v>
      </c>
      <c r="E28" s="110"/>
      <c r="F28" s="110"/>
      <c r="G28" s="110"/>
      <c r="H28" s="110"/>
      <c r="I28" s="110"/>
      <c r="J28" s="110"/>
      <c r="K28" s="110"/>
      <c r="L28" s="110"/>
    </row>
    <row r="29" spans="1:12" x14ac:dyDescent="0.25">
      <c r="A29" s="1"/>
      <c r="B29" s="108" t="s">
        <v>7</v>
      </c>
      <c r="C29" s="133" t="s">
        <v>28</v>
      </c>
      <c r="D29" s="133" t="s">
        <v>28</v>
      </c>
      <c r="E29" s="110"/>
      <c r="F29" s="110"/>
      <c r="G29" s="110"/>
      <c r="H29" s="110"/>
      <c r="I29" s="110"/>
      <c r="J29" s="110"/>
      <c r="K29" s="110"/>
      <c r="L29" s="110"/>
    </row>
    <row r="30" spans="1:12" x14ac:dyDescent="0.25">
      <c r="A30" s="1"/>
      <c r="B30" s="108" t="s">
        <v>104</v>
      </c>
      <c r="C30" s="134">
        <f>C31*$C$10/C7</f>
        <v>198785.17939696187</v>
      </c>
      <c r="D30" s="134">
        <f t="shared" ref="D30:J30" si="2">D31*$C$10/D7</f>
        <v>194715.0214064848</v>
      </c>
      <c r="E30" s="134">
        <f t="shared" si="2"/>
        <v>197702.43921954936</v>
      </c>
      <c r="F30" s="134">
        <f t="shared" si="2"/>
        <v>195722.30695110411</v>
      </c>
      <c r="G30" s="134">
        <f t="shared" si="2"/>
        <v>154397.58718954289</v>
      </c>
      <c r="H30" s="134">
        <f t="shared" si="2"/>
        <v>245575.03674852804</v>
      </c>
      <c r="I30" s="134">
        <f t="shared" si="2"/>
        <v>150000.99028005442</v>
      </c>
      <c r="J30" s="134">
        <f t="shared" si="2"/>
        <v>252438.88699442198</v>
      </c>
      <c r="K30" s="110"/>
      <c r="L30" s="110"/>
    </row>
    <row r="31" spans="1:12" x14ac:dyDescent="0.25">
      <c r="A31" s="1"/>
      <c r="B31" s="101" t="s">
        <v>105</v>
      </c>
      <c r="C31" s="135">
        <f>SUM(C32:C34)</f>
        <v>5.0332098576529329</v>
      </c>
      <c r="D31" s="135">
        <f t="shared" ref="D31:J31" si="3">SUM(D32:D34)</f>
        <v>4.6320446757291194</v>
      </c>
      <c r="E31" s="135">
        <f t="shared" si="3"/>
        <v>4.7031118829493384</v>
      </c>
      <c r="F31" s="135">
        <f t="shared" si="3"/>
        <v>4.6560068313460325</v>
      </c>
      <c r="G31" s="136">
        <f t="shared" si="3"/>
        <v>3.5183906273995653</v>
      </c>
      <c r="H31" s="136">
        <f t="shared" si="3"/>
        <v>6.4261400408198313</v>
      </c>
      <c r="I31" s="136">
        <f t="shared" si="3"/>
        <v>3.4182015918040287</v>
      </c>
      <c r="J31" s="136">
        <f t="shared" si="3"/>
        <v>6.6057513868398958</v>
      </c>
      <c r="K31" s="110" t="s">
        <v>106</v>
      </c>
      <c r="L31" s="137" t="s">
        <v>107</v>
      </c>
    </row>
    <row r="32" spans="1:12" ht="24" x14ac:dyDescent="0.25">
      <c r="A32" s="1"/>
      <c r="B32" s="138" t="s">
        <v>108</v>
      </c>
      <c r="C32" s="135">
        <v>4.1066159855732369</v>
      </c>
      <c r="D32" s="135">
        <v>3.6728291205962398</v>
      </c>
      <c r="E32" s="135">
        <v>3.4891876645664275</v>
      </c>
      <c r="F32" s="135">
        <v>3.3147282813381058</v>
      </c>
      <c r="G32" s="136">
        <v>2.8146278025529408</v>
      </c>
      <c r="H32" s="136">
        <v>5.0501400408198309</v>
      </c>
      <c r="I32" s="136">
        <v>2.5402015918040286</v>
      </c>
      <c r="J32" s="136">
        <v>4.5577513868398958</v>
      </c>
      <c r="K32" s="110" t="s">
        <v>106</v>
      </c>
      <c r="L32" s="137" t="s">
        <v>107</v>
      </c>
    </row>
    <row r="33" spans="1:12" x14ac:dyDescent="0.25">
      <c r="A33" s="1"/>
      <c r="B33" s="138" t="s">
        <v>109</v>
      </c>
      <c r="C33" s="135">
        <f>C12*0.063</f>
        <v>0.51659387207969543</v>
      </c>
      <c r="D33" s="135">
        <f>D12*0.069</f>
        <v>0.54921555513287978</v>
      </c>
      <c r="E33" s="135">
        <f>E12*0.101</f>
        <v>0.80392421838291095</v>
      </c>
      <c r="F33" s="135">
        <f>F12*0.117</f>
        <v>0.93127855000792659</v>
      </c>
      <c r="G33" s="135">
        <f>G12*0.069</f>
        <v>0.29376282484662425</v>
      </c>
      <c r="H33" s="135">
        <f>H12*0.069</f>
        <v>0.96600000000000008</v>
      </c>
      <c r="I33" s="135">
        <f>I12*0.117</f>
        <v>0.46800000000000003</v>
      </c>
      <c r="J33" s="135">
        <f>J12*0.117</f>
        <v>1.6380000000000001</v>
      </c>
      <c r="K33" s="110" t="s">
        <v>110</v>
      </c>
      <c r="L33" s="139"/>
    </row>
    <row r="34" spans="1:12" x14ac:dyDescent="0.25">
      <c r="A34" s="1"/>
      <c r="B34" s="138" t="s">
        <v>111</v>
      </c>
      <c r="C34" s="135">
        <v>0.41</v>
      </c>
      <c r="D34" s="135">
        <v>0.41</v>
      </c>
      <c r="E34" s="135">
        <v>0.41</v>
      </c>
      <c r="F34" s="135">
        <v>0.41</v>
      </c>
      <c r="G34" s="135">
        <v>0.41</v>
      </c>
      <c r="H34" s="135">
        <v>0.41</v>
      </c>
      <c r="I34" s="135">
        <v>0.41</v>
      </c>
      <c r="J34" s="135">
        <v>0.41</v>
      </c>
      <c r="K34" s="110"/>
      <c r="L34" s="139"/>
    </row>
    <row r="35" spans="1:12" x14ac:dyDescent="0.25">
      <c r="A35" s="1"/>
      <c r="B35" s="101"/>
      <c r="C35" s="134"/>
      <c r="D35" s="134"/>
      <c r="E35" s="134"/>
      <c r="F35" s="134"/>
      <c r="G35" s="134"/>
      <c r="H35" s="134"/>
      <c r="I35" s="134"/>
      <c r="J35" s="134"/>
      <c r="K35" s="110"/>
      <c r="L35" s="139"/>
    </row>
    <row r="36" spans="1:12" x14ac:dyDescent="0.25">
      <c r="A36" s="1"/>
      <c r="B36" s="140" t="s">
        <v>112</v>
      </c>
      <c r="C36" s="141"/>
      <c r="D36" s="141"/>
      <c r="E36" s="141"/>
      <c r="F36" s="141"/>
      <c r="G36" s="453"/>
      <c r="H36" s="453"/>
      <c r="I36" s="118"/>
      <c r="J36" s="118"/>
      <c r="K36" s="118"/>
      <c r="L36" s="143"/>
    </row>
    <row r="37" spans="1:12" x14ac:dyDescent="0.25">
      <c r="A37" s="1"/>
      <c r="B37" s="144" t="s">
        <v>113</v>
      </c>
      <c r="C37" s="135">
        <v>0.44</v>
      </c>
      <c r="D37" s="135">
        <v>0.42</v>
      </c>
      <c r="E37" s="135">
        <v>0.42</v>
      </c>
      <c r="F37" s="135">
        <v>0.42</v>
      </c>
      <c r="G37" s="145">
        <v>0.17</v>
      </c>
      <c r="H37" s="145">
        <v>0.88</v>
      </c>
      <c r="I37" s="145">
        <v>0.17</v>
      </c>
      <c r="J37" s="145">
        <v>0.88</v>
      </c>
      <c r="K37" s="118" t="s">
        <v>98</v>
      </c>
      <c r="L37" s="143" t="s">
        <v>114</v>
      </c>
    </row>
    <row r="38" spans="1:12" hidden="1" x14ac:dyDescent="0.25">
      <c r="A38" s="1"/>
      <c r="B38" s="161"/>
      <c r="C38" s="162"/>
      <c r="D38" s="162"/>
      <c r="E38" s="163"/>
      <c r="F38" s="163"/>
      <c r="G38" s="110"/>
      <c r="H38" s="110"/>
      <c r="I38" s="110"/>
      <c r="J38" s="110"/>
      <c r="K38" s="110"/>
      <c r="L38" s="143"/>
    </row>
    <row r="39" spans="1:12" hidden="1" x14ac:dyDescent="0.25">
      <c r="A39" s="1"/>
      <c r="B39" s="161"/>
      <c r="C39" s="162"/>
      <c r="D39" s="162"/>
      <c r="E39" s="162"/>
      <c r="F39" s="162"/>
      <c r="G39" s="145"/>
      <c r="H39" s="145"/>
      <c r="I39" s="112"/>
      <c r="J39" s="112"/>
      <c r="K39" s="118"/>
      <c r="L39" s="143"/>
    </row>
    <row r="40" spans="1:12" ht="39" hidden="1" customHeight="1" x14ac:dyDescent="0.25">
      <c r="A40" s="1"/>
      <c r="B40" s="164"/>
      <c r="C40" s="162"/>
      <c r="D40" s="162"/>
      <c r="E40" s="162"/>
      <c r="F40" s="162"/>
      <c r="G40" s="142"/>
      <c r="H40" s="142"/>
      <c r="I40" s="112"/>
      <c r="J40" s="112"/>
      <c r="K40" s="118"/>
      <c r="L40" s="143"/>
    </row>
    <row r="41" spans="1:12" ht="15" hidden="1" customHeight="1" x14ac:dyDescent="0.25">
      <c r="A41" s="1"/>
      <c r="B41" s="161"/>
      <c r="C41" s="162"/>
      <c r="D41" s="162"/>
      <c r="E41" s="162"/>
      <c r="F41" s="162"/>
      <c r="G41" s="145"/>
      <c r="H41" s="145"/>
      <c r="I41" s="145"/>
      <c r="J41" s="145"/>
      <c r="K41" s="118"/>
      <c r="L41" s="143"/>
    </row>
    <row r="42" spans="1:12" ht="15" hidden="1" customHeight="1" x14ac:dyDescent="0.25">
      <c r="A42" s="1"/>
      <c r="B42" s="144"/>
      <c r="C42" s="110"/>
      <c r="D42" s="104"/>
      <c r="E42" s="104"/>
      <c r="F42" s="104"/>
      <c r="G42" s="104"/>
      <c r="H42" s="104"/>
      <c r="I42" s="165"/>
      <c r="J42" s="165"/>
      <c r="K42" s="104"/>
      <c r="L42" s="166"/>
    </row>
    <row r="43" spans="1:12" ht="25.5" hidden="1" customHeight="1" x14ac:dyDescent="0.25">
      <c r="A43" s="1"/>
      <c r="B43" s="144"/>
      <c r="C43" s="110"/>
      <c r="D43" s="110"/>
      <c r="E43" s="110"/>
      <c r="F43" s="110"/>
      <c r="G43" s="110"/>
      <c r="H43" s="110"/>
      <c r="I43" s="167"/>
      <c r="J43" s="167"/>
      <c r="K43" s="110"/>
      <c r="L43" s="166"/>
    </row>
    <row r="44" spans="1:12" hidden="1" x14ac:dyDescent="0.25">
      <c r="A44" s="1"/>
      <c r="B44" s="144"/>
      <c r="C44" s="110"/>
      <c r="D44" s="110"/>
      <c r="E44" s="110"/>
      <c r="F44" s="110"/>
      <c r="G44" s="110"/>
      <c r="H44" s="110"/>
      <c r="I44" s="167"/>
      <c r="J44" s="167"/>
      <c r="K44" s="167"/>
      <c r="L44" s="110"/>
    </row>
    <row r="45" spans="1:12" hidden="1" x14ac:dyDescent="0.25">
      <c r="A45" s="1"/>
      <c r="B45" s="144"/>
      <c r="C45" s="110"/>
      <c r="D45" s="110"/>
      <c r="E45" s="110"/>
      <c r="F45" s="110"/>
      <c r="G45" s="110"/>
      <c r="H45" s="110"/>
      <c r="I45" s="168"/>
      <c r="J45" s="168"/>
      <c r="K45" s="167"/>
      <c r="L45" s="110"/>
    </row>
    <row r="46" spans="1:12" hidden="1" x14ac:dyDescent="0.25">
      <c r="A46" s="1"/>
      <c r="B46" s="144"/>
      <c r="C46" s="110"/>
      <c r="D46" s="110"/>
      <c r="E46" s="110"/>
      <c r="F46" s="110"/>
      <c r="G46" s="110"/>
      <c r="H46" s="110"/>
      <c r="I46" s="169"/>
      <c r="J46" s="169"/>
      <c r="K46" s="167"/>
      <c r="L46" s="110"/>
    </row>
    <row r="47" spans="1:12" hidden="1" x14ac:dyDescent="0.25">
      <c r="A47" s="1"/>
    </row>
    <row r="48" spans="1:12" hidden="1" x14ac:dyDescent="0.25">
      <c r="A48" s="6"/>
      <c r="B48" s="98"/>
      <c r="C48" s="98"/>
      <c r="D48" s="98"/>
      <c r="E48" s="98"/>
      <c r="F48" s="98"/>
      <c r="G48" s="98"/>
      <c r="H48" s="98"/>
    </row>
    <row r="49" spans="1:12" hidden="1" x14ac:dyDescent="0.25">
      <c r="A49" s="146"/>
      <c r="B49" s="606"/>
      <c r="C49" s="606"/>
      <c r="D49" s="606"/>
      <c r="E49" s="606"/>
      <c r="F49" s="606"/>
      <c r="G49" s="606"/>
      <c r="H49" s="606"/>
      <c r="I49" s="606"/>
      <c r="J49" s="606"/>
      <c r="K49" s="606"/>
      <c r="L49" s="606"/>
    </row>
    <row r="50" spans="1:12" hidden="1" x14ac:dyDescent="0.25">
      <c r="A50" s="146"/>
      <c r="B50" s="607"/>
      <c r="C50" s="607"/>
      <c r="D50" s="607"/>
      <c r="E50" s="607"/>
      <c r="F50" s="607"/>
      <c r="G50" s="607"/>
      <c r="H50" s="607"/>
      <c r="I50" s="10"/>
      <c r="J50" s="10"/>
      <c r="K50" s="10"/>
      <c r="L50" s="10"/>
    </row>
    <row r="51" spans="1:12" hidden="1" x14ac:dyDescent="0.25">
      <c r="A51" s="146"/>
      <c r="B51" s="607"/>
      <c r="C51" s="607"/>
      <c r="D51" s="607"/>
      <c r="E51" s="607"/>
      <c r="F51" s="607"/>
      <c r="G51" s="607"/>
      <c r="H51" s="607"/>
      <c r="I51" s="10"/>
      <c r="J51" s="10"/>
      <c r="K51" s="10"/>
      <c r="L51" s="10"/>
    </row>
    <row r="52" spans="1:12" hidden="1" x14ac:dyDescent="0.25">
      <c r="A52" s="170"/>
      <c r="B52" s="607"/>
      <c r="C52" s="607"/>
      <c r="D52" s="607"/>
      <c r="E52" s="607"/>
      <c r="F52" s="607"/>
      <c r="G52" s="607"/>
      <c r="H52" s="607"/>
      <c r="I52" s="604"/>
      <c r="J52" s="604"/>
      <c r="K52" s="604"/>
      <c r="L52" s="604"/>
    </row>
    <row r="53" spans="1:12" hidden="1" x14ac:dyDescent="0.25">
      <c r="A53" s="146"/>
      <c r="B53" s="607"/>
      <c r="C53" s="607"/>
      <c r="D53" s="607"/>
      <c r="E53" s="607"/>
      <c r="F53" s="607"/>
      <c r="G53" s="607"/>
      <c r="H53" s="607"/>
      <c r="I53" s="604"/>
      <c r="J53" s="604"/>
      <c r="K53" s="604"/>
      <c r="L53" s="604"/>
    </row>
    <row r="54" spans="1:12" x14ac:dyDescent="0.25">
      <c r="A54" s="146"/>
      <c r="B54" s="99"/>
      <c r="C54" s="99"/>
      <c r="D54" s="99"/>
      <c r="E54" s="99"/>
      <c r="F54" s="99"/>
      <c r="G54" s="99"/>
      <c r="H54" s="99"/>
      <c r="I54" s="10"/>
      <c r="J54" s="10"/>
      <c r="K54" s="10"/>
      <c r="L54" s="10"/>
    </row>
    <row r="55" spans="1:12" x14ac:dyDescent="0.25">
      <c r="A55" s="147" t="s">
        <v>6</v>
      </c>
      <c r="B55" s="148"/>
      <c r="C55" s="148"/>
      <c r="D55" s="148"/>
      <c r="E55" s="148"/>
      <c r="F55" s="148"/>
      <c r="G55" s="148"/>
      <c r="H55" s="148"/>
      <c r="I55" s="10"/>
      <c r="J55" s="10"/>
      <c r="K55" s="10"/>
      <c r="L55" s="10"/>
    </row>
    <row r="56" spans="1:12" ht="37.5" customHeight="1" x14ac:dyDescent="0.25">
      <c r="A56" s="149" t="s">
        <v>5</v>
      </c>
      <c r="B56" s="613"/>
      <c r="C56" s="613"/>
      <c r="D56" s="613"/>
      <c r="E56" s="613"/>
      <c r="F56" s="613"/>
      <c r="G56" s="613"/>
      <c r="H56" s="613"/>
      <c r="I56" s="613"/>
      <c r="J56" s="613"/>
      <c r="K56" s="613"/>
      <c r="L56" s="613"/>
    </row>
    <row r="57" spans="1:12" x14ac:dyDescent="0.25">
      <c r="A57" s="149" t="s">
        <v>4</v>
      </c>
      <c r="B57" s="605"/>
      <c r="C57" s="605"/>
      <c r="D57" s="605"/>
      <c r="E57" s="605"/>
      <c r="F57" s="605"/>
      <c r="G57" s="605"/>
      <c r="H57" s="605"/>
      <c r="I57" s="10"/>
      <c r="J57" s="10"/>
      <c r="K57" s="10"/>
      <c r="L57" s="10"/>
    </row>
    <row r="58" spans="1:12" x14ac:dyDescent="0.25">
      <c r="A58" s="149" t="s">
        <v>3</v>
      </c>
      <c r="B58" s="604"/>
      <c r="C58" s="604"/>
      <c r="D58" s="604"/>
      <c r="E58" s="604"/>
      <c r="F58" s="604"/>
      <c r="G58" s="604"/>
      <c r="H58" s="604"/>
      <c r="I58" s="604"/>
      <c r="J58" s="604"/>
      <c r="K58" s="604"/>
      <c r="L58" s="604"/>
    </row>
    <row r="59" spans="1:12" ht="41.25" customHeight="1" x14ac:dyDescent="0.25">
      <c r="A59" s="149" t="s">
        <v>2</v>
      </c>
      <c r="B59" s="605"/>
      <c r="C59" s="605"/>
      <c r="D59" s="605"/>
      <c r="E59" s="605"/>
      <c r="F59" s="605"/>
      <c r="G59" s="605"/>
      <c r="H59" s="605"/>
      <c r="I59" s="10"/>
      <c r="J59" s="10"/>
      <c r="K59" s="10"/>
      <c r="L59" s="10"/>
    </row>
    <row r="60" spans="1:12" ht="75" x14ac:dyDescent="0.25">
      <c r="A60" s="1"/>
      <c r="B60" s="112" t="s">
        <v>115</v>
      </c>
      <c r="C60" s="150" t="s">
        <v>116</v>
      </c>
      <c r="D60" s="150" t="s">
        <v>117</v>
      </c>
      <c r="E60" s="151" t="s">
        <v>118</v>
      </c>
      <c r="G60" s="10"/>
      <c r="H60" s="10"/>
      <c r="I60" s="10"/>
      <c r="J60" s="10"/>
    </row>
    <row r="61" spans="1:12" x14ac:dyDescent="0.25">
      <c r="A61" s="1"/>
      <c r="B61" s="112" t="s">
        <v>119</v>
      </c>
      <c r="C61" s="152">
        <v>0.79800000000000004</v>
      </c>
      <c r="D61" s="152">
        <v>0.83789139679172331</v>
      </c>
      <c r="E61" s="153">
        <v>3.3557046979865772</v>
      </c>
      <c r="G61" s="10"/>
      <c r="H61" s="10"/>
      <c r="I61" s="10"/>
      <c r="J61" s="10"/>
    </row>
    <row r="62" spans="1:12" x14ac:dyDescent="0.25">
      <c r="A62" s="1"/>
      <c r="B62" s="112" t="s">
        <v>120</v>
      </c>
      <c r="C62" s="152">
        <v>0.08</v>
      </c>
      <c r="D62" s="152">
        <v>8.4638327610316366E-2</v>
      </c>
      <c r="E62" s="153">
        <v>6.7114093959731544</v>
      </c>
      <c r="G62" s="10"/>
      <c r="H62" s="10"/>
      <c r="I62" s="10"/>
      <c r="J62" s="10"/>
    </row>
    <row r="63" spans="1:12" x14ac:dyDescent="0.25">
      <c r="A63" s="1"/>
      <c r="B63" s="112" t="s">
        <v>121</v>
      </c>
      <c r="C63" s="152">
        <v>6.0999999999999999E-2</v>
      </c>
      <c r="D63" s="152">
        <v>2.4390632528287944E-3</v>
      </c>
      <c r="E63" s="153">
        <v>6.7114093959731544</v>
      </c>
      <c r="G63" s="10"/>
      <c r="H63" s="10"/>
      <c r="I63" s="10"/>
      <c r="J63" s="10"/>
    </row>
    <row r="64" spans="1:12" x14ac:dyDescent="0.25">
      <c r="A64" s="1"/>
      <c r="B64" s="112" t="s">
        <v>122</v>
      </c>
      <c r="C64" s="152">
        <v>0</v>
      </c>
      <c r="D64" s="152">
        <v>0</v>
      </c>
      <c r="E64" s="154">
        <v>67.382550335570471</v>
      </c>
      <c r="G64" s="10"/>
      <c r="H64" s="10"/>
      <c r="I64" s="10"/>
      <c r="J64" s="10"/>
    </row>
    <row r="65" spans="1:12" x14ac:dyDescent="0.25">
      <c r="A65" s="1"/>
      <c r="B65" s="112" t="s">
        <v>123</v>
      </c>
      <c r="C65" s="152">
        <v>0.01</v>
      </c>
      <c r="D65" s="152">
        <v>1.2008799662457062E-2</v>
      </c>
      <c r="E65" s="154">
        <v>40.268456375838923</v>
      </c>
      <c r="G65" s="10"/>
      <c r="H65" s="10"/>
      <c r="I65" s="10"/>
      <c r="J65" s="10"/>
    </row>
    <row r="66" spans="1:12" x14ac:dyDescent="0.25">
      <c r="A66" s="4"/>
      <c r="B66" s="112" t="s">
        <v>124</v>
      </c>
      <c r="C66" s="152">
        <v>1.6E-2</v>
      </c>
      <c r="D66" s="152">
        <v>1.2462465427483218E-2</v>
      </c>
      <c r="E66" s="154">
        <v>18.859060402684563</v>
      </c>
      <c r="G66" s="10"/>
      <c r="H66" s="10"/>
      <c r="I66" s="10"/>
      <c r="J66" s="10"/>
    </row>
    <row r="67" spans="1:12" x14ac:dyDescent="0.25">
      <c r="A67" s="4"/>
      <c r="B67" s="112" t="s">
        <v>125</v>
      </c>
      <c r="C67" s="152">
        <v>0</v>
      </c>
      <c r="D67" s="155">
        <v>0</v>
      </c>
      <c r="E67" s="154">
        <v>34.899328859060404</v>
      </c>
      <c r="G67" s="10"/>
      <c r="H67" s="10"/>
      <c r="I67" s="10"/>
      <c r="J67" s="10"/>
    </row>
    <row r="68" spans="1:12" x14ac:dyDescent="0.25">
      <c r="A68" s="4"/>
      <c r="B68" s="112" t="s">
        <v>126</v>
      </c>
      <c r="C68" s="152">
        <v>3.5000000000000003E-2</v>
      </c>
      <c r="D68" s="152">
        <v>5.0559947255191202E-2</v>
      </c>
      <c r="E68" s="154">
        <v>27.919463087248321</v>
      </c>
      <c r="G68" s="10"/>
      <c r="H68" s="10"/>
      <c r="I68" s="10"/>
      <c r="J68" s="10"/>
    </row>
    <row r="69" spans="1:12" x14ac:dyDescent="0.25">
      <c r="A69" s="1"/>
    </row>
    <row r="70" spans="1:12" x14ac:dyDescent="0.25">
      <c r="A70" s="149" t="s">
        <v>0</v>
      </c>
      <c r="B70" s="605"/>
      <c r="C70" s="605"/>
      <c r="D70" s="605"/>
      <c r="E70" s="605"/>
      <c r="F70" s="605"/>
      <c r="G70" s="605"/>
      <c r="H70" s="605"/>
      <c r="I70" s="605"/>
      <c r="J70" s="605"/>
      <c r="K70" s="605"/>
      <c r="L70" s="605"/>
    </row>
    <row r="71" spans="1:12" x14ac:dyDescent="0.25">
      <c r="A71" s="149" t="s">
        <v>40</v>
      </c>
      <c r="B71" s="605"/>
      <c r="C71" s="605"/>
      <c r="D71" s="605"/>
      <c r="E71" s="605"/>
      <c r="F71" s="605"/>
      <c r="G71" s="605"/>
      <c r="H71" s="605"/>
      <c r="I71" s="605"/>
      <c r="J71" s="605"/>
      <c r="K71" s="605"/>
      <c r="L71" s="605"/>
    </row>
    <row r="72" spans="1:12" x14ac:dyDescent="0.25">
      <c r="A72" s="149" t="s">
        <v>41</v>
      </c>
      <c r="B72" s="605"/>
      <c r="C72" s="605"/>
      <c r="D72" s="605"/>
      <c r="E72" s="605"/>
      <c r="F72" s="605"/>
      <c r="G72" s="605"/>
      <c r="H72" s="605"/>
      <c r="I72" s="605"/>
      <c r="J72" s="605"/>
      <c r="K72" s="156"/>
      <c r="L72" s="156"/>
    </row>
    <row r="73" spans="1:12" x14ac:dyDescent="0.25">
      <c r="A73" s="149" t="s">
        <v>127</v>
      </c>
      <c r="B73" s="605"/>
      <c r="C73" s="605"/>
      <c r="D73" s="605"/>
      <c r="E73" s="605"/>
      <c r="F73" s="605"/>
      <c r="G73" s="605"/>
      <c r="H73" s="605"/>
      <c r="I73" s="605"/>
      <c r="J73" s="605"/>
      <c r="K73" s="156"/>
      <c r="L73" s="156"/>
    </row>
    <row r="74" spans="1:12" x14ac:dyDescent="0.25">
      <c r="A74" s="157" t="s">
        <v>98</v>
      </c>
      <c r="B74" s="614"/>
      <c r="C74" s="614"/>
      <c r="D74" s="614"/>
      <c r="E74" s="614"/>
      <c r="F74" s="614"/>
      <c r="G74" s="614"/>
      <c r="H74" s="614"/>
      <c r="I74" s="614"/>
      <c r="J74" s="614"/>
      <c r="K74" s="158"/>
      <c r="L74" s="158"/>
    </row>
    <row r="75" spans="1:12" ht="34.5" customHeight="1" x14ac:dyDescent="0.25">
      <c r="A75" s="159" t="s">
        <v>110</v>
      </c>
      <c r="B75" s="615"/>
      <c r="C75" s="615"/>
      <c r="D75" s="615"/>
      <c r="E75" s="615"/>
      <c r="F75" s="615"/>
      <c r="G75" s="615"/>
      <c r="H75" s="615"/>
      <c r="I75" s="615"/>
      <c r="J75" s="615"/>
      <c r="K75" s="158"/>
      <c r="L75" s="158"/>
    </row>
    <row r="76" spans="1:12" x14ac:dyDescent="0.25">
      <c r="A76" s="147" t="s">
        <v>27</v>
      </c>
      <c r="B76" s="160"/>
      <c r="C76" s="160"/>
      <c r="D76" s="160"/>
      <c r="E76" s="160"/>
      <c r="F76" s="160"/>
      <c r="G76" s="160"/>
      <c r="H76" s="160"/>
      <c r="I76" s="160"/>
      <c r="J76" s="160"/>
      <c r="K76" s="158"/>
      <c r="L76" s="158"/>
    </row>
    <row r="77" spans="1:12" x14ac:dyDescent="0.25">
      <c r="A77" s="1">
        <v>5</v>
      </c>
      <c r="B77" s="616" t="s">
        <v>130</v>
      </c>
      <c r="C77" s="616"/>
      <c r="D77" s="616"/>
      <c r="E77" s="616"/>
      <c r="F77" s="616"/>
      <c r="G77" s="616"/>
      <c r="H77" s="616"/>
      <c r="I77" s="616"/>
      <c r="J77" s="616"/>
    </row>
    <row r="78" spans="1:12" x14ac:dyDescent="0.25">
      <c r="A78" s="1">
        <v>8</v>
      </c>
      <c r="B78" s="616" t="s">
        <v>131</v>
      </c>
      <c r="C78" s="616"/>
      <c r="D78" s="616"/>
      <c r="E78" s="616"/>
      <c r="F78" s="616"/>
      <c r="G78" s="616"/>
      <c r="H78" s="616"/>
    </row>
    <row r="79" spans="1:12" x14ac:dyDescent="0.25">
      <c r="A79" s="1">
        <v>9</v>
      </c>
      <c r="B79" s="616" t="s">
        <v>132</v>
      </c>
      <c r="C79" s="616"/>
      <c r="D79" s="616"/>
      <c r="E79" s="616"/>
      <c r="F79" s="616"/>
      <c r="G79" s="616"/>
      <c r="H79" s="616"/>
      <c r="I79" s="616"/>
      <c r="J79" s="616"/>
    </row>
    <row r="80" spans="1:12" x14ac:dyDescent="0.25">
      <c r="A80" s="1">
        <v>12</v>
      </c>
      <c r="B80" s="616" t="s">
        <v>133</v>
      </c>
      <c r="C80" s="616"/>
      <c r="D80" s="616"/>
      <c r="E80" s="616"/>
      <c r="F80" s="616"/>
      <c r="G80" s="616"/>
      <c r="H80" s="616"/>
      <c r="I80" s="616"/>
      <c r="J80" s="616"/>
    </row>
  </sheetData>
  <mergeCells count="22">
    <mergeCell ref="B75:J75"/>
    <mergeCell ref="B77:J77"/>
    <mergeCell ref="B78:H78"/>
    <mergeCell ref="B79:J79"/>
    <mergeCell ref="B80:J80"/>
    <mergeCell ref="B70:L70"/>
    <mergeCell ref="B71:L71"/>
    <mergeCell ref="B72:J72"/>
    <mergeCell ref="B73:J73"/>
    <mergeCell ref="B74:J74"/>
    <mergeCell ref="B58:L58"/>
    <mergeCell ref="B59:H59"/>
    <mergeCell ref="B49:L49"/>
    <mergeCell ref="B50:H50"/>
    <mergeCell ref="C3:L3"/>
    <mergeCell ref="G4:H4"/>
    <mergeCell ref="I4:J4"/>
    <mergeCell ref="B51:H51"/>
    <mergeCell ref="B52:L52"/>
    <mergeCell ref="B53:L53"/>
    <mergeCell ref="B56:L56"/>
    <mergeCell ref="B57:H57"/>
  </mergeCells>
  <hyperlinks>
    <hyperlink ref="C3" location="INDEX" display="Biogas plant, basic configuratio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2:M62"/>
  <sheetViews>
    <sheetView showGridLines="0" workbookViewId="0">
      <selection activeCell="D18" sqref="D18"/>
    </sheetView>
  </sheetViews>
  <sheetFormatPr defaultRowHeight="15" x14ac:dyDescent="0.25"/>
  <cols>
    <col min="1" max="1" width="2.140625" customWidth="1"/>
    <col min="2" max="2" width="39.85546875" customWidth="1"/>
    <col min="3" max="12" width="7.42578125" customWidth="1"/>
  </cols>
  <sheetData>
    <row r="2" spans="2:13" x14ac:dyDescent="0.25">
      <c r="H2" s="255"/>
    </row>
    <row r="3" spans="2:13" ht="15" customHeight="1" x14ac:dyDescent="0.25">
      <c r="B3" s="292" t="s">
        <v>20</v>
      </c>
      <c r="C3" s="654" t="s">
        <v>425</v>
      </c>
      <c r="D3" s="661"/>
      <c r="E3" s="661"/>
      <c r="F3" s="661"/>
      <c r="G3" s="661"/>
      <c r="H3" s="661"/>
      <c r="I3" s="661"/>
      <c r="J3" s="661"/>
      <c r="K3" s="661"/>
      <c r="L3" s="661"/>
      <c r="M3" s="661"/>
    </row>
    <row r="4" spans="2:13" ht="15" customHeight="1" x14ac:dyDescent="0.25">
      <c r="B4" s="305"/>
      <c r="C4" s="305">
        <v>2015</v>
      </c>
      <c r="D4" s="305">
        <v>2020</v>
      </c>
      <c r="E4" s="305">
        <v>2030</v>
      </c>
      <c r="F4" s="305">
        <v>2040</v>
      </c>
      <c r="G4" s="305">
        <v>2050</v>
      </c>
      <c r="H4" s="662" t="s">
        <v>25</v>
      </c>
      <c r="I4" s="662"/>
      <c r="J4" s="662" t="s">
        <v>24</v>
      </c>
      <c r="K4" s="662"/>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426</v>
      </c>
      <c r="C7" s="301">
        <v>60</v>
      </c>
      <c r="D7" s="301">
        <v>60</v>
      </c>
      <c r="E7" s="301">
        <v>150</v>
      </c>
      <c r="F7" s="301">
        <v>175</v>
      </c>
      <c r="G7" s="301">
        <v>200</v>
      </c>
      <c r="H7" s="302">
        <v>0.5</v>
      </c>
      <c r="I7" s="302">
        <v>1.5</v>
      </c>
      <c r="J7" s="302">
        <v>0.5</v>
      </c>
      <c r="K7" s="302">
        <v>1.5</v>
      </c>
      <c r="L7" s="303" t="s">
        <v>299</v>
      </c>
      <c r="M7" s="303">
        <v>9</v>
      </c>
    </row>
    <row r="8" spans="2:13" x14ac:dyDescent="0.25">
      <c r="B8" s="318" t="s">
        <v>427</v>
      </c>
      <c r="C8" s="318">
        <v>55</v>
      </c>
      <c r="D8" s="318">
        <v>55</v>
      </c>
      <c r="E8" s="318">
        <v>130</v>
      </c>
      <c r="F8" s="318">
        <v>155</v>
      </c>
      <c r="G8" s="318">
        <v>180</v>
      </c>
      <c r="H8" s="333">
        <v>0.5</v>
      </c>
      <c r="I8" s="333">
        <v>1.5</v>
      </c>
      <c r="J8" s="333">
        <v>0.5</v>
      </c>
      <c r="K8" s="333">
        <v>1.5</v>
      </c>
      <c r="L8" s="319" t="s">
        <v>301</v>
      </c>
      <c r="M8" s="319">
        <v>9</v>
      </c>
    </row>
    <row r="9" spans="2:13" x14ac:dyDescent="0.25">
      <c r="B9" s="320" t="s">
        <v>255</v>
      </c>
      <c r="C9" s="297"/>
      <c r="D9" s="297"/>
      <c r="E9" s="297"/>
      <c r="F9" s="297"/>
      <c r="G9" s="297"/>
      <c r="H9" s="297"/>
      <c r="I9" s="297"/>
      <c r="J9" s="297"/>
      <c r="K9" s="297"/>
      <c r="L9" s="298"/>
      <c r="M9" s="299"/>
    </row>
    <row r="10" spans="2:13" x14ac:dyDescent="0.25">
      <c r="B10" s="334" t="s">
        <v>364</v>
      </c>
      <c r="C10" s="335">
        <v>1</v>
      </c>
      <c r="D10" s="335">
        <v>1</v>
      </c>
      <c r="E10" s="335">
        <v>1</v>
      </c>
      <c r="F10" s="335">
        <v>1</v>
      </c>
      <c r="G10" s="335">
        <v>1</v>
      </c>
      <c r="H10" s="336">
        <v>0.9</v>
      </c>
      <c r="I10" s="336">
        <v>1.5</v>
      </c>
      <c r="J10" s="336">
        <v>0.9</v>
      </c>
      <c r="K10" s="336">
        <v>1.5</v>
      </c>
      <c r="L10" s="337" t="s">
        <v>3</v>
      </c>
      <c r="M10" s="337">
        <v>1</v>
      </c>
    </row>
    <row r="11" spans="2:13" x14ac:dyDescent="0.25">
      <c r="B11" s="320" t="s">
        <v>241</v>
      </c>
      <c r="C11" s="297"/>
      <c r="D11" s="297"/>
      <c r="E11" s="297"/>
      <c r="F11" s="297"/>
      <c r="G11" s="297"/>
      <c r="H11" s="324"/>
      <c r="I11" s="324"/>
      <c r="J11" s="324"/>
      <c r="K11" s="324"/>
      <c r="L11" s="298"/>
      <c r="M11" s="299"/>
    </row>
    <row r="12" spans="2:13" x14ac:dyDescent="0.25">
      <c r="B12" s="338" t="s">
        <v>428</v>
      </c>
      <c r="C12" s="338">
        <v>0.28999999999999998</v>
      </c>
      <c r="D12" s="338">
        <v>0.28999999999999998</v>
      </c>
      <c r="E12" s="338">
        <v>0.37</v>
      </c>
      <c r="F12" s="338">
        <v>0.39</v>
      </c>
      <c r="G12" s="339">
        <v>0.4</v>
      </c>
      <c r="H12" s="340">
        <v>0.8</v>
      </c>
      <c r="I12" s="340">
        <v>1.2</v>
      </c>
      <c r="J12" s="340">
        <v>0.8</v>
      </c>
      <c r="K12" s="340">
        <v>1.2</v>
      </c>
      <c r="L12" s="341" t="s">
        <v>3</v>
      </c>
      <c r="M12" s="341">
        <v>1</v>
      </c>
    </row>
    <row r="13" spans="2:13" x14ac:dyDescent="0.25">
      <c r="B13" s="342" t="s">
        <v>614</v>
      </c>
      <c r="C13" s="342">
        <v>0.04</v>
      </c>
      <c r="D13" s="342">
        <v>0.04</v>
      </c>
      <c r="E13" s="342">
        <v>0.05</v>
      </c>
      <c r="F13" s="342">
        <v>0.05</v>
      </c>
      <c r="G13" s="342">
        <v>0.06</v>
      </c>
      <c r="H13" s="343">
        <v>0.8</v>
      </c>
      <c r="I13" s="343">
        <v>1.2</v>
      </c>
      <c r="J13" s="343">
        <v>0.8</v>
      </c>
      <c r="K13" s="343">
        <v>1.2</v>
      </c>
      <c r="L13" s="344" t="s">
        <v>3</v>
      </c>
      <c r="M13" s="344">
        <v>1</v>
      </c>
    </row>
    <row r="14" spans="2:13" x14ac:dyDescent="0.25">
      <c r="B14" s="326"/>
      <c r="C14" s="297"/>
      <c r="D14" s="297"/>
      <c r="E14" s="297"/>
      <c r="F14" s="297"/>
      <c r="G14" s="297"/>
      <c r="H14" s="297"/>
      <c r="I14" s="297"/>
      <c r="J14" s="297"/>
      <c r="K14" s="297"/>
      <c r="L14" s="298"/>
      <c r="M14" s="299"/>
    </row>
    <row r="15" spans="2:13" x14ac:dyDescent="0.25">
      <c r="B15" s="301" t="s">
        <v>99</v>
      </c>
      <c r="C15" s="301">
        <v>4</v>
      </c>
      <c r="D15" s="301">
        <v>4</v>
      </c>
      <c r="E15" s="301">
        <v>2</v>
      </c>
      <c r="F15" s="301">
        <v>0</v>
      </c>
      <c r="G15" s="301">
        <v>0</v>
      </c>
      <c r="H15" s="325"/>
      <c r="I15" s="325"/>
      <c r="J15" s="325"/>
      <c r="K15" s="325"/>
      <c r="L15" s="303"/>
      <c r="M15" s="303"/>
    </row>
    <row r="16" spans="2:13" x14ac:dyDescent="0.25">
      <c r="B16" s="305" t="s">
        <v>23</v>
      </c>
      <c r="C16" s="309">
        <v>2</v>
      </c>
      <c r="D16" s="309">
        <v>2</v>
      </c>
      <c r="E16" s="309">
        <v>2</v>
      </c>
      <c r="F16" s="309">
        <v>2</v>
      </c>
      <c r="G16" s="309">
        <v>2</v>
      </c>
      <c r="H16" s="308"/>
      <c r="I16" s="308"/>
      <c r="J16" s="308"/>
      <c r="K16" s="308"/>
      <c r="L16" s="317"/>
      <c r="M16" s="317"/>
    </row>
    <row r="17" spans="2:13" x14ac:dyDescent="0.25">
      <c r="B17" s="305" t="s">
        <v>14</v>
      </c>
      <c r="C17" s="309">
        <v>25</v>
      </c>
      <c r="D17" s="309">
        <v>25</v>
      </c>
      <c r="E17" s="309">
        <v>25</v>
      </c>
      <c r="F17" s="309">
        <v>25</v>
      </c>
      <c r="G17" s="309">
        <v>25</v>
      </c>
      <c r="H17" s="305"/>
      <c r="I17" s="305"/>
      <c r="J17" s="305"/>
      <c r="K17" s="305"/>
      <c r="L17" s="317"/>
      <c r="M17" s="317"/>
    </row>
    <row r="18" spans="2:13" x14ac:dyDescent="0.25">
      <c r="B18" s="318" t="s">
        <v>12</v>
      </c>
      <c r="C18" s="327">
        <v>2</v>
      </c>
      <c r="D18" s="327">
        <v>2</v>
      </c>
      <c r="E18" s="327">
        <v>2</v>
      </c>
      <c r="F18" s="327">
        <v>2</v>
      </c>
      <c r="G18" s="327">
        <v>2</v>
      </c>
      <c r="H18" s="318"/>
      <c r="I18" s="318"/>
      <c r="J18" s="318"/>
      <c r="K18" s="318"/>
      <c r="L18" s="319"/>
      <c r="M18" s="319"/>
    </row>
    <row r="19" spans="2:13" x14ac:dyDescent="0.25">
      <c r="B19" s="320" t="s">
        <v>9</v>
      </c>
      <c r="C19" s="345"/>
      <c r="D19" s="345"/>
      <c r="E19" s="345"/>
      <c r="F19" s="345"/>
      <c r="G19" s="345"/>
      <c r="H19" s="297"/>
      <c r="I19" s="297"/>
      <c r="J19" s="297"/>
      <c r="K19" s="297"/>
      <c r="L19" s="298"/>
      <c r="M19" s="299"/>
    </row>
    <row r="20" spans="2:13" x14ac:dyDescent="0.25">
      <c r="B20" s="301" t="s">
        <v>607</v>
      </c>
      <c r="C20" s="346">
        <v>5.6919219014512894</v>
      </c>
      <c r="D20" s="346">
        <v>5.6919219014512894</v>
      </c>
      <c r="E20" s="346">
        <v>2.561364855653081</v>
      </c>
      <c r="F20" s="346">
        <v>2.2483091510732596</v>
      </c>
      <c r="G20" s="346">
        <v>2.1344707130442337</v>
      </c>
      <c r="H20" s="302">
        <v>0.75</v>
      </c>
      <c r="I20" s="302">
        <v>1.5</v>
      </c>
      <c r="J20" s="302">
        <v>0.75</v>
      </c>
      <c r="K20" s="302">
        <v>1.5</v>
      </c>
      <c r="L20" s="303" t="s">
        <v>399</v>
      </c>
      <c r="M20" s="303" t="s">
        <v>429</v>
      </c>
    </row>
    <row r="21" spans="2:13" x14ac:dyDescent="0.25">
      <c r="B21" s="305" t="s">
        <v>313</v>
      </c>
      <c r="C21" s="347">
        <v>75</v>
      </c>
      <c r="D21" s="347">
        <v>75</v>
      </c>
      <c r="E21" s="347">
        <v>75</v>
      </c>
      <c r="F21" s="347">
        <v>75</v>
      </c>
      <c r="G21" s="347">
        <v>75</v>
      </c>
      <c r="H21" s="305"/>
      <c r="I21" s="305"/>
      <c r="J21" s="305"/>
      <c r="K21" s="305"/>
      <c r="L21" s="317"/>
      <c r="M21" s="317"/>
    </row>
    <row r="22" spans="2:13" x14ac:dyDescent="0.25">
      <c r="B22" s="305" t="s">
        <v>314</v>
      </c>
      <c r="C22" s="348">
        <v>25</v>
      </c>
      <c r="D22" s="348">
        <v>25</v>
      </c>
      <c r="E22" s="348">
        <v>25</v>
      </c>
      <c r="F22" s="348">
        <v>25</v>
      </c>
      <c r="G22" s="348">
        <v>25</v>
      </c>
      <c r="H22" s="305"/>
      <c r="I22" s="305"/>
      <c r="J22" s="305"/>
      <c r="K22" s="305"/>
      <c r="L22" s="317"/>
      <c r="M22" s="317"/>
    </row>
    <row r="23" spans="2:13" x14ac:dyDescent="0.25">
      <c r="B23" s="305" t="s">
        <v>615</v>
      </c>
      <c r="C23" s="313">
        <v>0.1138384380290258</v>
      </c>
      <c r="D23" s="313">
        <v>0.1138384380290258</v>
      </c>
      <c r="E23" s="313">
        <v>5.6919219014512905E-2</v>
      </c>
      <c r="F23" s="313">
        <v>5.7331883352368107E-2</v>
      </c>
      <c r="G23" s="313">
        <v>5.6919219014512905E-2</v>
      </c>
      <c r="H23" s="306">
        <v>0.95</v>
      </c>
      <c r="I23" s="306">
        <v>2</v>
      </c>
      <c r="J23" s="306">
        <v>0.95</v>
      </c>
      <c r="K23" s="306">
        <v>2</v>
      </c>
      <c r="L23" s="317" t="s">
        <v>402</v>
      </c>
      <c r="M23" s="317">
        <v>1</v>
      </c>
    </row>
    <row r="24" spans="2:13" x14ac:dyDescent="0.25">
      <c r="B24" s="305" t="s">
        <v>616</v>
      </c>
      <c r="C24" s="349">
        <v>27.104390006910904</v>
      </c>
      <c r="D24" s="349">
        <v>27.104390006910904</v>
      </c>
      <c r="E24" s="349">
        <v>13.552195003455452</v>
      </c>
      <c r="F24" s="349">
        <v>13.38279256591226</v>
      </c>
      <c r="G24" s="349">
        <v>13.552195003455454</v>
      </c>
      <c r="H24" s="306">
        <v>0.95</v>
      </c>
      <c r="I24" s="306">
        <v>2</v>
      </c>
      <c r="J24" s="306">
        <v>0.95</v>
      </c>
      <c r="K24" s="306">
        <v>2</v>
      </c>
      <c r="L24" s="317" t="s">
        <v>402</v>
      </c>
      <c r="M24" s="317">
        <v>1</v>
      </c>
    </row>
    <row r="25" spans="2:13" x14ac:dyDescent="0.25">
      <c r="B25" s="318" t="s">
        <v>372</v>
      </c>
      <c r="C25" s="350">
        <v>0</v>
      </c>
      <c r="D25" s="318">
        <v>0</v>
      </c>
      <c r="E25" s="318">
        <v>0</v>
      </c>
      <c r="F25" s="318"/>
      <c r="G25" s="318">
        <v>0</v>
      </c>
      <c r="H25" s="318"/>
      <c r="I25" s="318"/>
      <c r="J25" s="318"/>
      <c r="K25" s="318"/>
      <c r="L25" s="319" t="s">
        <v>1</v>
      </c>
      <c r="M25" s="319"/>
    </row>
    <row r="26" spans="2:13" x14ac:dyDescent="0.25">
      <c r="B26" s="320" t="s">
        <v>244</v>
      </c>
      <c r="C26" s="297"/>
      <c r="D26" s="297"/>
      <c r="E26" s="297"/>
      <c r="F26" s="297"/>
      <c r="G26" s="297"/>
      <c r="H26" s="324"/>
      <c r="I26" s="324"/>
      <c r="J26" s="324"/>
      <c r="K26" s="324"/>
      <c r="L26" s="298"/>
      <c r="M26" s="299"/>
    </row>
    <row r="27" spans="2:13" x14ac:dyDescent="0.25">
      <c r="B27" s="301" t="s">
        <v>318</v>
      </c>
      <c r="C27" s="351">
        <v>26.9</v>
      </c>
      <c r="D27" s="351">
        <v>26.9</v>
      </c>
      <c r="E27" s="351">
        <v>26.9</v>
      </c>
      <c r="F27" s="351">
        <v>26.9</v>
      </c>
      <c r="G27" s="351">
        <v>26.9</v>
      </c>
      <c r="H27" s="301"/>
      <c r="I27" s="301"/>
      <c r="J27" s="301"/>
      <c r="K27" s="301"/>
      <c r="L27" s="301"/>
      <c r="M27" s="301"/>
    </row>
    <row r="28" spans="2:13" x14ac:dyDescent="0.25">
      <c r="B28" s="305" t="s">
        <v>591</v>
      </c>
      <c r="C28" s="309">
        <v>0.79</v>
      </c>
      <c r="D28" s="309">
        <v>0.79</v>
      </c>
      <c r="E28" s="309">
        <v>0.79</v>
      </c>
      <c r="F28" s="309">
        <v>0.79</v>
      </c>
      <c r="G28" s="309">
        <v>0.79</v>
      </c>
      <c r="H28" s="305"/>
      <c r="I28" s="305"/>
      <c r="J28" s="305"/>
      <c r="K28" s="305"/>
      <c r="L28" s="305"/>
      <c r="M28" s="305"/>
    </row>
    <row r="29" spans="2:13" x14ac:dyDescent="0.25">
      <c r="B29" s="305" t="s">
        <v>367</v>
      </c>
      <c r="C29" s="311">
        <v>5.0632911392405058</v>
      </c>
      <c r="D29" s="311">
        <v>5.0632911392405058</v>
      </c>
      <c r="E29" s="311">
        <v>2.278481012658228</v>
      </c>
      <c r="F29" s="311">
        <v>2</v>
      </c>
      <c r="G29" s="311">
        <v>1.8987341772151898</v>
      </c>
      <c r="H29" s="306">
        <v>0.75</v>
      </c>
      <c r="I29" s="306">
        <v>1.5</v>
      </c>
      <c r="J29" s="306">
        <v>0.75</v>
      </c>
      <c r="K29" s="306">
        <v>1.5</v>
      </c>
      <c r="L29" s="317" t="s">
        <v>399</v>
      </c>
      <c r="M29" s="317" t="s">
        <v>429</v>
      </c>
    </row>
    <row r="30" spans="2:13" x14ac:dyDescent="0.25">
      <c r="B30" s="305" t="s">
        <v>313</v>
      </c>
      <c r="C30" s="347">
        <v>75</v>
      </c>
      <c r="D30" s="347">
        <v>75</v>
      </c>
      <c r="E30" s="347">
        <v>75</v>
      </c>
      <c r="F30" s="347">
        <v>75</v>
      </c>
      <c r="G30" s="347">
        <v>75</v>
      </c>
      <c r="H30" s="305"/>
      <c r="I30" s="305"/>
      <c r="J30" s="305"/>
      <c r="K30" s="305"/>
      <c r="L30" s="317"/>
      <c r="M30" s="317"/>
    </row>
    <row r="31" spans="2:13" x14ac:dyDescent="0.25">
      <c r="B31" s="305" t="s">
        <v>314</v>
      </c>
      <c r="C31" s="348">
        <v>25</v>
      </c>
      <c r="D31" s="348">
        <v>25</v>
      </c>
      <c r="E31" s="348">
        <v>25</v>
      </c>
      <c r="F31" s="348">
        <v>25</v>
      </c>
      <c r="G31" s="348">
        <v>25</v>
      </c>
      <c r="H31" s="305"/>
      <c r="I31" s="305"/>
      <c r="J31" s="305"/>
      <c r="K31" s="305"/>
      <c r="L31" s="317"/>
      <c r="M31" s="317"/>
    </row>
    <row r="32" spans="2:13" x14ac:dyDescent="0.25">
      <c r="B32" s="305" t="s">
        <v>369</v>
      </c>
      <c r="C32" s="313">
        <v>0.10126582278481013</v>
      </c>
      <c r="D32" s="313">
        <v>0.10126582278481013</v>
      </c>
      <c r="E32" s="313">
        <v>5.0632911392405063E-2</v>
      </c>
      <c r="F32" s="313">
        <v>5.0999999999999997E-2</v>
      </c>
      <c r="G32" s="313">
        <v>5.0632911392405063E-2</v>
      </c>
      <c r="H32" s="306">
        <v>0.95</v>
      </c>
      <c r="I32" s="306">
        <v>2</v>
      </c>
      <c r="J32" s="306">
        <v>0.95</v>
      </c>
      <c r="K32" s="306">
        <v>2</v>
      </c>
      <c r="L32" s="317" t="s">
        <v>402</v>
      </c>
      <c r="M32" s="317">
        <v>1</v>
      </c>
    </row>
    <row r="33" spans="2:13" x14ac:dyDescent="0.25">
      <c r="B33" s="305" t="s">
        <v>370</v>
      </c>
      <c r="C33" s="313">
        <v>0.20253164556962025</v>
      </c>
      <c r="D33" s="313">
        <v>0.20253164556962025</v>
      </c>
      <c r="E33" s="313">
        <v>0.10126582278481013</v>
      </c>
      <c r="F33" s="313">
        <v>0.1</v>
      </c>
      <c r="G33" s="313">
        <v>0.10126582278481013</v>
      </c>
      <c r="H33" s="306">
        <v>0.95</v>
      </c>
      <c r="I33" s="306">
        <v>2</v>
      </c>
      <c r="J33" s="306">
        <v>0.95</v>
      </c>
      <c r="K33" s="306">
        <v>2</v>
      </c>
      <c r="L33" s="317" t="s">
        <v>402</v>
      </c>
      <c r="M33" s="317">
        <v>1</v>
      </c>
    </row>
    <row r="34" spans="2:13" x14ac:dyDescent="0.25">
      <c r="B34" s="305" t="s">
        <v>372</v>
      </c>
      <c r="C34" s="312">
        <v>0</v>
      </c>
      <c r="D34" s="305">
        <v>0</v>
      </c>
      <c r="E34" s="305">
        <v>0</v>
      </c>
      <c r="F34" s="305">
        <v>0</v>
      </c>
      <c r="G34" s="305">
        <v>0</v>
      </c>
      <c r="H34" s="305"/>
      <c r="I34" s="305"/>
      <c r="J34" s="305"/>
      <c r="K34" s="305"/>
      <c r="L34" s="317" t="s">
        <v>1</v>
      </c>
      <c r="M34" s="317"/>
    </row>
    <row r="36" spans="2:13" x14ac:dyDescent="0.25">
      <c r="B36" s="253" t="s">
        <v>6</v>
      </c>
    </row>
    <row r="37" spans="2:13" x14ac:dyDescent="0.25">
      <c r="B37" s="252" t="s">
        <v>430</v>
      </c>
    </row>
    <row r="38" spans="2:13" x14ac:dyDescent="0.25">
      <c r="B38" s="252" t="s">
        <v>320</v>
      </c>
    </row>
    <row r="39" spans="2:13" x14ac:dyDescent="0.25">
      <c r="B39" s="252" t="s">
        <v>321</v>
      </c>
    </row>
    <row r="40" spans="2:13" x14ac:dyDescent="0.25">
      <c r="B40" s="252" t="s">
        <v>431</v>
      </c>
    </row>
    <row r="41" spans="2:13" x14ac:dyDescent="0.25">
      <c r="B41" s="252" t="s">
        <v>432</v>
      </c>
    </row>
    <row r="42" spans="2:13" x14ac:dyDescent="0.25">
      <c r="B42" s="252" t="s">
        <v>433</v>
      </c>
    </row>
    <row r="43" spans="2:13" x14ac:dyDescent="0.25">
      <c r="B43" s="252" t="s">
        <v>434</v>
      </c>
    </row>
    <row r="44" spans="2:13" x14ac:dyDescent="0.25">
      <c r="B44" s="252" t="s">
        <v>412</v>
      </c>
    </row>
    <row r="46" spans="2:13" x14ac:dyDescent="0.25">
      <c r="B46" s="253" t="s">
        <v>287</v>
      </c>
    </row>
    <row r="47" spans="2:13" x14ac:dyDescent="0.25">
      <c r="B47" s="252" t="s">
        <v>435</v>
      </c>
    </row>
    <row r="48" spans="2:13" x14ac:dyDescent="0.25">
      <c r="B48" s="252" t="s">
        <v>436</v>
      </c>
    </row>
    <row r="49" spans="2:2" x14ac:dyDescent="0.25">
      <c r="B49" s="252" t="s">
        <v>437</v>
      </c>
    </row>
    <row r="50" spans="2:2" x14ac:dyDescent="0.25">
      <c r="B50" s="252" t="s">
        <v>438</v>
      </c>
    </row>
    <row r="51" spans="2:2" x14ac:dyDescent="0.25">
      <c r="B51" s="252" t="s">
        <v>439</v>
      </c>
    </row>
    <row r="52" spans="2:2" x14ac:dyDescent="0.25">
      <c r="B52" s="252" t="s">
        <v>440</v>
      </c>
    </row>
    <row r="53" spans="2:2" x14ac:dyDescent="0.25">
      <c r="B53" s="252" t="s">
        <v>441</v>
      </c>
    </row>
    <row r="54" spans="2:2" x14ac:dyDescent="0.25">
      <c r="B54" s="252" t="s">
        <v>442</v>
      </c>
    </row>
    <row r="55" spans="2:2" x14ac:dyDescent="0.25">
      <c r="B55" s="252" t="s">
        <v>443</v>
      </c>
    </row>
    <row r="56" spans="2:2" x14ac:dyDescent="0.25">
      <c r="B56" s="252" t="s">
        <v>444</v>
      </c>
    </row>
    <row r="57" spans="2:2" x14ac:dyDescent="0.25">
      <c r="B57" s="252" t="s">
        <v>445</v>
      </c>
    </row>
    <row r="58" spans="2:2" x14ac:dyDescent="0.25">
      <c r="B58" s="252" t="s">
        <v>450</v>
      </c>
    </row>
    <row r="59" spans="2:2" x14ac:dyDescent="0.25">
      <c r="B59" s="252" t="s">
        <v>446</v>
      </c>
    </row>
    <row r="60" spans="2:2" x14ac:dyDescent="0.25">
      <c r="B60" s="252" t="s">
        <v>447</v>
      </c>
    </row>
    <row r="61" spans="2:2" x14ac:dyDescent="0.25">
      <c r="B61" s="252" t="s">
        <v>448</v>
      </c>
    </row>
    <row r="62" spans="2:2" x14ac:dyDescent="0.25">
      <c r="B62" s="252" t="s">
        <v>449</v>
      </c>
    </row>
  </sheetData>
  <mergeCells count="3">
    <mergeCell ref="C3:M3"/>
    <mergeCell ref="H4:I4"/>
    <mergeCell ref="J4:K4"/>
  </mergeCells>
  <hyperlinks>
    <hyperlink ref="C3" location="INDEX" display="Cellulosic Ethanol"/>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2:M52"/>
  <sheetViews>
    <sheetView showGridLines="0" workbookViewId="0">
      <selection activeCell="D18" sqref="D18"/>
    </sheetView>
  </sheetViews>
  <sheetFormatPr defaultRowHeight="15" x14ac:dyDescent="0.25"/>
  <cols>
    <col min="1" max="1" width="2.140625" customWidth="1"/>
    <col min="2" max="2" width="39.85546875" customWidth="1"/>
    <col min="3" max="12" width="6.85546875" customWidth="1"/>
  </cols>
  <sheetData>
    <row r="2" spans="2:13" x14ac:dyDescent="0.25">
      <c r="H2" s="255"/>
    </row>
    <row r="3" spans="2:13" ht="15" customHeight="1" x14ac:dyDescent="0.25">
      <c r="B3" s="292" t="s">
        <v>20</v>
      </c>
      <c r="C3" s="654" t="s">
        <v>482</v>
      </c>
      <c r="D3" s="661"/>
      <c r="E3" s="661"/>
      <c r="F3" s="661"/>
      <c r="G3" s="661"/>
      <c r="H3" s="661"/>
      <c r="I3" s="661"/>
      <c r="J3" s="661"/>
      <c r="K3" s="661"/>
      <c r="L3" s="661"/>
      <c r="M3" s="661"/>
    </row>
    <row r="4" spans="2:13" ht="15" customHeight="1" x14ac:dyDescent="0.25">
      <c r="B4" s="318"/>
      <c r="C4" s="312">
        <v>2015</v>
      </c>
      <c r="D4" s="312">
        <v>2020</v>
      </c>
      <c r="E4" s="312">
        <v>2030</v>
      </c>
      <c r="F4" s="312">
        <v>2040</v>
      </c>
      <c r="G4" s="312">
        <v>2050</v>
      </c>
      <c r="H4" s="666" t="s">
        <v>25</v>
      </c>
      <c r="I4" s="666"/>
      <c r="J4" s="666" t="s">
        <v>24</v>
      </c>
      <c r="K4" s="666"/>
      <c r="L4" s="317" t="s">
        <v>19</v>
      </c>
      <c r="M4" s="317" t="s">
        <v>18</v>
      </c>
    </row>
    <row r="5" spans="2:13" x14ac:dyDescent="0.25">
      <c r="B5" s="305"/>
      <c r="C5" s="353"/>
      <c r="D5" s="350"/>
      <c r="E5" s="350"/>
      <c r="F5" s="350"/>
      <c r="G5" s="350"/>
      <c r="H5" s="350" t="s">
        <v>17</v>
      </c>
      <c r="I5" s="350" t="s">
        <v>16</v>
      </c>
      <c r="J5" s="350" t="s">
        <v>17</v>
      </c>
      <c r="K5" s="350" t="s">
        <v>16</v>
      </c>
      <c r="L5" s="319"/>
      <c r="M5" s="319"/>
    </row>
    <row r="6" spans="2:13" x14ac:dyDescent="0.25">
      <c r="B6" s="320" t="s">
        <v>15</v>
      </c>
      <c r="C6" s="328"/>
      <c r="D6" s="328"/>
      <c r="E6" s="328"/>
      <c r="F6" s="328"/>
      <c r="G6" s="328"/>
      <c r="H6" s="328"/>
      <c r="I6" s="328"/>
      <c r="J6" s="328"/>
      <c r="K6" s="328"/>
      <c r="L6" s="298"/>
      <c r="M6" s="299"/>
    </row>
    <row r="7" spans="2:13" x14ac:dyDescent="0.25">
      <c r="B7" s="301" t="s">
        <v>483</v>
      </c>
      <c r="C7" s="354">
        <v>100</v>
      </c>
      <c r="D7" s="354">
        <v>100</v>
      </c>
      <c r="E7" s="354">
        <v>200</v>
      </c>
      <c r="F7" s="354">
        <v>250</v>
      </c>
      <c r="G7" s="354">
        <v>300</v>
      </c>
      <c r="H7" s="355">
        <v>0.5</v>
      </c>
      <c r="I7" s="355">
        <v>2</v>
      </c>
      <c r="J7" s="355">
        <v>0.5</v>
      </c>
      <c r="K7" s="355">
        <v>1.25</v>
      </c>
      <c r="L7" s="303" t="s">
        <v>299</v>
      </c>
      <c r="M7" s="303" t="s">
        <v>484</v>
      </c>
    </row>
    <row r="8" spans="2:13" x14ac:dyDescent="0.25">
      <c r="B8" s="318" t="s">
        <v>427</v>
      </c>
      <c r="C8" s="350">
        <v>65</v>
      </c>
      <c r="D8" s="350">
        <v>65</v>
      </c>
      <c r="E8" s="350">
        <v>130</v>
      </c>
      <c r="F8" s="350">
        <v>165</v>
      </c>
      <c r="G8" s="350">
        <v>195</v>
      </c>
      <c r="H8" s="356">
        <v>0.5</v>
      </c>
      <c r="I8" s="356">
        <v>2</v>
      </c>
      <c r="J8" s="356">
        <v>0.5</v>
      </c>
      <c r="K8" s="356">
        <v>1.25</v>
      </c>
      <c r="L8" s="319" t="s">
        <v>301</v>
      </c>
      <c r="M8" s="319" t="s">
        <v>484</v>
      </c>
    </row>
    <row r="9" spans="2:13" x14ac:dyDescent="0.25">
      <c r="B9" s="320" t="s">
        <v>255</v>
      </c>
      <c r="C9" s="328"/>
      <c r="D9" s="328"/>
      <c r="E9" s="328"/>
      <c r="F9" s="328"/>
      <c r="G9" s="328"/>
      <c r="H9" s="328"/>
      <c r="I9" s="328"/>
      <c r="J9" s="328"/>
      <c r="K9" s="328"/>
      <c r="L9" s="298"/>
      <c r="M9" s="299"/>
    </row>
    <row r="10" spans="2:13" x14ac:dyDescent="0.25">
      <c r="B10" s="334" t="s">
        <v>364</v>
      </c>
      <c r="C10" s="357">
        <v>1</v>
      </c>
      <c r="D10" s="357">
        <v>1</v>
      </c>
      <c r="E10" s="357">
        <v>1</v>
      </c>
      <c r="F10" s="357">
        <v>1</v>
      </c>
      <c r="G10" s="357">
        <v>1</v>
      </c>
      <c r="H10" s="358">
        <v>0.9</v>
      </c>
      <c r="I10" s="358">
        <v>1.5</v>
      </c>
      <c r="J10" s="358">
        <v>0.9</v>
      </c>
      <c r="K10" s="358">
        <v>1.2</v>
      </c>
      <c r="L10" s="337"/>
      <c r="M10" s="337">
        <v>1</v>
      </c>
    </row>
    <row r="11" spans="2:13" x14ac:dyDescent="0.25">
      <c r="B11" s="320" t="s">
        <v>241</v>
      </c>
      <c r="C11" s="328"/>
      <c r="D11" s="328"/>
      <c r="E11" s="328"/>
      <c r="F11" s="328"/>
      <c r="G11" s="328"/>
      <c r="H11" s="359"/>
      <c r="I11" s="359"/>
      <c r="J11" s="359"/>
      <c r="K11" s="359"/>
      <c r="L11" s="298"/>
      <c r="M11" s="299"/>
    </row>
    <row r="12" spans="2:13" x14ac:dyDescent="0.25">
      <c r="B12" s="301" t="s">
        <v>510</v>
      </c>
      <c r="C12" s="354">
        <v>0.57999999999999996</v>
      </c>
      <c r="D12" s="354">
        <v>0.57999999999999996</v>
      </c>
      <c r="E12" s="354">
        <v>0.61</v>
      </c>
      <c r="F12" s="354">
        <v>0.63</v>
      </c>
      <c r="G12" s="354">
        <v>0.65</v>
      </c>
      <c r="H12" s="360">
        <v>1</v>
      </c>
      <c r="I12" s="360">
        <v>1.33</v>
      </c>
      <c r="J12" s="360">
        <v>1</v>
      </c>
      <c r="K12" s="360">
        <v>1.33</v>
      </c>
      <c r="L12" s="351" t="s">
        <v>2</v>
      </c>
      <c r="M12" s="303">
        <v>1</v>
      </c>
    </row>
    <row r="13" spans="2:13" x14ac:dyDescent="0.25">
      <c r="B13" s="321" t="s">
        <v>623</v>
      </c>
      <c r="C13" s="361">
        <v>0.22</v>
      </c>
      <c r="D13" s="361">
        <v>0.22</v>
      </c>
      <c r="E13" s="361">
        <v>0.22</v>
      </c>
      <c r="F13" s="361">
        <v>0.22</v>
      </c>
      <c r="G13" s="361">
        <v>0.22</v>
      </c>
      <c r="H13" s="362">
        <v>0.8</v>
      </c>
      <c r="I13" s="362">
        <v>1.25</v>
      </c>
      <c r="J13" s="362">
        <v>0.8</v>
      </c>
      <c r="K13" s="362">
        <v>1.25</v>
      </c>
      <c r="L13" s="363" t="s">
        <v>2</v>
      </c>
      <c r="M13" s="364">
        <v>1</v>
      </c>
    </row>
    <row r="14" spans="2:13" x14ac:dyDescent="0.25">
      <c r="B14" s="342" t="s">
        <v>619</v>
      </c>
      <c r="C14" s="365">
        <v>0.02</v>
      </c>
      <c r="D14" s="365">
        <v>0.02</v>
      </c>
      <c r="E14" s="365">
        <v>0.02</v>
      </c>
      <c r="F14" s="365">
        <v>0.02</v>
      </c>
      <c r="G14" s="365">
        <v>0.02</v>
      </c>
      <c r="H14" s="366">
        <v>0.8</v>
      </c>
      <c r="I14" s="366">
        <v>1.25</v>
      </c>
      <c r="J14" s="366">
        <v>0.8</v>
      </c>
      <c r="K14" s="366">
        <v>1.25</v>
      </c>
      <c r="L14" s="367" t="s">
        <v>2</v>
      </c>
      <c r="M14" s="344">
        <v>1</v>
      </c>
    </row>
    <row r="15" spans="2:13" x14ac:dyDescent="0.25">
      <c r="B15" s="368"/>
      <c r="C15" s="369"/>
      <c r="D15" s="369"/>
      <c r="E15" s="369"/>
      <c r="F15" s="369"/>
      <c r="G15" s="369"/>
      <c r="H15" s="370"/>
      <c r="I15" s="370"/>
      <c r="J15" s="370"/>
      <c r="K15" s="370"/>
      <c r="L15" s="369"/>
      <c r="M15" s="371"/>
    </row>
    <row r="16" spans="2:13" x14ac:dyDescent="0.25">
      <c r="B16" s="301" t="s">
        <v>99</v>
      </c>
      <c r="C16" s="354">
        <v>4</v>
      </c>
      <c r="D16" s="354">
        <v>4</v>
      </c>
      <c r="E16" s="354">
        <v>0</v>
      </c>
      <c r="F16" s="354">
        <v>0</v>
      </c>
      <c r="G16" s="354">
        <v>0</v>
      </c>
      <c r="H16" s="354"/>
      <c r="I16" s="360"/>
      <c r="J16" s="360"/>
      <c r="K16" s="360"/>
      <c r="L16" s="303"/>
      <c r="M16" s="303"/>
    </row>
    <row r="17" spans="2:13" x14ac:dyDescent="0.25">
      <c r="B17" s="305" t="s">
        <v>23</v>
      </c>
      <c r="C17" s="312">
        <v>2</v>
      </c>
      <c r="D17" s="312">
        <v>2</v>
      </c>
      <c r="E17" s="312">
        <v>2</v>
      </c>
      <c r="F17" s="312">
        <v>2</v>
      </c>
      <c r="G17" s="312">
        <v>2</v>
      </c>
      <c r="H17" s="372"/>
      <c r="I17" s="372"/>
      <c r="J17" s="372"/>
      <c r="K17" s="372"/>
      <c r="L17" s="317"/>
      <c r="M17" s="317"/>
    </row>
    <row r="18" spans="2:13" x14ac:dyDescent="0.25">
      <c r="B18" s="305" t="s">
        <v>14</v>
      </c>
      <c r="C18" s="312">
        <v>25</v>
      </c>
      <c r="D18" s="312">
        <v>20</v>
      </c>
      <c r="E18" s="312">
        <v>20</v>
      </c>
      <c r="F18" s="312">
        <v>20</v>
      </c>
      <c r="G18" s="312">
        <v>20</v>
      </c>
      <c r="H18" s="312"/>
      <c r="I18" s="312"/>
      <c r="J18" s="312"/>
      <c r="K18" s="312"/>
      <c r="L18" s="317"/>
      <c r="M18" s="317"/>
    </row>
    <row r="19" spans="2:13" x14ac:dyDescent="0.25">
      <c r="B19" s="318" t="s">
        <v>12</v>
      </c>
      <c r="C19" s="373" t="s">
        <v>624</v>
      </c>
      <c r="D19" s="373" t="s">
        <v>624</v>
      </c>
      <c r="E19" s="373" t="s">
        <v>624</v>
      </c>
      <c r="F19" s="373" t="s">
        <v>624</v>
      </c>
      <c r="G19" s="373" t="s">
        <v>624</v>
      </c>
      <c r="H19" s="350"/>
      <c r="I19" s="350"/>
      <c r="J19" s="350"/>
      <c r="K19" s="350"/>
      <c r="L19" s="319"/>
      <c r="M19" s="319"/>
    </row>
    <row r="20" spans="2:13" x14ac:dyDescent="0.25">
      <c r="B20" s="320" t="s">
        <v>9</v>
      </c>
      <c r="C20" s="328"/>
      <c r="D20" s="328"/>
      <c r="E20" s="328"/>
      <c r="F20" s="328"/>
      <c r="G20" s="328"/>
      <c r="H20" s="328"/>
      <c r="I20" s="328"/>
      <c r="J20" s="328"/>
      <c r="K20" s="328"/>
      <c r="L20" s="298"/>
      <c r="M20" s="299"/>
    </row>
    <row r="21" spans="2:13" x14ac:dyDescent="0.25">
      <c r="B21" s="301" t="s">
        <v>625</v>
      </c>
      <c r="C21" s="374">
        <v>5.2580331061343726</v>
      </c>
      <c r="D21" s="374">
        <v>5.2580331061343726</v>
      </c>
      <c r="E21" s="374">
        <v>2.9211295034079843</v>
      </c>
      <c r="F21" s="374">
        <v>2.1212121212121211</v>
      </c>
      <c r="G21" s="374">
        <v>1.4605647517039921</v>
      </c>
      <c r="H21" s="355">
        <v>0.5</v>
      </c>
      <c r="I21" s="355">
        <v>1</v>
      </c>
      <c r="J21" s="355">
        <v>0.8</v>
      </c>
      <c r="K21" s="355">
        <v>1.2</v>
      </c>
      <c r="L21" s="303" t="s">
        <v>0</v>
      </c>
      <c r="M21" s="303" t="s">
        <v>487</v>
      </c>
    </row>
    <row r="22" spans="2:13" x14ac:dyDescent="0.25">
      <c r="B22" s="305" t="s">
        <v>266</v>
      </c>
      <c r="C22" s="312" t="s">
        <v>267</v>
      </c>
      <c r="D22" s="312">
        <v>75</v>
      </c>
      <c r="E22" s="312">
        <v>75</v>
      </c>
      <c r="F22" s="312">
        <v>75</v>
      </c>
      <c r="G22" s="312">
        <v>75</v>
      </c>
      <c r="H22" s="375"/>
      <c r="I22" s="375"/>
      <c r="J22" s="375"/>
      <c r="K22" s="375"/>
      <c r="L22" s="317"/>
      <c r="M22" s="317"/>
    </row>
    <row r="23" spans="2:13" x14ac:dyDescent="0.25">
      <c r="B23" s="305" t="s">
        <v>314</v>
      </c>
      <c r="C23" s="312">
        <v>25</v>
      </c>
      <c r="D23" s="312">
        <v>25</v>
      </c>
      <c r="E23" s="312">
        <v>25</v>
      </c>
      <c r="F23" s="312">
        <v>25</v>
      </c>
      <c r="G23" s="312">
        <v>25</v>
      </c>
      <c r="H23" s="375"/>
      <c r="I23" s="375"/>
      <c r="J23" s="375"/>
      <c r="K23" s="375"/>
      <c r="L23" s="317"/>
      <c r="M23" s="317"/>
    </row>
    <row r="24" spans="2:13" x14ac:dyDescent="0.25">
      <c r="B24" s="305" t="s">
        <v>626</v>
      </c>
      <c r="C24" s="376">
        <v>5.8422590068159676E-2</v>
      </c>
      <c r="D24" s="376">
        <v>5.8422590068159676E-2</v>
      </c>
      <c r="E24" s="376">
        <v>3.8948393378773129E-2</v>
      </c>
      <c r="F24" s="376">
        <v>3.8358266206367474E-2</v>
      </c>
      <c r="G24" s="376">
        <v>3.8948393378773122E-2</v>
      </c>
      <c r="H24" s="375">
        <v>0.9</v>
      </c>
      <c r="I24" s="375">
        <v>1.1000000000000001</v>
      </c>
      <c r="J24" s="375">
        <v>0.9</v>
      </c>
      <c r="K24" s="375">
        <v>1.1000000000000001</v>
      </c>
      <c r="L24" s="317" t="s">
        <v>250</v>
      </c>
      <c r="M24" s="317">
        <v>1</v>
      </c>
    </row>
    <row r="25" spans="2:13" x14ac:dyDescent="0.25">
      <c r="B25" s="305" t="s">
        <v>627</v>
      </c>
      <c r="C25" s="377">
        <v>20.404307576043831</v>
      </c>
      <c r="D25" s="377">
        <v>20.404307576043831</v>
      </c>
      <c r="E25" s="377">
        <v>13.60287171736255</v>
      </c>
      <c r="F25" s="377">
        <v>13.602871717362556</v>
      </c>
      <c r="G25" s="377">
        <v>13.602871717362554</v>
      </c>
      <c r="H25" s="375">
        <v>0.9</v>
      </c>
      <c r="I25" s="375">
        <v>1.1000000000000001</v>
      </c>
      <c r="J25" s="375">
        <v>0.9</v>
      </c>
      <c r="K25" s="375">
        <v>1.1000000000000001</v>
      </c>
      <c r="L25" s="317" t="s">
        <v>490</v>
      </c>
      <c r="M25" s="317">
        <v>1</v>
      </c>
    </row>
    <row r="26" spans="2:13" x14ac:dyDescent="0.25">
      <c r="B26" s="318" t="s">
        <v>491</v>
      </c>
      <c r="C26" s="350">
        <v>0</v>
      </c>
      <c r="D26" s="350">
        <v>0</v>
      </c>
      <c r="E26" s="350">
        <v>0</v>
      </c>
      <c r="F26" s="350"/>
      <c r="G26" s="350">
        <v>0</v>
      </c>
      <c r="H26" s="356"/>
      <c r="I26" s="356"/>
      <c r="J26" s="356"/>
      <c r="K26" s="356"/>
      <c r="L26" s="319"/>
      <c r="M26" s="319"/>
    </row>
    <row r="27" spans="2:13" x14ac:dyDescent="0.25">
      <c r="B27" s="320" t="s">
        <v>244</v>
      </c>
      <c r="C27" s="328"/>
      <c r="D27" s="328"/>
      <c r="E27" s="328"/>
      <c r="F27" s="328"/>
      <c r="G27" s="328"/>
      <c r="H27" s="378"/>
      <c r="I27" s="378"/>
      <c r="J27" s="378"/>
      <c r="K27" s="378"/>
      <c r="L27" s="298"/>
      <c r="M27" s="299"/>
    </row>
    <row r="28" spans="2:13" x14ac:dyDescent="0.25">
      <c r="B28" s="301" t="s">
        <v>492</v>
      </c>
      <c r="C28" s="354">
        <v>20.100000000000001</v>
      </c>
      <c r="D28" s="354">
        <v>20.100000000000001</v>
      </c>
      <c r="E28" s="354">
        <v>20.100000000000001</v>
      </c>
      <c r="F28" s="354">
        <v>20.100000000000001</v>
      </c>
      <c r="G28" s="354">
        <v>20.100000000000001</v>
      </c>
      <c r="H28" s="355"/>
      <c r="I28" s="355"/>
      <c r="J28" s="355"/>
      <c r="K28" s="355"/>
      <c r="L28" s="303"/>
      <c r="M28" s="303"/>
    </row>
    <row r="29" spans="2:13" x14ac:dyDescent="0.25">
      <c r="B29" s="305" t="s">
        <v>591</v>
      </c>
      <c r="C29" s="312">
        <v>0.79</v>
      </c>
      <c r="D29" s="312">
        <v>0.79</v>
      </c>
      <c r="E29" s="312">
        <v>0.79</v>
      </c>
      <c r="F29" s="312">
        <v>0.79</v>
      </c>
      <c r="G29" s="312">
        <v>0.79</v>
      </c>
      <c r="H29" s="375"/>
      <c r="I29" s="375"/>
      <c r="J29" s="375"/>
      <c r="K29" s="375"/>
      <c r="L29" s="317"/>
      <c r="M29" s="317"/>
    </row>
    <row r="30" spans="2:13" x14ac:dyDescent="0.25">
      <c r="B30" s="305" t="s">
        <v>486</v>
      </c>
      <c r="C30" s="310">
        <v>3.4177215189873418</v>
      </c>
      <c r="D30" s="310">
        <v>3.4177215189873418</v>
      </c>
      <c r="E30" s="310">
        <v>1.8987341772151898</v>
      </c>
      <c r="F30" s="310">
        <v>1.4</v>
      </c>
      <c r="G30" s="310">
        <v>0.94936708860759489</v>
      </c>
      <c r="H30" s="375">
        <v>0.5</v>
      </c>
      <c r="I30" s="375">
        <v>1</v>
      </c>
      <c r="J30" s="375">
        <v>0.8</v>
      </c>
      <c r="K30" s="375">
        <v>1.2</v>
      </c>
      <c r="L30" s="317" t="s">
        <v>0</v>
      </c>
      <c r="M30" s="317" t="s">
        <v>487</v>
      </c>
    </row>
    <row r="31" spans="2:13" x14ac:dyDescent="0.25">
      <c r="B31" s="305" t="s">
        <v>488</v>
      </c>
      <c r="C31" s="376">
        <v>3.7974683544303792E-2</v>
      </c>
      <c r="D31" s="376">
        <v>3.7974683544303792E-2</v>
      </c>
      <c r="E31" s="376">
        <v>2.5316455696202531E-2</v>
      </c>
      <c r="F31" s="376">
        <v>2.5316455696202531E-2</v>
      </c>
      <c r="G31" s="376">
        <v>2.5316455696202531E-2</v>
      </c>
      <c r="H31" s="375">
        <v>0.9</v>
      </c>
      <c r="I31" s="375">
        <v>1.1000000000000001</v>
      </c>
      <c r="J31" s="375">
        <v>0.9</v>
      </c>
      <c r="K31" s="375">
        <v>1.1000000000000001</v>
      </c>
      <c r="L31" s="317" t="s">
        <v>250</v>
      </c>
      <c r="M31" s="317">
        <v>1</v>
      </c>
    </row>
    <row r="32" spans="2:13" x14ac:dyDescent="0.25">
      <c r="B32" s="305" t="s">
        <v>489</v>
      </c>
      <c r="C32" s="376">
        <v>0.11392405063291139</v>
      </c>
      <c r="D32" s="376">
        <v>0.11392405063291139</v>
      </c>
      <c r="E32" s="376">
        <v>7.5949367088607583E-2</v>
      </c>
      <c r="F32" s="376">
        <v>7.5949367088607583E-2</v>
      </c>
      <c r="G32" s="376">
        <v>7.5949367088607583E-2</v>
      </c>
      <c r="H32" s="375">
        <v>0.9</v>
      </c>
      <c r="I32" s="375">
        <v>1.1000000000000001</v>
      </c>
      <c r="J32" s="375">
        <v>0.9</v>
      </c>
      <c r="K32" s="375">
        <v>1.1000000000000001</v>
      </c>
      <c r="L32" s="317" t="s">
        <v>490</v>
      </c>
      <c r="M32" s="317">
        <v>1</v>
      </c>
    </row>
    <row r="33" spans="2:13" x14ac:dyDescent="0.25">
      <c r="B33" s="305" t="s">
        <v>491</v>
      </c>
      <c r="C33" s="312">
        <v>0</v>
      </c>
      <c r="D33" s="312">
        <v>0</v>
      </c>
      <c r="E33" s="312">
        <v>0</v>
      </c>
      <c r="F33" s="312">
        <v>0</v>
      </c>
      <c r="G33" s="312">
        <v>0</v>
      </c>
      <c r="H33" s="312"/>
      <c r="I33" s="312"/>
      <c r="J33" s="312"/>
      <c r="K33" s="312"/>
      <c r="L33" s="317"/>
      <c r="M33" s="317"/>
    </row>
    <row r="35" spans="2:13" x14ac:dyDescent="0.25">
      <c r="B35" s="253" t="s">
        <v>6</v>
      </c>
    </row>
    <row r="36" spans="2:13" x14ac:dyDescent="0.25">
      <c r="B36" s="252" t="s">
        <v>493</v>
      </c>
    </row>
    <row r="37" spans="2:13" x14ac:dyDescent="0.25">
      <c r="B37" s="252" t="s">
        <v>494</v>
      </c>
    </row>
    <row r="38" spans="2:13" x14ac:dyDescent="0.25">
      <c r="B38" s="252" t="s">
        <v>461</v>
      </c>
    </row>
    <row r="39" spans="2:13" x14ac:dyDescent="0.25">
      <c r="B39" s="252" t="s">
        <v>495</v>
      </c>
    </row>
    <row r="40" spans="2:13" x14ac:dyDescent="0.25">
      <c r="B40" s="252" t="s">
        <v>496</v>
      </c>
    </row>
    <row r="41" spans="2:13" x14ac:dyDescent="0.25">
      <c r="B41" s="252" t="s">
        <v>497</v>
      </c>
    </row>
    <row r="42" spans="2:13" x14ac:dyDescent="0.25">
      <c r="B42" s="252" t="s">
        <v>498</v>
      </c>
    </row>
    <row r="44" spans="2:13" x14ac:dyDescent="0.25">
      <c r="B44" s="253" t="s">
        <v>287</v>
      </c>
    </row>
    <row r="45" spans="2:13" x14ac:dyDescent="0.25">
      <c r="B45" s="252" t="s">
        <v>499</v>
      </c>
    </row>
    <row r="46" spans="2:13" x14ac:dyDescent="0.25">
      <c r="B46" s="252" t="s">
        <v>500</v>
      </c>
    </row>
    <row r="47" spans="2:13" x14ac:dyDescent="0.25">
      <c r="B47" s="252" t="s">
        <v>501</v>
      </c>
    </row>
    <row r="48" spans="2:13" x14ac:dyDescent="0.25">
      <c r="B48" s="252" t="s">
        <v>502</v>
      </c>
    </row>
    <row r="49" spans="2:2" x14ac:dyDescent="0.25">
      <c r="B49" s="252" t="s">
        <v>503</v>
      </c>
    </row>
    <row r="50" spans="2:2" x14ac:dyDescent="0.25">
      <c r="B50" s="252" t="s">
        <v>504</v>
      </c>
    </row>
    <row r="51" spans="2:2" x14ac:dyDescent="0.25">
      <c r="B51" s="252" t="s">
        <v>505</v>
      </c>
    </row>
    <row r="52" spans="2:2" x14ac:dyDescent="0.25">
      <c r="B52" s="252" t="s">
        <v>506</v>
      </c>
    </row>
  </sheetData>
  <mergeCells count="3">
    <mergeCell ref="C3:M3"/>
    <mergeCell ref="H4:I4"/>
    <mergeCell ref="J4:K4"/>
  </mergeCells>
  <hyperlinks>
    <hyperlink ref="B45" r:id="rId1" display="https://doi.org/10.1016/j.biombioe.2014.03.063"/>
    <hyperlink ref="B46" r:id="rId2" display="http://serenergy.com/wp-content/uploads/2015/11/GreenSynFuels_report_final.pdf"/>
    <hyperlink ref="B47" r:id="rId3" display="https://doi.org/10.1016/j.energy.2014.09.042"/>
    <hyperlink ref="B48" r:id="rId4" display="http://task39.sites.olt.ubc.ca/files/2012/01/IEA-Bioenergy-Task-39-Newsletter-Issue-42-April-2016.pdf"/>
    <hyperlink ref="B49" r:id="rId5" display="http://www.varmlandsmetanol.se/Om Projektet.htm"/>
    <hyperlink ref="B50" r:id="rId6" display="http://www.varmlandsmetanol.se/dokument/Folder VM sept 2016.pdf"/>
    <hyperlink ref="B51" r:id="rId7" display="https://www.nrel.gov/docs/fy12osti/52636.pdf"/>
    <hyperlink ref="B52" r:id="rId8" display="http://platformduurzamebiobrandstoffen.nl/wp-content/uploads/2017/07/2017_SGAB_Cost-of-Biofuels.pdf"/>
    <hyperlink ref="C3" location="INDEX" display="Bio Methanol"/>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2:M62"/>
  <sheetViews>
    <sheetView showGridLines="0" zoomScale="115" zoomScaleNormal="115" workbookViewId="0">
      <selection activeCell="D18" sqref="D18"/>
    </sheetView>
  </sheetViews>
  <sheetFormatPr defaultRowHeight="15" x14ac:dyDescent="0.25"/>
  <cols>
    <col min="1" max="1" width="2.140625" customWidth="1"/>
    <col min="2" max="2" width="39.85546875" customWidth="1"/>
    <col min="3" max="12" width="7" customWidth="1"/>
  </cols>
  <sheetData>
    <row r="2" spans="2:13" x14ac:dyDescent="0.25">
      <c r="H2" s="255"/>
    </row>
    <row r="3" spans="2:13" ht="15" customHeight="1" x14ac:dyDescent="0.25">
      <c r="B3" s="292" t="s">
        <v>20</v>
      </c>
      <c r="C3" s="654" t="s">
        <v>628</v>
      </c>
      <c r="D3" s="661"/>
      <c r="E3" s="661"/>
      <c r="F3" s="661"/>
      <c r="G3" s="661"/>
      <c r="H3" s="661"/>
      <c r="I3" s="661"/>
      <c r="J3" s="661"/>
      <c r="K3" s="661"/>
      <c r="L3" s="661"/>
      <c r="M3" s="661"/>
    </row>
    <row r="4" spans="2:13" ht="15" customHeight="1" x14ac:dyDescent="0.25">
      <c r="B4" s="305"/>
      <c r="C4" s="305">
        <v>2015</v>
      </c>
      <c r="D4" s="305">
        <v>2020</v>
      </c>
      <c r="E4" s="305">
        <v>2030</v>
      </c>
      <c r="F4" s="305">
        <v>2040</v>
      </c>
      <c r="G4" s="305">
        <v>2050</v>
      </c>
      <c r="H4" s="662" t="s">
        <v>25</v>
      </c>
      <c r="I4" s="662"/>
      <c r="J4" s="662" t="s">
        <v>24</v>
      </c>
      <c r="K4" s="662"/>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483</v>
      </c>
      <c r="C7" s="301">
        <v>5</v>
      </c>
      <c r="D7" s="301">
        <v>50</v>
      </c>
      <c r="E7" s="301">
        <v>100</v>
      </c>
      <c r="F7" s="301">
        <v>125</v>
      </c>
      <c r="G7" s="301">
        <v>150</v>
      </c>
      <c r="H7" s="325">
        <v>0.5</v>
      </c>
      <c r="I7" s="302">
        <v>1.5</v>
      </c>
      <c r="J7" s="302">
        <v>0.5</v>
      </c>
      <c r="K7" s="302">
        <v>1.5</v>
      </c>
      <c r="L7" s="379" t="s">
        <v>299</v>
      </c>
      <c r="M7" s="303" t="s">
        <v>507</v>
      </c>
    </row>
    <row r="8" spans="2:13" x14ac:dyDescent="0.25">
      <c r="B8" s="318" t="s">
        <v>427</v>
      </c>
      <c r="C8" s="318">
        <v>3</v>
      </c>
      <c r="D8" s="318">
        <v>33</v>
      </c>
      <c r="E8" s="318">
        <v>65</v>
      </c>
      <c r="F8" s="318">
        <v>83</v>
      </c>
      <c r="G8" s="318">
        <v>100</v>
      </c>
      <c r="H8" s="323">
        <v>0.5</v>
      </c>
      <c r="I8" s="333">
        <v>1.5</v>
      </c>
      <c r="J8" s="333">
        <v>0.5</v>
      </c>
      <c r="K8" s="333">
        <v>1.5</v>
      </c>
      <c r="L8" s="380" t="s">
        <v>301</v>
      </c>
      <c r="M8" s="319" t="s">
        <v>508</v>
      </c>
    </row>
    <row r="9" spans="2:13" x14ac:dyDescent="0.25">
      <c r="B9" s="320" t="s">
        <v>240</v>
      </c>
      <c r="C9" s="297"/>
      <c r="D9" s="297"/>
      <c r="E9" s="297"/>
      <c r="F9" s="297"/>
      <c r="G9" s="297"/>
      <c r="H9" s="297"/>
      <c r="I9" s="297"/>
      <c r="J9" s="297"/>
      <c r="K9" s="297"/>
      <c r="L9" s="298"/>
      <c r="M9" s="299"/>
    </row>
    <row r="10" spans="2:13" x14ac:dyDescent="0.25">
      <c r="B10" s="301" t="s">
        <v>629</v>
      </c>
      <c r="C10" s="301">
        <v>1.37</v>
      </c>
      <c r="D10" s="301">
        <v>1.37</v>
      </c>
      <c r="E10" s="301">
        <v>1.37</v>
      </c>
      <c r="F10" s="301">
        <v>1.37</v>
      </c>
      <c r="G10" s="301">
        <v>1.37</v>
      </c>
      <c r="H10" s="325">
        <v>1</v>
      </c>
      <c r="I10" s="325">
        <v>1.1000000000000001</v>
      </c>
      <c r="J10" s="325">
        <v>1</v>
      </c>
      <c r="K10" s="325">
        <v>1.1000000000000001</v>
      </c>
      <c r="L10" s="303"/>
      <c r="M10" s="303">
        <v>5</v>
      </c>
    </row>
    <row r="11" spans="2:13" x14ac:dyDescent="0.25">
      <c r="B11" s="305" t="s">
        <v>509</v>
      </c>
      <c r="C11" s="305">
        <v>0.192</v>
      </c>
      <c r="D11" s="305">
        <v>0.192</v>
      </c>
      <c r="E11" s="305">
        <v>0.192</v>
      </c>
      <c r="F11" s="305">
        <v>0.192</v>
      </c>
      <c r="G11" s="305">
        <v>0.192</v>
      </c>
      <c r="H11" s="308">
        <v>1</v>
      </c>
      <c r="I11" s="308">
        <v>1.1000000000000001</v>
      </c>
      <c r="J11" s="308">
        <v>1</v>
      </c>
      <c r="K11" s="308">
        <v>1.1000000000000001</v>
      </c>
      <c r="L11" s="317"/>
      <c r="M11" s="317">
        <v>5</v>
      </c>
    </row>
    <row r="12" spans="2:13" x14ac:dyDescent="0.25">
      <c r="B12" s="318" t="s">
        <v>306</v>
      </c>
      <c r="C12" s="318">
        <v>1</v>
      </c>
      <c r="D12" s="318">
        <v>1</v>
      </c>
      <c r="E12" s="318">
        <v>1</v>
      </c>
      <c r="F12" s="318">
        <v>1</v>
      </c>
      <c r="G12" s="318">
        <v>1</v>
      </c>
      <c r="H12" s="323">
        <v>0.9</v>
      </c>
      <c r="I12" s="323">
        <v>1.2</v>
      </c>
      <c r="J12" s="323">
        <v>0.95</v>
      </c>
      <c r="K12" s="323">
        <v>1.1000000000000001</v>
      </c>
      <c r="L12" s="319" t="s">
        <v>3</v>
      </c>
      <c r="M12" s="319" t="s">
        <v>347</v>
      </c>
    </row>
    <row r="13" spans="2:13" x14ac:dyDescent="0.25">
      <c r="B13" s="320" t="s">
        <v>241</v>
      </c>
      <c r="C13" s="297"/>
      <c r="D13" s="297"/>
      <c r="E13" s="297"/>
      <c r="F13" s="297"/>
      <c r="G13" s="297"/>
      <c r="H13" s="324"/>
      <c r="I13" s="324"/>
      <c r="J13" s="324"/>
      <c r="K13" s="324"/>
      <c r="L13" s="298"/>
      <c r="M13" s="299"/>
    </row>
    <row r="14" spans="2:13" x14ac:dyDescent="0.25">
      <c r="B14" s="301" t="s">
        <v>485</v>
      </c>
      <c r="C14" s="301">
        <v>0.57999999999999996</v>
      </c>
      <c r="D14" s="301">
        <v>0.57999999999999996</v>
      </c>
      <c r="E14" s="301">
        <v>0.61</v>
      </c>
      <c r="F14" s="301">
        <v>0.63</v>
      </c>
      <c r="G14" s="301">
        <v>0.65</v>
      </c>
      <c r="H14" s="325">
        <v>1</v>
      </c>
      <c r="I14" s="325">
        <v>1.33</v>
      </c>
      <c r="J14" s="325">
        <v>1</v>
      </c>
      <c r="K14" s="325">
        <v>1.33</v>
      </c>
      <c r="L14" s="303" t="s">
        <v>2</v>
      </c>
      <c r="M14" s="303" t="s">
        <v>347</v>
      </c>
    </row>
    <row r="15" spans="2:13" x14ac:dyDescent="0.25">
      <c r="B15" s="318" t="s">
        <v>600</v>
      </c>
      <c r="C15" s="318">
        <v>0.25</v>
      </c>
      <c r="D15" s="318">
        <v>0.25</v>
      </c>
      <c r="E15" s="318">
        <v>0.25</v>
      </c>
      <c r="F15" s="318">
        <v>0.25</v>
      </c>
      <c r="G15" s="318">
        <v>0.25</v>
      </c>
      <c r="H15" s="323">
        <v>0</v>
      </c>
      <c r="I15" s="323">
        <v>1</v>
      </c>
      <c r="J15" s="323">
        <v>0</v>
      </c>
      <c r="K15" s="323">
        <v>1</v>
      </c>
      <c r="L15" s="319" t="s">
        <v>1</v>
      </c>
      <c r="M15" s="319" t="s">
        <v>347</v>
      </c>
    </row>
    <row r="16" spans="2:13" x14ac:dyDescent="0.25">
      <c r="B16" s="326"/>
      <c r="C16" s="297"/>
      <c r="D16" s="297"/>
      <c r="E16" s="297"/>
      <c r="F16" s="297"/>
      <c r="G16" s="297"/>
      <c r="H16" s="297"/>
      <c r="I16" s="297"/>
      <c r="J16" s="297"/>
      <c r="K16" s="297"/>
      <c r="L16" s="298"/>
      <c r="M16" s="299"/>
    </row>
    <row r="17" spans="2:13" x14ac:dyDescent="0.25">
      <c r="B17" s="301" t="s">
        <v>99</v>
      </c>
      <c r="C17" s="301">
        <v>4</v>
      </c>
      <c r="D17" s="301">
        <v>4</v>
      </c>
      <c r="E17" s="301">
        <v>0</v>
      </c>
      <c r="F17" s="301">
        <v>0</v>
      </c>
      <c r="G17" s="301">
        <v>0</v>
      </c>
      <c r="H17" s="325"/>
      <c r="I17" s="325"/>
      <c r="J17" s="325"/>
      <c r="K17" s="325"/>
      <c r="L17" s="303"/>
      <c r="M17" s="303"/>
    </row>
    <row r="18" spans="2:13" x14ac:dyDescent="0.25">
      <c r="B18" s="305" t="s">
        <v>23</v>
      </c>
      <c r="C18" s="309">
        <v>2</v>
      </c>
      <c r="D18" s="309">
        <v>2</v>
      </c>
      <c r="E18" s="309">
        <v>2</v>
      </c>
      <c r="F18" s="309">
        <v>2</v>
      </c>
      <c r="G18" s="309">
        <v>2</v>
      </c>
      <c r="H18" s="308"/>
      <c r="I18" s="308"/>
      <c r="J18" s="308"/>
      <c r="K18" s="308"/>
      <c r="L18" s="317"/>
      <c r="M18" s="317"/>
    </row>
    <row r="19" spans="2:13" x14ac:dyDescent="0.25">
      <c r="B19" s="305" t="s">
        <v>14</v>
      </c>
      <c r="C19" s="309">
        <v>25</v>
      </c>
      <c r="D19" s="309">
        <v>20</v>
      </c>
      <c r="E19" s="309">
        <v>20</v>
      </c>
      <c r="F19" s="309">
        <v>20</v>
      </c>
      <c r="G19" s="309">
        <v>20</v>
      </c>
      <c r="H19" s="305"/>
      <c r="I19" s="305"/>
      <c r="J19" s="305"/>
      <c r="K19" s="305"/>
      <c r="L19" s="317"/>
      <c r="M19" s="317"/>
    </row>
    <row r="20" spans="2:13" x14ac:dyDescent="0.25">
      <c r="B20" s="318" t="s">
        <v>12</v>
      </c>
      <c r="C20" s="327">
        <v>2</v>
      </c>
      <c r="D20" s="327">
        <v>2</v>
      </c>
      <c r="E20" s="327">
        <v>2</v>
      </c>
      <c r="F20" s="327">
        <v>2</v>
      </c>
      <c r="G20" s="327">
        <v>2</v>
      </c>
      <c r="H20" s="318"/>
      <c r="I20" s="318"/>
      <c r="J20" s="318"/>
      <c r="K20" s="318"/>
      <c r="L20" s="319"/>
      <c r="M20" s="319"/>
    </row>
    <row r="21" spans="2:13" x14ac:dyDescent="0.25">
      <c r="B21" s="320" t="s">
        <v>9</v>
      </c>
      <c r="C21" s="345"/>
      <c r="D21" s="345"/>
      <c r="E21" s="345"/>
      <c r="F21" s="345"/>
      <c r="G21" s="345"/>
      <c r="H21" s="297"/>
      <c r="I21" s="297"/>
      <c r="J21" s="297"/>
      <c r="K21" s="297"/>
      <c r="L21" s="298"/>
      <c r="M21" s="299"/>
    </row>
    <row r="22" spans="2:13" x14ac:dyDescent="0.25">
      <c r="B22" s="301" t="s">
        <v>625</v>
      </c>
      <c r="C22" s="346">
        <v>4.5134328358208959</v>
      </c>
      <c r="D22" s="346">
        <v>4.5134328358208951</v>
      </c>
      <c r="E22" s="346">
        <v>3.0089552238805966</v>
      </c>
      <c r="F22" s="346">
        <v>2.256716417910448</v>
      </c>
      <c r="G22" s="346">
        <v>1.5044776119402985</v>
      </c>
      <c r="H22" s="302">
        <v>0.5</v>
      </c>
      <c r="I22" s="302">
        <v>1</v>
      </c>
      <c r="J22" s="302">
        <v>0.8</v>
      </c>
      <c r="K22" s="302">
        <v>1.2</v>
      </c>
      <c r="L22" s="303" t="s">
        <v>0</v>
      </c>
      <c r="M22" s="303" t="s">
        <v>487</v>
      </c>
    </row>
    <row r="23" spans="2:13" x14ac:dyDescent="0.25">
      <c r="B23" s="305" t="s">
        <v>266</v>
      </c>
      <c r="C23" s="312" t="s">
        <v>267</v>
      </c>
      <c r="D23" s="312">
        <v>75</v>
      </c>
      <c r="E23" s="312">
        <v>75</v>
      </c>
      <c r="F23" s="312">
        <v>75</v>
      </c>
      <c r="G23" s="312">
        <v>75</v>
      </c>
      <c r="H23" s="306"/>
      <c r="I23" s="306"/>
      <c r="J23" s="306"/>
      <c r="K23" s="306"/>
      <c r="L23" s="317"/>
      <c r="M23" s="317"/>
    </row>
    <row r="24" spans="2:13" x14ac:dyDescent="0.25">
      <c r="B24" s="305" t="s">
        <v>314</v>
      </c>
      <c r="C24" s="312">
        <v>25</v>
      </c>
      <c r="D24" s="312">
        <v>25</v>
      </c>
      <c r="E24" s="312">
        <v>25</v>
      </c>
      <c r="F24" s="312">
        <v>25</v>
      </c>
      <c r="G24" s="312">
        <v>25</v>
      </c>
      <c r="H24" s="306"/>
      <c r="I24" s="306"/>
      <c r="J24" s="306"/>
      <c r="K24" s="306"/>
      <c r="L24" s="317"/>
      <c r="M24" s="317"/>
    </row>
    <row r="25" spans="2:13" x14ac:dyDescent="0.25">
      <c r="B25" s="305" t="s">
        <v>630</v>
      </c>
      <c r="C25" s="313">
        <v>5.2656716417910455E-2</v>
      </c>
      <c r="D25" s="313">
        <v>5.2656716417910449E-2</v>
      </c>
      <c r="E25" s="313">
        <v>5.2656716417910449E-2</v>
      </c>
      <c r="F25" s="313">
        <v>5.2656716417910449E-2</v>
      </c>
      <c r="G25" s="313">
        <v>5.2656716417910455E-2</v>
      </c>
      <c r="H25" s="306">
        <v>0.9</v>
      </c>
      <c r="I25" s="306">
        <v>1.1000000000000001</v>
      </c>
      <c r="J25" s="306">
        <v>0.9</v>
      </c>
      <c r="K25" s="306">
        <v>1.1000000000000001</v>
      </c>
      <c r="L25" s="317" t="s">
        <v>250</v>
      </c>
      <c r="M25" s="317">
        <v>1</v>
      </c>
    </row>
    <row r="26" spans="2:13" x14ac:dyDescent="0.25">
      <c r="B26" s="305" t="s">
        <v>589</v>
      </c>
      <c r="C26" s="311">
        <v>6.2686567164179117</v>
      </c>
      <c r="D26" s="311">
        <v>6.2686567164179108</v>
      </c>
      <c r="E26" s="311">
        <v>6.2686567164179108</v>
      </c>
      <c r="F26" s="311">
        <v>6.2686567164179108</v>
      </c>
      <c r="G26" s="311">
        <v>6.2686567164179117</v>
      </c>
      <c r="H26" s="306">
        <v>0.9</v>
      </c>
      <c r="I26" s="306">
        <v>1.1000000000000001</v>
      </c>
      <c r="J26" s="306">
        <v>0.9</v>
      </c>
      <c r="K26" s="306">
        <v>1.1000000000000001</v>
      </c>
      <c r="L26" s="317" t="s">
        <v>250</v>
      </c>
      <c r="M26" s="317">
        <v>1</v>
      </c>
    </row>
    <row r="27" spans="2:13" x14ac:dyDescent="0.25">
      <c r="B27" s="318" t="s">
        <v>511</v>
      </c>
      <c r="C27" s="350">
        <v>0</v>
      </c>
      <c r="D27" s="318">
        <v>0</v>
      </c>
      <c r="E27" s="318">
        <v>0</v>
      </c>
      <c r="F27" s="318">
        <v>0</v>
      </c>
      <c r="G27" s="318">
        <v>0</v>
      </c>
      <c r="H27" s="333"/>
      <c r="I27" s="333"/>
      <c r="J27" s="333"/>
      <c r="K27" s="333"/>
      <c r="L27" s="319"/>
      <c r="M27" s="319"/>
    </row>
    <row r="28" spans="2:13" x14ac:dyDescent="0.25">
      <c r="B28" s="320" t="s">
        <v>244</v>
      </c>
      <c r="C28" s="297"/>
      <c r="D28" s="297"/>
      <c r="E28" s="297"/>
      <c r="F28" s="297"/>
      <c r="G28" s="297"/>
      <c r="H28" s="381"/>
      <c r="I28" s="381"/>
      <c r="J28" s="381"/>
      <c r="K28" s="381"/>
      <c r="L28" s="298"/>
      <c r="M28" s="299"/>
    </row>
    <row r="29" spans="2:13" x14ac:dyDescent="0.25">
      <c r="B29" s="301" t="s">
        <v>492</v>
      </c>
      <c r="C29" s="351">
        <v>20.100000000000001</v>
      </c>
      <c r="D29" s="351">
        <v>20.100000000000001</v>
      </c>
      <c r="E29" s="351">
        <v>20.100000000000001</v>
      </c>
      <c r="F29" s="351">
        <v>20.100000000000001</v>
      </c>
      <c r="G29" s="351">
        <v>20.100000000000001</v>
      </c>
      <c r="H29" s="302"/>
      <c r="I29" s="302"/>
      <c r="J29" s="302"/>
      <c r="K29" s="302"/>
      <c r="L29" s="303"/>
      <c r="M29" s="303"/>
    </row>
    <row r="30" spans="2:13" x14ac:dyDescent="0.25">
      <c r="B30" s="305" t="s">
        <v>591</v>
      </c>
      <c r="C30" s="309">
        <v>0.79</v>
      </c>
      <c r="D30" s="309">
        <v>0.79</v>
      </c>
      <c r="E30" s="309">
        <v>0.79</v>
      </c>
      <c r="F30" s="309">
        <v>0.79</v>
      </c>
      <c r="G30" s="309">
        <v>0.79</v>
      </c>
      <c r="H30" s="306"/>
      <c r="I30" s="306"/>
      <c r="J30" s="306"/>
      <c r="K30" s="306"/>
      <c r="L30" s="317"/>
      <c r="M30" s="317"/>
    </row>
    <row r="31" spans="2:13" x14ac:dyDescent="0.25">
      <c r="B31" s="305" t="s">
        <v>486</v>
      </c>
      <c r="C31" s="349">
        <v>3</v>
      </c>
      <c r="D31" s="349">
        <v>3</v>
      </c>
      <c r="E31" s="349">
        <v>2</v>
      </c>
      <c r="F31" s="349">
        <v>1.5</v>
      </c>
      <c r="G31" s="349">
        <v>1</v>
      </c>
      <c r="H31" s="306">
        <v>0.5</v>
      </c>
      <c r="I31" s="306">
        <v>1</v>
      </c>
      <c r="J31" s="306">
        <v>0.8</v>
      </c>
      <c r="K31" s="306">
        <v>1.2</v>
      </c>
      <c r="L31" s="317" t="s">
        <v>0</v>
      </c>
      <c r="M31" s="317" t="s">
        <v>487</v>
      </c>
    </row>
    <row r="32" spans="2:13" x14ac:dyDescent="0.25">
      <c r="B32" s="305" t="s">
        <v>266</v>
      </c>
      <c r="C32" s="312" t="s">
        <v>267</v>
      </c>
      <c r="D32" s="312">
        <v>75</v>
      </c>
      <c r="E32" s="312">
        <v>75</v>
      </c>
      <c r="F32" s="312">
        <v>75</v>
      </c>
      <c r="G32" s="312">
        <v>75</v>
      </c>
      <c r="H32" s="306"/>
      <c r="I32" s="306"/>
      <c r="J32" s="306"/>
      <c r="K32" s="306"/>
      <c r="L32" s="317"/>
      <c r="M32" s="317"/>
    </row>
    <row r="33" spans="2:13" x14ac:dyDescent="0.25">
      <c r="B33" s="305" t="s">
        <v>314</v>
      </c>
      <c r="C33" s="312">
        <v>25</v>
      </c>
      <c r="D33" s="312">
        <v>25</v>
      </c>
      <c r="E33" s="312">
        <v>25</v>
      </c>
      <c r="F33" s="312">
        <v>25</v>
      </c>
      <c r="G33" s="312">
        <v>25</v>
      </c>
      <c r="H33" s="306"/>
      <c r="I33" s="306"/>
      <c r="J33" s="306"/>
      <c r="K33" s="306"/>
      <c r="L33" s="317"/>
      <c r="M33" s="317"/>
    </row>
    <row r="34" spans="2:13" x14ac:dyDescent="0.25">
      <c r="B34" s="305" t="s">
        <v>488</v>
      </c>
      <c r="C34" s="313">
        <v>3.5000000000000003E-2</v>
      </c>
      <c r="D34" s="313">
        <v>3.5000000000000003E-2</v>
      </c>
      <c r="E34" s="313">
        <v>3.5000000000000003E-2</v>
      </c>
      <c r="F34" s="313">
        <v>3.5000000000000003E-2</v>
      </c>
      <c r="G34" s="313">
        <v>3.5000000000000003E-2</v>
      </c>
      <c r="H34" s="306">
        <v>0.9</v>
      </c>
      <c r="I34" s="306">
        <v>1.1000000000000001</v>
      </c>
      <c r="J34" s="306">
        <v>0.9</v>
      </c>
      <c r="K34" s="306">
        <v>1.1000000000000001</v>
      </c>
      <c r="L34" s="317" t="s">
        <v>250</v>
      </c>
      <c r="M34" s="317">
        <v>1</v>
      </c>
    </row>
    <row r="35" spans="2:13" x14ac:dyDescent="0.25">
      <c r="B35" s="305" t="s">
        <v>489</v>
      </c>
      <c r="C35" s="313">
        <v>3.5000000000000003E-2</v>
      </c>
      <c r="D35" s="313">
        <v>3.5000000000000003E-2</v>
      </c>
      <c r="E35" s="313">
        <v>3.5000000000000003E-2</v>
      </c>
      <c r="F35" s="313">
        <v>3.5000000000000003E-2</v>
      </c>
      <c r="G35" s="313">
        <v>3.5000000000000003E-2</v>
      </c>
      <c r="H35" s="306">
        <v>0.9</v>
      </c>
      <c r="I35" s="306">
        <v>1.1000000000000001</v>
      </c>
      <c r="J35" s="306">
        <v>0.9</v>
      </c>
      <c r="K35" s="306">
        <v>1.1000000000000001</v>
      </c>
      <c r="L35" s="317" t="s">
        <v>250</v>
      </c>
      <c r="M35" s="317">
        <v>1</v>
      </c>
    </row>
    <row r="36" spans="2:13" x14ac:dyDescent="0.25">
      <c r="B36" s="305" t="s">
        <v>511</v>
      </c>
      <c r="C36" s="312">
        <v>0</v>
      </c>
      <c r="D36" s="305">
        <v>0</v>
      </c>
      <c r="E36" s="305">
        <v>0</v>
      </c>
      <c r="F36" s="305"/>
      <c r="G36" s="305">
        <v>0</v>
      </c>
      <c r="H36" s="305"/>
      <c r="I36" s="305"/>
      <c r="J36" s="305"/>
      <c r="K36" s="305"/>
      <c r="L36" s="317"/>
      <c r="M36" s="317"/>
    </row>
    <row r="38" spans="2:13" x14ac:dyDescent="0.25">
      <c r="B38" s="253" t="s">
        <v>6</v>
      </c>
    </row>
    <row r="39" spans="2:13" x14ac:dyDescent="0.25">
      <c r="B39" s="252" t="s">
        <v>512</v>
      </c>
    </row>
    <row r="40" spans="2:13" x14ac:dyDescent="0.25">
      <c r="B40" s="252" t="s">
        <v>494</v>
      </c>
    </row>
    <row r="41" spans="2:13" x14ac:dyDescent="0.25">
      <c r="B41" s="252" t="s">
        <v>513</v>
      </c>
    </row>
    <row r="42" spans="2:13" x14ac:dyDescent="0.25">
      <c r="B42" s="252" t="s">
        <v>514</v>
      </c>
    </row>
    <row r="43" spans="2:13" x14ac:dyDescent="0.25">
      <c r="B43" s="252" t="s">
        <v>515</v>
      </c>
    </row>
    <row r="44" spans="2:13" x14ac:dyDescent="0.25">
      <c r="B44" s="252" t="s">
        <v>516</v>
      </c>
    </row>
    <row r="45" spans="2:13" x14ac:dyDescent="0.25">
      <c r="B45" s="252" t="s">
        <v>517</v>
      </c>
    </row>
    <row r="46" spans="2:13" x14ac:dyDescent="0.25">
      <c r="B46" s="252" t="s">
        <v>518</v>
      </c>
    </row>
    <row r="47" spans="2:13" x14ac:dyDescent="0.25">
      <c r="B47" s="252" t="s">
        <v>519</v>
      </c>
    </row>
    <row r="49" spans="2:2" x14ac:dyDescent="0.25">
      <c r="B49" s="253" t="s">
        <v>287</v>
      </c>
    </row>
    <row r="50" spans="2:2" x14ac:dyDescent="0.25">
      <c r="B50" s="252" t="s">
        <v>520</v>
      </c>
    </row>
    <row r="51" spans="2:2" x14ac:dyDescent="0.25">
      <c r="B51" s="252" t="s">
        <v>521</v>
      </c>
    </row>
    <row r="52" spans="2:2" x14ac:dyDescent="0.25">
      <c r="B52" s="252" t="s">
        <v>522</v>
      </c>
    </row>
    <row r="53" spans="2:2" x14ac:dyDescent="0.25">
      <c r="B53" s="252" t="s">
        <v>523</v>
      </c>
    </row>
    <row r="54" spans="2:2" x14ac:dyDescent="0.25">
      <c r="B54" s="252" t="s">
        <v>524</v>
      </c>
    </row>
    <row r="55" spans="2:2" x14ac:dyDescent="0.25">
      <c r="B55" s="252" t="s">
        <v>525</v>
      </c>
    </row>
    <row r="56" spans="2:2" x14ac:dyDescent="0.25">
      <c r="B56" s="252" t="s">
        <v>526</v>
      </c>
    </row>
    <row r="57" spans="2:2" x14ac:dyDescent="0.25">
      <c r="B57" s="252" t="s">
        <v>527</v>
      </c>
    </row>
    <row r="58" spans="2:2" x14ac:dyDescent="0.25">
      <c r="B58" s="252" t="s">
        <v>528</v>
      </c>
    </row>
    <row r="59" spans="2:2" x14ac:dyDescent="0.25">
      <c r="B59" s="252" t="s">
        <v>529</v>
      </c>
    </row>
    <row r="60" spans="2:2" x14ac:dyDescent="0.25">
      <c r="B60" s="252" t="s">
        <v>530</v>
      </c>
    </row>
    <row r="61" spans="2:2" x14ac:dyDescent="0.25">
      <c r="B61" s="252" t="s">
        <v>531</v>
      </c>
    </row>
    <row r="62" spans="2:2" x14ac:dyDescent="0.25">
      <c r="B62" s="252" t="s">
        <v>532</v>
      </c>
    </row>
  </sheetData>
  <mergeCells count="3">
    <mergeCell ref="C3:M3"/>
    <mergeCell ref="H4:I4"/>
    <mergeCell ref="J4:K4"/>
  </mergeCells>
  <hyperlinks>
    <hyperlink ref="B50" r:id="rId1" display="http://serenergy.com/next-generation-of-methanol-fuel-cell-vehicles-sees-the-light-of-day/"/>
    <hyperlink ref="B51" r:id="rId2" display="https://eu-ems.com/event_images/presentations/Benedikt Stefansson presentation.pdf"/>
    <hyperlink ref="B52" r:id="rId3" display="https://www.co2-cato.org/cato-download/4123/20170512_143353_20-11.00-Stefansson-public.pdf"/>
    <hyperlink ref="B53" r:id="rId4" display="http://www.mefco2.eu/pdf/MefCO2_Brochure_00.pdf"/>
    <hyperlink ref="B54" r:id="rId5" display="http://dx.doi.org/10.1016/j.ijhydene.2015.12.074"/>
    <hyperlink ref="B55" r:id="rId6" display="http://www.methanol.org/the-methanol-industry/"/>
    <hyperlink ref="B56" r:id="rId7" display="https://energy.gov/sites/prod/files/2017/06/f34/fcto_may_2017_h2_scale_wkshp_hovsapian.pdf"/>
    <hyperlink ref="B57" r:id="rId8" display="https://doi.org/10.1016/j.renene.2015.07.066"/>
    <hyperlink ref="B58" r:id="rId9" display="http://serenergy.com/wp-content/uploads/2015/11/GreenSynFuels_report_final.pdf"/>
    <hyperlink ref="B59" r:id="rId10" display="https://www.topsoe.com/processes/gasoline-synthesis/gasoline-synthesis-tigas"/>
    <hyperlink ref="B60" r:id="rId11" display="https://dx.doi.org/10.2790/981669"/>
    <hyperlink ref="B61" r:id="rId12" display="http://www.enea-consulting.com/wp-content/uploads/2016/01/ENEA-Consulting-The-potential-of-power-to-gas.pdf"/>
    <hyperlink ref="B62" r:id="rId13" display="http://carbonrecycling.is/comercial-scale/"/>
    <hyperlink ref="C3" location="INDEX" display="Power to Methanol"/>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2:M56"/>
  <sheetViews>
    <sheetView showGridLines="0" workbookViewId="0">
      <selection activeCell="D18" sqref="D18"/>
    </sheetView>
  </sheetViews>
  <sheetFormatPr defaultRowHeight="15" x14ac:dyDescent="0.25"/>
  <cols>
    <col min="1" max="1" width="2.140625" customWidth="1"/>
    <col min="2" max="2" width="39.85546875" customWidth="1"/>
    <col min="3" max="12" width="6.7109375" customWidth="1"/>
  </cols>
  <sheetData>
    <row r="2" spans="2:13" x14ac:dyDescent="0.25">
      <c r="H2" s="255"/>
    </row>
    <row r="3" spans="2:13" ht="15" customHeight="1" x14ac:dyDescent="0.25">
      <c r="B3" s="292" t="s">
        <v>20</v>
      </c>
      <c r="C3" s="654" t="s">
        <v>533</v>
      </c>
      <c r="D3" s="661"/>
      <c r="E3" s="661"/>
      <c r="F3" s="661"/>
      <c r="G3" s="661"/>
      <c r="H3" s="661"/>
      <c r="I3" s="661"/>
      <c r="J3" s="661"/>
      <c r="K3" s="661"/>
      <c r="L3" s="661"/>
      <c r="M3" s="661"/>
    </row>
    <row r="4" spans="2:13" ht="15" customHeight="1" x14ac:dyDescent="0.25">
      <c r="B4" s="305"/>
      <c r="C4" s="305">
        <v>2015</v>
      </c>
      <c r="D4" s="305">
        <v>2020</v>
      </c>
      <c r="E4" s="305">
        <v>2030</v>
      </c>
      <c r="F4" s="305">
        <v>2040</v>
      </c>
      <c r="G4" s="305">
        <v>2050</v>
      </c>
      <c r="H4" s="662" t="s">
        <v>25</v>
      </c>
      <c r="I4" s="662"/>
      <c r="J4" s="662" t="s">
        <v>24</v>
      </c>
      <c r="K4" s="662"/>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534</v>
      </c>
      <c r="C7" s="301">
        <v>70</v>
      </c>
      <c r="D7" s="301">
        <v>100</v>
      </c>
      <c r="E7" s="301">
        <v>250</v>
      </c>
      <c r="F7" s="301">
        <v>500</v>
      </c>
      <c r="G7" s="301">
        <v>700</v>
      </c>
      <c r="H7" s="302">
        <v>0.75</v>
      </c>
      <c r="I7" s="302">
        <v>1.25</v>
      </c>
      <c r="J7" s="302">
        <v>0.75</v>
      </c>
      <c r="K7" s="302">
        <v>1.25</v>
      </c>
      <c r="L7" s="303" t="s">
        <v>299</v>
      </c>
      <c r="M7" s="303" t="s">
        <v>535</v>
      </c>
    </row>
    <row r="8" spans="2:13" x14ac:dyDescent="0.25">
      <c r="B8" s="318" t="s">
        <v>427</v>
      </c>
      <c r="C8" s="382">
        <v>2.3148148148148149</v>
      </c>
      <c r="D8" s="382">
        <v>3.306878306878307</v>
      </c>
      <c r="E8" s="382">
        <v>8.2671957671957657</v>
      </c>
      <c r="F8" s="382">
        <v>16.534391534391531</v>
      </c>
      <c r="G8" s="382">
        <v>23.148148148148149</v>
      </c>
      <c r="H8" s="333">
        <v>0.75</v>
      </c>
      <c r="I8" s="333">
        <v>1.25</v>
      </c>
      <c r="J8" s="333">
        <v>0.75</v>
      </c>
      <c r="K8" s="333">
        <v>1.25</v>
      </c>
      <c r="L8" s="319" t="s">
        <v>631</v>
      </c>
      <c r="M8" s="319" t="s">
        <v>535</v>
      </c>
    </row>
    <row r="9" spans="2:13" x14ac:dyDescent="0.25">
      <c r="B9" s="320" t="s">
        <v>255</v>
      </c>
      <c r="C9" s="297"/>
      <c r="D9" s="297"/>
      <c r="E9" s="297"/>
      <c r="F9" s="297"/>
      <c r="G9" s="297"/>
      <c r="H9" s="297"/>
      <c r="I9" s="297"/>
      <c r="J9" s="297"/>
      <c r="K9" s="297"/>
      <c r="L9" s="298"/>
      <c r="M9" s="299"/>
    </row>
    <row r="10" spans="2:13" x14ac:dyDescent="0.25">
      <c r="B10" s="301" t="s">
        <v>536</v>
      </c>
      <c r="C10" s="301">
        <v>0.53</v>
      </c>
      <c r="D10" s="301">
        <v>0.53</v>
      </c>
      <c r="E10" s="301">
        <v>0.53</v>
      </c>
      <c r="F10" s="301">
        <v>0.53</v>
      </c>
      <c r="G10" s="301">
        <v>0.53</v>
      </c>
      <c r="H10" s="325">
        <v>0.8</v>
      </c>
      <c r="I10" s="325">
        <v>1.2</v>
      </c>
      <c r="J10" s="325">
        <v>0.8</v>
      </c>
      <c r="K10" s="325">
        <v>1.2</v>
      </c>
      <c r="L10" s="303" t="s">
        <v>537</v>
      </c>
      <c r="M10" s="303">
        <v>2</v>
      </c>
    </row>
    <row r="11" spans="2:13" x14ac:dyDescent="0.25">
      <c r="B11" s="305" t="s">
        <v>538</v>
      </c>
      <c r="C11" s="305">
        <v>0.46</v>
      </c>
      <c r="D11" s="305">
        <v>0.46</v>
      </c>
      <c r="E11" s="305">
        <v>0.46</v>
      </c>
      <c r="F11" s="305">
        <v>0.46</v>
      </c>
      <c r="G11" s="305">
        <v>0.46</v>
      </c>
      <c r="H11" s="308">
        <v>0.8</v>
      </c>
      <c r="I11" s="308">
        <v>1.2</v>
      </c>
      <c r="J11" s="308">
        <v>0.8</v>
      </c>
      <c r="K11" s="308">
        <v>1.2</v>
      </c>
      <c r="L11" s="317" t="s">
        <v>632</v>
      </c>
      <c r="M11" s="317">
        <v>2</v>
      </c>
    </row>
    <row r="12" spans="2:13" x14ac:dyDescent="0.25">
      <c r="B12" s="318" t="s">
        <v>260</v>
      </c>
      <c r="C12" s="318">
        <v>0.01</v>
      </c>
      <c r="D12" s="318">
        <v>0.01</v>
      </c>
      <c r="E12" s="318">
        <v>0.01</v>
      </c>
      <c r="F12" s="318">
        <v>0.01</v>
      </c>
      <c r="G12" s="318">
        <v>0.01</v>
      </c>
      <c r="H12" s="323">
        <v>0.5</v>
      </c>
      <c r="I12" s="323">
        <v>1.5</v>
      </c>
      <c r="J12" s="323">
        <v>0.5</v>
      </c>
      <c r="K12" s="323">
        <v>1.5</v>
      </c>
      <c r="L12" s="319" t="s">
        <v>2</v>
      </c>
      <c r="M12" s="319">
        <v>2</v>
      </c>
    </row>
    <row r="13" spans="2:13" x14ac:dyDescent="0.25">
      <c r="B13" s="320" t="s">
        <v>241</v>
      </c>
      <c r="C13" s="297"/>
      <c r="D13" s="297"/>
      <c r="E13" s="297"/>
      <c r="F13" s="297"/>
      <c r="G13" s="297"/>
      <c r="H13" s="324"/>
      <c r="I13" s="324"/>
      <c r="J13" s="324"/>
      <c r="K13" s="324"/>
      <c r="L13" s="298"/>
      <c r="M13" s="299"/>
    </row>
    <row r="14" spans="2:13" x14ac:dyDescent="0.25">
      <c r="B14" s="301" t="s">
        <v>539</v>
      </c>
      <c r="C14" s="301">
        <v>0.89</v>
      </c>
      <c r="D14" s="301">
        <v>0.89</v>
      </c>
      <c r="E14" s="301">
        <v>0.89</v>
      </c>
      <c r="F14" s="301">
        <v>0.89</v>
      </c>
      <c r="G14" s="301">
        <v>0.89</v>
      </c>
      <c r="H14" s="302">
        <v>0.9</v>
      </c>
      <c r="I14" s="302">
        <v>1.1000000000000001</v>
      </c>
      <c r="J14" s="302">
        <v>0.95</v>
      </c>
      <c r="K14" s="302">
        <v>1.05</v>
      </c>
      <c r="L14" s="303" t="s">
        <v>40</v>
      </c>
      <c r="M14" s="303">
        <v>2</v>
      </c>
    </row>
    <row r="15" spans="2:13" x14ac:dyDescent="0.25">
      <c r="B15" s="318" t="s">
        <v>600</v>
      </c>
      <c r="C15" s="383">
        <v>0.1</v>
      </c>
      <c r="D15" s="383">
        <v>0.1</v>
      </c>
      <c r="E15" s="383">
        <v>0.1</v>
      </c>
      <c r="F15" s="383">
        <v>0.1</v>
      </c>
      <c r="G15" s="383">
        <v>0.1</v>
      </c>
      <c r="H15" s="323">
        <v>0.5</v>
      </c>
      <c r="I15" s="323">
        <v>1.5</v>
      </c>
      <c r="J15" s="323">
        <v>0.5</v>
      </c>
      <c r="K15" s="323">
        <v>1.5</v>
      </c>
      <c r="L15" s="319" t="s">
        <v>40</v>
      </c>
      <c r="M15" s="319">
        <v>2</v>
      </c>
    </row>
    <row r="16" spans="2:13" x14ac:dyDescent="0.25">
      <c r="B16" s="326"/>
      <c r="C16" s="297"/>
      <c r="D16" s="297"/>
      <c r="E16" s="297"/>
      <c r="F16" s="297"/>
      <c r="G16" s="297"/>
      <c r="H16" s="324"/>
      <c r="I16" s="324"/>
      <c r="J16" s="324"/>
      <c r="K16" s="324"/>
      <c r="L16" s="298"/>
      <c r="M16" s="299"/>
    </row>
    <row r="17" spans="2:13" x14ac:dyDescent="0.25">
      <c r="B17" s="301" t="s">
        <v>99</v>
      </c>
      <c r="C17" s="301">
        <v>4</v>
      </c>
      <c r="D17" s="301">
        <v>4</v>
      </c>
      <c r="E17" s="301">
        <v>0</v>
      </c>
      <c r="F17" s="301">
        <v>0</v>
      </c>
      <c r="G17" s="301">
        <v>0</v>
      </c>
      <c r="H17" s="301"/>
      <c r="I17" s="301"/>
      <c r="J17" s="301"/>
      <c r="K17" s="301"/>
      <c r="L17" s="303" t="s">
        <v>0</v>
      </c>
      <c r="M17" s="303"/>
    </row>
    <row r="18" spans="2:13" x14ac:dyDescent="0.25">
      <c r="B18" s="305" t="s">
        <v>23</v>
      </c>
      <c r="C18" s="309">
        <v>2</v>
      </c>
      <c r="D18" s="309">
        <v>2</v>
      </c>
      <c r="E18" s="309">
        <v>2</v>
      </c>
      <c r="F18" s="309">
        <v>2</v>
      </c>
      <c r="G18" s="309">
        <v>2</v>
      </c>
      <c r="H18" s="305"/>
      <c r="I18" s="305"/>
      <c r="J18" s="305"/>
      <c r="K18" s="305"/>
      <c r="L18" s="317"/>
      <c r="M18" s="317"/>
    </row>
    <row r="19" spans="2:13" x14ac:dyDescent="0.25">
      <c r="B19" s="305" t="s">
        <v>14</v>
      </c>
      <c r="C19" s="309">
        <v>25</v>
      </c>
      <c r="D19" s="309">
        <v>25</v>
      </c>
      <c r="E19" s="309">
        <v>25</v>
      </c>
      <c r="F19" s="309">
        <v>25</v>
      </c>
      <c r="G19" s="309">
        <v>25</v>
      </c>
      <c r="H19" s="305"/>
      <c r="I19" s="305"/>
      <c r="J19" s="305"/>
      <c r="K19" s="305"/>
      <c r="L19" s="317"/>
      <c r="M19" s="317"/>
    </row>
    <row r="20" spans="2:13" x14ac:dyDescent="0.25">
      <c r="B20" s="318" t="s">
        <v>12</v>
      </c>
      <c r="C20" s="327">
        <v>1</v>
      </c>
      <c r="D20" s="327">
        <v>1</v>
      </c>
      <c r="E20" s="327">
        <v>1</v>
      </c>
      <c r="F20" s="327">
        <v>1</v>
      </c>
      <c r="G20" s="327">
        <v>1</v>
      </c>
      <c r="H20" s="318"/>
      <c r="I20" s="318"/>
      <c r="J20" s="318"/>
      <c r="K20" s="318"/>
      <c r="L20" s="319"/>
      <c r="M20" s="319"/>
    </row>
    <row r="21" spans="2:13" x14ac:dyDescent="0.25">
      <c r="B21" s="320" t="s">
        <v>9</v>
      </c>
      <c r="C21" s="345"/>
      <c r="D21" s="345"/>
      <c r="E21" s="345"/>
      <c r="F21" s="345"/>
      <c r="G21" s="345"/>
      <c r="H21" s="297"/>
      <c r="I21" s="297"/>
      <c r="J21" s="297"/>
      <c r="K21" s="297"/>
      <c r="L21" s="298"/>
      <c r="M21" s="299"/>
    </row>
    <row r="22" spans="2:13" x14ac:dyDescent="0.25">
      <c r="B22" s="301" t="s">
        <v>633</v>
      </c>
      <c r="C22" s="346">
        <v>1.0886400000000001</v>
      </c>
      <c r="D22" s="346">
        <v>0.90720000000000001</v>
      </c>
      <c r="E22" s="346">
        <v>0.75600000000000012</v>
      </c>
      <c r="F22" s="346">
        <v>0.60480000000000012</v>
      </c>
      <c r="G22" s="346">
        <v>0.4536</v>
      </c>
      <c r="H22" s="302">
        <v>0.5</v>
      </c>
      <c r="I22" s="302">
        <v>1.5</v>
      </c>
      <c r="J22" s="302">
        <v>0.5</v>
      </c>
      <c r="K22" s="302">
        <v>1.5</v>
      </c>
      <c r="L22" s="303" t="s">
        <v>41</v>
      </c>
      <c r="M22" s="303">
        <v>1</v>
      </c>
    </row>
    <row r="23" spans="2:13" x14ac:dyDescent="0.25">
      <c r="B23" s="305" t="s">
        <v>313</v>
      </c>
      <c r="C23" s="305">
        <v>75</v>
      </c>
      <c r="D23" s="305">
        <v>75</v>
      </c>
      <c r="E23" s="305">
        <v>75</v>
      </c>
      <c r="F23" s="305">
        <v>75</v>
      </c>
      <c r="G23" s="305">
        <v>75</v>
      </c>
      <c r="H23" s="306"/>
      <c r="I23" s="306"/>
      <c r="J23" s="306"/>
      <c r="K23" s="306"/>
      <c r="L23" s="317"/>
      <c r="M23" s="317"/>
    </row>
    <row r="24" spans="2:13" x14ac:dyDescent="0.25">
      <c r="B24" s="305" t="s">
        <v>314</v>
      </c>
      <c r="C24" s="312">
        <v>25</v>
      </c>
      <c r="D24" s="305">
        <v>25</v>
      </c>
      <c r="E24" s="305">
        <v>25</v>
      </c>
      <c r="F24" s="305">
        <v>25</v>
      </c>
      <c r="G24" s="305">
        <v>25</v>
      </c>
      <c r="H24" s="306"/>
      <c r="I24" s="306"/>
      <c r="J24" s="306"/>
      <c r="K24" s="306"/>
      <c r="L24" s="317"/>
      <c r="M24" s="317"/>
    </row>
    <row r="25" spans="2:13" x14ac:dyDescent="0.25">
      <c r="B25" s="305" t="s">
        <v>634</v>
      </c>
      <c r="C25" s="376">
        <v>4.3545599999999997E-2</v>
      </c>
      <c r="D25" s="313">
        <v>3.6288000000000001E-2</v>
      </c>
      <c r="E25" s="313">
        <v>3.0240000000000006E-2</v>
      </c>
      <c r="F25" s="313">
        <v>2.4192000000000005E-2</v>
      </c>
      <c r="G25" s="313">
        <v>1.8144E-2</v>
      </c>
      <c r="H25" s="306">
        <v>0.9</v>
      </c>
      <c r="I25" s="306">
        <v>1.1000000000000001</v>
      </c>
      <c r="J25" s="306">
        <v>0.9</v>
      </c>
      <c r="K25" s="306">
        <v>1.1000000000000001</v>
      </c>
      <c r="L25" s="317"/>
      <c r="M25" s="317">
        <v>1</v>
      </c>
    </row>
    <row r="26" spans="2:13" x14ac:dyDescent="0.25">
      <c r="B26" s="305" t="s">
        <v>635</v>
      </c>
      <c r="C26" s="311">
        <v>5.1840000000000002</v>
      </c>
      <c r="D26" s="311">
        <v>4.32</v>
      </c>
      <c r="E26" s="311">
        <v>3.6000000000000005</v>
      </c>
      <c r="F26" s="311">
        <v>2.8800000000000003</v>
      </c>
      <c r="G26" s="311">
        <v>2.16</v>
      </c>
      <c r="H26" s="306">
        <v>0.9</v>
      </c>
      <c r="I26" s="306">
        <v>1.1000000000000001</v>
      </c>
      <c r="J26" s="306">
        <v>0.9</v>
      </c>
      <c r="K26" s="306">
        <v>1.1000000000000001</v>
      </c>
      <c r="L26" s="317"/>
      <c r="M26" s="317">
        <v>1</v>
      </c>
    </row>
    <row r="27" spans="2:13" x14ac:dyDescent="0.25">
      <c r="B27" s="318" t="s">
        <v>542</v>
      </c>
      <c r="C27" s="318">
        <v>0</v>
      </c>
      <c r="D27" s="318">
        <v>0</v>
      </c>
      <c r="E27" s="318">
        <v>0</v>
      </c>
      <c r="F27" s="318">
        <v>0</v>
      </c>
      <c r="G27" s="318">
        <v>0</v>
      </c>
      <c r="H27" s="333"/>
      <c r="I27" s="333"/>
      <c r="J27" s="333"/>
      <c r="K27" s="333"/>
      <c r="L27" s="319"/>
      <c r="M27" s="319"/>
    </row>
    <row r="28" spans="2:13" x14ac:dyDescent="0.25">
      <c r="B28" s="320" t="s">
        <v>244</v>
      </c>
      <c r="C28" s="297"/>
      <c r="D28" s="297"/>
      <c r="E28" s="297"/>
      <c r="F28" s="297"/>
      <c r="G28" s="297"/>
      <c r="H28" s="381"/>
      <c r="I28" s="381"/>
      <c r="J28" s="381"/>
      <c r="K28" s="381"/>
      <c r="L28" s="298"/>
      <c r="M28" s="299"/>
    </row>
    <row r="29" spans="2:13" x14ac:dyDescent="0.25">
      <c r="B29" s="301" t="s">
        <v>543</v>
      </c>
      <c r="C29" s="351">
        <v>50.7</v>
      </c>
      <c r="D29" s="351">
        <v>50.7</v>
      </c>
      <c r="E29" s="351">
        <v>50.7</v>
      </c>
      <c r="F29" s="351">
        <v>50.7</v>
      </c>
      <c r="G29" s="351">
        <v>50.7</v>
      </c>
      <c r="H29" s="302"/>
      <c r="I29" s="302"/>
      <c r="J29" s="302"/>
      <c r="K29" s="302"/>
      <c r="L29" s="303"/>
      <c r="M29" s="303"/>
    </row>
    <row r="30" spans="2:13" x14ac:dyDescent="0.25">
      <c r="B30" s="305" t="s">
        <v>636</v>
      </c>
      <c r="C30" s="305">
        <v>3.5999999999999997E-2</v>
      </c>
      <c r="D30" s="305">
        <v>0.03</v>
      </c>
      <c r="E30" s="305">
        <v>2.5000000000000001E-2</v>
      </c>
      <c r="F30" s="305">
        <v>0.02</v>
      </c>
      <c r="G30" s="305">
        <v>1.4999999999999999E-2</v>
      </c>
      <c r="H30" s="306">
        <v>0.5</v>
      </c>
      <c r="I30" s="306">
        <v>1.5</v>
      </c>
      <c r="J30" s="306">
        <v>0.5</v>
      </c>
      <c r="K30" s="306">
        <v>1.5</v>
      </c>
      <c r="L30" s="317" t="s">
        <v>41</v>
      </c>
      <c r="M30" s="317">
        <v>1</v>
      </c>
    </row>
    <row r="31" spans="2:13" x14ac:dyDescent="0.25">
      <c r="B31" s="305" t="s">
        <v>313</v>
      </c>
      <c r="C31" s="305">
        <v>75</v>
      </c>
      <c r="D31" s="305">
        <v>75</v>
      </c>
      <c r="E31" s="305">
        <v>75</v>
      </c>
      <c r="F31" s="305">
        <v>75</v>
      </c>
      <c r="G31" s="305">
        <v>75</v>
      </c>
      <c r="H31" s="306"/>
      <c r="I31" s="306"/>
      <c r="J31" s="306"/>
      <c r="K31" s="306"/>
      <c r="L31" s="317"/>
      <c r="M31" s="317"/>
    </row>
    <row r="32" spans="2:13" x14ac:dyDescent="0.25">
      <c r="B32" s="305" t="s">
        <v>314</v>
      </c>
      <c r="C32" s="312">
        <v>25</v>
      </c>
      <c r="D32" s="305">
        <v>25</v>
      </c>
      <c r="E32" s="305">
        <v>25</v>
      </c>
      <c r="F32" s="305">
        <v>25</v>
      </c>
      <c r="G32" s="305">
        <v>25</v>
      </c>
      <c r="H32" s="306"/>
      <c r="I32" s="306"/>
      <c r="J32" s="306"/>
      <c r="K32" s="306"/>
      <c r="L32" s="317"/>
      <c r="M32" s="317"/>
    </row>
    <row r="33" spans="2:13" x14ac:dyDescent="0.25">
      <c r="B33" s="305" t="s">
        <v>540</v>
      </c>
      <c r="C33" s="310">
        <v>0.14399999999999999</v>
      </c>
      <c r="D33" s="311">
        <v>0.12</v>
      </c>
      <c r="E33" s="311">
        <v>0.1</v>
      </c>
      <c r="F33" s="311">
        <v>0.08</v>
      </c>
      <c r="G33" s="311">
        <v>0.06</v>
      </c>
      <c r="H33" s="306">
        <v>0.9</v>
      </c>
      <c r="I33" s="306">
        <v>1.1000000000000001</v>
      </c>
      <c r="J33" s="306">
        <v>0.9</v>
      </c>
      <c r="K33" s="306">
        <v>1.1000000000000001</v>
      </c>
      <c r="L33" s="317"/>
      <c r="M33" s="317">
        <v>1</v>
      </c>
    </row>
    <row r="34" spans="2:13" x14ac:dyDescent="0.25">
      <c r="B34" s="305" t="s">
        <v>541</v>
      </c>
      <c r="C34" s="311">
        <v>0.14399999999999999</v>
      </c>
      <c r="D34" s="311">
        <v>0.12</v>
      </c>
      <c r="E34" s="311">
        <v>0.1</v>
      </c>
      <c r="F34" s="311">
        <v>0.08</v>
      </c>
      <c r="G34" s="311">
        <v>0.06</v>
      </c>
      <c r="H34" s="306">
        <v>0.9</v>
      </c>
      <c r="I34" s="306">
        <v>1.1000000000000001</v>
      </c>
      <c r="J34" s="306">
        <v>0.9</v>
      </c>
      <c r="K34" s="306">
        <v>1.1000000000000001</v>
      </c>
      <c r="L34" s="317"/>
      <c r="M34" s="317">
        <v>1</v>
      </c>
    </row>
    <row r="35" spans="2:13" x14ac:dyDescent="0.25">
      <c r="B35" s="305" t="s">
        <v>542</v>
      </c>
      <c r="C35" s="305">
        <v>0</v>
      </c>
      <c r="D35" s="305">
        <v>0</v>
      </c>
      <c r="E35" s="305">
        <v>0</v>
      </c>
      <c r="F35" s="305">
        <v>0</v>
      </c>
      <c r="G35" s="305">
        <v>0</v>
      </c>
      <c r="H35" s="308"/>
      <c r="I35" s="308"/>
      <c r="J35" s="308"/>
      <c r="K35" s="308"/>
      <c r="L35" s="317"/>
      <c r="M35" s="317"/>
    </row>
    <row r="37" spans="2:13" x14ac:dyDescent="0.25">
      <c r="B37" s="253" t="s">
        <v>6</v>
      </c>
    </row>
    <row r="38" spans="2:13" x14ac:dyDescent="0.25">
      <c r="B38" s="252" t="s">
        <v>544</v>
      </c>
    </row>
    <row r="39" spans="2:13" x14ac:dyDescent="0.25">
      <c r="B39" s="252" t="s">
        <v>545</v>
      </c>
    </row>
    <row r="40" spans="2:13" x14ac:dyDescent="0.25">
      <c r="B40" s="252" t="s">
        <v>546</v>
      </c>
    </row>
    <row r="41" spans="2:13" x14ac:dyDescent="0.25">
      <c r="B41" s="252" t="s">
        <v>547</v>
      </c>
    </row>
    <row r="42" spans="2:13" x14ac:dyDescent="0.25">
      <c r="B42" s="252" t="s">
        <v>548</v>
      </c>
    </row>
    <row r="43" spans="2:13" x14ac:dyDescent="0.25">
      <c r="B43" s="252" t="s">
        <v>549</v>
      </c>
    </row>
    <row r="44" spans="2:13" x14ac:dyDescent="0.25">
      <c r="B44" s="252" t="s">
        <v>550</v>
      </c>
    </row>
    <row r="45" spans="2:13" x14ac:dyDescent="0.25">
      <c r="B45" s="252" t="s">
        <v>551</v>
      </c>
    </row>
    <row r="46" spans="2:13" x14ac:dyDescent="0.25">
      <c r="B46" s="252" t="s">
        <v>552</v>
      </c>
    </row>
    <row r="48" spans="2:13" x14ac:dyDescent="0.25">
      <c r="B48" s="253" t="s">
        <v>287</v>
      </c>
    </row>
    <row r="49" spans="2:2" x14ac:dyDescent="0.25">
      <c r="B49" s="252" t="s">
        <v>553</v>
      </c>
    </row>
    <row r="50" spans="2:2" x14ac:dyDescent="0.25">
      <c r="B50" s="252" t="s">
        <v>554</v>
      </c>
    </row>
    <row r="51" spans="2:2" x14ac:dyDescent="0.25">
      <c r="B51" s="252" t="s">
        <v>555</v>
      </c>
    </row>
    <row r="52" spans="2:2" x14ac:dyDescent="0.25">
      <c r="B52" s="252" t="s">
        <v>556</v>
      </c>
    </row>
    <row r="53" spans="2:2" x14ac:dyDescent="0.25">
      <c r="B53" s="252" t="s">
        <v>557</v>
      </c>
    </row>
    <row r="54" spans="2:2" x14ac:dyDescent="0.25">
      <c r="B54" s="252" t="s">
        <v>558</v>
      </c>
    </row>
    <row r="55" spans="2:2" x14ac:dyDescent="0.25">
      <c r="B55" s="252" t="s">
        <v>583</v>
      </c>
    </row>
    <row r="56" spans="2:2" x14ac:dyDescent="0.25">
      <c r="B56" s="252" t="s">
        <v>584</v>
      </c>
    </row>
  </sheetData>
  <mergeCells count="3">
    <mergeCell ref="C3:M3"/>
    <mergeCell ref="H4:I4"/>
    <mergeCell ref="J4:K4"/>
  </mergeCells>
  <hyperlinks>
    <hyperlink ref="B49" r:id="rId1" display="https://doi.org/10.1016/j.renene.2015.07.066"/>
    <hyperlink ref="B50" r:id="rId2" display="https://www.aramis.admin.ch/Default.aspx?DocumentID=45656&amp;Load=true"/>
    <hyperlink ref="B51" r:id="rId3" display="https://www.di-verlag.de/media/content/gwf-GE/gwf_Gas_5_14/gwf-GE_05_2014_FB_Kurt.pdf?xaf26a=7841c984ef837209544e"/>
    <hyperlink ref="B52" r:id="rId4" display="https://doi.org/10.1002/wene.97"/>
    <hyperlink ref="B53" r:id="rId5" display="https://www.tuwien.ac.at/fileadmin/t/tuwien/fotos/pa/download/2015/HM2015/Flyer_Power_to_Bio--Gas_EN.pdf"/>
    <hyperlink ref="B54" r:id="rId6" display="http://www.hz-inova.com/cms/en/home?p=6276"/>
    <hyperlink ref="C3" location="INDEX" display="SNG from Bioga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2:M59"/>
  <sheetViews>
    <sheetView showGridLines="0" zoomScale="123" zoomScaleNormal="205" workbookViewId="0">
      <selection activeCell="C3" sqref="C3:M3"/>
    </sheetView>
  </sheetViews>
  <sheetFormatPr defaultRowHeight="15" x14ac:dyDescent="0.25"/>
  <cols>
    <col min="1" max="1" width="2.140625" customWidth="1"/>
    <col min="2" max="2" width="39.85546875" customWidth="1"/>
    <col min="3" max="12" width="7.140625" customWidth="1"/>
  </cols>
  <sheetData>
    <row r="2" spans="2:13" x14ac:dyDescent="0.25">
      <c r="H2" s="255"/>
    </row>
    <row r="3" spans="2:13" x14ac:dyDescent="0.25">
      <c r="B3" s="292" t="s">
        <v>20</v>
      </c>
      <c r="C3" s="654" t="s">
        <v>559</v>
      </c>
      <c r="D3" s="661"/>
      <c r="E3" s="661"/>
      <c r="F3" s="661"/>
      <c r="G3" s="661"/>
      <c r="H3" s="661"/>
      <c r="I3" s="661"/>
      <c r="J3" s="661"/>
      <c r="K3" s="661"/>
      <c r="L3" s="661"/>
      <c r="M3" s="661"/>
    </row>
    <row r="4" spans="2:13" ht="15" customHeight="1" x14ac:dyDescent="0.25">
      <c r="B4" s="305"/>
      <c r="C4" s="305">
        <v>2015</v>
      </c>
      <c r="D4" s="305">
        <v>2020</v>
      </c>
      <c r="E4" s="305">
        <v>2030</v>
      </c>
      <c r="F4" s="305">
        <v>2040</v>
      </c>
      <c r="G4" s="305">
        <v>2050</v>
      </c>
      <c r="H4" s="662" t="s">
        <v>25</v>
      </c>
      <c r="I4" s="662"/>
      <c r="J4" s="662" t="s">
        <v>24</v>
      </c>
      <c r="K4" s="662"/>
      <c r="L4" s="317" t="s">
        <v>19</v>
      </c>
      <c r="M4" s="317" t="s">
        <v>18</v>
      </c>
    </row>
    <row r="5" spans="2:13" x14ac:dyDescent="0.25">
      <c r="B5" s="305"/>
      <c r="C5" s="305"/>
      <c r="D5" s="305"/>
      <c r="E5" s="305"/>
      <c r="F5" s="305"/>
      <c r="G5" s="305"/>
      <c r="H5" s="317" t="s">
        <v>17</v>
      </c>
      <c r="I5" s="317" t="s">
        <v>16</v>
      </c>
      <c r="J5" s="317" t="s">
        <v>17</v>
      </c>
      <c r="K5" s="317" t="s">
        <v>16</v>
      </c>
      <c r="L5" s="317"/>
      <c r="M5" s="317"/>
    </row>
    <row r="6" spans="2:13" x14ac:dyDescent="0.25">
      <c r="B6" s="292" t="s">
        <v>15</v>
      </c>
      <c r="C6" s="305"/>
      <c r="D6" s="305"/>
      <c r="E6" s="305"/>
      <c r="F6" s="305"/>
      <c r="G6" s="305"/>
      <c r="H6" s="305"/>
      <c r="I6" s="305"/>
      <c r="J6" s="305"/>
      <c r="K6" s="305"/>
      <c r="L6" s="317"/>
      <c r="M6" s="317"/>
    </row>
    <row r="7" spans="2:13" x14ac:dyDescent="0.25">
      <c r="B7" s="305" t="s">
        <v>393</v>
      </c>
      <c r="C7" s="384" t="s">
        <v>397</v>
      </c>
      <c r="D7" s="384">
        <v>120</v>
      </c>
      <c r="E7" s="384">
        <v>180</v>
      </c>
      <c r="F7" s="384">
        <v>250</v>
      </c>
      <c r="G7" s="384">
        <v>300</v>
      </c>
      <c r="H7" s="375">
        <v>0.5</v>
      </c>
      <c r="I7" s="375">
        <v>1.25</v>
      </c>
      <c r="J7" s="375">
        <v>0.75</v>
      </c>
      <c r="K7" s="375">
        <v>1.25</v>
      </c>
      <c r="L7" s="317" t="s">
        <v>299</v>
      </c>
      <c r="M7" s="317" t="s">
        <v>394</v>
      </c>
    </row>
    <row r="8" spans="2:13" x14ac:dyDescent="0.25">
      <c r="B8" s="305" t="s">
        <v>395</v>
      </c>
      <c r="C8" s="384" t="s">
        <v>397</v>
      </c>
      <c r="D8" s="384">
        <v>145</v>
      </c>
      <c r="E8" s="384">
        <v>220</v>
      </c>
      <c r="F8" s="384">
        <v>300</v>
      </c>
      <c r="G8" s="384">
        <v>360</v>
      </c>
      <c r="H8" s="375">
        <v>0.5</v>
      </c>
      <c r="I8" s="375">
        <v>1.25</v>
      </c>
      <c r="J8" s="375">
        <v>0.75</v>
      </c>
      <c r="K8" s="375">
        <v>1.25</v>
      </c>
      <c r="L8" s="317" t="s">
        <v>301</v>
      </c>
      <c r="M8" s="317" t="s">
        <v>394</v>
      </c>
    </row>
    <row r="9" spans="2:13" x14ac:dyDescent="0.25">
      <c r="B9" s="292" t="s">
        <v>255</v>
      </c>
      <c r="C9" s="384"/>
      <c r="D9" s="384"/>
      <c r="E9" s="384"/>
      <c r="F9" s="384"/>
      <c r="G9" s="384"/>
      <c r="H9" s="375"/>
      <c r="I9" s="312"/>
      <c r="J9" s="312"/>
      <c r="K9" s="312"/>
      <c r="L9" s="317"/>
      <c r="M9" s="317"/>
    </row>
    <row r="10" spans="2:13" x14ac:dyDescent="0.25">
      <c r="B10" s="305" t="s">
        <v>364</v>
      </c>
      <c r="C10" s="384" t="s">
        <v>397</v>
      </c>
      <c r="D10" s="384">
        <v>0.95</v>
      </c>
      <c r="E10" s="384">
        <v>0.95</v>
      </c>
      <c r="F10" s="384">
        <v>0.95</v>
      </c>
      <c r="G10" s="384">
        <v>0.95</v>
      </c>
      <c r="H10" s="375">
        <v>0.9</v>
      </c>
      <c r="I10" s="372">
        <v>1.5</v>
      </c>
      <c r="J10" s="372">
        <v>0.9</v>
      </c>
      <c r="K10" s="372">
        <v>1.25</v>
      </c>
      <c r="L10" s="317" t="s">
        <v>1</v>
      </c>
      <c r="M10" s="317">
        <v>4</v>
      </c>
    </row>
    <row r="11" spans="2:13" x14ac:dyDescent="0.25">
      <c r="B11" s="305" t="s">
        <v>260</v>
      </c>
      <c r="C11" s="384" t="s">
        <v>397</v>
      </c>
      <c r="D11" s="384">
        <v>0.05</v>
      </c>
      <c r="E11" s="384">
        <v>0.05</v>
      </c>
      <c r="F11" s="384">
        <v>0.05</v>
      </c>
      <c r="G11" s="384">
        <v>0.05</v>
      </c>
      <c r="H11" s="375">
        <v>0.75</v>
      </c>
      <c r="I11" s="372">
        <v>1.25</v>
      </c>
      <c r="J11" s="372">
        <v>0.75</v>
      </c>
      <c r="K11" s="372">
        <v>1.25</v>
      </c>
      <c r="L11" s="317" t="s">
        <v>1</v>
      </c>
      <c r="M11" s="317">
        <v>4</v>
      </c>
    </row>
    <row r="12" spans="2:13" x14ac:dyDescent="0.25">
      <c r="B12" s="292" t="s">
        <v>241</v>
      </c>
      <c r="C12" s="384"/>
      <c r="D12" s="384"/>
      <c r="E12" s="384"/>
      <c r="F12" s="384"/>
      <c r="G12" s="384"/>
      <c r="H12" s="375"/>
      <c r="I12" s="372"/>
      <c r="J12" s="372"/>
      <c r="K12" s="372"/>
      <c r="L12" s="317"/>
      <c r="M12" s="317"/>
    </row>
    <row r="13" spans="2:13" x14ac:dyDescent="0.25">
      <c r="B13" s="305" t="s">
        <v>396</v>
      </c>
      <c r="C13" s="384" t="s">
        <v>397</v>
      </c>
      <c r="D13" s="384">
        <v>0.82</v>
      </c>
      <c r="E13" s="384">
        <v>0.82</v>
      </c>
      <c r="F13" s="384">
        <v>0.82</v>
      </c>
      <c r="G13" s="384">
        <v>0.82</v>
      </c>
      <c r="H13" s="375">
        <v>0.9</v>
      </c>
      <c r="I13" s="372">
        <v>1.1000000000000001</v>
      </c>
      <c r="J13" s="372">
        <v>0.9</v>
      </c>
      <c r="K13" s="372">
        <v>1.1000000000000001</v>
      </c>
      <c r="L13" s="317" t="s">
        <v>1</v>
      </c>
      <c r="M13" s="317">
        <v>4</v>
      </c>
    </row>
    <row r="14" spans="2:13" x14ac:dyDescent="0.25">
      <c r="B14" s="305" t="s">
        <v>560</v>
      </c>
      <c r="C14" s="384" t="s">
        <v>397</v>
      </c>
      <c r="D14" s="384">
        <v>0</v>
      </c>
      <c r="E14" s="384">
        <v>0</v>
      </c>
      <c r="F14" s="384">
        <v>0</v>
      </c>
      <c r="G14" s="384">
        <v>0</v>
      </c>
      <c r="H14" s="375">
        <v>0.9</v>
      </c>
      <c r="I14" s="375">
        <v>1.1000000000000001</v>
      </c>
      <c r="J14" s="375">
        <v>0.9</v>
      </c>
      <c r="K14" s="375">
        <v>1.1000000000000001</v>
      </c>
      <c r="L14" s="317" t="s">
        <v>1</v>
      </c>
      <c r="M14" s="317">
        <v>4</v>
      </c>
    </row>
    <row r="15" spans="2:13" x14ac:dyDescent="0.25">
      <c r="B15" s="305"/>
      <c r="C15" s="384"/>
      <c r="D15" s="384"/>
      <c r="E15" s="384"/>
      <c r="F15" s="384"/>
      <c r="G15" s="384"/>
      <c r="H15" s="375"/>
      <c r="I15" s="375"/>
      <c r="J15" s="375"/>
      <c r="K15" s="375"/>
      <c r="L15" s="317"/>
      <c r="M15" s="317"/>
    </row>
    <row r="16" spans="2:13" x14ac:dyDescent="0.25">
      <c r="B16" s="305" t="s">
        <v>99</v>
      </c>
      <c r="C16" s="384" t="s">
        <v>397</v>
      </c>
      <c r="D16" s="384">
        <v>4</v>
      </c>
      <c r="E16" s="384">
        <v>0</v>
      </c>
      <c r="F16" s="384">
        <v>0</v>
      </c>
      <c r="G16" s="384">
        <v>0</v>
      </c>
      <c r="H16" s="375"/>
      <c r="I16" s="375"/>
      <c r="J16" s="375"/>
      <c r="K16" s="375"/>
      <c r="L16" s="317"/>
      <c r="M16" s="317"/>
    </row>
    <row r="17" spans="2:13" x14ac:dyDescent="0.25">
      <c r="B17" s="305" t="s">
        <v>23</v>
      </c>
      <c r="C17" s="384">
        <v>4</v>
      </c>
      <c r="D17" s="384">
        <v>4</v>
      </c>
      <c r="E17" s="384">
        <v>4</v>
      </c>
      <c r="F17" s="384">
        <v>4</v>
      </c>
      <c r="G17" s="384">
        <v>4</v>
      </c>
      <c r="H17" s="306"/>
      <c r="I17" s="306"/>
      <c r="J17" s="306"/>
      <c r="K17" s="306"/>
      <c r="L17" s="317" t="s">
        <v>3</v>
      </c>
      <c r="M17" s="317">
        <v>8</v>
      </c>
    </row>
    <row r="18" spans="2:13" x14ac:dyDescent="0.25">
      <c r="B18" s="305" t="s">
        <v>14</v>
      </c>
      <c r="C18" s="384" t="s">
        <v>637</v>
      </c>
      <c r="D18" s="384" t="s">
        <v>637</v>
      </c>
      <c r="E18" s="384" t="s">
        <v>637</v>
      </c>
      <c r="F18" s="384" t="s">
        <v>637</v>
      </c>
      <c r="G18" s="384" t="s">
        <v>637</v>
      </c>
      <c r="H18" s="306"/>
      <c r="I18" s="306"/>
      <c r="J18" s="306"/>
      <c r="K18" s="306"/>
      <c r="L18" s="317"/>
      <c r="M18" s="317"/>
    </row>
    <row r="19" spans="2:13" x14ac:dyDescent="0.25">
      <c r="B19" s="305" t="s">
        <v>12</v>
      </c>
      <c r="C19" s="384">
        <v>2</v>
      </c>
      <c r="D19" s="384">
        <v>2</v>
      </c>
      <c r="E19" s="384">
        <v>2</v>
      </c>
      <c r="F19" s="384">
        <v>2</v>
      </c>
      <c r="G19" s="384">
        <v>2</v>
      </c>
      <c r="H19" s="306"/>
      <c r="I19" s="306"/>
      <c r="J19" s="306"/>
      <c r="K19" s="306"/>
      <c r="L19" s="317"/>
      <c r="M19" s="317"/>
    </row>
    <row r="20" spans="2:13" x14ac:dyDescent="0.25">
      <c r="B20" s="292" t="s">
        <v>9</v>
      </c>
      <c r="C20" s="384"/>
      <c r="D20" s="384"/>
      <c r="E20" s="384"/>
      <c r="F20" s="384"/>
      <c r="G20" s="384"/>
      <c r="H20" s="306"/>
      <c r="I20" s="306"/>
      <c r="J20" s="306"/>
      <c r="K20" s="306"/>
      <c r="L20" s="317"/>
      <c r="M20" s="317"/>
    </row>
    <row r="21" spans="2:13" x14ac:dyDescent="0.25">
      <c r="B21" s="305" t="s">
        <v>638</v>
      </c>
      <c r="C21" s="384" t="s">
        <v>397</v>
      </c>
      <c r="D21" s="385">
        <v>2.1972752043596731</v>
      </c>
      <c r="E21" s="385">
        <v>1.6479564032697545</v>
      </c>
      <c r="F21" s="385">
        <v>1.2359673024523161</v>
      </c>
      <c r="G21" s="385">
        <v>1.0986376021798363</v>
      </c>
      <c r="H21" s="306">
        <v>0.75</v>
      </c>
      <c r="I21" s="306">
        <v>1.25</v>
      </c>
      <c r="J21" s="306">
        <v>0.75</v>
      </c>
      <c r="K21" s="306">
        <v>1.25</v>
      </c>
      <c r="L21" s="317" t="s">
        <v>399</v>
      </c>
      <c r="M21" s="317" t="s">
        <v>400</v>
      </c>
    </row>
    <row r="22" spans="2:13" x14ac:dyDescent="0.25">
      <c r="B22" s="305" t="s">
        <v>313</v>
      </c>
      <c r="C22" s="384" t="s">
        <v>397</v>
      </c>
      <c r="D22" s="384">
        <v>75</v>
      </c>
      <c r="E22" s="384">
        <v>75</v>
      </c>
      <c r="F22" s="384">
        <v>75</v>
      </c>
      <c r="G22" s="384">
        <v>75</v>
      </c>
      <c r="H22" s="306"/>
      <c r="I22" s="306"/>
      <c r="J22" s="306"/>
      <c r="K22" s="306"/>
      <c r="L22" s="317"/>
      <c r="M22" s="317"/>
    </row>
    <row r="23" spans="2:13" x14ac:dyDescent="0.25">
      <c r="B23" s="305" t="s">
        <v>314</v>
      </c>
      <c r="C23" s="384" t="s">
        <v>397</v>
      </c>
      <c r="D23" s="384">
        <v>25</v>
      </c>
      <c r="E23" s="384">
        <v>25</v>
      </c>
      <c r="F23" s="384">
        <v>25</v>
      </c>
      <c r="G23" s="384">
        <v>25</v>
      </c>
      <c r="H23" s="306"/>
      <c r="I23" s="306"/>
      <c r="J23" s="306"/>
      <c r="K23" s="306"/>
      <c r="L23" s="317"/>
      <c r="M23" s="317"/>
    </row>
    <row r="24" spans="2:13" x14ac:dyDescent="0.25">
      <c r="B24" s="305" t="s">
        <v>639</v>
      </c>
      <c r="C24" s="384" t="s">
        <v>397</v>
      </c>
      <c r="D24" s="386">
        <v>6.2779291553133512E-2</v>
      </c>
      <c r="E24" s="386">
        <v>6.2779291553133498E-2</v>
      </c>
      <c r="F24" s="386">
        <v>6.2779291553133498E-2</v>
      </c>
      <c r="G24" s="386">
        <v>6.2779291553133498E-2</v>
      </c>
      <c r="H24" s="306">
        <v>0.75</v>
      </c>
      <c r="I24" s="306">
        <v>1.25</v>
      </c>
      <c r="J24" s="306">
        <v>0.75</v>
      </c>
      <c r="K24" s="306">
        <v>1.25</v>
      </c>
      <c r="L24" s="317" t="s">
        <v>402</v>
      </c>
      <c r="M24" s="317">
        <v>6</v>
      </c>
    </row>
    <row r="25" spans="2:13" x14ac:dyDescent="0.25">
      <c r="B25" s="305" t="s">
        <v>589</v>
      </c>
      <c r="C25" s="384" t="s">
        <v>397</v>
      </c>
      <c r="D25" s="386">
        <v>14.013234721681588</v>
      </c>
      <c r="E25" s="386">
        <v>14.013234721681586</v>
      </c>
      <c r="F25" s="386">
        <v>14.013234721681586</v>
      </c>
      <c r="G25" s="386">
        <v>14.013234721681588</v>
      </c>
      <c r="H25" s="306">
        <v>0.75</v>
      </c>
      <c r="I25" s="306">
        <v>1.25</v>
      </c>
      <c r="J25" s="306">
        <v>0.75</v>
      </c>
      <c r="K25" s="306">
        <v>1.25</v>
      </c>
      <c r="L25" s="317" t="s">
        <v>402</v>
      </c>
      <c r="M25" s="317">
        <v>6</v>
      </c>
    </row>
    <row r="26" spans="2:13" x14ac:dyDescent="0.25">
      <c r="B26" s="305" t="s">
        <v>640</v>
      </c>
      <c r="C26" s="384" t="s">
        <v>397</v>
      </c>
      <c r="D26" s="384">
        <v>0</v>
      </c>
      <c r="E26" s="384">
        <v>0</v>
      </c>
      <c r="F26" s="384">
        <v>0</v>
      </c>
      <c r="G26" s="384">
        <v>0</v>
      </c>
      <c r="H26" s="306"/>
      <c r="I26" s="308"/>
      <c r="J26" s="308"/>
      <c r="K26" s="308"/>
      <c r="L26" s="317"/>
      <c r="M26" s="317"/>
    </row>
    <row r="27" spans="2:13" x14ac:dyDescent="0.25">
      <c r="B27" s="292" t="s">
        <v>244</v>
      </c>
      <c r="C27" s="384"/>
      <c r="D27" s="384"/>
      <c r="E27" s="384"/>
      <c r="F27" s="384"/>
      <c r="G27" s="384"/>
      <c r="H27" s="306"/>
      <c r="I27" s="308"/>
      <c r="J27" s="308"/>
      <c r="K27" s="308"/>
      <c r="L27" s="317"/>
      <c r="M27" s="317"/>
    </row>
    <row r="28" spans="2:13" x14ac:dyDescent="0.25">
      <c r="B28" s="305" t="s">
        <v>563</v>
      </c>
      <c r="C28" s="384">
        <v>36.700000000000003</v>
      </c>
      <c r="D28" s="384">
        <v>36.700000000000003</v>
      </c>
      <c r="E28" s="384">
        <v>36.700000000000003</v>
      </c>
      <c r="F28" s="384">
        <v>36.700000000000003</v>
      </c>
      <c r="G28" s="384">
        <v>36.700000000000003</v>
      </c>
      <c r="H28" s="306"/>
      <c r="I28" s="308"/>
      <c r="J28" s="308"/>
      <c r="K28" s="308"/>
      <c r="L28" s="317"/>
      <c r="M28" s="317"/>
    </row>
    <row r="29" spans="2:13" x14ac:dyDescent="0.25">
      <c r="B29" s="305" t="s">
        <v>591</v>
      </c>
      <c r="C29" s="384">
        <v>1.05</v>
      </c>
      <c r="D29" s="384">
        <v>1.05</v>
      </c>
      <c r="E29" s="384">
        <v>1.05</v>
      </c>
      <c r="F29" s="384">
        <v>1.05</v>
      </c>
      <c r="G29" s="384">
        <v>1.05</v>
      </c>
      <c r="H29" s="306"/>
      <c r="I29" s="305"/>
      <c r="J29" s="305"/>
      <c r="K29" s="305"/>
      <c r="L29" s="317"/>
      <c r="M29" s="317"/>
    </row>
    <row r="30" spans="2:13" x14ac:dyDescent="0.25">
      <c r="B30" s="305" t="s">
        <v>641</v>
      </c>
      <c r="C30" s="384" t="s">
        <v>397</v>
      </c>
      <c r="D30" s="385">
        <v>2.6666666666666665</v>
      </c>
      <c r="E30" s="385">
        <v>2</v>
      </c>
      <c r="F30" s="385">
        <v>1.5</v>
      </c>
      <c r="G30" s="385">
        <v>1.3333333333333333</v>
      </c>
      <c r="H30" s="306">
        <v>0.75</v>
      </c>
      <c r="I30" s="306">
        <v>1.25</v>
      </c>
      <c r="J30" s="306">
        <v>0.75</v>
      </c>
      <c r="K30" s="306">
        <v>1.25</v>
      </c>
      <c r="L30" s="317" t="s">
        <v>399</v>
      </c>
      <c r="M30" s="317" t="s">
        <v>400</v>
      </c>
    </row>
    <row r="31" spans="2:13" x14ac:dyDescent="0.25">
      <c r="B31" s="305" t="s">
        <v>313</v>
      </c>
      <c r="C31" s="384" t="s">
        <v>397</v>
      </c>
      <c r="D31" s="384">
        <v>75</v>
      </c>
      <c r="E31" s="384">
        <v>75</v>
      </c>
      <c r="F31" s="384">
        <v>75</v>
      </c>
      <c r="G31" s="384">
        <v>75</v>
      </c>
      <c r="H31" s="306"/>
      <c r="I31" s="306"/>
      <c r="J31" s="306"/>
      <c r="K31" s="306"/>
      <c r="L31" s="317"/>
      <c r="M31" s="317"/>
    </row>
    <row r="32" spans="2:13" x14ac:dyDescent="0.25">
      <c r="B32" s="305" t="s">
        <v>314</v>
      </c>
      <c r="C32" s="384" t="s">
        <v>397</v>
      </c>
      <c r="D32" s="384">
        <v>25</v>
      </c>
      <c r="E32" s="384">
        <v>25</v>
      </c>
      <c r="F32" s="384">
        <v>25</v>
      </c>
      <c r="G32" s="384">
        <v>25</v>
      </c>
      <c r="H32" s="306"/>
      <c r="I32" s="306"/>
      <c r="J32" s="306"/>
      <c r="K32" s="306"/>
      <c r="L32" s="317"/>
      <c r="M32" s="317"/>
    </row>
    <row r="33" spans="2:13" x14ac:dyDescent="0.25">
      <c r="B33" s="305" t="s">
        <v>401</v>
      </c>
      <c r="C33" s="384" t="s">
        <v>397</v>
      </c>
      <c r="D33" s="386">
        <v>7.6190476190476183E-2</v>
      </c>
      <c r="E33" s="386">
        <v>7.6190476190476183E-2</v>
      </c>
      <c r="F33" s="386">
        <v>7.6190476190476183E-2</v>
      </c>
      <c r="G33" s="386">
        <v>7.6190476190476183E-2</v>
      </c>
      <c r="H33" s="306">
        <v>0.75</v>
      </c>
      <c r="I33" s="306">
        <v>1.25</v>
      </c>
      <c r="J33" s="306">
        <v>0.75</v>
      </c>
      <c r="K33" s="306">
        <v>1.25</v>
      </c>
      <c r="L33" s="317" t="s">
        <v>402</v>
      </c>
      <c r="M33" s="317">
        <v>6</v>
      </c>
    </row>
    <row r="34" spans="2:13" x14ac:dyDescent="0.25">
      <c r="B34" s="305" t="s">
        <v>403</v>
      </c>
      <c r="C34" s="384" t="s">
        <v>397</v>
      </c>
      <c r="D34" s="386">
        <v>0.14285714285714285</v>
      </c>
      <c r="E34" s="386">
        <v>0.14285714285714285</v>
      </c>
      <c r="F34" s="386">
        <v>0.14285714285714285</v>
      </c>
      <c r="G34" s="386">
        <v>0.14285714285714285</v>
      </c>
      <c r="H34" s="306">
        <v>0.75</v>
      </c>
      <c r="I34" s="306">
        <v>1.25</v>
      </c>
      <c r="J34" s="306">
        <v>0.75</v>
      </c>
      <c r="K34" s="306">
        <v>1.25</v>
      </c>
      <c r="L34" s="317" t="s">
        <v>402</v>
      </c>
      <c r="M34" s="317">
        <v>6</v>
      </c>
    </row>
    <row r="35" spans="2:13" x14ac:dyDescent="0.25">
      <c r="B35" s="305" t="s">
        <v>642</v>
      </c>
      <c r="C35" s="384" t="s">
        <v>397</v>
      </c>
      <c r="D35" s="384">
        <v>0</v>
      </c>
      <c r="E35" s="384">
        <v>0</v>
      </c>
      <c r="F35" s="384"/>
      <c r="G35" s="384">
        <v>0</v>
      </c>
      <c r="H35" s="308"/>
      <c r="I35" s="308"/>
      <c r="J35" s="308"/>
      <c r="K35" s="308"/>
      <c r="L35" s="317"/>
      <c r="M35" s="317"/>
    </row>
    <row r="37" spans="2:13" x14ac:dyDescent="0.25">
      <c r="B37" s="253" t="s">
        <v>6</v>
      </c>
    </row>
    <row r="38" spans="2:13" x14ac:dyDescent="0.25">
      <c r="B38" s="252" t="s">
        <v>406</v>
      </c>
    </row>
    <row r="39" spans="2:13" x14ac:dyDescent="0.25">
      <c r="B39" s="252" t="s">
        <v>494</v>
      </c>
    </row>
    <row r="40" spans="2:13" x14ac:dyDescent="0.25">
      <c r="B40" s="252" t="s">
        <v>564</v>
      </c>
    </row>
    <row r="41" spans="2:13" x14ac:dyDescent="0.25">
      <c r="B41" s="252" t="s">
        <v>408</v>
      </c>
    </row>
    <row r="42" spans="2:13" x14ac:dyDescent="0.25">
      <c r="B42" s="252" t="s">
        <v>409</v>
      </c>
    </row>
    <row r="43" spans="2:13" x14ac:dyDescent="0.25">
      <c r="B43" s="252" t="s">
        <v>565</v>
      </c>
    </row>
    <row r="44" spans="2:13" x14ac:dyDescent="0.25">
      <c r="B44" s="252" t="s">
        <v>566</v>
      </c>
    </row>
    <row r="45" spans="2:13" x14ac:dyDescent="0.25">
      <c r="B45" s="252" t="s">
        <v>412</v>
      </c>
    </row>
    <row r="47" spans="2:13" x14ac:dyDescent="0.25">
      <c r="B47" s="253" t="s">
        <v>287</v>
      </c>
    </row>
    <row r="48" spans="2:13" x14ac:dyDescent="0.25">
      <c r="B48" s="252" t="s">
        <v>567</v>
      </c>
    </row>
    <row r="49" spans="2:2" x14ac:dyDescent="0.25">
      <c r="B49" s="252" t="s">
        <v>568</v>
      </c>
    </row>
    <row r="50" spans="2:2" x14ac:dyDescent="0.25">
      <c r="B50" s="252" t="s">
        <v>569</v>
      </c>
    </row>
    <row r="51" spans="2:2" x14ac:dyDescent="0.25">
      <c r="B51" s="252" t="s">
        <v>570</v>
      </c>
    </row>
    <row r="52" spans="2:2" x14ac:dyDescent="0.25">
      <c r="B52" s="252" t="s">
        <v>571</v>
      </c>
    </row>
    <row r="53" spans="2:2" x14ac:dyDescent="0.25">
      <c r="B53" s="252" t="s">
        <v>572</v>
      </c>
    </row>
    <row r="54" spans="2:2" x14ac:dyDescent="0.25">
      <c r="B54" s="252" t="s">
        <v>573</v>
      </c>
    </row>
    <row r="55" spans="2:2" x14ac:dyDescent="0.25">
      <c r="B55" s="252" t="s">
        <v>574</v>
      </c>
    </row>
    <row r="56" spans="2:2" x14ac:dyDescent="0.25">
      <c r="B56" s="252" t="s">
        <v>575</v>
      </c>
    </row>
    <row r="57" spans="2:2" x14ac:dyDescent="0.25">
      <c r="B57" s="252" t="s">
        <v>576</v>
      </c>
    </row>
    <row r="58" spans="2:2" x14ac:dyDescent="0.25">
      <c r="B58" s="252" t="s">
        <v>577</v>
      </c>
    </row>
    <row r="59" spans="2:2" x14ac:dyDescent="0.25">
      <c r="B59" s="252" t="s">
        <v>578</v>
      </c>
    </row>
  </sheetData>
  <mergeCells count="3">
    <mergeCell ref="C3:M3"/>
    <mergeCell ref="H4:I4"/>
    <mergeCell ref="J4:K4"/>
  </mergeCells>
  <hyperlinks>
    <hyperlink ref="B48" r:id="rId1" display="http://steeperenergy.com/2017/12/15/steeper-energy-announces-eur-50-6-m-dkk-377-m-advanced-biofuel-project-with-norwegian-swedish-joint-venture-silva-green-fuel-in-licensing-deal/"/>
    <hyperlink ref="B49" r:id="rId2" display="https://doi.org/10.1007/s13399-017-0248-8"/>
    <hyperlink ref="B50" r:id="rId3" display="http://www.etc-cte.ec.gc.ca/databases/oilproperties/pdf/web_bunker_c_fuel_oil.pdf"/>
    <hyperlink ref="B51" r:id="rId4" display="http://www.biofuelsdigest.com/bdigest/2017/02/02/fracking-biomass-steeper-energy-and-the-pursuit-of-renewable-hydrocarbons/"/>
    <hyperlink ref="B52" r:id="rId5" display="https://doi.org/10.1007/s13399-017-0248-8"/>
    <hyperlink ref="B53" r:id="rId6" display="https://www.bio.org/sites/default/files/0830AM-Perry Toms.pdf"/>
    <hyperlink ref="B54" r:id="rId7" display="https://doi.org/10.1016/j.apenergy.2014.03.053"/>
    <hyperlink ref="B55" r:id="rId8" display="http://www.licella.com.au/news/licella-canfor-joint-venture-at-the-forefront-of-global-bioenergy/"/>
    <hyperlink ref="B56" r:id="rId9" display="https://doi.org/10.1016/B978-0-08-101029-7.00009-6"/>
    <hyperlink ref="B57" r:id="rId10" display="http://www.ourenergypolicy.org/wp-content/uploads/2015/08/60462.pdf"/>
    <hyperlink ref="B58" r:id="rId11" display="https://doi.org/10.13044/j.sdewes.d5.0177"/>
    <hyperlink ref="B59" r:id="rId12" display="https://doi.org/10.1002/bbb.1831"/>
    <hyperlink ref="C3" location="INDEX" display="Bio Oil"/>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M45"/>
  <sheetViews>
    <sheetView showGridLines="0" zoomScale="160" zoomScaleNormal="160" workbookViewId="0">
      <selection activeCell="D18" sqref="D18"/>
    </sheetView>
  </sheetViews>
  <sheetFormatPr defaultRowHeight="15" x14ac:dyDescent="0.25"/>
  <cols>
    <col min="1" max="1" width="2.140625" customWidth="1"/>
    <col min="2" max="2" width="39.85546875" customWidth="1"/>
    <col min="3" max="3" width="4.42578125" bestFit="1" customWidth="1"/>
    <col min="4" max="7" width="4.85546875" bestFit="1" customWidth="1"/>
    <col min="8" max="11" width="7.7109375" customWidth="1"/>
    <col min="12" max="12" width="5.85546875" bestFit="1" customWidth="1"/>
    <col min="13" max="13" width="4.28515625" bestFit="1" customWidth="1"/>
  </cols>
  <sheetData>
    <row r="2" spans="2:13" x14ac:dyDescent="0.25">
      <c r="H2" s="255"/>
    </row>
    <row r="3" spans="2:13" x14ac:dyDescent="0.25">
      <c r="B3" s="292" t="s">
        <v>20</v>
      </c>
      <c r="C3" s="654" t="s">
        <v>643</v>
      </c>
      <c r="D3" s="661"/>
      <c r="E3" s="661"/>
      <c r="F3" s="661"/>
      <c r="G3" s="661"/>
      <c r="H3" s="661"/>
      <c r="I3" s="661"/>
      <c r="J3" s="661"/>
      <c r="K3" s="661"/>
      <c r="L3" s="661"/>
      <c r="M3" s="661"/>
    </row>
    <row r="4" spans="2:13" x14ac:dyDescent="0.25">
      <c r="B4" s="305"/>
      <c r="C4" s="305">
        <v>2015</v>
      </c>
      <c r="D4" s="305">
        <v>2020</v>
      </c>
      <c r="E4" s="305">
        <v>2030</v>
      </c>
      <c r="F4" s="305">
        <v>2040</v>
      </c>
      <c r="G4" s="305">
        <v>2050</v>
      </c>
      <c r="H4" s="662" t="s">
        <v>25</v>
      </c>
      <c r="I4" s="662"/>
      <c r="J4" s="662" t="s">
        <v>24</v>
      </c>
      <c r="K4" s="662"/>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393</v>
      </c>
      <c r="C7" s="303" t="s">
        <v>397</v>
      </c>
      <c r="D7" s="303">
        <v>40</v>
      </c>
      <c r="E7" s="303">
        <v>80</v>
      </c>
      <c r="F7" s="303">
        <v>120</v>
      </c>
      <c r="G7" s="303">
        <v>160</v>
      </c>
      <c r="H7" s="379">
        <v>0.5</v>
      </c>
      <c r="I7" s="379">
        <v>1.25</v>
      </c>
      <c r="J7" s="379">
        <v>0.75</v>
      </c>
      <c r="K7" s="379">
        <v>1.25</v>
      </c>
      <c r="L7" s="303" t="s">
        <v>299</v>
      </c>
      <c r="M7" s="303" t="s">
        <v>644</v>
      </c>
    </row>
    <row r="8" spans="2:13" x14ac:dyDescent="0.25">
      <c r="B8" s="318" t="s">
        <v>395</v>
      </c>
      <c r="C8" s="319" t="s">
        <v>397</v>
      </c>
      <c r="D8" s="392">
        <v>56.878761904761902</v>
      </c>
      <c r="E8" s="392">
        <v>113.7575238095238</v>
      </c>
      <c r="F8" s="392">
        <v>170.63628571428572</v>
      </c>
      <c r="G8" s="392">
        <v>227.51504761904761</v>
      </c>
      <c r="H8" s="380">
        <v>0.5</v>
      </c>
      <c r="I8" s="380">
        <v>1.25</v>
      </c>
      <c r="J8" s="380">
        <v>0.75</v>
      </c>
      <c r="K8" s="380">
        <v>1.25</v>
      </c>
      <c r="L8" s="319" t="s">
        <v>301</v>
      </c>
      <c r="M8" s="319" t="s">
        <v>644</v>
      </c>
    </row>
    <row r="9" spans="2:13" x14ac:dyDescent="0.25">
      <c r="B9" s="320" t="s">
        <v>255</v>
      </c>
      <c r="C9" s="328"/>
      <c r="D9" s="328"/>
      <c r="E9" s="328"/>
      <c r="F9" s="328" t="s">
        <v>645</v>
      </c>
      <c r="G9" s="328"/>
      <c r="H9" s="378"/>
      <c r="I9" s="378"/>
      <c r="J9" s="378"/>
      <c r="K9" s="378"/>
      <c r="L9" s="298"/>
      <c r="M9" s="299"/>
    </row>
    <row r="10" spans="2:13" x14ac:dyDescent="0.25">
      <c r="B10" s="301" t="s">
        <v>364</v>
      </c>
      <c r="C10" s="303" t="s">
        <v>397</v>
      </c>
      <c r="D10" s="303">
        <v>0.99</v>
      </c>
      <c r="E10" s="303">
        <v>0.99</v>
      </c>
      <c r="F10" s="303">
        <v>0.99</v>
      </c>
      <c r="G10" s="303">
        <v>0.99</v>
      </c>
      <c r="H10" s="379">
        <v>0.9</v>
      </c>
      <c r="I10" s="379">
        <v>1.5</v>
      </c>
      <c r="J10" s="379">
        <v>0.9</v>
      </c>
      <c r="K10" s="379">
        <v>1.25</v>
      </c>
      <c r="L10" s="303" t="s">
        <v>2</v>
      </c>
      <c r="M10" s="303">
        <v>5</v>
      </c>
    </row>
    <row r="11" spans="2:13" x14ac:dyDescent="0.25">
      <c r="B11" s="318" t="s">
        <v>260</v>
      </c>
      <c r="C11" s="319" t="s">
        <v>397</v>
      </c>
      <c r="D11" s="319">
        <v>0.01</v>
      </c>
      <c r="E11" s="319">
        <v>0.01</v>
      </c>
      <c r="F11" s="319">
        <v>0.01</v>
      </c>
      <c r="G11" s="319">
        <v>0.01</v>
      </c>
      <c r="H11" s="380">
        <v>0.75</v>
      </c>
      <c r="I11" s="380">
        <v>1.25</v>
      </c>
      <c r="J11" s="380">
        <v>0.75</v>
      </c>
      <c r="K11" s="380">
        <v>1.25</v>
      </c>
      <c r="L11" s="319" t="s">
        <v>2</v>
      </c>
      <c r="M11" s="319">
        <v>5</v>
      </c>
    </row>
    <row r="12" spans="2:13" x14ac:dyDescent="0.25">
      <c r="B12" s="320" t="s">
        <v>241</v>
      </c>
      <c r="C12" s="328"/>
      <c r="D12" s="328"/>
      <c r="E12" s="328"/>
      <c r="F12" s="328"/>
      <c r="G12" s="328"/>
      <c r="H12" s="378"/>
      <c r="I12" s="378"/>
      <c r="J12" s="378"/>
      <c r="K12" s="378"/>
      <c r="L12" s="298"/>
      <c r="M12" s="299"/>
    </row>
    <row r="13" spans="2:13" x14ac:dyDescent="0.25">
      <c r="B13" s="301" t="s">
        <v>665</v>
      </c>
      <c r="C13" s="303" t="s">
        <v>397</v>
      </c>
      <c r="D13" s="303">
        <v>0.38</v>
      </c>
      <c r="E13" s="303">
        <v>0.39</v>
      </c>
      <c r="F13" s="303">
        <v>0.4</v>
      </c>
      <c r="G13" s="303">
        <v>0.41</v>
      </c>
      <c r="H13" s="379">
        <v>0.9</v>
      </c>
      <c r="I13" s="379">
        <v>1.1000000000000001</v>
      </c>
      <c r="J13" s="379">
        <v>0.9</v>
      </c>
      <c r="K13" s="379">
        <v>1.1000000000000001</v>
      </c>
      <c r="L13" s="303" t="s">
        <v>2</v>
      </c>
      <c r="M13" s="303">
        <v>5</v>
      </c>
    </row>
    <row r="14" spans="2:13" x14ac:dyDescent="0.25">
      <c r="B14" s="334" t="s">
        <v>666</v>
      </c>
      <c r="C14" s="337" t="s">
        <v>397</v>
      </c>
      <c r="D14" s="337">
        <v>0.17</v>
      </c>
      <c r="E14" s="337">
        <v>0.18</v>
      </c>
      <c r="F14" s="337">
        <v>0.18</v>
      </c>
      <c r="G14" s="337">
        <v>0.19</v>
      </c>
      <c r="H14" s="379">
        <v>0.9</v>
      </c>
      <c r="I14" s="379">
        <v>1.1000000000000001</v>
      </c>
      <c r="J14" s="379">
        <v>0.9</v>
      </c>
      <c r="K14" s="379">
        <v>1.1000000000000001</v>
      </c>
      <c r="L14" s="303" t="s">
        <v>2</v>
      </c>
      <c r="M14" s="303">
        <v>5</v>
      </c>
    </row>
    <row r="15" spans="2:13" x14ac:dyDescent="0.25">
      <c r="B15" s="318" t="s">
        <v>560</v>
      </c>
      <c r="C15" s="319" t="s">
        <v>397</v>
      </c>
      <c r="D15" s="319">
        <v>0</v>
      </c>
      <c r="E15" s="319">
        <v>0</v>
      </c>
      <c r="F15" s="319">
        <v>0</v>
      </c>
      <c r="G15" s="319">
        <v>0</v>
      </c>
      <c r="H15" s="380">
        <v>0.9</v>
      </c>
      <c r="I15" s="380">
        <v>1.1000000000000001</v>
      </c>
      <c r="J15" s="380">
        <v>0.9</v>
      </c>
      <c r="K15" s="380">
        <v>1.1000000000000001</v>
      </c>
      <c r="L15" s="319" t="s">
        <v>2</v>
      </c>
      <c r="M15" s="319">
        <v>5</v>
      </c>
    </row>
    <row r="16" spans="2:13" x14ac:dyDescent="0.25">
      <c r="B16" s="326"/>
      <c r="C16" s="328"/>
      <c r="D16" s="328"/>
      <c r="E16" s="328"/>
      <c r="F16" s="328"/>
      <c r="G16" s="328"/>
      <c r="H16" s="378"/>
      <c r="I16" s="378"/>
      <c r="J16" s="378"/>
      <c r="K16" s="378"/>
      <c r="L16" s="298"/>
      <c r="M16" s="299"/>
    </row>
    <row r="17" spans="2:13" x14ac:dyDescent="0.25">
      <c r="B17" s="301" t="s">
        <v>99</v>
      </c>
      <c r="C17" s="303" t="s">
        <v>397</v>
      </c>
      <c r="D17" s="303">
        <v>4</v>
      </c>
      <c r="E17" s="303">
        <v>4</v>
      </c>
      <c r="F17" s="303">
        <v>0</v>
      </c>
      <c r="G17" s="303">
        <v>0</v>
      </c>
      <c r="H17" s="355"/>
      <c r="I17" s="355"/>
      <c r="J17" s="355"/>
      <c r="K17" s="355"/>
      <c r="L17" s="303"/>
      <c r="M17" s="303"/>
    </row>
    <row r="18" spans="2:13" x14ac:dyDescent="0.25">
      <c r="B18" s="305" t="s">
        <v>23</v>
      </c>
      <c r="C18" s="317" t="s">
        <v>397</v>
      </c>
      <c r="D18" s="317">
        <v>2</v>
      </c>
      <c r="E18" s="317">
        <v>3</v>
      </c>
      <c r="F18" s="317">
        <v>4</v>
      </c>
      <c r="G18" s="317">
        <v>5</v>
      </c>
      <c r="H18" s="306"/>
      <c r="I18" s="306"/>
      <c r="J18" s="306"/>
      <c r="K18" s="387"/>
      <c r="L18" s="317"/>
      <c r="M18" s="317">
        <v>5</v>
      </c>
    </row>
    <row r="19" spans="2:13" x14ac:dyDescent="0.25">
      <c r="B19" s="305" t="s">
        <v>14</v>
      </c>
      <c r="C19" s="317" t="s">
        <v>397</v>
      </c>
      <c r="D19" s="317" t="s">
        <v>637</v>
      </c>
      <c r="E19" s="317" t="s">
        <v>637</v>
      </c>
      <c r="F19" s="317" t="s">
        <v>637</v>
      </c>
      <c r="G19" s="317" t="s">
        <v>637</v>
      </c>
      <c r="H19" s="306"/>
      <c r="I19" s="306"/>
      <c r="J19" s="306"/>
      <c r="K19" s="387"/>
      <c r="L19" s="317"/>
      <c r="M19" s="305"/>
    </row>
    <row r="20" spans="2:13" x14ac:dyDescent="0.25">
      <c r="B20" s="318" t="s">
        <v>12</v>
      </c>
      <c r="C20" s="319" t="s">
        <v>397</v>
      </c>
      <c r="D20" s="319">
        <v>2</v>
      </c>
      <c r="E20" s="319">
        <v>2</v>
      </c>
      <c r="F20" s="319">
        <v>2</v>
      </c>
      <c r="G20" s="319">
        <v>2</v>
      </c>
      <c r="H20" s="333"/>
      <c r="I20" s="333"/>
      <c r="J20" s="333"/>
      <c r="K20" s="380"/>
      <c r="L20" s="319"/>
      <c r="M20" s="319">
        <v>5</v>
      </c>
    </row>
    <row r="21" spans="2:13" x14ac:dyDescent="0.25">
      <c r="B21" s="320" t="s">
        <v>9</v>
      </c>
      <c r="C21" s="328"/>
      <c r="D21" s="328"/>
      <c r="E21" s="328"/>
      <c r="F21" s="328"/>
      <c r="G21" s="328"/>
      <c r="H21" s="381"/>
      <c r="I21" s="381"/>
      <c r="J21" s="381"/>
      <c r="K21" s="388"/>
      <c r="L21" s="298"/>
      <c r="M21" s="352"/>
    </row>
    <row r="22" spans="2:13" x14ac:dyDescent="0.25">
      <c r="B22" s="301" t="s">
        <v>611</v>
      </c>
      <c r="C22" s="303" t="s">
        <v>397</v>
      </c>
      <c r="D22" s="393">
        <v>2.7822558139534888</v>
      </c>
      <c r="E22" s="393">
        <v>1.5766116279069771</v>
      </c>
      <c r="F22" s="393">
        <v>1.1546361627906978</v>
      </c>
      <c r="G22" s="393">
        <v>0.92741860465116288</v>
      </c>
      <c r="H22" s="379">
        <v>0.75</v>
      </c>
      <c r="I22" s="379">
        <v>1.25</v>
      </c>
      <c r="J22" s="379">
        <v>0.75</v>
      </c>
      <c r="K22" s="379">
        <v>1.25</v>
      </c>
      <c r="L22" s="303" t="s">
        <v>646</v>
      </c>
      <c r="M22" s="303" t="s">
        <v>647</v>
      </c>
    </row>
    <row r="23" spans="2:13" x14ac:dyDescent="0.25">
      <c r="B23" s="305" t="s">
        <v>313</v>
      </c>
      <c r="C23" s="317" t="s">
        <v>397</v>
      </c>
      <c r="D23" s="317">
        <v>75</v>
      </c>
      <c r="E23" s="317">
        <v>75</v>
      </c>
      <c r="F23" s="317">
        <v>75</v>
      </c>
      <c r="G23" s="317">
        <v>75</v>
      </c>
      <c r="H23" s="387"/>
      <c r="I23" s="387"/>
      <c r="J23" s="387"/>
      <c r="K23" s="387"/>
      <c r="L23" s="317"/>
      <c r="M23" s="317"/>
    </row>
    <row r="24" spans="2:13" x14ac:dyDescent="0.25">
      <c r="B24" s="305" t="s">
        <v>314</v>
      </c>
      <c r="C24" s="317" t="s">
        <v>397</v>
      </c>
      <c r="D24" s="317">
        <v>25</v>
      </c>
      <c r="E24" s="317">
        <v>25</v>
      </c>
      <c r="F24" s="317">
        <v>25</v>
      </c>
      <c r="G24" s="317">
        <v>25</v>
      </c>
      <c r="H24" s="387"/>
      <c r="I24" s="387"/>
      <c r="J24" s="387"/>
      <c r="K24" s="387"/>
      <c r="L24" s="317"/>
      <c r="M24" s="317"/>
    </row>
    <row r="25" spans="2:13" x14ac:dyDescent="0.25">
      <c r="B25" s="305" t="s">
        <v>612</v>
      </c>
      <c r="C25" s="317" t="s">
        <v>397</v>
      </c>
      <c r="D25" s="394">
        <v>2.7426976744186052E-2</v>
      </c>
      <c r="E25" s="394">
        <v>2.7426976744186052E-2</v>
      </c>
      <c r="F25" s="394">
        <v>2.7426976744186045E-2</v>
      </c>
      <c r="G25" s="394">
        <v>2.7426976744186052E-2</v>
      </c>
      <c r="H25" s="387">
        <v>0.75</v>
      </c>
      <c r="I25" s="387">
        <v>1.25</v>
      </c>
      <c r="J25" s="387">
        <v>0.75</v>
      </c>
      <c r="K25" s="387">
        <v>1.25</v>
      </c>
      <c r="L25" s="317" t="s">
        <v>250</v>
      </c>
      <c r="M25" s="317">
        <v>5</v>
      </c>
    </row>
    <row r="26" spans="2:13" x14ac:dyDescent="0.25">
      <c r="B26" s="305" t="s">
        <v>613</v>
      </c>
      <c r="C26" s="317" t="s">
        <v>397</v>
      </c>
      <c r="D26" s="395">
        <v>1.306046511627907</v>
      </c>
      <c r="E26" s="395">
        <v>1.306046511627907</v>
      </c>
      <c r="F26" s="395">
        <v>1.306046511627907</v>
      </c>
      <c r="G26" s="395">
        <v>1.306046511627907</v>
      </c>
      <c r="H26" s="387">
        <v>0.75</v>
      </c>
      <c r="I26" s="387">
        <v>1.25</v>
      </c>
      <c r="J26" s="387">
        <v>0.75</v>
      </c>
      <c r="K26" s="387">
        <v>1.25</v>
      </c>
      <c r="L26" s="317" t="s">
        <v>250</v>
      </c>
      <c r="M26" s="317">
        <v>5</v>
      </c>
    </row>
    <row r="27" spans="2:13" x14ac:dyDescent="0.25">
      <c r="B27" s="318" t="s">
        <v>562</v>
      </c>
      <c r="C27" s="319" t="s">
        <v>397</v>
      </c>
      <c r="D27" s="319">
        <v>0</v>
      </c>
      <c r="E27" s="319">
        <v>0</v>
      </c>
      <c r="F27" s="319">
        <v>0</v>
      </c>
      <c r="G27" s="319">
        <v>0</v>
      </c>
      <c r="H27" s="380"/>
      <c r="I27" s="380"/>
      <c r="J27" s="380"/>
      <c r="K27" s="380"/>
      <c r="L27" s="319"/>
      <c r="M27" s="319"/>
    </row>
    <row r="28" spans="2:13" x14ac:dyDescent="0.25">
      <c r="B28" s="320" t="s">
        <v>244</v>
      </c>
      <c r="C28" s="328"/>
      <c r="D28" s="328"/>
      <c r="E28" s="328"/>
      <c r="F28" s="328"/>
      <c r="G28" s="328"/>
      <c r="H28" s="381"/>
      <c r="I28" s="381"/>
      <c r="J28" s="381"/>
      <c r="K28" s="381"/>
      <c r="L28" s="298"/>
      <c r="M28" s="299"/>
    </row>
    <row r="29" spans="2:13" x14ac:dyDescent="0.25">
      <c r="B29" s="301" t="s">
        <v>318</v>
      </c>
      <c r="C29" s="303">
        <v>43</v>
      </c>
      <c r="D29" s="303">
        <v>43</v>
      </c>
      <c r="E29" s="303">
        <v>43</v>
      </c>
      <c r="F29" s="303">
        <v>43</v>
      </c>
      <c r="G29" s="303">
        <v>43</v>
      </c>
      <c r="H29" s="379"/>
      <c r="I29" s="379"/>
      <c r="J29" s="379"/>
      <c r="K29" s="379"/>
      <c r="L29" s="303"/>
      <c r="M29" s="301"/>
    </row>
    <row r="30" spans="2:13" x14ac:dyDescent="0.25">
      <c r="B30" s="305" t="s">
        <v>591</v>
      </c>
      <c r="C30" s="317">
        <v>0.78</v>
      </c>
      <c r="D30" s="317">
        <v>0.78</v>
      </c>
      <c r="E30" s="317">
        <v>0.78</v>
      </c>
      <c r="F30" s="317">
        <v>0.78</v>
      </c>
      <c r="G30" s="317">
        <v>0.78</v>
      </c>
      <c r="H30" s="387"/>
      <c r="I30" s="387"/>
      <c r="J30" s="387"/>
      <c r="K30" s="387"/>
      <c r="L30" s="317"/>
      <c r="M30" s="305"/>
    </row>
    <row r="31" spans="2:13" x14ac:dyDescent="0.25">
      <c r="B31" s="305" t="s">
        <v>561</v>
      </c>
      <c r="C31" s="317" t="s">
        <v>397</v>
      </c>
      <c r="D31" s="395">
        <v>3.9562500000000003</v>
      </c>
      <c r="E31" s="395">
        <v>2.2418750000000003</v>
      </c>
      <c r="F31" s="395">
        <v>1.64184375</v>
      </c>
      <c r="G31" s="395">
        <v>1.3187500000000001</v>
      </c>
      <c r="H31" s="387">
        <v>0.75</v>
      </c>
      <c r="I31" s="387">
        <v>1.25</v>
      </c>
      <c r="J31" s="387">
        <v>0.75</v>
      </c>
      <c r="K31" s="387">
        <v>1.25</v>
      </c>
      <c r="L31" s="317" t="s">
        <v>646</v>
      </c>
      <c r="M31" s="317" t="s">
        <v>647</v>
      </c>
    </row>
    <row r="32" spans="2:13" x14ac:dyDescent="0.25">
      <c r="B32" s="305" t="s">
        <v>313</v>
      </c>
      <c r="C32" s="317" t="s">
        <v>397</v>
      </c>
      <c r="D32" s="317">
        <v>75</v>
      </c>
      <c r="E32" s="317">
        <v>75</v>
      </c>
      <c r="F32" s="317">
        <v>75</v>
      </c>
      <c r="G32" s="317">
        <v>75</v>
      </c>
      <c r="H32" s="387"/>
      <c r="I32" s="387"/>
      <c r="J32" s="387"/>
      <c r="K32" s="387"/>
      <c r="L32" s="317"/>
      <c r="M32" s="317"/>
    </row>
    <row r="33" spans="2:13" x14ac:dyDescent="0.25">
      <c r="B33" s="305" t="s">
        <v>314</v>
      </c>
      <c r="C33" s="317" t="s">
        <v>397</v>
      </c>
      <c r="D33" s="317">
        <v>25</v>
      </c>
      <c r="E33" s="317">
        <v>25</v>
      </c>
      <c r="F33" s="317">
        <v>25</v>
      </c>
      <c r="G33" s="317">
        <v>25</v>
      </c>
      <c r="H33" s="387"/>
      <c r="I33" s="387"/>
      <c r="J33" s="387"/>
      <c r="K33" s="387"/>
      <c r="L33" s="317"/>
      <c r="M33" s="317"/>
    </row>
    <row r="34" spans="2:13" x14ac:dyDescent="0.25">
      <c r="B34" s="305" t="s">
        <v>401</v>
      </c>
      <c r="C34" s="317" t="s">
        <v>397</v>
      </c>
      <c r="D34" s="394">
        <v>3.9E-2</v>
      </c>
      <c r="E34" s="394">
        <v>3.9E-2</v>
      </c>
      <c r="F34" s="394">
        <v>3.9E-2</v>
      </c>
      <c r="G34" s="394">
        <v>3.9E-2</v>
      </c>
      <c r="H34" s="387">
        <v>0.75</v>
      </c>
      <c r="I34" s="387">
        <v>1.25</v>
      </c>
      <c r="J34" s="387">
        <v>0.75</v>
      </c>
      <c r="K34" s="387">
        <v>1.25</v>
      </c>
      <c r="L34" s="317" t="s">
        <v>250</v>
      </c>
      <c r="M34" s="317">
        <v>5</v>
      </c>
    </row>
    <row r="35" spans="2:13" x14ac:dyDescent="0.25">
      <c r="B35" s="305" t="s">
        <v>648</v>
      </c>
      <c r="C35" s="317" t="s">
        <v>397</v>
      </c>
      <c r="D35" s="394">
        <v>1.5600000000000001E-2</v>
      </c>
      <c r="E35" s="394">
        <v>1.5600000000000001E-2</v>
      </c>
      <c r="F35" s="394">
        <v>1.5600000000000001E-2</v>
      </c>
      <c r="G35" s="394">
        <v>1.5600000000000001E-2</v>
      </c>
      <c r="H35" s="387">
        <v>0.75</v>
      </c>
      <c r="I35" s="387">
        <v>1.25</v>
      </c>
      <c r="J35" s="387">
        <v>0.75</v>
      </c>
      <c r="K35" s="387">
        <v>1.25</v>
      </c>
      <c r="L35" s="317" t="s">
        <v>250</v>
      </c>
      <c r="M35" s="317">
        <v>5</v>
      </c>
    </row>
    <row r="36" spans="2:13" x14ac:dyDescent="0.25">
      <c r="B36" s="305" t="s">
        <v>562</v>
      </c>
      <c r="C36" s="317" t="s">
        <v>397</v>
      </c>
      <c r="D36" s="317">
        <v>0</v>
      </c>
      <c r="E36" s="317">
        <v>0</v>
      </c>
      <c r="F36" s="317">
        <v>0</v>
      </c>
      <c r="G36" s="317">
        <v>0</v>
      </c>
      <c r="H36" s="396"/>
      <c r="I36" s="396"/>
      <c r="J36" s="396"/>
      <c r="K36" s="396"/>
      <c r="L36" s="317"/>
      <c r="M36" s="317"/>
    </row>
    <row r="37" spans="2:13" x14ac:dyDescent="0.25">
      <c r="C37" s="389"/>
      <c r="D37" s="389"/>
      <c r="E37" s="389"/>
      <c r="F37" s="389"/>
      <c r="G37" s="389"/>
      <c r="H37" s="390"/>
      <c r="I37" s="390"/>
      <c r="J37" s="390"/>
      <c r="K37" s="390"/>
      <c r="L37" s="391"/>
      <c r="M37" s="391"/>
    </row>
    <row r="38" spans="2:13" x14ac:dyDescent="0.25">
      <c r="B38" t="s">
        <v>6</v>
      </c>
    </row>
    <row r="39" spans="2:13" x14ac:dyDescent="0.25">
      <c r="B39" t="s">
        <v>649</v>
      </c>
    </row>
    <row r="40" spans="2:13" x14ac:dyDescent="0.25">
      <c r="B40" t="s">
        <v>320</v>
      </c>
      <c r="K40" s="391"/>
      <c r="L40" s="391"/>
    </row>
    <row r="41" spans="2:13" x14ac:dyDescent="0.25">
      <c r="B41" t="s">
        <v>650</v>
      </c>
    </row>
    <row r="42" spans="2:13" x14ac:dyDescent="0.25">
      <c r="B42" t="s">
        <v>651</v>
      </c>
    </row>
    <row r="43" spans="2:13" x14ac:dyDescent="0.25">
      <c r="B43" t="s">
        <v>652</v>
      </c>
    </row>
    <row r="44" spans="2:13" x14ac:dyDescent="0.25">
      <c r="B44" t="s">
        <v>653</v>
      </c>
    </row>
    <row r="45" spans="2:13" x14ac:dyDescent="0.25">
      <c r="B45" t="s">
        <v>654</v>
      </c>
    </row>
  </sheetData>
  <mergeCells count="3">
    <mergeCell ref="C3:M3"/>
    <mergeCell ref="H4:I4"/>
    <mergeCell ref="J4:K4"/>
  </mergeCells>
  <hyperlinks>
    <hyperlink ref="C3" location="INDEX" display="Catalytic Hydropyrolysis conf. 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2:N36"/>
  <sheetViews>
    <sheetView showGridLines="0" workbookViewId="0">
      <selection activeCell="D18" sqref="D18"/>
    </sheetView>
  </sheetViews>
  <sheetFormatPr defaultRowHeight="15" x14ac:dyDescent="0.25"/>
  <cols>
    <col min="1" max="1" width="2.140625" customWidth="1"/>
    <col min="2" max="2" width="39.85546875" customWidth="1"/>
    <col min="3" max="14" width="5.7109375" customWidth="1"/>
  </cols>
  <sheetData>
    <row r="2" spans="2:14" x14ac:dyDescent="0.25">
      <c r="H2" s="255"/>
    </row>
    <row r="3" spans="2:14" ht="15" customHeight="1" x14ac:dyDescent="0.25">
      <c r="B3" s="459" t="s">
        <v>20</v>
      </c>
      <c r="C3" s="671" t="s">
        <v>655</v>
      </c>
      <c r="D3" s="672"/>
      <c r="E3" s="672"/>
      <c r="F3" s="672"/>
      <c r="G3" s="672"/>
      <c r="H3" s="672"/>
      <c r="I3" s="672"/>
      <c r="J3" s="672"/>
      <c r="K3" s="672"/>
      <c r="L3" s="672"/>
      <c r="M3" s="672"/>
      <c r="N3" s="673"/>
    </row>
    <row r="4" spans="2:14" ht="22.5" customHeight="1" x14ac:dyDescent="0.25">
      <c r="B4" s="460"/>
      <c r="C4" s="459">
        <v>2015</v>
      </c>
      <c r="D4" s="459">
        <v>2020</v>
      </c>
      <c r="E4" s="459">
        <v>2030</v>
      </c>
      <c r="F4" s="459">
        <v>2040</v>
      </c>
      <c r="G4" s="459">
        <v>2050</v>
      </c>
      <c r="H4" s="669" t="s">
        <v>25</v>
      </c>
      <c r="I4" s="669"/>
      <c r="J4" s="669"/>
      <c r="K4" s="669" t="s">
        <v>24</v>
      </c>
      <c r="L4" s="669"/>
      <c r="M4" s="459" t="s">
        <v>19</v>
      </c>
      <c r="N4" s="459" t="s">
        <v>18</v>
      </c>
    </row>
    <row r="5" spans="2:14" x14ac:dyDescent="0.25">
      <c r="B5" s="459"/>
      <c r="C5" s="460"/>
      <c r="D5" s="460"/>
      <c r="E5" s="460"/>
      <c r="F5" s="459"/>
      <c r="G5" s="460"/>
      <c r="H5" s="669" t="s">
        <v>17</v>
      </c>
      <c r="I5" s="669"/>
      <c r="J5" s="459" t="s">
        <v>16</v>
      </c>
      <c r="K5" s="459" t="s">
        <v>17</v>
      </c>
      <c r="L5" s="459" t="s">
        <v>16</v>
      </c>
      <c r="M5" s="460"/>
      <c r="N5" s="460"/>
    </row>
    <row r="6" spans="2:14" x14ac:dyDescent="0.25">
      <c r="B6" s="670" t="s">
        <v>15</v>
      </c>
      <c r="C6" s="670"/>
      <c r="D6" s="670"/>
      <c r="E6" s="670"/>
      <c r="F6" s="670"/>
      <c r="G6" s="670"/>
      <c r="H6" s="670"/>
      <c r="I6" s="670"/>
      <c r="J6" s="670"/>
      <c r="K6" s="670"/>
      <c r="L6" s="670"/>
      <c r="M6" s="670"/>
      <c r="N6" s="670"/>
    </row>
    <row r="7" spans="2:14" x14ac:dyDescent="0.25">
      <c r="B7" s="461" t="s">
        <v>656</v>
      </c>
      <c r="C7" s="462" t="s">
        <v>397</v>
      </c>
      <c r="D7" s="462">
        <v>40</v>
      </c>
      <c r="E7" s="462">
        <v>80</v>
      </c>
      <c r="F7" s="462">
        <v>120</v>
      </c>
      <c r="G7" s="462">
        <v>160</v>
      </c>
      <c r="H7" s="668">
        <v>0.5</v>
      </c>
      <c r="I7" s="668"/>
      <c r="J7" s="463">
        <v>1.25</v>
      </c>
      <c r="K7" s="463">
        <v>0.75</v>
      </c>
      <c r="L7" s="463">
        <v>1.25</v>
      </c>
      <c r="M7" s="462" t="s">
        <v>299</v>
      </c>
      <c r="N7" s="462" t="s">
        <v>644</v>
      </c>
    </row>
    <row r="8" spans="2:14" ht="22.5" x14ac:dyDescent="0.25">
      <c r="B8" s="461" t="s">
        <v>395</v>
      </c>
      <c r="C8" s="462" t="s">
        <v>397</v>
      </c>
      <c r="D8" s="462">
        <v>57</v>
      </c>
      <c r="E8" s="462">
        <v>114</v>
      </c>
      <c r="F8" s="462">
        <v>171</v>
      </c>
      <c r="G8" s="462">
        <v>228</v>
      </c>
      <c r="H8" s="668">
        <v>0.5</v>
      </c>
      <c r="I8" s="668"/>
      <c r="J8" s="463">
        <v>1.25</v>
      </c>
      <c r="K8" s="463">
        <v>0.75</v>
      </c>
      <c r="L8" s="463">
        <v>1.25</v>
      </c>
      <c r="M8" s="462" t="s">
        <v>301</v>
      </c>
      <c r="N8" s="462" t="s">
        <v>644</v>
      </c>
    </row>
    <row r="9" spans="2:14" x14ac:dyDescent="0.25">
      <c r="B9" s="667" t="s">
        <v>255</v>
      </c>
      <c r="C9" s="667"/>
      <c r="D9" s="667"/>
      <c r="E9" s="667"/>
      <c r="F9" s="667"/>
      <c r="G9" s="667"/>
      <c r="H9" s="667"/>
      <c r="I9" s="667"/>
      <c r="J9" s="667"/>
      <c r="K9" s="667"/>
      <c r="L9" s="667"/>
      <c r="M9" s="667"/>
      <c r="N9" s="667"/>
    </row>
    <row r="10" spans="2:14" x14ac:dyDescent="0.25">
      <c r="B10" s="461" t="s">
        <v>364</v>
      </c>
      <c r="C10" s="462" t="s">
        <v>397</v>
      </c>
      <c r="D10" s="462">
        <v>0.77</v>
      </c>
      <c r="E10" s="462">
        <v>0.77</v>
      </c>
      <c r="F10" s="462">
        <v>0.77</v>
      </c>
      <c r="G10" s="462">
        <v>0.77</v>
      </c>
      <c r="H10" s="668">
        <v>0.9</v>
      </c>
      <c r="I10" s="668"/>
      <c r="J10" s="463">
        <v>1.5</v>
      </c>
      <c r="K10" s="463">
        <v>0.9</v>
      </c>
      <c r="L10" s="463">
        <v>1.25</v>
      </c>
      <c r="M10" s="462" t="s">
        <v>3</v>
      </c>
      <c r="N10" s="462">
        <v>1</v>
      </c>
    </row>
    <row r="11" spans="2:14" x14ac:dyDescent="0.25">
      <c r="B11" s="461" t="s">
        <v>538</v>
      </c>
      <c r="C11" s="462" t="s">
        <v>397</v>
      </c>
      <c r="D11" s="462">
        <v>0.23</v>
      </c>
      <c r="E11" s="462">
        <v>0.23</v>
      </c>
      <c r="F11" s="462">
        <v>0.23</v>
      </c>
      <c r="G11" s="462">
        <v>0.23</v>
      </c>
      <c r="H11" s="668">
        <v>0.75</v>
      </c>
      <c r="I11" s="668"/>
      <c r="J11" s="463">
        <v>1.25</v>
      </c>
      <c r="K11" s="463">
        <v>0.75</v>
      </c>
      <c r="L11" s="463">
        <v>1.25</v>
      </c>
      <c r="M11" s="462" t="s">
        <v>3</v>
      </c>
      <c r="N11" s="462">
        <v>1</v>
      </c>
    </row>
    <row r="12" spans="2:14" x14ac:dyDescent="0.25">
      <c r="B12" s="667" t="s">
        <v>241</v>
      </c>
      <c r="C12" s="667"/>
      <c r="D12" s="667"/>
      <c r="E12" s="667"/>
      <c r="F12" s="667"/>
      <c r="G12" s="667"/>
      <c r="H12" s="667"/>
      <c r="I12" s="667"/>
      <c r="J12" s="667"/>
      <c r="K12" s="667"/>
      <c r="L12" s="667"/>
      <c r="M12" s="667"/>
      <c r="N12" s="667"/>
    </row>
    <row r="13" spans="2:14" x14ac:dyDescent="0.25">
      <c r="B13" s="461" t="s">
        <v>657</v>
      </c>
      <c r="C13" s="462" t="s">
        <v>397</v>
      </c>
      <c r="D13" s="462">
        <v>0.38</v>
      </c>
      <c r="E13" s="462">
        <v>0.38</v>
      </c>
      <c r="F13" s="462">
        <v>0.38</v>
      </c>
      <c r="G13" s="462">
        <v>0.38</v>
      </c>
      <c r="H13" s="463">
        <v>0.9</v>
      </c>
      <c r="I13" s="668">
        <v>1.1000000000000001</v>
      </c>
      <c r="J13" s="668"/>
      <c r="K13" s="463">
        <v>0.9</v>
      </c>
      <c r="L13" s="463">
        <v>1.1000000000000001</v>
      </c>
      <c r="M13" s="462" t="s">
        <v>3</v>
      </c>
      <c r="N13" s="462">
        <v>1</v>
      </c>
    </row>
    <row r="14" spans="2:14" x14ac:dyDescent="0.25">
      <c r="B14" s="461" t="s">
        <v>658</v>
      </c>
      <c r="C14" s="462" t="s">
        <v>397</v>
      </c>
      <c r="D14" s="462">
        <v>0.13</v>
      </c>
      <c r="E14" s="462">
        <v>0.13</v>
      </c>
      <c r="F14" s="462">
        <v>0.13</v>
      </c>
      <c r="G14" s="462">
        <v>0.13</v>
      </c>
      <c r="H14" s="463">
        <v>0.9</v>
      </c>
      <c r="I14" s="668">
        <v>1.1000000000000001</v>
      </c>
      <c r="J14" s="668"/>
      <c r="K14" s="463">
        <v>0.9</v>
      </c>
      <c r="L14" s="463">
        <v>1.1000000000000001</v>
      </c>
      <c r="M14" s="462" t="s">
        <v>3</v>
      </c>
      <c r="N14" s="462">
        <v>1</v>
      </c>
    </row>
    <row r="15" spans="2:14" x14ac:dyDescent="0.25">
      <c r="B15" s="461" t="s">
        <v>659</v>
      </c>
      <c r="C15" s="462" t="s">
        <v>397</v>
      </c>
      <c r="D15" s="462">
        <v>0.31</v>
      </c>
      <c r="E15" s="462">
        <v>0.31</v>
      </c>
      <c r="F15" s="462">
        <v>0.31</v>
      </c>
      <c r="G15" s="462">
        <v>0.31</v>
      </c>
      <c r="H15" s="463">
        <v>0.9</v>
      </c>
      <c r="I15" s="668">
        <v>1.1000000000000001</v>
      </c>
      <c r="J15" s="668"/>
      <c r="K15" s="463">
        <v>0.9</v>
      </c>
      <c r="L15" s="463">
        <v>1.1000000000000001</v>
      </c>
      <c r="M15" s="462" t="s">
        <v>3</v>
      </c>
      <c r="N15" s="462">
        <v>1</v>
      </c>
    </row>
    <row r="16" spans="2:14" x14ac:dyDescent="0.25">
      <c r="B16" s="461" t="s">
        <v>660</v>
      </c>
      <c r="C16" s="462" t="s">
        <v>397</v>
      </c>
      <c r="D16" s="462">
        <v>0.18</v>
      </c>
      <c r="E16" s="462">
        <v>0.18</v>
      </c>
      <c r="F16" s="462">
        <v>0.18</v>
      </c>
      <c r="G16" s="462">
        <v>0.18</v>
      </c>
      <c r="H16" s="463">
        <v>0.9</v>
      </c>
      <c r="I16" s="668">
        <v>1.1000000000000001</v>
      </c>
      <c r="J16" s="668"/>
      <c r="K16" s="463">
        <v>0.9</v>
      </c>
      <c r="L16" s="463">
        <v>1.1000000000000001</v>
      </c>
      <c r="M16" s="462" t="s">
        <v>3</v>
      </c>
      <c r="N16" s="462">
        <v>1</v>
      </c>
    </row>
    <row r="17" spans="2:14" x14ac:dyDescent="0.25">
      <c r="B17" s="670" t="s">
        <v>9</v>
      </c>
      <c r="C17" s="670"/>
      <c r="D17" s="670"/>
      <c r="E17" s="670"/>
      <c r="F17" s="670"/>
      <c r="G17" s="670"/>
      <c r="H17" s="670"/>
      <c r="I17" s="670"/>
      <c r="J17" s="670"/>
      <c r="K17" s="670"/>
      <c r="L17" s="670"/>
      <c r="M17" s="670"/>
      <c r="N17" s="670"/>
    </row>
    <row r="18" spans="2:14" x14ac:dyDescent="0.25">
      <c r="B18" s="464" t="s">
        <v>669</v>
      </c>
      <c r="C18" s="465" t="s">
        <v>397</v>
      </c>
      <c r="D18" s="462">
        <v>2.1800000000000002</v>
      </c>
      <c r="E18" s="462">
        <v>1.23</v>
      </c>
      <c r="F18" s="465">
        <v>0.9</v>
      </c>
      <c r="G18" s="462">
        <v>0.73</v>
      </c>
      <c r="H18" s="668">
        <v>0.75</v>
      </c>
      <c r="I18" s="668"/>
      <c r="J18" s="466">
        <v>1.25</v>
      </c>
      <c r="K18" s="466">
        <v>0.75</v>
      </c>
      <c r="L18" s="466">
        <v>1.25</v>
      </c>
      <c r="M18" s="465" t="s">
        <v>670</v>
      </c>
      <c r="N18" s="465" t="s">
        <v>647</v>
      </c>
    </row>
    <row r="19" spans="2:14" x14ac:dyDescent="0.25">
      <c r="B19" s="464" t="s">
        <v>313</v>
      </c>
      <c r="C19" s="465" t="s">
        <v>397</v>
      </c>
      <c r="D19" s="465">
        <v>75</v>
      </c>
      <c r="E19" s="465">
        <v>75</v>
      </c>
      <c r="F19" s="465">
        <v>75</v>
      </c>
      <c r="G19" s="465">
        <v>75</v>
      </c>
      <c r="H19" s="674"/>
      <c r="I19" s="674"/>
      <c r="J19" s="462"/>
      <c r="K19" s="462"/>
      <c r="L19" s="462"/>
      <c r="M19" s="462"/>
      <c r="N19" s="462"/>
    </row>
    <row r="20" spans="2:14" x14ac:dyDescent="0.25">
      <c r="B20" s="464" t="s">
        <v>314</v>
      </c>
      <c r="C20" s="465" t="s">
        <v>397</v>
      </c>
      <c r="D20" s="465">
        <v>25</v>
      </c>
      <c r="E20" s="465">
        <v>25</v>
      </c>
      <c r="F20" s="465">
        <v>25</v>
      </c>
      <c r="G20" s="465">
        <v>25</v>
      </c>
      <c r="H20" s="674"/>
      <c r="I20" s="674"/>
      <c r="J20" s="462"/>
      <c r="K20" s="462"/>
      <c r="L20" s="462"/>
      <c r="M20" s="462"/>
      <c r="N20" s="462"/>
    </row>
    <row r="21" spans="2:14" x14ac:dyDescent="0.25">
      <c r="B21" s="464" t="s">
        <v>671</v>
      </c>
      <c r="C21" s="465" t="s">
        <v>397</v>
      </c>
      <c r="D21" s="462">
        <v>44</v>
      </c>
      <c r="E21" s="462">
        <v>44</v>
      </c>
      <c r="F21" s="462">
        <v>44</v>
      </c>
      <c r="G21" s="462">
        <v>44</v>
      </c>
      <c r="H21" s="675">
        <v>0.75</v>
      </c>
      <c r="I21" s="675"/>
      <c r="J21" s="465">
        <v>1.25</v>
      </c>
      <c r="K21" s="465">
        <v>0.75</v>
      </c>
      <c r="L21" s="465">
        <v>1.25</v>
      </c>
      <c r="M21" s="465" t="s">
        <v>250</v>
      </c>
      <c r="N21" s="465">
        <v>5</v>
      </c>
    </row>
    <row r="22" spans="2:14" x14ac:dyDescent="0.25">
      <c r="B22" s="464" t="s">
        <v>672</v>
      </c>
      <c r="C22" s="465" t="s">
        <v>397</v>
      </c>
      <c r="D22" s="465">
        <v>0.02</v>
      </c>
      <c r="E22" s="465">
        <v>0.02</v>
      </c>
      <c r="F22" s="465">
        <v>0.02</v>
      </c>
      <c r="G22" s="465">
        <v>0.02</v>
      </c>
      <c r="H22" s="675">
        <v>0.75</v>
      </c>
      <c r="I22" s="675"/>
      <c r="J22" s="465">
        <v>1.25</v>
      </c>
      <c r="K22" s="465">
        <v>0.75</v>
      </c>
      <c r="L22" s="465">
        <v>1.25</v>
      </c>
      <c r="M22" s="465" t="s">
        <v>250</v>
      </c>
      <c r="N22" s="465">
        <v>5</v>
      </c>
    </row>
    <row r="23" spans="2:14" x14ac:dyDescent="0.25">
      <c r="B23" s="464" t="s">
        <v>673</v>
      </c>
      <c r="C23" s="465" t="s">
        <v>397</v>
      </c>
      <c r="D23" s="465">
        <v>0</v>
      </c>
      <c r="E23" s="465">
        <v>0</v>
      </c>
      <c r="F23" s="465">
        <v>0</v>
      </c>
      <c r="G23" s="465">
        <v>0</v>
      </c>
      <c r="H23" s="674"/>
      <c r="I23" s="674"/>
      <c r="J23" s="462"/>
      <c r="K23" s="462"/>
      <c r="L23" s="462"/>
      <c r="M23" s="462"/>
      <c r="N23" s="462"/>
    </row>
    <row r="24" spans="2:14" x14ac:dyDescent="0.25">
      <c r="B24" s="467" t="s">
        <v>244</v>
      </c>
      <c r="C24" s="674"/>
      <c r="D24" s="674"/>
      <c r="E24" s="674"/>
      <c r="F24" s="674"/>
      <c r="G24" s="674"/>
      <c r="H24" s="674"/>
      <c r="I24" s="674"/>
      <c r="J24" s="674"/>
      <c r="K24" s="674"/>
      <c r="L24" s="674"/>
      <c r="M24" s="674"/>
      <c r="N24" s="674"/>
    </row>
    <row r="25" spans="2:14" x14ac:dyDescent="0.25">
      <c r="B25" s="468" t="s">
        <v>318</v>
      </c>
      <c r="C25" s="462"/>
      <c r="D25" s="674">
        <v>43</v>
      </c>
      <c r="E25" s="674"/>
      <c r="F25" s="674"/>
      <c r="G25" s="674"/>
      <c r="H25" s="674"/>
      <c r="I25" s="674"/>
      <c r="J25" s="462"/>
      <c r="K25" s="462"/>
      <c r="L25" s="462"/>
      <c r="M25" s="462"/>
      <c r="N25" s="462"/>
    </row>
    <row r="26" spans="2:14" x14ac:dyDescent="0.25">
      <c r="B26" s="468" t="s">
        <v>674</v>
      </c>
      <c r="C26" s="462"/>
      <c r="D26" s="674">
        <v>0.83</v>
      </c>
      <c r="E26" s="674"/>
      <c r="F26" s="674"/>
      <c r="G26" s="674"/>
      <c r="H26" s="674"/>
      <c r="I26" s="674"/>
      <c r="J26" s="462"/>
      <c r="K26" s="462"/>
      <c r="L26" s="462"/>
      <c r="M26" s="462"/>
      <c r="N26" s="462"/>
    </row>
    <row r="27" spans="2:14" x14ac:dyDescent="0.25">
      <c r="B27" s="456"/>
      <c r="C27" s="456"/>
      <c r="D27" s="456"/>
      <c r="E27" s="456"/>
      <c r="F27" s="456"/>
      <c r="G27" s="456"/>
      <c r="H27" s="456"/>
      <c r="I27" s="456"/>
      <c r="J27" s="456"/>
      <c r="K27" s="456"/>
      <c r="L27" s="456"/>
      <c r="M27" s="456"/>
      <c r="N27" s="456"/>
    </row>
    <row r="28" spans="2:14" x14ac:dyDescent="0.25">
      <c r="B28" s="457"/>
    </row>
    <row r="29" spans="2:14" x14ac:dyDescent="0.25">
      <c r="B29" s="458" t="s">
        <v>675</v>
      </c>
    </row>
    <row r="30" spans="2:14" x14ac:dyDescent="0.25">
      <c r="B30" t="s">
        <v>661</v>
      </c>
    </row>
    <row r="31" spans="2:14" x14ac:dyDescent="0.25">
      <c r="B31" t="s">
        <v>494</v>
      </c>
    </row>
    <row r="32" spans="2:14" x14ac:dyDescent="0.25">
      <c r="B32" t="s">
        <v>662</v>
      </c>
    </row>
    <row r="33" spans="2:2" x14ac:dyDescent="0.25">
      <c r="B33" t="s">
        <v>663</v>
      </c>
    </row>
    <row r="34" spans="2:2" x14ac:dyDescent="0.25">
      <c r="B34" t="s">
        <v>676</v>
      </c>
    </row>
    <row r="35" spans="2:2" ht="16.5" customHeight="1" x14ac:dyDescent="0.25">
      <c r="B35" t="s">
        <v>677</v>
      </c>
    </row>
    <row r="36" spans="2:2" x14ac:dyDescent="0.25">
      <c r="B36" t="s">
        <v>466</v>
      </c>
    </row>
  </sheetData>
  <mergeCells count="27">
    <mergeCell ref="I15:J15"/>
    <mergeCell ref="I16:J16"/>
    <mergeCell ref="D25:G25"/>
    <mergeCell ref="H25:I25"/>
    <mergeCell ref="D26:G26"/>
    <mergeCell ref="H26:I26"/>
    <mergeCell ref="H20:I20"/>
    <mergeCell ref="H21:I21"/>
    <mergeCell ref="H22:I22"/>
    <mergeCell ref="H23:I23"/>
    <mergeCell ref="C24:N24"/>
    <mergeCell ref="H18:I18"/>
    <mergeCell ref="H19:I19"/>
    <mergeCell ref="B17:N17"/>
    <mergeCell ref="H4:J4"/>
    <mergeCell ref="K4:L4"/>
    <mergeCell ref="H5:I5"/>
    <mergeCell ref="B6:N6"/>
    <mergeCell ref="C3:N3"/>
    <mergeCell ref="B12:N12"/>
    <mergeCell ref="I13:J13"/>
    <mergeCell ref="I14:J14"/>
    <mergeCell ref="H7:I7"/>
    <mergeCell ref="H8:I8"/>
    <mergeCell ref="B9:N9"/>
    <mergeCell ref="H10:I10"/>
    <mergeCell ref="H11:I11"/>
  </mergeCells>
  <hyperlinks>
    <hyperlink ref="C3" location="INDEX" display="Catalytic Hydroprocessing conf. 1"/>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B2:M52"/>
  <sheetViews>
    <sheetView showGridLines="0" workbookViewId="0">
      <selection activeCell="D18" sqref="D18"/>
    </sheetView>
  </sheetViews>
  <sheetFormatPr defaultRowHeight="15" x14ac:dyDescent="0.25"/>
  <cols>
    <col min="1" max="1" width="2.140625" customWidth="1"/>
    <col min="2" max="2" width="39.85546875" customWidth="1"/>
  </cols>
  <sheetData>
    <row r="2" spans="2:13" x14ac:dyDescent="0.25">
      <c r="H2" s="255"/>
    </row>
    <row r="3" spans="2:13" x14ac:dyDescent="0.25">
      <c r="B3" s="470" t="s">
        <v>20</v>
      </c>
      <c r="C3" s="676" t="s">
        <v>702</v>
      </c>
      <c r="D3" s="677"/>
      <c r="E3" s="677"/>
      <c r="F3" s="677"/>
      <c r="G3" s="677"/>
      <c r="H3" s="677"/>
      <c r="I3" s="677"/>
      <c r="J3" s="677"/>
      <c r="K3" s="677"/>
      <c r="L3" s="678"/>
      <c r="M3" s="469"/>
    </row>
    <row r="4" spans="2:13" x14ac:dyDescent="0.25">
      <c r="B4" s="471"/>
      <c r="C4" s="470">
        <v>2020</v>
      </c>
      <c r="D4" s="470">
        <v>2030</v>
      </c>
      <c r="E4" s="470">
        <v>2040</v>
      </c>
      <c r="F4" s="470">
        <v>2050</v>
      </c>
      <c r="G4" s="679" t="s">
        <v>25</v>
      </c>
      <c r="H4" s="678"/>
      <c r="I4" s="679" t="s">
        <v>24</v>
      </c>
      <c r="J4" s="678"/>
      <c r="K4" s="470" t="s">
        <v>19</v>
      </c>
      <c r="L4" s="470" t="s">
        <v>18</v>
      </c>
      <c r="M4" s="469"/>
    </row>
    <row r="5" spans="2:13" x14ac:dyDescent="0.25">
      <c r="B5" s="472"/>
      <c r="C5" s="473"/>
      <c r="D5" s="473"/>
      <c r="E5" s="472"/>
      <c r="F5" s="473"/>
      <c r="G5" s="472" t="s">
        <v>17</v>
      </c>
      <c r="H5" s="472" t="s">
        <v>16</v>
      </c>
      <c r="I5" s="472" t="s">
        <v>17</v>
      </c>
      <c r="J5" s="472" t="s">
        <v>16</v>
      </c>
      <c r="K5" s="473"/>
      <c r="L5" s="473"/>
      <c r="M5" s="469"/>
    </row>
    <row r="6" spans="2:13" x14ac:dyDescent="0.25">
      <c r="B6" s="474" t="s">
        <v>15</v>
      </c>
      <c r="C6" s="475"/>
      <c r="D6" s="475"/>
      <c r="E6" s="475"/>
      <c r="F6" s="475"/>
      <c r="G6" s="475"/>
      <c r="H6" s="475"/>
      <c r="I6" s="475"/>
      <c r="J6" s="475"/>
      <c r="K6" s="475"/>
      <c r="L6" s="476"/>
      <c r="M6" s="469"/>
    </row>
    <row r="7" spans="2:13" x14ac:dyDescent="0.25">
      <c r="B7" s="477" t="s">
        <v>703</v>
      </c>
      <c r="C7" s="478">
        <v>2</v>
      </c>
      <c r="D7" s="478">
        <v>13</v>
      </c>
      <c r="E7" s="478">
        <v>41</v>
      </c>
      <c r="F7" s="478">
        <v>165</v>
      </c>
      <c r="G7" s="479">
        <v>0.5</v>
      </c>
      <c r="H7" s="479">
        <v>1.5</v>
      </c>
      <c r="I7" s="479">
        <v>0.5</v>
      </c>
      <c r="J7" s="479">
        <v>1.5</v>
      </c>
      <c r="K7" s="478" t="s">
        <v>704</v>
      </c>
      <c r="L7" s="478" t="s">
        <v>680</v>
      </c>
      <c r="M7" s="469"/>
    </row>
    <row r="8" spans="2:13" x14ac:dyDescent="0.25">
      <c r="B8" s="480" t="s">
        <v>681</v>
      </c>
      <c r="C8" s="481">
        <v>3.1</v>
      </c>
      <c r="D8" s="481">
        <v>20.5</v>
      </c>
      <c r="E8" s="481">
        <v>64.5</v>
      </c>
      <c r="F8" s="481">
        <v>259.60000000000002</v>
      </c>
      <c r="G8" s="482">
        <v>0.5</v>
      </c>
      <c r="H8" s="482">
        <v>1.5</v>
      </c>
      <c r="I8" s="482">
        <v>0.5</v>
      </c>
      <c r="J8" s="482">
        <v>1.5</v>
      </c>
      <c r="K8" s="481" t="s">
        <v>682</v>
      </c>
      <c r="L8" s="481" t="s">
        <v>683</v>
      </c>
      <c r="M8" s="469"/>
    </row>
    <row r="9" spans="2:13" x14ac:dyDescent="0.25">
      <c r="B9" s="483" t="s">
        <v>240</v>
      </c>
      <c r="C9" s="475"/>
      <c r="D9" s="475"/>
      <c r="E9" s="475"/>
      <c r="F9" s="475"/>
      <c r="G9" s="475"/>
      <c r="H9" s="475"/>
      <c r="I9" s="475"/>
      <c r="J9" s="484"/>
      <c r="K9" s="475"/>
      <c r="L9" s="476"/>
      <c r="M9" s="469"/>
    </row>
    <row r="10" spans="2:13" x14ac:dyDescent="0.25">
      <c r="B10" s="477" t="s">
        <v>705</v>
      </c>
      <c r="C10" s="478">
        <v>4.3</v>
      </c>
      <c r="D10" s="478">
        <v>3.9</v>
      </c>
      <c r="E10" s="478">
        <v>3.6</v>
      </c>
      <c r="F10" s="478">
        <v>3.3</v>
      </c>
      <c r="G10" s="479">
        <v>1</v>
      </c>
      <c r="H10" s="479">
        <v>1.1000000000000001</v>
      </c>
      <c r="I10" s="479">
        <v>1</v>
      </c>
      <c r="J10" s="479">
        <v>1.1000000000000001</v>
      </c>
      <c r="K10" s="478" t="s">
        <v>706</v>
      </c>
      <c r="L10" s="477"/>
      <c r="M10" s="469"/>
    </row>
    <row r="11" spans="2:13" x14ac:dyDescent="0.25">
      <c r="B11" s="485" t="s">
        <v>304</v>
      </c>
      <c r="C11" s="486">
        <v>0.995</v>
      </c>
      <c r="D11" s="486">
        <v>0.995</v>
      </c>
      <c r="E11" s="486">
        <v>0.995</v>
      </c>
      <c r="F11" s="486">
        <v>0.995</v>
      </c>
      <c r="G11" s="487">
        <v>0.75</v>
      </c>
      <c r="H11" s="487">
        <v>1.25</v>
      </c>
      <c r="I11" s="487">
        <v>0.75</v>
      </c>
      <c r="J11" s="487">
        <v>1.25</v>
      </c>
      <c r="K11" s="486" t="s">
        <v>707</v>
      </c>
      <c r="L11" s="486"/>
      <c r="M11" s="469"/>
    </row>
    <row r="12" spans="2:13" x14ac:dyDescent="0.25">
      <c r="B12" s="480" t="s">
        <v>708</v>
      </c>
      <c r="C12" s="481">
        <v>5.0000000000000001E-3</v>
      </c>
      <c r="D12" s="481">
        <v>5.0000000000000001E-3</v>
      </c>
      <c r="E12" s="481">
        <v>5.0000000000000001E-3</v>
      </c>
      <c r="F12" s="481">
        <v>5.0000000000000001E-3</v>
      </c>
      <c r="G12" s="482">
        <v>0.75</v>
      </c>
      <c r="H12" s="482">
        <v>1.25</v>
      </c>
      <c r="I12" s="482">
        <v>0.75</v>
      </c>
      <c r="J12" s="482">
        <v>1.25</v>
      </c>
      <c r="K12" s="481" t="s">
        <v>1</v>
      </c>
      <c r="L12" s="481"/>
      <c r="M12" s="469"/>
    </row>
    <row r="13" spans="2:13" x14ac:dyDescent="0.25">
      <c r="B13" s="474" t="s">
        <v>241</v>
      </c>
      <c r="C13" s="475"/>
      <c r="D13" s="475"/>
      <c r="E13" s="475"/>
      <c r="F13" s="475"/>
      <c r="G13" s="475"/>
      <c r="H13" s="475"/>
      <c r="I13" s="475"/>
      <c r="J13" s="484"/>
      <c r="K13" s="475"/>
      <c r="L13" s="476"/>
      <c r="M13" s="469"/>
    </row>
    <row r="14" spans="2:13" x14ac:dyDescent="0.25">
      <c r="B14" s="477" t="s">
        <v>686</v>
      </c>
      <c r="C14" s="478">
        <v>0.65</v>
      </c>
      <c r="D14" s="478">
        <v>0.7</v>
      </c>
      <c r="E14" s="478">
        <v>0.73</v>
      </c>
      <c r="F14" s="478">
        <v>0.75</v>
      </c>
      <c r="G14" s="479">
        <v>0.8</v>
      </c>
      <c r="H14" s="479">
        <v>1.2</v>
      </c>
      <c r="I14" s="479">
        <v>0.8</v>
      </c>
      <c r="J14" s="479">
        <v>1.2</v>
      </c>
      <c r="K14" s="478" t="s">
        <v>746</v>
      </c>
      <c r="L14" s="478" t="s">
        <v>687</v>
      </c>
    </row>
    <row r="15" spans="2:13" x14ac:dyDescent="0.25">
      <c r="B15" s="485" t="s">
        <v>688</v>
      </c>
      <c r="C15" s="486">
        <v>0.25</v>
      </c>
      <c r="D15" s="486">
        <v>0.2</v>
      </c>
      <c r="E15" s="486">
        <v>0.17</v>
      </c>
      <c r="F15" s="486">
        <v>0.15</v>
      </c>
      <c r="G15" s="487">
        <v>0.8</v>
      </c>
      <c r="H15" s="487">
        <v>1.2</v>
      </c>
      <c r="I15" s="487">
        <v>0.8</v>
      </c>
      <c r="J15" s="487">
        <v>1.2</v>
      </c>
      <c r="K15" s="486" t="s">
        <v>41</v>
      </c>
      <c r="L15" s="485"/>
    </row>
    <row r="16" spans="2:13" x14ac:dyDescent="0.25">
      <c r="B16" s="485"/>
      <c r="C16" s="486"/>
      <c r="D16" s="486"/>
      <c r="E16" s="486"/>
      <c r="F16" s="486"/>
      <c r="G16" s="486"/>
      <c r="H16" s="486"/>
      <c r="I16" s="486"/>
      <c r="J16" s="485"/>
      <c r="K16" s="486"/>
      <c r="L16" s="485"/>
    </row>
    <row r="17" spans="2:13" x14ac:dyDescent="0.25">
      <c r="B17" s="485" t="s">
        <v>99</v>
      </c>
      <c r="C17" s="486">
        <v>0</v>
      </c>
      <c r="D17" s="486">
        <v>0</v>
      </c>
      <c r="E17" s="486">
        <v>0</v>
      </c>
      <c r="F17" s="486">
        <v>0</v>
      </c>
      <c r="G17" s="486"/>
      <c r="H17" s="486"/>
      <c r="I17" s="486"/>
      <c r="J17" s="485"/>
      <c r="K17" s="486" t="s">
        <v>127</v>
      </c>
      <c r="L17" s="485"/>
    </row>
    <row r="18" spans="2:13" x14ac:dyDescent="0.25">
      <c r="B18" s="485" t="s">
        <v>23</v>
      </c>
      <c r="C18" s="486">
        <v>3</v>
      </c>
      <c r="D18" s="485"/>
      <c r="E18" s="485"/>
      <c r="F18" s="485"/>
      <c r="G18" s="486"/>
      <c r="H18" s="486"/>
      <c r="I18" s="486"/>
      <c r="J18" s="485"/>
      <c r="K18" s="486"/>
      <c r="L18" s="486">
        <v>18</v>
      </c>
    </row>
    <row r="19" spans="2:13" x14ac:dyDescent="0.25">
      <c r="B19" s="485" t="s">
        <v>14</v>
      </c>
      <c r="C19" s="486">
        <v>25</v>
      </c>
      <c r="D19" s="485"/>
      <c r="E19" s="485"/>
      <c r="F19" s="485"/>
      <c r="G19" s="486"/>
      <c r="H19" s="486"/>
      <c r="I19" s="486"/>
      <c r="J19" s="485"/>
      <c r="K19" s="486"/>
      <c r="L19" s="485"/>
    </row>
    <row r="20" spans="2:13" x14ac:dyDescent="0.25">
      <c r="B20" s="480" t="s">
        <v>12</v>
      </c>
      <c r="C20" s="481">
        <v>2</v>
      </c>
      <c r="D20" s="480"/>
      <c r="E20" s="480"/>
      <c r="F20" s="480"/>
      <c r="G20" s="481"/>
      <c r="H20" s="481"/>
      <c r="I20" s="481"/>
      <c r="J20" s="480"/>
      <c r="K20" s="481"/>
      <c r="L20" s="480"/>
    </row>
    <row r="21" spans="2:13" x14ac:dyDescent="0.25">
      <c r="B21" s="474" t="s">
        <v>9</v>
      </c>
      <c r="C21" s="475"/>
      <c r="D21" s="475"/>
      <c r="E21" s="475"/>
      <c r="F21" s="475"/>
      <c r="G21" s="475"/>
      <c r="H21" s="475"/>
      <c r="I21" s="475"/>
      <c r="J21" s="475"/>
      <c r="K21" s="475"/>
      <c r="L21" s="476"/>
      <c r="M21" s="469"/>
    </row>
    <row r="22" spans="2:13" ht="22.5" x14ac:dyDescent="0.25">
      <c r="B22" s="477" t="s">
        <v>620</v>
      </c>
      <c r="C22" s="488">
        <v>2.1</v>
      </c>
      <c r="D22" s="488">
        <v>1.6</v>
      </c>
      <c r="E22" s="488">
        <v>1.1000000000000001</v>
      </c>
      <c r="F22" s="488">
        <v>0.9</v>
      </c>
      <c r="G22" s="479">
        <v>0.75</v>
      </c>
      <c r="H22" s="479">
        <v>1.5</v>
      </c>
      <c r="I22" s="479">
        <v>0.75</v>
      </c>
      <c r="J22" s="479">
        <v>1.25</v>
      </c>
      <c r="K22" s="478" t="s">
        <v>709</v>
      </c>
      <c r="L22" s="478" t="s">
        <v>690</v>
      </c>
      <c r="M22" s="469"/>
    </row>
    <row r="23" spans="2:13" x14ac:dyDescent="0.25">
      <c r="B23" s="485" t="s">
        <v>313</v>
      </c>
      <c r="C23" s="486">
        <v>75</v>
      </c>
      <c r="D23" s="486">
        <v>75</v>
      </c>
      <c r="E23" s="486">
        <v>75</v>
      </c>
      <c r="F23" s="486">
        <v>75</v>
      </c>
      <c r="G23" s="471"/>
      <c r="H23" s="471"/>
      <c r="I23" s="471"/>
      <c r="J23" s="489"/>
      <c r="K23" s="486" t="s">
        <v>110</v>
      </c>
      <c r="L23" s="486"/>
      <c r="M23" s="469"/>
    </row>
    <row r="24" spans="2:13" x14ac:dyDescent="0.25">
      <c r="B24" s="485" t="s">
        <v>314</v>
      </c>
      <c r="C24" s="486">
        <v>25</v>
      </c>
      <c r="D24" s="486">
        <v>25</v>
      </c>
      <c r="E24" s="486">
        <v>25</v>
      </c>
      <c r="F24" s="486">
        <v>25</v>
      </c>
      <c r="G24" s="471"/>
      <c r="H24" s="471"/>
      <c r="I24" s="471"/>
      <c r="J24" s="489"/>
      <c r="K24" s="486"/>
      <c r="L24" s="486"/>
      <c r="M24" s="469"/>
    </row>
    <row r="25" spans="2:13" x14ac:dyDescent="0.25">
      <c r="B25" s="485" t="s">
        <v>710</v>
      </c>
      <c r="C25" s="490">
        <v>16.899999999999999</v>
      </c>
      <c r="D25" s="490">
        <v>12.7</v>
      </c>
      <c r="E25" s="490">
        <v>8.5</v>
      </c>
      <c r="F25" s="490">
        <v>7.4</v>
      </c>
      <c r="G25" s="487">
        <v>0.9</v>
      </c>
      <c r="H25" s="487">
        <v>1.1000000000000001</v>
      </c>
      <c r="I25" s="487">
        <v>0.9</v>
      </c>
      <c r="J25" s="487">
        <v>1.1000000000000001</v>
      </c>
      <c r="K25" s="486" t="s">
        <v>168</v>
      </c>
      <c r="L25" s="486">
        <v>18</v>
      </c>
      <c r="M25" s="469"/>
    </row>
    <row r="26" spans="2:13" x14ac:dyDescent="0.25">
      <c r="B26" s="485" t="s">
        <v>711</v>
      </c>
      <c r="C26" s="490">
        <v>5.3</v>
      </c>
      <c r="D26" s="490">
        <v>4.2</v>
      </c>
      <c r="E26" s="490">
        <v>3.2</v>
      </c>
      <c r="F26" s="490">
        <v>2.1</v>
      </c>
      <c r="G26" s="487">
        <v>0.9</v>
      </c>
      <c r="H26" s="487">
        <v>1.1000000000000001</v>
      </c>
      <c r="I26" s="487">
        <v>0.9</v>
      </c>
      <c r="J26" s="487">
        <v>1.1000000000000001</v>
      </c>
      <c r="K26" s="486" t="s">
        <v>692</v>
      </c>
      <c r="L26" s="486">
        <v>26</v>
      </c>
      <c r="M26" s="469"/>
    </row>
    <row r="27" spans="2:13" x14ac:dyDescent="0.25">
      <c r="B27" s="480" t="s">
        <v>699</v>
      </c>
      <c r="C27" s="481">
        <v>0</v>
      </c>
      <c r="D27" s="481">
        <v>0</v>
      </c>
      <c r="E27" s="481">
        <v>0</v>
      </c>
      <c r="F27" s="481">
        <v>0</v>
      </c>
      <c r="G27" s="481"/>
      <c r="H27" s="481"/>
      <c r="I27" s="481"/>
      <c r="J27" s="480"/>
      <c r="K27" s="481"/>
      <c r="L27" s="481"/>
      <c r="M27" s="469"/>
    </row>
    <row r="28" spans="2:13" x14ac:dyDescent="0.25">
      <c r="B28" s="474" t="s">
        <v>244</v>
      </c>
      <c r="C28" s="491"/>
      <c r="D28" s="491"/>
      <c r="E28" s="491"/>
      <c r="F28" s="491"/>
      <c r="G28" s="491"/>
      <c r="H28" s="491"/>
      <c r="I28" s="491"/>
      <c r="J28" s="491"/>
      <c r="K28" s="491"/>
      <c r="L28" s="492"/>
      <c r="M28" s="469"/>
    </row>
    <row r="29" spans="2:13" ht="22.5" x14ac:dyDescent="0.25">
      <c r="B29" s="477" t="s">
        <v>696</v>
      </c>
      <c r="C29" s="478">
        <v>3.3</v>
      </c>
      <c r="D29" s="478">
        <v>2.5</v>
      </c>
      <c r="E29" s="478">
        <v>1.7</v>
      </c>
      <c r="F29" s="478">
        <v>1.4</v>
      </c>
      <c r="G29" s="479">
        <v>0.75</v>
      </c>
      <c r="H29" s="479">
        <v>1.5</v>
      </c>
      <c r="I29" s="479">
        <v>0.75</v>
      </c>
      <c r="J29" s="479">
        <v>1.25</v>
      </c>
      <c r="K29" s="478" t="s">
        <v>709</v>
      </c>
      <c r="L29" s="478" t="s">
        <v>690</v>
      </c>
      <c r="M29" s="469"/>
    </row>
    <row r="30" spans="2:13" x14ac:dyDescent="0.25">
      <c r="B30" s="485" t="s">
        <v>313</v>
      </c>
      <c r="C30" s="486">
        <v>75</v>
      </c>
      <c r="D30" s="486">
        <v>75</v>
      </c>
      <c r="E30" s="486">
        <v>75</v>
      </c>
      <c r="F30" s="486">
        <v>75</v>
      </c>
      <c r="G30" s="486"/>
      <c r="H30" s="486"/>
      <c r="I30" s="486"/>
      <c r="J30" s="486"/>
      <c r="K30" s="486" t="s">
        <v>110</v>
      </c>
      <c r="L30" s="486"/>
      <c r="M30" s="469"/>
    </row>
    <row r="31" spans="2:13" x14ac:dyDescent="0.25">
      <c r="B31" s="485" t="s">
        <v>314</v>
      </c>
      <c r="C31" s="486">
        <v>25</v>
      </c>
      <c r="D31" s="486">
        <v>25</v>
      </c>
      <c r="E31" s="486">
        <v>25</v>
      </c>
      <c r="F31" s="486">
        <v>25</v>
      </c>
      <c r="G31" s="486"/>
      <c r="H31" s="486"/>
      <c r="I31" s="486"/>
      <c r="J31" s="486"/>
      <c r="K31" s="486"/>
      <c r="L31" s="486"/>
      <c r="M31" s="469"/>
    </row>
    <row r="32" spans="2:13" x14ac:dyDescent="0.25">
      <c r="B32" s="485" t="s">
        <v>697</v>
      </c>
      <c r="C32" s="490">
        <v>0.16</v>
      </c>
      <c r="D32" s="490">
        <v>0.12</v>
      </c>
      <c r="E32" s="490">
        <v>0.08</v>
      </c>
      <c r="F32" s="490">
        <v>7.0000000000000007E-2</v>
      </c>
      <c r="G32" s="487">
        <v>0.9</v>
      </c>
      <c r="H32" s="487">
        <v>1.1000000000000001</v>
      </c>
      <c r="I32" s="487">
        <v>0.9</v>
      </c>
      <c r="J32" s="487">
        <v>1.1000000000000001</v>
      </c>
      <c r="K32" s="486" t="s">
        <v>168</v>
      </c>
      <c r="L32" s="486">
        <v>18</v>
      </c>
      <c r="M32" s="469"/>
    </row>
    <row r="33" spans="2:13" x14ac:dyDescent="0.25">
      <c r="B33" s="485" t="s">
        <v>698</v>
      </c>
      <c r="C33" s="490">
        <v>0.05</v>
      </c>
      <c r="D33" s="490">
        <v>0.04</v>
      </c>
      <c r="E33" s="490">
        <v>0.03</v>
      </c>
      <c r="F33" s="490">
        <v>0.02</v>
      </c>
      <c r="G33" s="487">
        <v>0.9</v>
      </c>
      <c r="H33" s="487">
        <v>1.1000000000000001</v>
      </c>
      <c r="I33" s="487">
        <v>0.9</v>
      </c>
      <c r="J33" s="487">
        <v>1.1000000000000001</v>
      </c>
      <c r="K33" s="486" t="s">
        <v>692</v>
      </c>
      <c r="L33" s="486">
        <v>26</v>
      </c>
      <c r="M33" s="469"/>
    </row>
    <row r="34" spans="2:13" x14ac:dyDescent="0.25">
      <c r="B34" s="485" t="s">
        <v>699</v>
      </c>
      <c r="C34" s="486">
        <v>0</v>
      </c>
      <c r="D34" s="486">
        <v>0</v>
      </c>
      <c r="E34" s="486">
        <v>0</v>
      </c>
      <c r="F34" s="486">
        <v>0</v>
      </c>
      <c r="G34" s="486"/>
      <c r="H34" s="486"/>
      <c r="I34" s="486"/>
      <c r="J34" s="485"/>
      <c r="K34" s="486"/>
      <c r="L34" s="486"/>
      <c r="M34" s="469"/>
    </row>
    <row r="37" spans="2:13" x14ac:dyDescent="0.25">
      <c r="B37" s="493" t="s">
        <v>712</v>
      </c>
    </row>
    <row r="38" spans="2:13" x14ac:dyDescent="0.25">
      <c r="B38" t="s">
        <v>700</v>
      </c>
    </row>
    <row r="39" spans="2:13" x14ac:dyDescent="0.25">
      <c r="B39" t="s">
        <v>701</v>
      </c>
    </row>
    <row r="40" spans="2:13" x14ac:dyDescent="0.25">
      <c r="B40" t="s">
        <v>713</v>
      </c>
    </row>
    <row r="41" spans="2:13" x14ac:dyDescent="0.25">
      <c r="B41" t="s">
        <v>714</v>
      </c>
    </row>
    <row r="42" spans="2:13" x14ac:dyDescent="0.25">
      <c r="B42" t="s">
        <v>715</v>
      </c>
    </row>
    <row r="43" spans="2:13" x14ac:dyDescent="0.25">
      <c r="B43" t="s">
        <v>762</v>
      </c>
    </row>
    <row r="44" spans="2:13" x14ac:dyDescent="0.25">
      <c r="B44" t="s">
        <v>716</v>
      </c>
    </row>
    <row r="45" spans="2:13" x14ac:dyDescent="0.25">
      <c r="B45" t="s">
        <v>717</v>
      </c>
    </row>
    <row r="46" spans="2:13" x14ac:dyDescent="0.25">
      <c r="B46" t="s">
        <v>764</v>
      </c>
    </row>
    <row r="47" spans="2:13" x14ac:dyDescent="0.25">
      <c r="B47" t="s">
        <v>718</v>
      </c>
    </row>
    <row r="48" spans="2:13" x14ac:dyDescent="0.25">
      <c r="B48" t="s">
        <v>719</v>
      </c>
    </row>
    <row r="49" spans="2:2" x14ac:dyDescent="0.25">
      <c r="B49" t="s">
        <v>720</v>
      </c>
    </row>
    <row r="50" spans="2:2" x14ac:dyDescent="0.25">
      <c r="B50" t="s">
        <v>721</v>
      </c>
    </row>
    <row r="51" spans="2:2" x14ac:dyDescent="0.25">
      <c r="B51" t="s">
        <v>722</v>
      </c>
    </row>
    <row r="52" spans="2:2" x14ac:dyDescent="0.25">
      <c r="B52" t="s">
        <v>745</v>
      </c>
    </row>
  </sheetData>
  <mergeCells count="3">
    <mergeCell ref="C3:L3"/>
    <mergeCell ref="G4:H4"/>
    <mergeCell ref="I4:J4"/>
  </mergeCells>
  <hyperlinks>
    <hyperlink ref="C3" location="INDEX" display="Hydrogen to Jet Fuel"/>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M50"/>
  <sheetViews>
    <sheetView showGridLines="0" zoomScaleNormal="100" workbookViewId="0">
      <selection activeCell="C3" sqref="C3:L3"/>
    </sheetView>
  </sheetViews>
  <sheetFormatPr defaultRowHeight="15" x14ac:dyDescent="0.25"/>
  <cols>
    <col min="1" max="1" width="2.140625" customWidth="1"/>
    <col min="2" max="2" width="39.85546875" customWidth="1"/>
  </cols>
  <sheetData>
    <row r="1" spans="1:13" x14ac:dyDescent="0.25">
      <c r="A1" s="509"/>
    </row>
    <row r="2" spans="1:13" x14ac:dyDescent="0.25">
      <c r="H2" s="255"/>
    </row>
    <row r="3" spans="1:13" x14ac:dyDescent="0.25">
      <c r="B3" s="248" t="s">
        <v>20</v>
      </c>
      <c r="C3" s="683" t="s">
        <v>678</v>
      </c>
      <c r="D3" s="684"/>
      <c r="E3" s="684"/>
      <c r="F3" s="684"/>
      <c r="G3" s="684"/>
      <c r="H3" s="684"/>
      <c r="I3" s="684"/>
      <c r="J3" s="684"/>
      <c r="K3" s="684"/>
      <c r="L3" s="684"/>
      <c r="M3" s="469"/>
    </row>
    <row r="4" spans="1:13" ht="15" customHeight="1" x14ac:dyDescent="0.25">
      <c r="B4" s="494"/>
      <c r="C4" s="248">
        <v>2020</v>
      </c>
      <c r="D4" s="248">
        <v>2030</v>
      </c>
      <c r="E4" s="248">
        <v>2040</v>
      </c>
      <c r="F4" s="248">
        <v>2050</v>
      </c>
      <c r="G4" s="685" t="s">
        <v>25</v>
      </c>
      <c r="H4" s="685"/>
      <c r="I4" s="685" t="s">
        <v>24</v>
      </c>
      <c r="J4" s="685"/>
      <c r="K4" s="248" t="s">
        <v>19</v>
      </c>
      <c r="L4" s="248" t="s">
        <v>18</v>
      </c>
      <c r="M4" s="469"/>
    </row>
    <row r="5" spans="1:13" x14ac:dyDescent="0.25">
      <c r="B5" s="248"/>
      <c r="C5" s="494"/>
      <c r="D5" s="494"/>
      <c r="E5" s="248"/>
      <c r="F5" s="494"/>
      <c r="G5" s="502" t="s">
        <v>17</v>
      </c>
      <c r="H5" s="502" t="s">
        <v>16</v>
      </c>
      <c r="I5" s="502" t="s">
        <v>17</v>
      </c>
      <c r="J5" s="502" t="s">
        <v>16</v>
      </c>
      <c r="K5" s="494"/>
      <c r="L5" s="494"/>
      <c r="M5" s="469"/>
    </row>
    <row r="6" spans="1:13" ht="18" customHeight="1" x14ac:dyDescent="0.25">
      <c r="B6" s="681" t="s">
        <v>15</v>
      </c>
      <c r="C6" s="681"/>
      <c r="D6" s="681"/>
      <c r="E6" s="681"/>
      <c r="F6" s="681"/>
      <c r="G6" s="681"/>
      <c r="H6" s="681"/>
      <c r="I6" s="681"/>
      <c r="J6" s="681"/>
      <c r="K6" s="681"/>
      <c r="L6" s="681"/>
      <c r="M6" s="469"/>
    </row>
    <row r="7" spans="1:13" x14ac:dyDescent="0.25">
      <c r="B7" s="250" t="s">
        <v>451</v>
      </c>
      <c r="C7" s="249">
        <v>2</v>
      </c>
      <c r="D7" s="249">
        <v>13</v>
      </c>
      <c r="E7" s="249">
        <v>41</v>
      </c>
      <c r="F7" s="249">
        <v>165</v>
      </c>
      <c r="G7" s="496">
        <v>0.5</v>
      </c>
      <c r="H7" s="496">
        <v>1.5</v>
      </c>
      <c r="I7" s="496">
        <v>0.5</v>
      </c>
      <c r="J7" s="496">
        <v>1.5</v>
      </c>
      <c r="K7" s="249" t="s">
        <v>679</v>
      </c>
      <c r="L7" s="249" t="s">
        <v>680</v>
      </c>
      <c r="M7" s="469"/>
    </row>
    <row r="8" spans="1:13" x14ac:dyDescent="0.25">
      <c r="B8" s="250" t="s">
        <v>681</v>
      </c>
      <c r="C8" s="249">
        <v>3.1</v>
      </c>
      <c r="D8" s="249">
        <v>20.5</v>
      </c>
      <c r="E8" s="249">
        <v>64.5</v>
      </c>
      <c r="F8" s="249">
        <v>259.60000000000002</v>
      </c>
      <c r="G8" s="496">
        <v>0.5</v>
      </c>
      <c r="H8" s="496">
        <v>1.5</v>
      </c>
      <c r="I8" s="496">
        <v>0.5</v>
      </c>
      <c r="J8" s="496">
        <v>1.5</v>
      </c>
      <c r="K8" s="249" t="s">
        <v>682</v>
      </c>
      <c r="L8" s="249" t="s">
        <v>683</v>
      </c>
      <c r="M8" s="469"/>
    </row>
    <row r="9" spans="1:13" ht="18" customHeight="1" x14ac:dyDescent="0.25">
      <c r="B9" s="682" t="s">
        <v>255</v>
      </c>
      <c r="C9" s="682"/>
      <c r="D9" s="682"/>
      <c r="E9" s="682"/>
      <c r="F9" s="682"/>
      <c r="G9" s="682"/>
      <c r="H9" s="682"/>
      <c r="I9" s="682"/>
      <c r="J9" s="682"/>
      <c r="K9" s="682"/>
      <c r="L9" s="682"/>
      <c r="M9" s="469"/>
    </row>
    <row r="10" spans="1:13" x14ac:dyDescent="0.25">
      <c r="B10" s="250" t="s">
        <v>684</v>
      </c>
      <c r="C10" s="249">
        <v>4.3</v>
      </c>
      <c r="D10" s="249">
        <v>3.9</v>
      </c>
      <c r="E10" s="249">
        <v>3.6</v>
      </c>
      <c r="F10" s="249">
        <v>3.3</v>
      </c>
      <c r="G10" s="496">
        <v>1</v>
      </c>
      <c r="H10" s="496">
        <v>1.1000000000000001</v>
      </c>
      <c r="I10" s="496">
        <v>1</v>
      </c>
      <c r="J10" s="496">
        <v>1.1000000000000001</v>
      </c>
      <c r="K10" s="249" t="s">
        <v>245</v>
      </c>
      <c r="L10" s="250"/>
      <c r="M10" s="469"/>
    </row>
    <row r="11" spans="1:13" x14ac:dyDescent="0.25">
      <c r="B11" s="250" t="s">
        <v>306</v>
      </c>
      <c r="C11" s="495">
        <v>1</v>
      </c>
      <c r="D11" s="495">
        <v>1</v>
      </c>
      <c r="E11" s="495">
        <v>1</v>
      </c>
      <c r="F11" s="495">
        <v>1</v>
      </c>
      <c r="G11" s="496">
        <v>1</v>
      </c>
      <c r="H11" s="496">
        <v>1</v>
      </c>
      <c r="I11" s="496">
        <v>1</v>
      </c>
      <c r="J11" s="496">
        <v>1</v>
      </c>
      <c r="K11" s="495" t="s">
        <v>685</v>
      </c>
      <c r="L11" s="495"/>
      <c r="M11" s="469"/>
    </row>
    <row r="12" spans="1:13" ht="18" customHeight="1" x14ac:dyDescent="0.25">
      <c r="B12" s="682" t="s">
        <v>241</v>
      </c>
      <c r="C12" s="682"/>
      <c r="D12" s="682"/>
      <c r="E12" s="682"/>
      <c r="F12" s="682"/>
      <c r="G12" s="682"/>
      <c r="H12" s="682"/>
      <c r="I12" s="682"/>
      <c r="J12" s="682"/>
      <c r="K12" s="682"/>
      <c r="L12" s="682"/>
      <c r="M12" s="469"/>
    </row>
    <row r="13" spans="1:13" x14ac:dyDescent="0.25">
      <c r="B13" s="250" t="s">
        <v>686</v>
      </c>
      <c r="C13" s="495">
        <v>0.37</v>
      </c>
      <c r="D13" s="495">
        <v>0.4</v>
      </c>
      <c r="E13" s="495">
        <v>0.5</v>
      </c>
      <c r="F13" s="495">
        <v>0.55000000000000004</v>
      </c>
      <c r="G13" s="496">
        <v>0.8</v>
      </c>
      <c r="H13" s="496">
        <v>1.2</v>
      </c>
      <c r="I13" s="496">
        <v>0.8</v>
      </c>
      <c r="J13" s="496">
        <v>1.2</v>
      </c>
      <c r="K13" s="495" t="s">
        <v>763</v>
      </c>
      <c r="L13" s="495" t="s">
        <v>687</v>
      </c>
    </row>
    <row r="14" spans="1:13" x14ac:dyDescent="0.25">
      <c r="B14" s="250" t="s">
        <v>688</v>
      </c>
      <c r="C14" s="505">
        <v>0.43</v>
      </c>
      <c r="D14" s="505">
        <v>0.4</v>
      </c>
      <c r="E14" s="505">
        <v>0.3</v>
      </c>
      <c r="F14" s="505">
        <v>0.25</v>
      </c>
      <c r="G14" s="496">
        <v>0.8</v>
      </c>
      <c r="H14" s="496">
        <v>1.2</v>
      </c>
      <c r="I14" s="496">
        <v>0.8</v>
      </c>
      <c r="J14" s="496">
        <v>1.2</v>
      </c>
      <c r="K14" s="495" t="s">
        <v>127</v>
      </c>
      <c r="L14" s="495"/>
    </row>
    <row r="15" spans="1:13" ht="18" customHeight="1" x14ac:dyDescent="0.25">
      <c r="B15" s="250"/>
      <c r="C15" s="495"/>
      <c r="D15" s="495"/>
      <c r="E15" s="495"/>
      <c r="F15" s="495"/>
      <c r="G15" s="495"/>
      <c r="H15" s="497"/>
      <c r="I15" s="497"/>
      <c r="J15" s="112"/>
      <c r="K15" s="495"/>
      <c r="L15" s="497"/>
    </row>
    <row r="16" spans="1:13" x14ac:dyDescent="0.25">
      <c r="B16" s="250" t="s">
        <v>99</v>
      </c>
      <c r="C16" s="495">
        <v>0</v>
      </c>
      <c r="D16" s="495">
        <v>0</v>
      </c>
      <c r="E16" s="495">
        <v>0</v>
      </c>
      <c r="F16" s="495">
        <v>0</v>
      </c>
      <c r="G16" s="495"/>
      <c r="H16" s="497"/>
      <c r="I16" s="497"/>
      <c r="J16" s="112"/>
      <c r="K16" s="495" t="s">
        <v>98</v>
      </c>
      <c r="L16" s="495"/>
    </row>
    <row r="17" spans="2:13" x14ac:dyDescent="0.25">
      <c r="B17" s="250" t="s">
        <v>23</v>
      </c>
      <c r="C17" s="680">
        <v>3</v>
      </c>
      <c r="D17" s="680"/>
      <c r="E17" s="680"/>
      <c r="F17" s="680"/>
      <c r="G17" s="495"/>
      <c r="H17" s="497"/>
      <c r="I17" s="497"/>
      <c r="J17" s="112"/>
      <c r="K17" s="495"/>
      <c r="L17" s="495">
        <v>18</v>
      </c>
    </row>
    <row r="18" spans="2:13" x14ac:dyDescent="0.25">
      <c r="B18" s="250" t="s">
        <v>14</v>
      </c>
      <c r="C18" s="680">
        <v>25</v>
      </c>
      <c r="D18" s="680"/>
      <c r="E18" s="680"/>
      <c r="F18" s="680"/>
      <c r="G18" s="495">
        <v>20</v>
      </c>
      <c r="H18" s="495">
        <v>30</v>
      </c>
      <c r="I18" s="495"/>
      <c r="J18" s="503"/>
      <c r="K18" s="495"/>
      <c r="L18" s="495"/>
    </row>
    <row r="19" spans="2:13" x14ac:dyDescent="0.25">
      <c r="B19" s="250" t="s">
        <v>12</v>
      </c>
      <c r="C19" s="680">
        <v>2</v>
      </c>
      <c r="D19" s="680"/>
      <c r="E19" s="680"/>
      <c r="F19" s="680"/>
      <c r="G19" s="495"/>
      <c r="H19" s="497"/>
      <c r="I19" s="497"/>
      <c r="J19" s="112"/>
      <c r="K19" s="495"/>
      <c r="L19" s="495"/>
    </row>
    <row r="20" spans="2:13" ht="18" customHeight="1" x14ac:dyDescent="0.25">
      <c r="B20" s="681" t="s">
        <v>9</v>
      </c>
      <c r="C20" s="681"/>
      <c r="D20" s="681"/>
      <c r="E20" s="681"/>
      <c r="F20" s="681"/>
      <c r="G20" s="681"/>
      <c r="H20" s="681"/>
      <c r="I20" s="681"/>
      <c r="J20" s="681"/>
      <c r="K20" s="681"/>
      <c r="L20" s="681"/>
      <c r="M20" s="469"/>
    </row>
    <row r="21" spans="2:13" ht="22.5" x14ac:dyDescent="0.25">
      <c r="B21" s="495" t="s">
        <v>689</v>
      </c>
      <c r="C21" s="498">
        <v>3.2</v>
      </c>
      <c r="D21" s="498">
        <v>2.5</v>
      </c>
      <c r="E21" s="498">
        <v>1.9</v>
      </c>
      <c r="F21" s="498">
        <v>1.6</v>
      </c>
      <c r="G21" s="496">
        <v>0.75</v>
      </c>
      <c r="H21" s="496">
        <v>1.5</v>
      </c>
      <c r="I21" s="496">
        <v>0.75</v>
      </c>
      <c r="J21" s="496">
        <v>1.25</v>
      </c>
      <c r="K21" s="495" t="s">
        <v>110</v>
      </c>
      <c r="L21" s="495" t="s">
        <v>690</v>
      </c>
      <c r="M21" s="469"/>
    </row>
    <row r="22" spans="2:13" x14ac:dyDescent="0.25">
      <c r="B22" s="497" t="s">
        <v>313</v>
      </c>
      <c r="C22" s="495">
        <v>75</v>
      </c>
      <c r="D22" s="495">
        <v>75</v>
      </c>
      <c r="E22" s="495">
        <v>75</v>
      </c>
      <c r="F22" s="495">
        <v>75</v>
      </c>
      <c r="G22" s="501"/>
      <c r="H22" s="501"/>
      <c r="I22" s="501"/>
      <c r="J22" s="501"/>
      <c r="K22" s="495" t="s">
        <v>168</v>
      </c>
      <c r="L22" s="495"/>
      <c r="M22" s="469"/>
    </row>
    <row r="23" spans="2:13" x14ac:dyDescent="0.25">
      <c r="B23" s="250" t="s">
        <v>314</v>
      </c>
      <c r="C23" s="495">
        <v>25</v>
      </c>
      <c r="D23" s="495">
        <v>25</v>
      </c>
      <c r="E23" s="495">
        <v>25</v>
      </c>
      <c r="F23" s="495">
        <v>25</v>
      </c>
      <c r="G23" s="501"/>
      <c r="H23" s="501"/>
      <c r="I23" s="501"/>
      <c r="J23" s="501"/>
      <c r="K23" s="495"/>
      <c r="L23" s="249"/>
      <c r="M23" s="469"/>
    </row>
    <row r="24" spans="2:13" x14ac:dyDescent="0.25">
      <c r="B24" s="250" t="s">
        <v>691</v>
      </c>
      <c r="C24" s="499">
        <v>26.5</v>
      </c>
      <c r="D24" s="499">
        <v>15.9</v>
      </c>
      <c r="E24" s="499">
        <v>10.6</v>
      </c>
      <c r="F24" s="499">
        <v>5.3</v>
      </c>
      <c r="G24" s="496">
        <v>0.9</v>
      </c>
      <c r="H24" s="496">
        <v>1.1000000000000001</v>
      </c>
      <c r="I24" s="496">
        <v>0.9</v>
      </c>
      <c r="J24" s="496">
        <v>1.1000000000000001</v>
      </c>
      <c r="K24" s="495" t="s">
        <v>692</v>
      </c>
      <c r="L24" s="249">
        <v>18</v>
      </c>
      <c r="M24" s="469"/>
    </row>
    <row r="25" spans="2:13" x14ac:dyDescent="0.25">
      <c r="B25" s="250" t="s">
        <v>693</v>
      </c>
      <c r="C25" s="499">
        <v>8.5</v>
      </c>
      <c r="D25" s="499">
        <v>5.3</v>
      </c>
      <c r="E25" s="499">
        <v>3.2</v>
      </c>
      <c r="F25" s="499">
        <v>2.1</v>
      </c>
      <c r="G25" s="496">
        <v>0.9</v>
      </c>
      <c r="H25" s="496">
        <v>1.1000000000000001</v>
      </c>
      <c r="I25" s="496">
        <v>0.9</v>
      </c>
      <c r="J25" s="496">
        <v>1.1000000000000001</v>
      </c>
      <c r="K25" s="495" t="s">
        <v>694</v>
      </c>
      <c r="L25" s="249">
        <v>26</v>
      </c>
      <c r="M25" s="469"/>
    </row>
    <row r="26" spans="2:13" x14ac:dyDescent="0.25">
      <c r="B26" s="497" t="s">
        <v>695</v>
      </c>
      <c r="C26" s="495">
        <v>0</v>
      </c>
      <c r="D26" s="495">
        <v>0</v>
      </c>
      <c r="E26" s="495">
        <v>0</v>
      </c>
      <c r="F26" s="495">
        <v>0</v>
      </c>
      <c r="G26" s="495"/>
      <c r="H26" s="495"/>
      <c r="I26" s="495"/>
      <c r="J26" s="495"/>
      <c r="K26" s="495"/>
      <c r="L26" s="495"/>
      <c r="M26" s="469"/>
    </row>
    <row r="27" spans="2:13" x14ac:dyDescent="0.25">
      <c r="B27" s="500" t="s">
        <v>244</v>
      </c>
      <c r="C27" s="250"/>
      <c r="D27" s="250"/>
      <c r="E27" s="250"/>
      <c r="F27" s="250"/>
      <c r="G27" s="495"/>
      <c r="H27" s="495"/>
      <c r="I27" s="495"/>
      <c r="J27" s="495"/>
      <c r="K27" s="250"/>
      <c r="L27" s="250"/>
      <c r="M27" s="469"/>
    </row>
    <row r="28" spans="2:13" ht="22.5" x14ac:dyDescent="0.25">
      <c r="B28" s="250" t="s">
        <v>696</v>
      </c>
      <c r="C28" s="249">
        <v>5</v>
      </c>
      <c r="D28" s="249">
        <v>4</v>
      </c>
      <c r="E28" s="249">
        <v>3</v>
      </c>
      <c r="F28" s="249">
        <v>2.5</v>
      </c>
      <c r="G28" s="496">
        <v>0.75</v>
      </c>
      <c r="H28" s="496">
        <v>1.5</v>
      </c>
      <c r="I28" s="496">
        <v>0.75</v>
      </c>
      <c r="J28" s="496">
        <v>1.25</v>
      </c>
      <c r="K28" s="249" t="s">
        <v>110</v>
      </c>
      <c r="L28" s="249" t="s">
        <v>690</v>
      </c>
      <c r="M28" s="469"/>
    </row>
    <row r="29" spans="2:13" x14ac:dyDescent="0.25">
      <c r="B29" s="250" t="s">
        <v>313</v>
      </c>
      <c r="C29" s="249">
        <v>75</v>
      </c>
      <c r="D29" s="249">
        <v>75</v>
      </c>
      <c r="E29" s="249">
        <v>75</v>
      </c>
      <c r="F29" s="249">
        <v>75</v>
      </c>
      <c r="G29" s="495"/>
      <c r="H29" s="495"/>
      <c r="I29" s="495"/>
      <c r="J29" s="495"/>
      <c r="K29" s="249" t="s">
        <v>168</v>
      </c>
      <c r="L29" s="249"/>
      <c r="M29" s="469"/>
    </row>
    <row r="30" spans="2:13" x14ac:dyDescent="0.25">
      <c r="B30" s="250" t="s">
        <v>314</v>
      </c>
      <c r="C30" s="249">
        <v>25</v>
      </c>
      <c r="D30" s="249">
        <v>25</v>
      </c>
      <c r="E30" s="249">
        <v>25</v>
      </c>
      <c r="F30" s="249">
        <v>25</v>
      </c>
      <c r="G30" s="495"/>
      <c r="H30" s="495"/>
      <c r="I30" s="495"/>
      <c r="J30" s="495"/>
      <c r="K30" s="249"/>
      <c r="L30" s="249"/>
      <c r="M30" s="469"/>
    </row>
    <row r="31" spans="2:13" x14ac:dyDescent="0.25">
      <c r="B31" s="250" t="s">
        <v>697</v>
      </c>
      <c r="C31" s="499">
        <v>0.25</v>
      </c>
      <c r="D31" s="499">
        <v>0.15</v>
      </c>
      <c r="E31" s="499">
        <v>0.1</v>
      </c>
      <c r="F31" s="499">
        <v>0.05</v>
      </c>
      <c r="G31" s="496">
        <v>0.9</v>
      </c>
      <c r="H31" s="496">
        <v>1.1000000000000001</v>
      </c>
      <c r="I31" s="496">
        <v>0.9</v>
      </c>
      <c r="J31" s="496">
        <v>1.1000000000000001</v>
      </c>
      <c r="K31" s="249" t="s">
        <v>692</v>
      </c>
      <c r="L31" s="249">
        <v>18</v>
      </c>
      <c r="M31" s="469"/>
    </row>
    <row r="32" spans="2:13" x14ac:dyDescent="0.25">
      <c r="B32" s="250" t="s">
        <v>698</v>
      </c>
      <c r="C32" s="499">
        <v>0.08</v>
      </c>
      <c r="D32" s="499">
        <v>0.05</v>
      </c>
      <c r="E32" s="499">
        <v>0.03</v>
      </c>
      <c r="F32" s="499">
        <v>0.02</v>
      </c>
      <c r="G32" s="496">
        <v>0.9</v>
      </c>
      <c r="H32" s="496">
        <v>1.1000000000000001</v>
      </c>
      <c r="I32" s="496">
        <v>0.9</v>
      </c>
      <c r="J32" s="496">
        <v>1.1000000000000001</v>
      </c>
      <c r="K32" s="249" t="s">
        <v>694</v>
      </c>
      <c r="L32" s="249">
        <v>26</v>
      </c>
      <c r="M32" s="469"/>
    </row>
    <row r="33" spans="2:13" x14ac:dyDescent="0.25">
      <c r="B33" s="250" t="s">
        <v>699</v>
      </c>
      <c r="C33" s="249">
        <v>0</v>
      </c>
      <c r="D33" s="249">
        <v>0</v>
      </c>
      <c r="E33" s="249">
        <v>0</v>
      </c>
      <c r="F33" s="249">
        <v>0</v>
      </c>
      <c r="G33" s="495"/>
      <c r="H33" s="495"/>
      <c r="I33" s="495"/>
      <c r="J33" s="495"/>
      <c r="K33" s="249"/>
      <c r="L33" s="249"/>
      <c r="M33" s="469"/>
    </row>
    <row r="35" spans="2:13" x14ac:dyDescent="0.25">
      <c r="B35" t="s">
        <v>6</v>
      </c>
    </row>
    <row r="36" spans="2:13" x14ac:dyDescent="0.25">
      <c r="B36" t="s">
        <v>747</v>
      </c>
    </row>
    <row r="37" spans="2:13" x14ac:dyDescent="0.25">
      <c r="B37" t="s">
        <v>748</v>
      </c>
    </row>
    <row r="38" spans="2:13" x14ac:dyDescent="0.25">
      <c r="B38" t="s">
        <v>749</v>
      </c>
    </row>
    <row r="39" spans="2:13" x14ac:dyDescent="0.25">
      <c r="B39" t="s">
        <v>750</v>
      </c>
    </row>
    <row r="40" spans="2:13" x14ac:dyDescent="0.25">
      <c r="B40" t="s">
        <v>751</v>
      </c>
    </row>
    <row r="41" spans="2:13" x14ac:dyDescent="0.25">
      <c r="B41" t="s">
        <v>752</v>
      </c>
    </row>
    <row r="42" spans="2:13" x14ac:dyDescent="0.25">
      <c r="B42" t="s">
        <v>753</v>
      </c>
    </row>
    <row r="43" spans="2:13" x14ac:dyDescent="0.25">
      <c r="B43" t="s">
        <v>754</v>
      </c>
    </row>
    <row r="44" spans="2:13" x14ac:dyDescent="0.25">
      <c r="B44" t="s">
        <v>755</v>
      </c>
    </row>
    <row r="45" spans="2:13" x14ac:dyDescent="0.25">
      <c r="B45" t="s">
        <v>756</v>
      </c>
    </row>
    <row r="46" spans="2:13" x14ac:dyDescent="0.25">
      <c r="B46" t="s">
        <v>757</v>
      </c>
    </row>
    <row r="47" spans="2:13" x14ac:dyDescent="0.25">
      <c r="B47" t="s">
        <v>758</v>
      </c>
    </row>
    <row r="48" spans="2:13" x14ac:dyDescent="0.25">
      <c r="B48" t="s">
        <v>759</v>
      </c>
    </row>
    <row r="49" spans="2:2" x14ac:dyDescent="0.25">
      <c r="B49" t="s">
        <v>760</v>
      </c>
    </row>
    <row r="50" spans="2:2" x14ac:dyDescent="0.25">
      <c r="B50" t="s">
        <v>761</v>
      </c>
    </row>
  </sheetData>
  <mergeCells count="10">
    <mergeCell ref="B9:L9"/>
    <mergeCell ref="B6:L6"/>
    <mergeCell ref="C3:L3"/>
    <mergeCell ref="G4:H4"/>
    <mergeCell ref="I4:J4"/>
    <mergeCell ref="C19:F19"/>
    <mergeCell ref="B20:L20"/>
    <mergeCell ref="C17:F17"/>
    <mergeCell ref="C18:F18"/>
    <mergeCell ref="B12:L12"/>
  </mergeCells>
  <hyperlinks>
    <hyperlink ref="C3" location="INDEX" display="Power to Jet Fuel"/>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8"/>
  <sheetViews>
    <sheetView showGridLines="0" zoomScaleNormal="100" workbookViewId="0">
      <selection activeCell="C4" sqref="C4"/>
    </sheetView>
  </sheetViews>
  <sheetFormatPr defaultRowHeight="15" x14ac:dyDescent="0.25"/>
  <cols>
    <col min="1" max="1" width="2.140625" customWidth="1"/>
    <col min="2" max="2" width="39.85546875" customWidth="1"/>
    <col min="3" max="11" width="7" customWidth="1"/>
  </cols>
  <sheetData>
    <row r="2" spans="2:19" x14ac:dyDescent="0.25">
      <c r="G2" s="255"/>
      <c r="L2" s="211"/>
    </row>
    <row r="3" spans="2:19" ht="15" customHeight="1" x14ac:dyDescent="0.25">
      <c r="B3" s="292" t="s">
        <v>20</v>
      </c>
      <c r="C3" s="686" t="s">
        <v>953</v>
      </c>
      <c r="D3" s="686"/>
      <c r="E3" s="686"/>
      <c r="F3" s="686"/>
      <c r="G3" s="686"/>
      <c r="H3" s="686"/>
      <c r="I3" s="686"/>
      <c r="J3" s="686"/>
      <c r="K3" s="686"/>
      <c r="L3" s="686"/>
      <c r="M3" s="246"/>
    </row>
    <row r="4" spans="2:19" ht="15" customHeight="1" x14ac:dyDescent="0.25">
      <c r="B4" s="305"/>
      <c r="C4" s="292">
        <v>2020</v>
      </c>
      <c r="D4" s="292">
        <v>2030</v>
      </c>
      <c r="E4" s="292">
        <v>2040</v>
      </c>
      <c r="F4" s="292">
        <v>2050</v>
      </c>
      <c r="G4" s="661" t="s">
        <v>25</v>
      </c>
      <c r="H4" s="661"/>
      <c r="I4" s="661" t="s">
        <v>24</v>
      </c>
      <c r="J4" s="661"/>
      <c r="K4" s="510" t="s">
        <v>19</v>
      </c>
      <c r="L4" s="510" t="s">
        <v>18</v>
      </c>
    </row>
    <row r="5" spans="2:19" x14ac:dyDescent="0.25">
      <c r="B5" s="318"/>
      <c r="C5" s="318"/>
      <c r="D5" s="318"/>
      <c r="E5" s="318"/>
      <c r="F5" s="318"/>
      <c r="G5" s="295" t="s">
        <v>17</v>
      </c>
      <c r="H5" s="295" t="s">
        <v>16</v>
      </c>
      <c r="I5" s="295" t="s">
        <v>17</v>
      </c>
      <c r="J5" s="295" t="s">
        <v>16</v>
      </c>
      <c r="K5" s="319"/>
      <c r="L5" s="319"/>
    </row>
    <row r="6" spans="2:19" x14ac:dyDescent="0.25">
      <c r="B6" s="515" t="s">
        <v>15</v>
      </c>
      <c r="C6" s="516"/>
      <c r="D6" s="516"/>
      <c r="E6" s="516"/>
      <c r="F6" s="516"/>
      <c r="G6" s="516"/>
      <c r="H6" s="516"/>
      <c r="I6" s="516"/>
      <c r="J6" s="516"/>
      <c r="K6" s="517"/>
      <c r="L6" s="518"/>
    </row>
    <row r="7" spans="2:19" x14ac:dyDescent="0.25">
      <c r="B7" s="301" t="s">
        <v>791</v>
      </c>
      <c r="C7" s="519">
        <v>229</v>
      </c>
      <c r="D7" s="301">
        <f>+C7*2</f>
        <v>458</v>
      </c>
      <c r="E7" s="301">
        <f>+D7*2</f>
        <v>916</v>
      </c>
      <c r="F7" s="301">
        <f>+D7*5</f>
        <v>2290</v>
      </c>
      <c r="G7" s="325">
        <v>1</v>
      </c>
      <c r="H7" s="302">
        <v>1</v>
      </c>
      <c r="I7" s="302">
        <v>1</v>
      </c>
      <c r="J7" s="302">
        <v>1</v>
      </c>
      <c r="K7" s="379" t="s">
        <v>5</v>
      </c>
      <c r="L7" s="303"/>
    </row>
    <row r="8" spans="2:19" x14ac:dyDescent="0.25">
      <c r="B8" s="318" t="s">
        <v>765</v>
      </c>
      <c r="C8" s="520">
        <v>50</v>
      </c>
      <c r="D8" s="318">
        <v>100</v>
      </c>
      <c r="E8" s="318">
        <v>200</v>
      </c>
      <c r="F8" s="318">
        <v>500</v>
      </c>
      <c r="G8" s="323">
        <v>1</v>
      </c>
      <c r="H8" s="333">
        <v>1</v>
      </c>
      <c r="I8" s="333">
        <v>1</v>
      </c>
      <c r="J8" s="333">
        <v>1</v>
      </c>
      <c r="K8" s="380"/>
      <c r="L8" s="319"/>
    </row>
    <row r="9" spans="2:19" x14ac:dyDescent="0.25">
      <c r="B9" s="515" t="s">
        <v>240</v>
      </c>
      <c r="C9" s="516"/>
      <c r="D9" s="516"/>
      <c r="E9" s="516"/>
      <c r="F9" s="516"/>
      <c r="G9" s="516"/>
      <c r="H9" s="516"/>
      <c r="I9" s="516"/>
      <c r="J9" s="516"/>
      <c r="K9" s="517"/>
      <c r="L9" s="518"/>
    </row>
    <row r="10" spans="2:19" x14ac:dyDescent="0.25">
      <c r="B10" s="301" t="s">
        <v>766</v>
      </c>
      <c r="C10" s="346">
        <v>0.83899999999999997</v>
      </c>
      <c r="D10" s="346">
        <v>0.83899999999999997</v>
      </c>
      <c r="E10" s="346">
        <v>0.83899999999999997</v>
      </c>
      <c r="F10" s="346">
        <v>0.83899999999999997</v>
      </c>
      <c r="G10" s="325">
        <v>0.98</v>
      </c>
      <c r="H10" s="325">
        <v>1.02</v>
      </c>
      <c r="I10" s="325">
        <f t="shared" ref="I10:J12" si="0">+G10</f>
        <v>0.98</v>
      </c>
      <c r="J10" s="325">
        <f t="shared" si="0"/>
        <v>1.02</v>
      </c>
      <c r="K10" s="303" t="s">
        <v>4</v>
      </c>
      <c r="L10" s="303" t="s">
        <v>246</v>
      </c>
      <c r="M10" s="194"/>
    </row>
    <row r="11" spans="2:19" x14ac:dyDescent="0.25">
      <c r="B11" s="521" t="s">
        <v>767</v>
      </c>
      <c r="C11" s="522">
        <v>0.18</v>
      </c>
      <c r="D11" s="522">
        <v>0.18</v>
      </c>
      <c r="E11" s="522">
        <v>0.18</v>
      </c>
      <c r="F11" s="522">
        <v>0.18</v>
      </c>
      <c r="G11" s="308">
        <v>0.98</v>
      </c>
      <c r="H11" s="308">
        <v>1.02</v>
      </c>
      <c r="I11" s="308">
        <f t="shared" si="0"/>
        <v>0.98</v>
      </c>
      <c r="J11" s="308">
        <f t="shared" si="0"/>
        <v>1.02</v>
      </c>
      <c r="K11" s="303" t="s">
        <v>4</v>
      </c>
      <c r="L11" s="303" t="s">
        <v>246</v>
      </c>
      <c r="M11" s="194"/>
    </row>
    <row r="12" spans="2:19" x14ac:dyDescent="0.25">
      <c r="B12" s="521" t="s">
        <v>304</v>
      </c>
      <c r="C12" s="522">
        <v>0.94699999999999995</v>
      </c>
      <c r="D12" s="522">
        <v>0.94699999999999995</v>
      </c>
      <c r="E12" s="522">
        <v>0.94699999999999995</v>
      </c>
      <c r="F12" s="522">
        <v>0.94699999999999995</v>
      </c>
      <c r="G12" s="308">
        <v>0.98</v>
      </c>
      <c r="H12" s="308">
        <v>1.02</v>
      </c>
      <c r="I12" s="308">
        <f t="shared" si="0"/>
        <v>0.98</v>
      </c>
      <c r="J12" s="308">
        <f t="shared" si="0"/>
        <v>1.02</v>
      </c>
      <c r="K12" s="303" t="s">
        <v>4</v>
      </c>
      <c r="L12" s="303" t="s">
        <v>246</v>
      </c>
      <c r="M12" s="246"/>
      <c r="S12" s="523"/>
    </row>
    <row r="13" spans="2:19" x14ac:dyDescent="0.25">
      <c r="B13" s="318" t="s">
        <v>306</v>
      </c>
      <c r="C13" s="383">
        <v>5.2999999999999999E-2</v>
      </c>
      <c r="D13" s="383">
        <v>5.2999999999999999E-2</v>
      </c>
      <c r="E13" s="383">
        <v>5.2999999999999999E-2</v>
      </c>
      <c r="F13" s="383">
        <v>5.2999999999999999E-2</v>
      </c>
      <c r="G13" s="323">
        <v>0.95</v>
      </c>
      <c r="H13" s="323">
        <v>1.1000000000000001</v>
      </c>
      <c r="I13" s="323">
        <v>0.75</v>
      </c>
      <c r="J13" s="323">
        <v>1.5</v>
      </c>
      <c r="K13" s="319" t="s">
        <v>3</v>
      </c>
      <c r="L13" s="303" t="s">
        <v>246</v>
      </c>
    </row>
    <row r="14" spans="2:19" x14ac:dyDescent="0.25">
      <c r="B14" s="515" t="s">
        <v>241</v>
      </c>
      <c r="C14" s="524"/>
      <c r="D14" s="524"/>
      <c r="E14" s="524"/>
      <c r="F14" s="524"/>
      <c r="G14" s="525"/>
      <c r="H14" s="525"/>
      <c r="I14" s="525"/>
      <c r="J14" s="525"/>
      <c r="K14" s="517"/>
      <c r="L14" s="518"/>
    </row>
    <row r="15" spans="2:19" x14ac:dyDescent="0.25">
      <c r="B15" s="301" t="s">
        <v>768</v>
      </c>
      <c r="C15" s="526">
        <v>0.82299999999999995</v>
      </c>
      <c r="D15" s="526">
        <v>0.82299999999999995</v>
      </c>
      <c r="E15" s="526">
        <v>0.82299999999999995</v>
      </c>
      <c r="F15" s="526">
        <v>0.82299999999999995</v>
      </c>
      <c r="G15" s="325">
        <v>0.98</v>
      </c>
      <c r="H15" s="325">
        <v>1.02</v>
      </c>
      <c r="I15" s="325">
        <f>+G15</f>
        <v>0.98</v>
      </c>
      <c r="J15" s="325">
        <f>+H15</f>
        <v>1.02</v>
      </c>
      <c r="K15" s="303"/>
      <c r="L15" s="303" t="s">
        <v>246</v>
      </c>
    </row>
    <row r="16" spans="2:19" x14ac:dyDescent="0.25">
      <c r="B16" s="334" t="s">
        <v>801</v>
      </c>
      <c r="C16" s="527">
        <v>0.108</v>
      </c>
      <c r="D16" s="528">
        <v>0.108</v>
      </c>
      <c r="E16" s="528">
        <v>0.108</v>
      </c>
      <c r="F16" s="528">
        <v>0.108</v>
      </c>
      <c r="G16" s="325">
        <v>0.98</v>
      </c>
      <c r="H16" s="325">
        <v>1.02</v>
      </c>
      <c r="I16" s="325">
        <f>+G16</f>
        <v>0.98</v>
      </c>
      <c r="J16" s="325">
        <f>+H16</f>
        <v>1.02</v>
      </c>
      <c r="K16" s="337" t="s">
        <v>2</v>
      </c>
      <c r="L16" s="303" t="s">
        <v>246</v>
      </c>
    </row>
    <row r="17" spans="2:14" x14ac:dyDescent="0.25">
      <c r="B17" s="318" t="s">
        <v>600</v>
      </c>
      <c r="C17" s="529">
        <v>3.7999999999999999E-2</v>
      </c>
      <c r="D17" s="529">
        <v>3.7999999999999999E-2</v>
      </c>
      <c r="E17" s="529">
        <v>3.7999999999999999E-2</v>
      </c>
      <c r="F17" s="529">
        <v>3.7999999999999999E-2</v>
      </c>
      <c r="G17" s="323">
        <v>0</v>
      </c>
      <c r="H17" s="323">
        <v>1</v>
      </c>
      <c r="I17" s="323">
        <v>0</v>
      </c>
      <c r="J17" s="323">
        <v>1</v>
      </c>
      <c r="K17" s="319" t="s">
        <v>1</v>
      </c>
      <c r="L17" s="303" t="s">
        <v>246</v>
      </c>
    </row>
    <row r="18" spans="2:14" x14ac:dyDescent="0.25">
      <c r="B18" s="530"/>
      <c r="C18" s="516"/>
      <c r="D18" s="516"/>
      <c r="E18" s="516"/>
      <c r="F18" s="516"/>
      <c r="G18" s="516"/>
      <c r="H18" s="516"/>
      <c r="I18" s="516"/>
      <c r="J18" s="516"/>
      <c r="K18" s="517"/>
      <c r="L18" s="518"/>
    </row>
    <row r="19" spans="2:14" x14ac:dyDescent="0.25">
      <c r="B19" s="519" t="s">
        <v>769</v>
      </c>
      <c r="C19" s="325">
        <v>0.05</v>
      </c>
      <c r="D19" s="325">
        <v>0.03</v>
      </c>
      <c r="E19" s="325">
        <v>0.03</v>
      </c>
      <c r="F19" s="325">
        <v>0.02</v>
      </c>
      <c r="G19" s="325">
        <v>0.02</v>
      </c>
      <c r="H19" s="325">
        <v>0.08</v>
      </c>
      <c r="I19" s="325">
        <v>0.02</v>
      </c>
      <c r="J19" s="325">
        <v>0.04</v>
      </c>
      <c r="K19" s="303"/>
      <c r="L19" s="303" t="s">
        <v>248</v>
      </c>
    </row>
    <row r="20" spans="2:14" x14ac:dyDescent="0.25">
      <c r="B20" s="305" t="s">
        <v>23</v>
      </c>
      <c r="C20" s="531">
        <v>0.03</v>
      </c>
      <c r="D20" s="531">
        <v>0.03</v>
      </c>
      <c r="E20" s="531">
        <v>0.03</v>
      </c>
      <c r="F20" s="531">
        <v>0.03</v>
      </c>
      <c r="G20" s="308"/>
      <c r="H20" s="308"/>
      <c r="I20" s="308"/>
      <c r="J20" s="308"/>
      <c r="K20" s="511"/>
      <c r="L20" s="303" t="s">
        <v>248</v>
      </c>
    </row>
    <row r="21" spans="2:14" x14ac:dyDescent="0.25">
      <c r="B21" s="521" t="s">
        <v>770</v>
      </c>
      <c r="C21" s="372" t="s">
        <v>771</v>
      </c>
      <c r="D21" s="372" t="s">
        <v>771</v>
      </c>
      <c r="E21" s="372" t="s">
        <v>771</v>
      </c>
      <c r="F21" s="372" t="s">
        <v>771</v>
      </c>
      <c r="G21" s="308"/>
      <c r="H21" s="308"/>
      <c r="I21" s="308"/>
      <c r="J21" s="308"/>
      <c r="K21" s="511"/>
      <c r="L21" s="303" t="s">
        <v>247</v>
      </c>
      <c r="M21" s="211"/>
    </row>
    <row r="22" spans="2:14" x14ac:dyDescent="0.25">
      <c r="B22" s="305" t="s">
        <v>14</v>
      </c>
      <c r="C22" s="309">
        <v>30</v>
      </c>
      <c r="D22" s="309">
        <v>30</v>
      </c>
      <c r="E22" s="309">
        <v>30</v>
      </c>
      <c r="F22" s="309">
        <v>30</v>
      </c>
      <c r="G22" s="305"/>
      <c r="H22" s="305"/>
      <c r="I22" s="305"/>
      <c r="J22" s="305"/>
      <c r="K22" s="511"/>
      <c r="L22" s="511"/>
      <c r="N22" s="523"/>
    </row>
    <row r="23" spans="2:14" x14ac:dyDescent="0.25">
      <c r="B23" s="318" t="s">
        <v>12</v>
      </c>
      <c r="C23" s="327">
        <v>2</v>
      </c>
      <c r="D23" s="327">
        <v>2</v>
      </c>
      <c r="E23" s="327">
        <v>2</v>
      </c>
      <c r="F23" s="327">
        <v>2</v>
      </c>
      <c r="G23" s="318"/>
      <c r="H23" s="318"/>
      <c r="I23" s="318"/>
      <c r="J23" s="318"/>
      <c r="K23" s="319"/>
      <c r="L23" s="319"/>
      <c r="N23" s="523"/>
    </row>
    <row r="24" spans="2:14" x14ac:dyDescent="0.25">
      <c r="B24" s="515" t="s">
        <v>9</v>
      </c>
      <c r="C24" s="532"/>
      <c r="D24" s="532"/>
      <c r="E24" s="532"/>
      <c r="F24" s="532"/>
      <c r="G24" s="516"/>
      <c r="H24" s="516"/>
      <c r="I24" s="516"/>
      <c r="J24" s="516"/>
      <c r="K24" s="517"/>
      <c r="L24" s="518"/>
    </row>
    <row r="25" spans="2:14" x14ac:dyDescent="0.25">
      <c r="B25" s="301" t="s">
        <v>794</v>
      </c>
      <c r="C25" s="330">
        <v>1.586288872912142</v>
      </c>
      <c r="D25" s="330">
        <v>1.2974289346221439</v>
      </c>
      <c r="E25" s="330">
        <v>1.0611697964598805</v>
      </c>
      <c r="F25" s="330">
        <v>0.81354630677182382</v>
      </c>
      <c r="G25" s="533">
        <v>1.24</v>
      </c>
      <c r="H25" s="533">
        <v>2.09</v>
      </c>
      <c r="I25" s="533">
        <v>0.56999999999999995</v>
      </c>
      <c r="J25" s="533">
        <v>0.95</v>
      </c>
      <c r="K25" s="303" t="s">
        <v>800</v>
      </c>
      <c r="L25" s="303" t="s">
        <v>248</v>
      </c>
      <c r="M25" s="246"/>
      <c r="N25" s="523"/>
    </row>
    <row r="26" spans="2:14" x14ac:dyDescent="0.25">
      <c r="B26" s="305" t="s">
        <v>266</v>
      </c>
      <c r="C26" s="512">
        <v>50</v>
      </c>
      <c r="D26" s="512">
        <v>50</v>
      </c>
      <c r="E26" s="512">
        <v>50</v>
      </c>
      <c r="F26" s="512">
        <v>50</v>
      </c>
      <c r="G26" s="306"/>
      <c r="H26" s="306"/>
      <c r="I26" s="306"/>
      <c r="J26" s="306"/>
      <c r="K26" s="511"/>
      <c r="L26" s="303" t="s">
        <v>248</v>
      </c>
      <c r="M26" s="211"/>
    </row>
    <row r="27" spans="2:14" x14ac:dyDescent="0.25">
      <c r="B27" s="305" t="s">
        <v>314</v>
      </c>
      <c r="C27" s="512">
        <v>50</v>
      </c>
      <c r="D27" s="512">
        <v>50</v>
      </c>
      <c r="E27" s="512">
        <v>50</v>
      </c>
      <c r="F27" s="512">
        <v>50</v>
      </c>
      <c r="G27" s="306"/>
      <c r="H27" s="306"/>
      <c r="I27" s="306"/>
      <c r="J27" s="306"/>
      <c r="K27" s="511"/>
      <c r="L27" s="303" t="s">
        <v>248</v>
      </c>
      <c r="M27" s="211"/>
    </row>
    <row r="28" spans="2:14" x14ac:dyDescent="0.25">
      <c r="B28" s="305" t="s">
        <v>798</v>
      </c>
      <c r="C28" s="348">
        <v>47.588666187364261</v>
      </c>
      <c r="D28" s="348">
        <v>38.922868038664312</v>
      </c>
      <c r="E28" s="348">
        <v>31.835093893796415</v>
      </c>
      <c r="F28" s="348">
        <v>24.406389203154713</v>
      </c>
      <c r="G28" s="348">
        <f>+G25*0.03*1000</f>
        <v>37.199999999999996</v>
      </c>
      <c r="H28" s="348">
        <f t="shared" ref="H28:J28" si="1">+H25*0.03*1000</f>
        <v>62.699999999999989</v>
      </c>
      <c r="I28" s="348">
        <f t="shared" si="1"/>
        <v>17.099999999999998</v>
      </c>
      <c r="J28" s="348">
        <f t="shared" si="1"/>
        <v>28.499999999999996</v>
      </c>
      <c r="K28" s="511" t="s">
        <v>40</v>
      </c>
      <c r="L28" s="303" t="s">
        <v>248</v>
      </c>
      <c r="M28" s="211"/>
    </row>
    <row r="29" spans="2:14" x14ac:dyDescent="0.25">
      <c r="B29" s="305" t="s">
        <v>797</v>
      </c>
      <c r="C29" s="311">
        <v>0.02</v>
      </c>
      <c r="D29" s="311">
        <v>0.02</v>
      </c>
      <c r="E29" s="311">
        <v>0.02</v>
      </c>
      <c r="F29" s="311">
        <v>0.02</v>
      </c>
      <c r="G29" s="311">
        <v>0.01</v>
      </c>
      <c r="H29" s="311">
        <v>0.04</v>
      </c>
      <c r="I29" s="311">
        <v>0.01</v>
      </c>
      <c r="J29" s="311">
        <v>0.04</v>
      </c>
      <c r="K29" s="511" t="s">
        <v>41</v>
      </c>
      <c r="L29" s="303" t="s">
        <v>248</v>
      </c>
      <c r="M29" s="211"/>
      <c r="N29" s="523"/>
    </row>
    <row r="30" spans="2:14" x14ac:dyDescent="0.25">
      <c r="B30" s="318" t="s">
        <v>773</v>
      </c>
      <c r="C30" s="318" t="s">
        <v>774</v>
      </c>
      <c r="D30" s="318" t="s">
        <v>774</v>
      </c>
      <c r="E30" s="305" t="s">
        <v>774</v>
      </c>
      <c r="F30" s="305" t="s">
        <v>774</v>
      </c>
      <c r="G30" s="333"/>
      <c r="H30" s="333"/>
      <c r="I30" s="333"/>
      <c r="J30" s="333"/>
      <c r="K30" s="319"/>
      <c r="L30" s="319"/>
      <c r="M30" s="211"/>
    </row>
    <row r="31" spans="2:14" x14ac:dyDescent="0.25">
      <c r="B31" s="515" t="s">
        <v>244</v>
      </c>
      <c r="C31" s="516"/>
      <c r="D31" s="516"/>
      <c r="E31" s="516"/>
      <c r="F31" s="516"/>
      <c r="G31" s="534"/>
      <c r="H31" s="534"/>
      <c r="I31" s="534"/>
      <c r="J31" s="534"/>
      <c r="K31" s="517"/>
      <c r="L31" s="518"/>
      <c r="M31" s="211"/>
    </row>
    <row r="32" spans="2:14" x14ac:dyDescent="0.25">
      <c r="B32" s="535" t="s">
        <v>775</v>
      </c>
      <c r="C32" s="536">
        <v>1.0900000000000001</v>
      </c>
      <c r="D32" s="536">
        <v>1.0900000000000001</v>
      </c>
      <c r="E32" s="536">
        <v>1.0900000000000001</v>
      </c>
      <c r="F32" s="536">
        <v>1.0900000000000001</v>
      </c>
      <c r="G32" s="537">
        <v>0.97</v>
      </c>
      <c r="H32" s="537">
        <v>1</v>
      </c>
      <c r="I32" s="537">
        <v>0.97</v>
      </c>
      <c r="J32" s="537">
        <v>1</v>
      </c>
      <c r="K32" s="538" t="s">
        <v>0</v>
      </c>
      <c r="L32" s="303" t="s">
        <v>248</v>
      </c>
      <c r="M32" s="246"/>
    </row>
    <row r="33" spans="2:14" x14ac:dyDescent="0.25">
      <c r="B33" s="301" t="s">
        <v>795</v>
      </c>
      <c r="C33" s="351">
        <v>18.899999999999999</v>
      </c>
      <c r="D33" s="351">
        <v>18.899999999999999</v>
      </c>
      <c r="E33" s="351">
        <v>18.899999999999999</v>
      </c>
      <c r="F33" s="351">
        <v>18.899999999999999</v>
      </c>
      <c r="G33" s="302"/>
      <c r="H33" s="302"/>
      <c r="I33" s="302"/>
      <c r="J33" s="302"/>
      <c r="K33" s="303"/>
      <c r="L33" s="303"/>
    </row>
    <row r="34" spans="2:14" x14ac:dyDescent="0.25">
      <c r="B34" s="305" t="s">
        <v>776</v>
      </c>
      <c r="C34" s="309">
        <v>626</v>
      </c>
      <c r="D34" s="309">
        <v>626</v>
      </c>
      <c r="E34" s="309">
        <v>626</v>
      </c>
      <c r="F34" s="309">
        <v>626</v>
      </c>
      <c r="G34" s="306"/>
      <c r="H34" s="306"/>
      <c r="I34" s="306"/>
      <c r="J34" s="306"/>
      <c r="K34" s="511"/>
      <c r="L34" s="511"/>
    </row>
    <row r="35" spans="2:14" x14ac:dyDescent="0.25">
      <c r="B35" s="305" t="s">
        <v>796</v>
      </c>
      <c r="C35" s="311">
        <v>0.34635128229522749</v>
      </c>
      <c r="D35" s="311">
        <v>0.28328142677339391</v>
      </c>
      <c r="E35" s="311">
        <v>0.23169646210914421</v>
      </c>
      <c r="F35" s="311">
        <v>0.1776301979851144</v>
      </c>
      <c r="G35" s="349">
        <v>0.27074235807860264</v>
      </c>
      <c r="H35" s="349">
        <v>0.45633187772925765</v>
      </c>
      <c r="I35" s="349">
        <v>0.12445414847161572</v>
      </c>
      <c r="J35" s="349">
        <v>0.20742358078602621</v>
      </c>
      <c r="K35" s="511" t="s">
        <v>772</v>
      </c>
      <c r="L35" s="303" t="s">
        <v>248</v>
      </c>
    </row>
    <row r="36" spans="2:14" x14ac:dyDescent="0.25">
      <c r="B36" s="305" t="s">
        <v>792</v>
      </c>
      <c r="C36" s="349">
        <v>10.390538468856825</v>
      </c>
      <c r="D36" s="349">
        <v>8.4984428032018169</v>
      </c>
      <c r="E36" s="349">
        <v>6.9508938632743256</v>
      </c>
      <c r="F36" s="349">
        <v>5.3289059395534313</v>
      </c>
      <c r="G36" s="349">
        <v>8.1222707423580793</v>
      </c>
      <c r="H36" s="349">
        <v>13.689956331877729</v>
      </c>
      <c r="I36" s="349">
        <v>3.7336244541484715</v>
      </c>
      <c r="J36" s="349">
        <v>6.2227074235807862</v>
      </c>
      <c r="K36" s="511"/>
      <c r="L36" s="303" t="s">
        <v>248</v>
      </c>
      <c r="M36" s="194"/>
    </row>
    <row r="37" spans="2:14" x14ac:dyDescent="0.25">
      <c r="B37" s="305" t="s">
        <v>777</v>
      </c>
      <c r="C37" s="311">
        <v>0.1</v>
      </c>
      <c r="D37" s="311">
        <v>0.1</v>
      </c>
      <c r="E37" s="311">
        <v>0.1</v>
      </c>
      <c r="F37" s="311">
        <v>0.1</v>
      </c>
      <c r="G37" s="311">
        <v>0.05</v>
      </c>
      <c r="H37" s="311">
        <v>0.2</v>
      </c>
      <c r="I37" s="311">
        <v>0.05</v>
      </c>
      <c r="J37" s="311">
        <v>0.2</v>
      </c>
      <c r="K37" s="511"/>
      <c r="L37" s="303" t="s">
        <v>248</v>
      </c>
      <c r="N37" s="523"/>
    </row>
    <row r="38" spans="2:14" x14ac:dyDescent="0.25">
      <c r="B38" s="305" t="s">
        <v>793</v>
      </c>
      <c r="C38" s="305" t="s">
        <v>774</v>
      </c>
      <c r="D38" s="305" t="s">
        <v>774</v>
      </c>
      <c r="E38" s="305" t="s">
        <v>774</v>
      </c>
      <c r="F38" s="305" t="s">
        <v>774</v>
      </c>
      <c r="G38" s="305"/>
      <c r="H38" s="305"/>
      <c r="I38" s="305"/>
      <c r="J38" s="305"/>
      <c r="K38" s="511"/>
      <c r="L38" s="511"/>
    </row>
    <row r="40" spans="2:14" x14ac:dyDescent="0.25">
      <c r="B40" s="253" t="s">
        <v>6</v>
      </c>
    </row>
    <row r="41" spans="2:14" x14ac:dyDescent="0.25">
      <c r="B41" s="252" t="s">
        <v>778</v>
      </c>
    </row>
    <row r="42" spans="2:14" x14ac:dyDescent="0.25">
      <c r="B42" s="252" t="s">
        <v>779</v>
      </c>
    </row>
    <row r="43" spans="2:14" x14ac:dyDescent="0.25">
      <c r="B43" s="539" t="s">
        <v>780</v>
      </c>
    </row>
    <row r="44" spans="2:14" x14ac:dyDescent="0.25">
      <c r="B44" s="252" t="s">
        <v>781</v>
      </c>
    </row>
    <row r="45" spans="2:14" x14ac:dyDescent="0.25">
      <c r="B45" s="252" t="s">
        <v>782</v>
      </c>
    </row>
    <row r="46" spans="2:14" x14ac:dyDescent="0.25">
      <c r="B46" s="539" t="s">
        <v>783</v>
      </c>
    </row>
    <row r="47" spans="2:14" x14ac:dyDescent="0.25">
      <c r="B47" s="540" t="s">
        <v>784</v>
      </c>
    </row>
    <row r="48" spans="2:14" x14ac:dyDescent="0.25">
      <c r="B48" s="252" t="s">
        <v>785</v>
      </c>
    </row>
    <row r="49" spans="2:2" x14ac:dyDescent="0.25">
      <c r="B49" s="252" t="s">
        <v>786</v>
      </c>
    </row>
    <row r="50" spans="2:2" x14ac:dyDescent="0.25">
      <c r="B50" s="252" t="s">
        <v>799</v>
      </c>
    </row>
    <row r="52" spans="2:2" x14ac:dyDescent="0.25">
      <c r="B52" s="253" t="s">
        <v>287</v>
      </c>
    </row>
    <row r="53" spans="2:2" x14ac:dyDescent="0.25">
      <c r="B53" s="540" t="s">
        <v>787</v>
      </c>
    </row>
    <row r="54" spans="2:2" x14ac:dyDescent="0.25">
      <c r="B54" s="540" t="s">
        <v>788</v>
      </c>
    </row>
    <row r="55" spans="2:2" x14ac:dyDescent="0.25">
      <c r="B55" s="540" t="s">
        <v>789</v>
      </c>
    </row>
    <row r="56" spans="2:2" x14ac:dyDescent="0.25">
      <c r="B56" s="540"/>
    </row>
    <row r="64" spans="2:2" x14ac:dyDescent="0.25">
      <c r="B64" s="252"/>
    </row>
    <row r="65" spans="2:2" x14ac:dyDescent="0.25">
      <c r="B65" s="252"/>
    </row>
    <row r="66" spans="2:2" x14ac:dyDescent="0.25">
      <c r="B66" s="252"/>
    </row>
    <row r="67" spans="2:2" x14ac:dyDescent="0.25">
      <c r="B67" s="252"/>
    </row>
    <row r="68" spans="2:2" x14ac:dyDescent="0.25">
      <c r="B68" s="252"/>
    </row>
  </sheetData>
  <mergeCells count="3">
    <mergeCell ref="C3:L3"/>
    <mergeCell ref="G4:H4"/>
    <mergeCell ref="I4:J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65"/>
  <sheetViews>
    <sheetView showGridLines="0" workbookViewId="0">
      <selection activeCell="B58" sqref="B58"/>
    </sheetView>
  </sheetViews>
  <sheetFormatPr defaultRowHeight="15" x14ac:dyDescent="0.25"/>
  <cols>
    <col min="1" max="1" width="2.140625" customWidth="1"/>
    <col min="2" max="2" width="39.8554687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619" t="s">
        <v>136</v>
      </c>
      <c r="D3" s="620"/>
      <c r="E3" s="620"/>
      <c r="F3" s="620"/>
      <c r="G3" s="620"/>
      <c r="H3" s="620"/>
      <c r="I3" s="620"/>
      <c r="J3" s="620"/>
      <c r="K3" s="620"/>
      <c r="L3" s="620"/>
    </row>
    <row r="4" spans="1:13" x14ac:dyDescent="0.25">
      <c r="A4" s="1"/>
      <c r="B4" s="171"/>
      <c r="C4" s="130">
        <v>2015</v>
      </c>
      <c r="D4" s="130">
        <v>2020</v>
      </c>
      <c r="E4" s="130">
        <v>2030</v>
      </c>
      <c r="F4" s="130">
        <v>2050</v>
      </c>
      <c r="G4" s="621" t="s">
        <v>25</v>
      </c>
      <c r="H4" s="621"/>
      <c r="I4" s="621" t="s">
        <v>24</v>
      </c>
      <c r="J4" s="621"/>
      <c r="K4" s="130" t="s">
        <v>19</v>
      </c>
      <c r="L4" s="130" t="s">
        <v>18</v>
      </c>
      <c r="M4" s="10"/>
    </row>
    <row r="5" spans="1:13" x14ac:dyDescent="0.25">
      <c r="A5" s="1"/>
      <c r="B5" s="100" t="s">
        <v>15</v>
      </c>
      <c r="C5" s="100"/>
      <c r="D5" s="100"/>
      <c r="E5" s="100"/>
      <c r="F5" s="100"/>
      <c r="G5" s="100" t="s">
        <v>17</v>
      </c>
      <c r="H5" s="100" t="s">
        <v>16</v>
      </c>
      <c r="I5" s="100" t="s">
        <v>17</v>
      </c>
      <c r="J5" s="100" t="s">
        <v>16</v>
      </c>
      <c r="K5" s="100"/>
      <c r="L5" s="100"/>
      <c r="M5" s="172"/>
    </row>
    <row r="6" spans="1:13" x14ac:dyDescent="0.25">
      <c r="A6" s="1"/>
      <c r="B6" s="171" t="s">
        <v>137</v>
      </c>
      <c r="C6" s="622">
        <v>1</v>
      </c>
      <c r="D6" s="623"/>
      <c r="E6" s="623"/>
      <c r="F6" s="623"/>
      <c r="G6" s="110"/>
      <c r="H6" s="110"/>
      <c r="I6" s="110"/>
      <c r="J6" s="110"/>
      <c r="K6" s="110" t="s">
        <v>88</v>
      </c>
      <c r="L6" s="111"/>
      <c r="M6" s="10"/>
    </row>
    <row r="7" spans="1:13" x14ac:dyDescent="0.25">
      <c r="A7" s="1"/>
      <c r="B7" s="171"/>
      <c r="C7" s="617"/>
      <c r="D7" s="618"/>
      <c r="E7" s="618"/>
      <c r="F7" s="618"/>
      <c r="G7" s="110"/>
      <c r="H7" s="110"/>
      <c r="I7" s="110"/>
      <c r="J7" s="110"/>
      <c r="K7" s="110"/>
      <c r="L7" s="110"/>
      <c r="M7" s="173"/>
    </row>
    <row r="8" spans="1:13" x14ac:dyDescent="0.25">
      <c r="A8" s="1"/>
      <c r="B8" s="174" t="s">
        <v>86</v>
      </c>
      <c r="C8" s="110"/>
      <c r="D8" s="110"/>
      <c r="E8" s="110"/>
      <c r="F8" s="110"/>
      <c r="G8" s="110"/>
      <c r="H8" s="110"/>
      <c r="I8" s="110"/>
      <c r="J8" s="110"/>
      <c r="K8" s="110"/>
      <c r="L8" s="110"/>
      <c r="M8" s="10"/>
    </row>
    <row r="9" spans="1:13" x14ac:dyDescent="0.25">
      <c r="A9" s="1"/>
      <c r="B9" s="115" t="s">
        <v>138</v>
      </c>
      <c r="C9" s="175">
        <v>1.9941088796192754</v>
      </c>
      <c r="D9" s="175">
        <v>1.8192614557560789</v>
      </c>
      <c r="E9" s="175">
        <v>1.8192614557560789</v>
      </c>
      <c r="F9" s="175">
        <v>1.8192614557560789</v>
      </c>
      <c r="G9" s="176"/>
      <c r="H9" s="116"/>
      <c r="I9" s="116"/>
      <c r="J9" s="116"/>
      <c r="K9" s="116" t="s">
        <v>88</v>
      </c>
      <c r="L9" s="111" t="s">
        <v>89</v>
      </c>
      <c r="M9" s="10"/>
    </row>
    <row r="10" spans="1:13" x14ac:dyDescent="0.25">
      <c r="A10" s="1"/>
      <c r="B10" s="117" t="s">
        <v>139</v>
      </c>
      <c r="C10" s="177">
        <v>4336.9805260464464</v>
      </c>
      <c r="D10" s="177">
        <v>3956.7054668085311</v>
      </c>
      <c r="E10" s="177">
        <v>3956.7054668085311</v>
      </c>
      <c r="F10" s="177">
        <v>3956.7054668085311</v>
      </c>
      <c r="G10" s="116"/>
      <c r="H10" s="116"/>
      <c r="I10" s="116"/>
      <c r="J10" s="116"/>
      <c r="K10" s="116"/>
      <c r="L10" s="112"/>
      <c r="M10" s="10"/>
    </row>
    <row r="11" spans="1:13" ht="25.5" x14ac:dyDescent="0.25">
      <c r="A11" s="1"/>
      <c r="B11" s="115" t="s">
        <v>140</v>
      </c>
      <c r="C11" s="178">
        <v>3.1240122282366525E-2</v>
      </c>
      <c r="D11" s="178">
        <v>2.8500926364796616E-2</v>
      </c>
      <c r="E11" s="178">
        <v>2.8500926364796616E-2</v>
      </c>
      <c r="F11" s="178">
        <v>2.8500926364796616E-2</v>
      </c>
      <c r="G11" s="179"/>
      <c r="H11" s="116"/>
      <c r="I11" s="116"/>
      <c r="J11" s="116"/>
      <c r="K11" s="116"/>
      <c r="L11" s="111" t="s">
        <v>89</v>
      </c>
      <c r="M11" s="10"/>
    </row>
    <row r="12" spans="1:13" x14ac:dyDescent="0.25">
      <c r="A12" s="1"/>
      <c r="B12" s="117" t="s">
        <v>141</v>
      </c>
      <c r="C12" s="180">
        <v>63</v>
      </c>
      <c r="D12" s="180">
        <v>63</v>
      </c>
      <c r="E12" s="180">
        <v>63</v>
      </c>
      <c r="F12" s="180">
        <v>63</v>
      </c>
      <c r="G12" s="116"/>
      <c r="H12" s="116"/>
      <c r="I12" s="116"/>
      <c r="J12" s="116"/>
      <c r="K12" s="116" t="s">
        <v>5</v>
      </c>
      <c r="L12" s="112"/>
      <c r="M12" s="181"/>
    </row>
    <row r="13" spans="1:13" ht="25.5" x14ac:dyDescent="0.25">
      <c r="A13" s="1"/>
      <c r="B13" s="115" t="s">
        <v>142</v>
      </c>
      <c r="C13" s="178">
        <v>9.2086572813314966E-3</v>
      </c>
      <c r="D13" s="178">
        <v>8.4012239363742813E-3</v>
      </c>
      <c r="E13" s="178">
        <v>8.4012239363742813E-3</v>
      </c>
      <c r="F13" s="178">
        <v>8.4012239363742813E-3</v>
      </c>
      <c r="G13" s="116"/>
      <c r="H13" s="116"/>
      <c r="I13" s="116"/>
      <c r="J13" s="116"/>
      <c r="K13" s="116"/>
      <c r="L13" s="111" t="s">
        <v>89</v>
      </c>
      <c r="M13" s="181"/>
    </row>
    <row r="14" spans="1:13" ht="25.5" x14ac:dyDescent="0.25">
      <c r="A14" s="1"/>
      <c r="B14" s="117" t="s">
        <v>143</v>
      </c>
      <c r="C14" s="180">
        <v>18.600000000000001</v>
      </c>
      <c r="D14" s="180">
        <v>18.600000000000001</v>
      </c>
      <c r="E14" s="180">
        <v>18.600000000000001</v>
      </c>
      <c r="F14" s="180">
        <v>18.600000000000001</v>
      </c>
      <c r="G14" s="112"/>
      <c r="H14" s="112"/>
      <c r="I14" s="112"/>
      <c r="J14" s="112"/>
      <c r="K14" s="118" t="s">
        <v>5</v>
      </c>
      <c r="L14" s="116"/>
      <c r="M14" s="181"/>
    </row>
    <row r="15" spans="1:13" x14ac:dyDescent="0.25">
      <c r="A15" s="1"/>
      <c r="B15" s="182"/>
      <c r="C15" s="112"/>
      <c r="D15" s="112"/>
      <c r="E15" s="112"/>
      <c r="F15" s="112"/>
      <c r="G15" s="112"/>
      <c r="H15" s="112"/>
      <c r="I15" s="112"/>
      <c r="J15" s="112"/>
      <c r="K15" s="118"/>
      <c r="L15" s="123"/>
      <c r="M15" s="10"/>
    </row>
    <row r="16" spans="1:13" x14ac:dyDescent="0.25">
      <c r="A16" s="1"/>
      <c r="B16" s="183" t="s">
        <v>94</v>
      </c>
      <c r="C16" s="121"/>
      <c r="D16" s="121"/>
      <c r="E16" s="122"/>
      <c r="F16" s="122"/>
      <c r="G16" s="116"/>
      <c r="H16" s="116"/>
      <c r="I16" s="116"/>
      <c r="J16" s="116"/>
      <c r="K16" s="116"/>
      <c r="L16" s="126"/>
      <c r="M16" s="10"/>
    </row>
    <row r="17" spans="1:13" x14ac:dyDescent="0.25">
      <c r="A17" s="1"/>
      <c r="B17" s="184" t="s">
        <v>95</v>
      </c>
      <c r="C17" s="185">
        <v>1</v>
      </c>
      <c r="D17" s="185">
        <v>1</v>
      </c>
      <c r="E17" s="185">
        <v>1</v>
      </c>
      <c r="F17" s="185">
        <v>1</v>
      </c>
      <c r="G17" s="116"/>
      <c r="H17" s="116"/>
      <c r="I17" s="116"/>
      <c r="J17" s="116"/>
      <c r="K17" s="116" t="s">
        <v>144</v>
      </c>
      <c r="L17" s="112"/>
      <c r="M17" s="186"/>
    </row>
    <row r="18" spans="1:13" x14ac:dyDescent="0.25">
      <c r="A18" s="1"/>
      <c r="B18" s="117" t="s">
        <v>145</v>
      </c>
      <c r="C18" s="121">
        <v>7.27</v>
      </c>
      <c r="D18" s="121">
        <v>7.97</v>
      </c>
      <c r="E18" s="121">
        <v>7.97</v>
      </c>
      <c r="F18" s="121">
        <v>7.97</v>
      </c>
      <c r="G18" s="116"/>
      <c r="H18" s="116"/>
      <c r="I18" s="116"/>
      <c r="J18" s="116"/>
      <c r="K18" s="116" t="s">
        <v>144</v>
      </c>
      <c r="L18" s="111" t="s">
        <v>97</v>
      </c>
      <c r="M18" s="10"/>
    </row>
    <row r="19" spans="1:13" x14ac:dyDescent="0.25">
      <c r="A19" s="1"/>
      <c r="B19" s="115" t="s">
        <v>146</v>
      </c>
      <c r="C19" s="121"/>
      <c r="D19" s="121"/>
      <c r="E19" s="121"/>
      <c r="F19" s="121"/>
      <c r="G19" s="116"/>
      <c r="H19" s="116"/>
      <c r="I19" s="116"/>
      <c r="J19" s="116"/>
      <c r="K19" s="116" t="s">
        <v>2</v>
      </c>
      <c r="L19" s="123"/>
      <c r="M19" s="10"/>
    </row>
    <row r="20" spans="1:13" x14ac:dyDescent="0.25">
      <c r="A20" s="1"/>
      <c r="B20" s="115"/>
      <c r="C20" s="121"/>
      <c r="D20" s="121"/>
      <c r="E20" s="121"/>
      <c r="F20" s="121"/>
      <c r="G20" s="116"/>
      <c r="H20" s="116"/>
      <c r="I20" s="116"/>
      <c r="J20" s="116"/>
      <c r="K20" s="116"/>
      <c r="L20" s="123"/>
      <c r="M20" s="10"/>
    </row>
    <row r="21" spans="1:13" x14ac:dyDescent="0.25">
      <c r="A21" s="1"/>
      <c r="B21" s="115" t="s">
        <v>99</v>
      </c>
      <c r="C21" s="116">
        <v>0</v>
      </c>
      <c r="D21" s="116">
        <v>0</v>
      </c>
      <c r="E21" s="128">
        <v>0</v>
      </c>
      <c r="F21" s="129">
        <v>0</v>
      </c>
      <c r="G21" s="116"/>
      <c r="H21" s="116"/>
      <c r="I21" s="116"/>
      <c r="J21" s="116"/>
      <c r="K21" s="116"/>
      <c r="L21" s="116"/>
      <c r="M21" s="10"/>
    </row>
    <row r="22" spans="1:13" x14ac:dyDescent="0.25">
      <c r="A22" s="1"/>
      <c r="B22" s="115" t="s">
        <v>100</v>
      </c>
      <c r="C22" s="116">
        <v>10</v>
      </c>
      <c r="D22" s="116">
        <v>10</v>
      </c>
      <c r="E22" s="128">
        <v>10</v>
      </c>
      <c r="F22" s="129">
        <v>10</v>
      </c>
      <c r="G22" s="116"/>
      <c r="H22" s="116"/>
      <c r="I22" s="116"/>
      <c r="J22" s="116"/>
      <c r="K22" s="116"/>
      <c r="L22" s="110"/>
      <c r="M22" s="10"/>
    </row>
    <row r="23" spans="1:13" x14ac:dyDescent="0.25">
      <c r="A23" s="1"/>
      <c r="B23" s="171" t="s">
        <v>14</v>
      </c>
      <c r="C23" s="116">
        <v>20</v>
      </c>
      <c r="D23" s="116">
        <v>20</v>
      </c>
      <c r="E23" s="128">
        <v>20</v>
      </c>
      <c r="F23" s="129">
        <v>20</v>
      </c>
      <c r="G23" s="110"/>
      <c r="H23" s="110"/>
      <c r="I23" s="110"/>
      <c r="J23" s="110"/>
      <c r="K23" s="110"/>
      <c r="L23" s="110"/>
      <c r="M23" s="10"/>
    </row>
    <row r="24" spans="1:13" x14ac:dyDescent="0.25">
      <c r="A24" s="1"/>
      <c r="B24" s="171" t="s">
        <v>12</v>
      </c>
      <c r="C24" s="116">
        <v>1</v>
      </c>
      <c r="D24" s="116">
        <v>1</v>
      </c>
      <c r="E24" s="128">
        <v>1</v>
      </c>
      <c r="F24" s="129">
        <v>1</v>
      </c>
      <c r="G24" s="110"/>
      <c r="H24" s="110"/>
      <c r="I24" s="110"/>
      <c r="J24" s="110"/>
      <c r="K24" s="110"/>
      <c r="L24" s="110"/>
      <c r="M24" s="10"/>
    </row>
    <row r="25" spans="1:13" x14ac:dyDescent="0.25">
      <c r="A25" s="1"/>
      <c r="B25" s="171"/>
      <c r="C25" s="110"/>
      <c r="D25" s="110"/>
      <c r="E25" s="110"/>
      <c r="F25" s="110"/>
      <c r="G25" s="110"/>
      <c r="H25" s="110"/>
      <c r="I25" s="110"/>
      <c r="J25" s="110"/>
      <c r="K25" s="110"/>
      <c r="L25" s="100"/>
      <c r="M25" s="10"/>
    </row>
    <row r="26" spans="1:13" x14ac:dyDescent="0.25">
      <c r="A26" s="1"/>
      <c r="B26" s="187" t="s">
        <v>9</v>
      </c>
      <c r="C26" s="187"/>
      <c r="D26" s="187"/>
      <c r="E26" s="187"/>
      <c r="F26" s="187"/>
      <c r="G26" s="100"/>
      <c r="H26" s="100"/>
      <c r="I26" s="100"/>
      <c r="J26" s="100"/>
      <c r="K26" s="130"/>
      <c r="L26" s="112"/>
      <c r="M26" s="10"/>
    </row>
    <row r="27" spans="1:13" x14ac:dyDescent="0.25">
      <c r="A27" s="1"/>
      <c r="B27" s="115" t="s">
        <v>147</v>
      </c>
      <c r="C27" s="125">
        <v>407676.16944836598</v>
      </c>
      <c r="D27" s="125">
        <v>371930.31388000195</v>
      </c>
      <c r="E27" s="188">
        <v>371930.31388000195</v>
      </c>
      <c r="F27" s="188">
        <v>371930.31388000195</v>
      </c>
      <c r="G27" s="136"/>
      <c r="H27" s="136"/>
      <c r="I27" s="136"/>
      <c r="J27" s="136"/>
      <c r="K27" s="110" t="s">
        <v>148</v>
      </c>
      <c r="L27" s="132" t="s">
        <v>103</v>
      </c>
      <c r="M27" s="189"/>
    </row>
    <row r="28" spans="1:13" x14ac:dyDescent="0.25">
      <c r="A28" s="1"/>
      <c r="B28" s="117" t="s">
        <v>149</v>
      </c>
      <c r="C28" s="135">
        <v>94</v>
      </c>
      <c r="D28" s="135">
        <v>94</v>
      </c>
      <c r="E28" s="135">
        <v>94</v>
      </c>
      <c r="F28" s="135">
        <v>94</v>
      </c>
      <c r="G28" s="110"/>
      <c r="H28" s="110"/>
      <c r="I28" s="110"/>
      <c r="J28" s="110"/>
      <c r="K28" s="110" t="s">
        <v>148</v>
      </c>
      <c r="L28" s="110"/>
      <c r="M28" s="10"/>
    </row>
    <row r="29" spans="1:13" x14ac:dyDescent="0.25">
      <c r="A29" s="1"/>
      <c r="B29" s="115" t="s">
        <v>104</v>
      </c>
      <c r="C29" s="125">
        <f>C30*C10</f>
        <v>47386.621139570423</v>
      </c>
      <c r="D29" s="125">
        <f t="shared" ref="D29:F29" si="0">D30*D10</f>
        <v>44727.302826015723</v>
      </c>
      <c r="E29" s="125">
        <f t="shared" si="0"/>
        <v>52704.021047101713</v>
      </c>
      <c r="F29" s="125">
        <f t="shared" si="0"/>
        <v>56692.380157644715</v>
      </c>
      <c r="G29" s="110"/>
      <c r="H29" s="110"/>
      <c r="I29" s="110"/>
      <c r="J29" s="110"/>
      <c r="K29" s="110" t="s">
        <v>150</v>
      </c>
      <c r="L29" s="137" t="s">
        <v>107</v>
      </c>
      <c r="M29" s="10"/>
    </row>
    <row r="30" spans="1:13" x14ac:dyDescent="0.25">
      <c r="A30" s="1"/>
      <c r="B30" s="117" t="s">
        <v>151</v>
      </c>
      <c r="C30" s="141">
        <f>SUM(C31:C33)</f>
        <v>10.926177983733686</v>
      </c>
      <c r="D30" s="141">
        <f t="shared" ref="D30:F30" si="1">SUM(D31:D33)</f>
        <v>11.304177983733688</v>
      </c>
      <c r="E30" s="141">
        <f t="shared" si="1"/>
        <v>13.320177983733686</v>
      </c>
      <c r="F30" s="141">
        <f t="shared" si="1"/>
        <v>14.328177983733687</v>
      </c>
      <c r="G30" s="190"/>
      <c r="H30" s="190"/>
      <c r="I30" s="190"/>
      <c r="J30" s="190"/>
      <c r="K30" s="110" t="s">
        <v>150</v>
      </c>
      <c r="L30" s="191"/>
      <c r="M30" s="10"/>
    </row>
    <row r="31" spans="1:13" ht="24" x14ac:dyDescent="0.25">
      <c r="A31" s="1"/>
      <c r="B31" s="138" t="s">
        <v>108</v>
      </c>
      <c r="C31" s="135">
        <v>6.5471779837336861</v>
      </c>
      <c r="D31" s="135">
        <v>6.5471779837336861</v>
      </c>
      <c r="E31" s="135">
        <v>6.5471779837336861</v>
      </c>
      <c r="F31" s="135">
        <v>6.5471779837336861</v>
      </c>
      <c r="G31" s="190"/>
      <c r="H31" s="190"/>
      <c r="I31" s="190"/>
      <c r="J31" s="190"/>
      <c r="K31" s="110"/>
      <c r="L31" s="191"/>
      <c r="M31" s="10"/>
    </row>
    <row r="32" spans="1:13" x14ac:dyDescent="0.25">
      <c r="A32" s="1"/>
      <c r="B32" s="138" t="s">
        <v>109</v>
      </c>
      <c r="C32" s="135">
        <f>63*C12/1000</f>
        <v>3.9689999999999999</v>
      </c>
      <c r="D32" s="135">
        <f>69*D12/1000</f>
        <v>4.3470000000000004</v>
      </c>
      <c r="E32" s="135">
        <f>101*E12/1000</f>
        <v>6.3630000000000004</v>
      </c>
      <c r="F32" s="135">
        <f>117*F12/1000</f>
        <v>7.3710000000000004</v>
      </c>
      <c r="G32" s="190"/>
      <c r="H32" s="190"/>
      <c r="I32" s="190"/>
      <c r="J32" s="190"/>
      <c r="K32" s="110" t="s">
        <v>110</v>
      </c>
      <c r="L32" s="191"/>
      <c r="M32" s="10"/>
    </row>
    <row r="33" spans="1:14" x14ac:dyDescent="0.25">
      <c r="A33" s="1"/>
      <c r="B33" s="138" t="s">
        <v>111</v>
      </c>
      <c r="C33" s="135">
        <f>0.0220430107526882*C14</f>
        <v>0.41000000000000059</v>
      </c>
      <c r="D33" s="135">
        <f t="shared" ref="D33:F33" si="2">0.0220430107526882*D14</f>
        <v>0.41000000000000059</v>
      </c>
      <c r="E33" s="135">
        <f t="shared" si="2"/>
        <v>0.41000000000000059</v>
      </c>
      <c r="F33" s="135">
        <f t="shared" si="2"/>
        <v>0.41000000000000059</v>
      </c>
      <c r="G33" s="190"/>
      <c r="H33" s="190"/>
      <c r="I33" s="190"/>
      <c r="J33" s="190"/>
      <c r="K33" s="110"/>
      <c r="L33" s="191"/>
      <c r="M33" s="10"/>
    </row>
    <row r="34" spans="1:14" x14ac:dyDescent="0.25">
      <c r="A34" s="1"/>
      <c r="B34" s="114"/>
      <c r="C34" s="141"/>
      <c r="D34" s="141"/>
      <c r="E34" s="141"/>
      <c r="F34" s="141"/>
      <c r="G34" s="145"/>
      <c r="H34" s="145"/>
      <c r="I34" s="112"/>
      <c r="J34" s="112"/>
      <c r="K34" s="118"/>
      <c r="L34" s="191"/>
      <c r="M34" s="10"/>
    </row>
    <row r="35" spans="1:14" x14ac:dyDescent="0.25">
      <c r="A35" s="1"/>
      <c r="B35" s="192" t="s">
        <v>112</v>
      </c>
      <c r="C35" s="141"/>
      <c r="D35" s="141"/>
      <c r="E35" s="141"/>
      <c r="F35" s="141"/>
      <c r="G35" s="142"/>
      <c r="H35" s="142"/>
      <c r="I35" s="112"/>
      <c r="J35" s="112"/>
      <c r="K35" s="118"/>
      <c r="L35" s="191"/>
      <c r="M35" s="10"/>
    </row>
    <row r="36" spans="1:14" x14ac:dyDescent="0.25">
      <c r="A36" s="1"/>
      <c r="B36" s="115" t="s">
        <v>152</v>
      </c>
      <c r="C36" s="141">
        <v>4</v>
      </c>
      <c r="D36" s="141">
        <v>4.4000000000000004</v>
      </c>
      <c r="E36" s="141">
        <v>4.4000000000000004</v>
      </c>
      <c r="F36" s="141">
        <v>4.4000000000000004</v>
      </c>
      <c r="G36" s="145">
        <v>1.8</v>
      </c>
      <c r="H36" s="145">
        <v>9.1999999999999993</v>
      </c>
      <c r="I36" s="145">
        <v>1.8</v>
      </c>
      <c r="J36" s="145">
        <v>9.1999999999999993</v>
      </c>
      <c r="K36" s="118" t="s">
        <v>41</v>
      </c>
      <c r="L36" s="191" t="s">
        <v>114</v>
      </c>
      <c r="M36" s="193"/>
    </row>
    <row r="37" spans="1:14" ht="48" hidden="1" x14ac:dyDescent="0.25">
      <c r="A37" s="1"/>
      <c r="B37" s="194">
        <f>500/7.48</f>
        <v>66.844919786096256</v>
      </c>
      <c r="C37" s="144" t="s">
        <v>153</v>
      </c>
      <c r="D37" s="141" t="e">
        <f>#REF!*100</f>
        <v>#REF!</v>
      </c>
      <c r="E37" s="141" t="e">
        <f>#REF!</f>
        <v>#REF!</v>
      </c>
      <c r="F37" s="141" t="e">
        <f>E37</f>
        <v>#REF!</v>
      </c>
      <c r="G37" s="141" t="e">
        <f>F37</f>
        <v>#REF!</v>
      </c>
      <c r="H37" s="145"/>
      <c r="I37" s="145"/>
      <c r="J37" s="112"/>
      <c r="K37" s="112"/>
      <c r="L37" s="118" t="s">
        <v>154</v>
      </c>
      <c r="M37" s="143" t="s">
        <v>155</v>
      </c>
      <c r="N37" s="195"/>
    </row>
    <row r="38" spans="1:14" hidden="1" x14ac:dyDescent="0.25">
      <c r="A38" s="1"/>
      <c r="C38" s="194"/>
      <c r="D38" s="194"/>
      <c r="E38" s="194"/>
      <c r="F38" s="194"/>
      <c r="G38" s="194"/>
      <c r="N38" s="10"/>
    </row>
    <row r="39" spans="1:14" hidden="1" x14ac:dyDescent="0.25">
      <c r="A39" s="1"/>
      <c r="C39" s="148"/>
      <c r="D39" s="196"/>
      <c r="E39" s="196"/>
      <c r="F39" s="196"/>
      <c r="G39" s="196"/>
      <c r="H39" s="92"/>
      <c r="I39" s="92"/>
      <c r="N39" s="10"/>
    </row>
    <row r="40" spans="1:14" hidden="1" x14ac:dyDescent="0.25">
      <c r="A40" s="606"/>
      <c r="B40" s="607"/>
      <c r="C40" s="607"/>
      <c r="D40" s="607"/>
      <c r="E40" s="607"/>
      <c r="F40" s="607"/>
      <c r="G40" s="607"/>
      <c r="H40" s="607"/>
      <c r="I40" s="607"/>
      <c r="J40" s="99"/>
      <c r="K40" s="146"/>
      <c r="L40" s="606"/>
      <c r="M40" s="606"/>
      <c r="N40" s="10"/>
    </row>
    <row r="41" spans="1:14" hidden="1" x14ac:dyDescent="0.25">
      <c r="A41" s="146"/>
      <c r="C41" s="606"/>
      <c r="D41" s="607"/>
      <c r="E41" s="607"/>
      <c r="F41" s="607"/>
      <c r="G41" s="607"/>
      <c r="H41" s="607"/>
      <c r="I41" s="607"/>
      <c r="J41" s="607"/>
      <c r="K41" s="607"/>
      <c r="L41" s="606"/>
      <c r="M41" s="606"/>
      <c r="N41" s="10"/>
    </row>
    <row r="42" spans="1:14" hidden="1" x14ac:dyDescent="0.25">
      <c r="A42" s="170"/>
      <c r="B42" s="606"/>
      <c r="C42" s="607"/>
      <c r="D42" s="607"/>
      <c r="E42" s="607"/>
      <c r="F42" s="607"/>
      <c r="G42" s="607"/>
      <c r="H42" s="607"/>
      <c r="I42" s="607"/>
      <c r="J42" s="607"/>
      <c r="K42" s="146"/>
      <c r="L42" s="606"/>
      <c r="M42" s="606"/>
      <c r="N42" s="10"/>
    </row>
    <row r="43" spans="1:14" hidden="1" x14ac:dyDescent="0.25">
      <c r="A43" s="146"/>
      <c r="C43" s="606"/>
      <c r="D43" s="607"/>
      <c r="E43" s="607"/>
      <c r="F43" s="607"/>
      <c r="G43" s="607"/>
      <c r="H43" s="607"/>
      <c r="I43" s="607"/>
      <c r="J43" s="607"/>
      <c r="K43" s="607"/>
      <c r="L43" s="606"/>
      <c r="M43" s="606"/>
      <c r="N43" s="10"/>
    </row>
    <row r="44" spans="1:14" hidden="1" x14ac:dyDescent="0.25">
      <c r="A44" s="146"/>
      <c r="B44" s="606"/>
      <c r="C44" s="607"/>
      <c r="D44" s="607"/>
      <c r="E44" s="607"/>
      <c r="F44" s="607"/>
      <c r="G44" s="607"/>
      <c r="H44" s="607"/>
      <c r="I44" s="607"/>
      <c r="J44" s="607"/>
      <c r="K44" s="146"/>
      <c r="L44" s="606"/>
      <c r="M44" s="606"/>
      <c r="N44" s="10"/>
    </row>
    <row r="45" spans="1:14" hidden="1" x14ac:dyDescent="0.25">
      <c r="B45" s="197"/>
      <c r="L45" s="606"/>
      <c r="M45" s="606"/>
      <c r="N45" s="10"/>
    </row>
    <row r="46" spans="1:14" x14ac:dyDescent="0.25">
      <c r="A46" s="146"/>
      <c r="B46" s="99"/>
      <c r="C46" s="99"/>
      <c r="D46" s="198"/>
      <c r="E46" s="99"/>
      <c r="F46" s="99"/>
      <c r="G46" s="99"/>
      <c r="H46" s="99"/>
      <c r="I46" s="99"/>
      <c r="J46" s="99"/>
      <c r="K46" s="146"/>
      <c r="L46" s="606"/>
      <c r="M46" s="606"/>
      <c r="N46" s="10"/>
    </row>
    <row r="47" spans="1:14" x14ac:dyDescent="0.25">
      <c r="A47" s="624" t="s">
        <v>6</v>
      </c>
      <c r="B47" s="625"/>
      <c r="C47" s="148"/>
      <c r="D47" s="148"/>
      <c r="E47" s="148"/>
      <c r="F47" s="148"/>
      <c r="G47" s="148"/>
      <c r="H47" s="148"/>
      <c r="I47" s="148"/>
      <c r="J47" s="148"/>
      <c r="K47" s="146"/>
      <c r="L47" s="606"/>
      <c r="M47" s="606"/>
      <c r="N47" s="10"/>
    </row>
    <row r="48" spans="1:14" x14ac:dyDescent="0.25">
      <c r="A48" s="149" t="s">
        <v>5</v>
      </c>
      <c r="B48" s="405" t="s">
        <v>156</v>
      </c>
      <c r="C48" s="410"/>
      <c r="D48" s="410"/>
      <c r="E48" s="410"/>
      <c r="F48" s="410"/>
      <c r="G48" s="410"/>
      <c r="H48" s="410"/>
      <c r="I48" s="410"/>
      <c r="J48" s="410"/>
      <c r="K48" s="402"/>
      <c r="L48" s="402"/>
      <c r="M48" s="402"/>
      <c r="N48" s="406"/>
    </row>
    <row r="49" spans="1:14" x14ac:dyDescent="0.25">
      <c r="A49" s="149" t="s">
        <v>4</v>
      </c>
      <c r="B49" s="405" t="s">
        <v>157</v>
      </c>
      <c r="C49" s="410"/>
      <c r="D49" s="410"/>
      <c r="E49" s="410"/>
      <c r="F49" s="410"/>
      <c r="G49" s="410"/>
      <c r="H49" s="410"/>
      <c r="I49" s="410"/>
      <c r="J49" s="410"/>
      <c r="K49" s="402"/>
      <c r="L49" s="402"/>
      <c r="M49" s="402"/>
      <c r="N49" s="407"/>
    </row>
    <row r="50" spans="1:14" ht="15" customHeight="1" x14ac:dyDescent="0.25">
      <c r="A50" s="149" t="s">
        <v>3</v>
      </c>
      <c r="B50" s="404" t="s">
        <v>158</v>
      </c>
      <c r="C50" s="404"/>
      <c r="D50" s="404"/>
      <c r="E50" s="404"/>
      <c r="F50" s="404"/>
      <c r="G50" s="404"/>
      <c r="H50" s="404"/>
      <c r="I50" s="404"/>
      <c r="J50" s="404"/>
      <c r="K50" s="404"/>
      <c r="L50" s="404"/>
      <c r="M50" s="404"/>
      <c r="N50" s="399"/>
    </row>
    <row r="51" spans="1:14" x14ac:dyDescent="0.25">
      <c r="A51" s="149" t="s">
        <v>2</v>
      </c>
      <c r="B51" s="405" t="s">
        <v>159</v>
      </c>
      <c r="D51" s="410"/>
      <c r="E51" s="410"/>
      <c r="F51" s="410"/>
      <c r="G51" s="410"/>
      <c r="H51" s="410"/>
      <c r="I51" s="410"/>
      <c r="J51" s="410"/>
      <c r="K51" s="410"/>
      <c r="L51" s="402"/>
      <c r="M51" s="402"/>
      <c r="N51" s="399"/>
    </row>
    <row r="52" spans="1:14" ht="15" customHeight="1" x14ac:dyDescent="0.25">
      <c r="A52" s="149" t="s">
        <v>1</v>
      </c>
      <c r="B52" s="405" t="s">
        <v>160</v>
      </c>
      <c r="C52" s="405"/>
      <c r="D52" s="405"/>
      <c r="E52" s="405"/>
      <c r="F52" s="405"/>
      <c r="G52" s="405"/>
      <c r="H52" s="405"/>
      <c r="I52" s="405"/>
      <c r="J52" s="405"/>
      <c r="K52" s="146"/>
      <c r="L52" s="91"/>
      <c r="M52" s="91"/>
      <c r="N52" s="399"/>
    </row>
    <row r="53" spans="1:14" ht="15" customHeight="1" x14ac:dyDescent="0.25">
      <c r="A53" s="149" t="s">
        <v>0</v>
      </c>
      <c r="B53" s="405" t="s">
        <v>161</v>
      </c>
      <c r="C53" s="405"/>
      <c r="D53" s="405"/>
      <c r="E53" s="405"/>
      <c r="F53" s="405"/>
      <c r="G53" s="405"/>
      <c r="H53" s="405"/>
      <c r="I53" s="405"/>
      <c r="J53" s="405"/>
      <c r="K53" s="405"/>
      <c r="L53" s="405"/>
      <c r="M53" s="405"/>
      <c r="N53" s="399"/>
    </row>
    <row r="54" spans="1:14" ht="15" customHeight="1" x14ac:dyDescent="0.25">
      <c r="A54" s="149" t="s">
        <v>40</v>
      </c>
      <c r="B54" s="91" t="s">
        <v>162</v>
      </c>
      <c r="C54" s="91"/>
      <c r="D54" s="91"/>
      <c r="E54" s="91"/>
      <c r="F54" s="91"/>
      <c r="G54" s="91"/>
      <c r="H54" s="91"/>
      <c r="I54" s="91"/>
      <c r="J54" s="91"/>
      <c r="K54" s="91"/>
      <c r="L54" s="91"/>
      <c r="M54" s="91"/>
      <c r="N54" s="399"/>
    </row>
    <row r="55" spans="1:14" ht="15" customHeight="1" x14ac:dyDescent="0.25">
      <c r="A55" s="149" t="s">
        <v>41</v>
      </c>
      <c r="B55" s="91" t="s">
        <v>163</v>
      </c>
      <c r="C55" s="91"/>
      <c r="D55" s="91"/>
      <c r="E55" s="91"/>
      <c r="F55" s="91"/>
      <c r="G55" s="91"/>
      <c r="H55" s="91"/>
      <c r="I55" s="91"/>
      <c r="J55" s="91"/>
      <c r="K55" s="91"/>
      <c r="L55" s="406"/>
      <c r="M55" s="406"/>
      <c r="N55" s="399"/>
    </row>
    <row r="56" spans="1:14" ht="15" customHeight="1" x14ac:dyDescent="0.25">
      <c r="A56" s="149" t="s">
        <v>98</v>
      </c>
      <c r="B56" s="404" t="s">
        <v>128</v>
      </c>
      <c r="C56" s="404"/>
      <c r="D56" s="404"/>
      <c r="E56" s="404"/>
      <c r="F56" s="404"/>
      <c r="G56" s="404"/>
      <c r="H56" s="404"/>
      <c r="I56" s="404"/>
      <c r="J56" s="404"/>
      <c r="K56" s="406"/>
      <c r="L56" s="406"/>
      <c r="M56" s="406"/>
      <c r="N56" s="399"/>
    </row>
    <row r="57" spans="1:14" ht="15" customHeight="1" x14ac:dyDescent="0.25">
      <c r="A57" s="149" t="s">
        <v>110</v>
      </c>
      <c r="B57" s="247" t="s">
        <v>129</v>
      </c>
      <c r="C57" s="247"/>
      <c r="D57" s="247"/>
      <c r="E57" s="247"/>
      <c r="F57" s="247"/>
      <c r="G57" s="247"/>
      <c r="H57" s="247"/>
      <c r="I57" s="247"/>
      <c r="J57" s="247"/>
      <c r="K57" s="247"/>
      <c r="L57" s="247"/>
      <c r="M57" s="247"/>
      <c r="N57" s="247"/>
    </row>
    <row r="58" spans="1:14" x14ac:dyDescent="0.25">
      <c r="A58" s="149"/>
      <c r="B58" s="210"/>
      <c r="C58" s="408"/>
      <c r="D58" s="408"/>
      <c r="E58" s="408"/>
      <c r="F58" s="408"/>
      <c r="G58" s="408"/>
      <c r="H58" s="408"/>
      <c r="I58" s="408"/>
      <c r="J58" s="408"/>
      <c r="K58" s="408"/>
      <c r="L58" s="408"/>
      <c r="M58" s="408"/>
      <c r="N58" s="408"/>
    </row>
    <row r="59" spans="1:14" x14ac:dyDescent="0.25">
      <c r="A59" s="147" t="s">
        <v>27</v>
      </c>
      <c r="B59" s="409"/>
      <c r="C59" s="409"/>
      <c r="D59" s="409"/>
      <c r="E59" s="409"/>
      <c r="F59" s="409"/>
      <c r="G59" s="409"/>
      <c r="H59" s="409"/>
      <c r="I59" s="409"/>
      <c r="J59" s="399"/>
      <c r="K59" s="399"/>
      <c r="L59" s="399"/>
      <c r="M59" s="399"/>
      <c r="N59" s="399"/>
    </row>
    <row r="60" spans="1:14" x14ac:dyDescent="0.25">
      <c r="A60" s="1">
        <v>5</v>
      </c>
      <c r="B60" s="398" t="s">
        <v>130</v>
      </c>
      <c r="D60" s="398"/>
      <c r="E60" s="398"/>
      <c r="F60" s="398"/>
      <c r="G60" s="398"/>
      <c r="H60" s="398"/>
      <c r="I60" s="398"/>
      <c r="J60" s="398"/>
      <c r="K60" s="398"/>
      <c r="L60" s="399"/>
      <c r="M60" s="399"/>
      <c r="N60" s="399"/>
    </row>
    <row r="61" spans="1:14" x14ac:dyDescent="0.25">
      <c r="A61" s="1">
        <v>8</v>
      </c>
      <c r="B61" s="398" t="s">
        <v>131</v>
      </c>
      <c r="D61" s="398"/>
      <c r="E61" s="398"/>
      <c r="F61" s="398"/>
      <c r="G61" s="398"/>
      <c r="H61" s="398"/>
      <c r="I61" s="398"/>
      <c r="J61" s="399"/>
      <c r="K61" s="399"/>
      <c r="L61" s="399"/>
      <c r="M61" s="399"/>
      <c r="N61" s="399"/>
    </row>
    <row r="62" spans="1:14" x14ac:dyDescent="0.25">
      <c r="A62" s="1">
        <v>9</v>
      </c>
      <c r="B62" s="398" t="s">
        <v>132</v>
      </c>
      <c r="D62" s="398"/>
      <c r="E62" s="398"/>
      <c r="F62" s="398"/>
      <c r="G62" s="398"/>
      <c r="H62" s="398"/>
      <c r="I62" s="398"/>
      <c r="J62" s="398"/>
      <c r="K62" s="398"/>
      <c r="L62" s="399"/>
      <c r="M62" s="399"/>
      <c r="N62" s="399"/>
    </row>
    <row r="63" spans="1:14" x14ac:dyDescent="0.25">
      <c r="A63" s="1">
        <v>12</v>
      </c>
      <c r="B63" s="398" t="s">
        <v>133</v>
      </c>
      <c r="D63" s="398"/>
      <c r="E63" s="398"/>
      <c r="F63" s="398"/>
      <c r="G63" s="398"/>
      <c r="H63" s="398"/>
      <c r="I63" s="398"/>
      <c r="J63" s="398"/>
      <c r="K63" s="398"/>
      <c r="L63" s="399"/>
      <c r="M63" s="399"/>
      <c r="N63" s="399"/>
    </row>
    <row r="64" spans="1:14" x14ac:dyDescent="0.25">
      <c r="B64" s="399"/>
      <c r="C64" s="399"/>
      <c r="D64" s="399"/>
      <c r="E64" s="399"/>
      <c r="F64" s="399"/>
      <c r="G64" s="399"/>
      <c r="H64" s="399"/>
      <c r="I64" s="399"/>
      <c r="J64" s="399"/>
      <c r="K64" s="399"/>
      <c r="L64" s="399"/>
      <c r="M64" s="399"/>
      <c r="N64" s="399"/>
    </row>
    <row r="65" spans="2:14" x14ac:dyDescent="0.25">
      <c r="B65" s="399"/>
      <c r="C65" s="399"/>
      <c r="D65" s="399"/>
      <c r="E65" s="399"/>
      <c r="F65" s="399"/>
      <c r="G65" s="399"/>
      <c r="H65" s="399"/>
      <c r="I65" s="399"/>
      <c r="J65" s="399"/>
      <c r="K65" s="399"/>
      <c r="L65" s="399"/>
      <c r="M65" s="399"/>
      <c r="N65" s="399"/>
    </row>
  </sheetData>
  <mergeCells count="19">
    <mergeCell ref="L46:M46"/>
    <mergeCell ref="A47:B47"/>
    <mergeCell ref="L47:M47"/>
    <mergeCell ref="A40:I40"/>
    <mergeCell ref="L40:M40"/>
    <mergeCell ref="C41:K41"/>
    <mergeCell ref="L41:M41"/>
    <mergeCell ref="B42:J42"/>
    <mergeCell ref="L42:M42"/>
    <mergeCell ref="C43:K43"/>
    <mergeCell ref="L43:M43"/>
    <mergeCell ref="B44:J44"/>
    <mergeCell ref="L44:M44"/>
    <mergeCell ref="L45:M45"/>
    <mergeCell ref="C7:F7"/>
    <mergeCell ref="C3:L3"/>
    <mergeCell ref="G4:H4"/>
    <mergeCell ref="I4:J4"/>
    <mergeCell ref="C6:F6"/>
  </mergeCells>
  <hyperlinks>
    <hyperlink ref="C3" location="INDEX" display="Biogas plant, additional straw input in the feedstock mix"/>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7"/>
  <sheetViews>
    <sheetView showGridLines="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9.5703125" customWidth="1"/>
    <col min="12" max="12" width="5.28515625" customWidth="1"/>
    <col min="13" max="13" width="12.85546875" customWidth="1"/>
    <col min="14" max="14" width="13.7109375" customWidth="1"/>
  </cols>
  <sheetData>
    <row r="2" spans="1:14" x14ac:dyDescent="0.25">
      <c r="A2" s="1"/>
      <c r="B2" s="10"/>
      <c r="C2" s="10"/>
      <c r="D2" s="10"/>
      <c r="E2" s="10"/>
      <c r="F2" s="10"/>
      <c r="G2" s="10"/>
      <c r="H2" s="10"/>
    </row>
    <row r="3" spans="1:14" x14ac:dyDescent="0.25">
      <c r="A3" s="1"/>
      <c r="B3" s="100" t="s">
        <v>20</v>
      </c>
      <c r="C3" s="619" t="s">
        <v>928</v>
      </c>
      <c r="D3" s="620"/>
      <c r="E3" s="620"/>
      <c r="F3" s="620"/>
      <c r="G3" s="620"/>
      <c r="H3" s="620"/>
      <c r="I3" s="620"/>
      <c r="J3" s="620"/>
      <c r="K3" s="620"/>
      <c r="L3" s="620"/>
    </row>
    <row r="4" spans="1:14" x14ac:dyDescent="0.25">
      <c r="A4" s="1"/>
      <c r="B4" s="171"/>
      <c r="C4" s="555">
        <v>2020</v>
      </c>
      <c r="D4" s="555">
        <v>2030</v>
      </c>
      <c r="E4" s="555">
        <v>2040</v>
      </c>
      <c r="F4" s="555">
        <v>2050</v>
      </c>
      <c r="G4" s="621" t="s">
        <v>25</v>
      </c>
      <c r="H4" s="621"/>
      <c r="I4" s="621" t="s">
        <v>24</v>
      </c>
      <c r="J4" s="621"/>
      <c r="K4" s="555" t="s">
        <v>19</v>
      </c>
      <c r="L4" s="555" t="s">
        <v>18</v>
      </c>
      <c r="M4" s="10"/>
    </row>
    <row r="5" spans="1:14" x14ac:dyDescent="0.25">
      <c r="A5" s="1"/>
      <c r="B5" s="100" t="s">
        <v>15</v>
      </c>
      <c r="C5" s="100"/>
      <c r="D5" s="100"/>
      <c r="E5" s="100"/>
      <c r="F5" s="100"/>
      <c r="G5" s="555" t="s">
        <v>17</v>
      </c>
      <c r="H5" s="555" t="s">
        <v>16</v>
      </c>
      <c r="I5" s="555" t="s">
        <v>17</v>
      </c>
      <c r="J5" s="555" t="s">
        <v>16</v>
      </c>
      <c r="K5" s="100"/>
      <c r="L5" s="239"/>
      <c r="M5" s="172"/>
    </row>
    <row r="6" spans="1:14" x14ac:dyDescent="0.25">
      <c r="A6" s="1"/>
      <c r="B6" s="171" t="s">
        <v>239</v>
      </c>
      <c r="C6" s="190" t="s">
        <v>805</v>
      </c>
      <c r="D6" s="190">
        <v>77</v>
      </c>
      <c r="E6" s="190">
        <v>85</v>
      </c>
      <c r="F6" s="219">
        <v>93.5</v>
      </c>
      <c r="G6" s="219">
        <v>38.5</v>
      </c>
      <c r="H6" s="219">
        <v>115.5</v>
      </c>
      <c r="I6" s="190">
        <v>47</v>
      </c>
      <c r="J6" s="190">
        <v>140</v>
      </c>
      <c r="K6" s="110" t="s">
        <v>806</v>
      </c>
      <c r="L6" s="239"/>
      <c r="M6" s="10"/>
    </row>
    <row r="7" spans="1:14" x14ac:dyDescent="0.25">
      <c r="A7" s="1"/>
      <c r="B7" s="171" t="s">
        <v>807</v>
      </c>
      <c r="C7" s="190" t="s">
        <v>805</v>
      </c>
      <c r="D7" s="190">
        <v>32</v>
      </c>
      <c r="E7" s="190">
        <v>35</v>
      </c>
      <c r="F7" s="190">
        <v>39</v>
      </c>
      <c r="G7" s="190">
        <v>16</v>
      </c>
      <c r="H7" s="190">
        <v>48</v>
      </c>
      <c r="I7" s="219">
        <v>19.5</v>
      </c>
      <c r="J7" s="219">
        <v>58.5</v>
      </c>
      <c r="K7" s="110" t="s">
        <v>808</v>
      </c>
      <c r="L7" s="239" t="s">
        <v>247</v>
      </c>
      <c r="M7" s="10"/>
    </row>
    <row r="8" spans="1:14" x14ac:dyDescent="0.25">
      <c r="A8" s="1"/>
      <c r="B8" s="171" t="s">
        <v>809</v>
      </c>
      <c r="C8" s="190" t="s">
        <v>805</v>
      </c>
      <c r="D8" s="190">
        <v>23000</v>
      </c>
      <c r="E8" s="190">
        <v>25000</v>
      </c>
      <c r="F8" s="190">
        <v>28000</v>
      </c>
      <c r="G8" s="190" t="s">
        <v>810</v>
      </c>
      <c r="H8" s="190">
        <v>35000</v>
      </c>
      <c r="I8" s="190">
        <v>14000</v>
      </c>
      <c r="J8" s="190" t="s">
        <v>811</v>
      </c>
      <c r="K8" s="110" t="s">
        <v>812</v>
      </c>
      <c r="L8" s="239" t="s">
        <v>247</v>
      </c>
      <c r="M8" s="10"/>
    </row>
    <row r="9" spans="1:14" x14ac:dyDescent="0.25">
      <c r="A9" s="1"/>
      <c r="B9" s="546"/>
      <c r="C9" s="547"/>
      <c r="D9" s="547"/>
      <c r="E9" s="547"/>
      <c r="F9" s="547"/>
      <c r="G9" s="547"/>
      <c r="H9" s="547"/>
      <c r="I9" s="547"/>
      <c r="J9" s="547"/>
      <c r="K9" s="547"/>
      <c r="L9" s="548"/>
      <c r="M9" s="173"/>
    </row>
    <row r="10" spans="1:14" x14ac:dyDescent="0.25">
      <c r="A10" s="1"/>
      <c r="B10" s="174" t="s">
        <v>813</v>
      </c>
      <c r="C10" s="565"/>
      <c r="D10" s="565"/>
      <c r="E10" s="565"/>
      <c r="F10" s="565"/>
      <c r="G10" s="565"/>
      <c r="H10" s="565"/>
      <c r="I10" s="565"/>
      <c r="J10" s="565"/>
      <c r="K10" s="547"/>
      <c r="L10" s="566"/>
      <c r="M10" s="10"/>
    </row>
    <row r="11" spans="1:14" x14ac:dyDescent="0.25">
      <c r="A11" s="1"/>
      <c r="B11" s="171" t="s">
        <v>814</v>
      </c>
      <c r="C11" s="190" t="s">
        <v>805</v>
      </c>
      <c r="D11" s="190">
        <v>78</v>
      </c>
      <c r="E11" s="190">
        <v>80</v>
      </c>
      <c r="F11" s="190">
        <v>82</v>
      </c>
      <c r="G11" s="190">
        <v>76</v>
      </c>
      <c r="H11" s="190">
        <v>80</v>
      </c>
      <c r="I11" s="190">
        <v>78</v>
      </c>
      <c r="J11" s="190">
        <v>84</v>
      </c>
      <c r="K11" s="110" t="s">
        <v>815</v>
      </c>
      <c r="L11" s="239" t="s">
        <v>247</v>
      </c>
      <c r="M11" s="10"/>
    </row>
    <row r="12" spans="1:14" x14ac:dyDescent="0.25">
      <c r="A12" s="1"/>
      <c r="B12" s="171" t="s">
        <v>816</v>
      </c>
      <c r="C12" s="190" t="s">
        <v>805</v>
      </c>
      <c r="D12" s="190">
        <v>22</v>
      </c>
      <c r="E12" s="190">
        <v>20</v>
      </c>
      <c r="F12" s="190">
        <v>18</v>
      </c>
      <c r="G12" s="190">
        <v>20</v>
      </c>
      <c r="H12" s="190">
        <v>24</v>
      </c>
      <c r="I12" s="190">
        <v>16</v>
      </c>
      <c r="J12" s="190">
        <v>22</v>
      </c>
      <c r="K12" s="110" t="s">
        <v>817</v>
      </c>
      <c r="L12" s="239" t="s">
        <v>247</v>
      </c>
      <c r="M12" s="10"/>
    </row>
    <row r="13" spans="1:14" x14ac:dyDescent="0.25">
      <c r="A13" s="1"/>
      <c r="B13" s="546"/>
      <c r="C13" s="547"/>
      <c r="D13" s="547"/>
      <c r="E13" s="547"/>
      <c r="F13" s="547"/>
      <c r="G13" s="547"/>
      <c r="H13" s="547"/>
      <c r="I13" s="547"/>
      <c r="J13" s="547"/>
      <c r="K13" s="567"/>
      <c r="L13" s="548"/>
      <c r="M13" s="181"/>
    </row>
    <row r="14" spans="1:14" x14ac:dyDescent="0.25">
      <c r="A14" s="1"/>
      <c r="B14" s="174" t="s">
        <v>94</v>
      </c>
      <c r="C14" s="565"/>
      <c r="D14" s="569"/>
      <c r="E14" s="569"/>
      <c r="F14" s="569"/>
      <c r="G14" s="565"/>
      <c r="H14" s="565"/>
      <c r="I14" s="565"/>
      <c r="J14" s="565"/>
      <c r="K14" s="567"/>
      <c r="L14" s="566"/>
      <c r="M14" s="10"/>
    </row>
    <row r="15" spans="1:14" x14ac:dyDescent="0.25">
      <c r="A15" s="1"/>
      <c r="B15" s="171" t="s">
        <v>818</v>
      </c>
      <c r="C15" s="190" t="s">
        <v>805</v>
      </c>
      <c r="D15" s="190">
        <v>41</v>
      </c>
      <c r="E15" s="190">
        <v>42</v>
      </c>
      <c r="F15" s="190">
        <v>43</v>
      </c>
      <c r="G15" s="190">
        <v>37</v>
      </c>
      <c r="H15" s="190">
        <v>45</v>
      </c>
      <c r="I15" s="190">
        <v>39</v>
      </c>
      <c r="J15" s="190">
        <v>47</v>
      </c>
      <c r="K15" s="110" t="s">
        <v>808</v>
      </c>
      <c r="L15" s="239" t="s">
        <v>247</v>
      </c>
      <c r="M15" s="186"/>
      <c r="N15" s="568"/>
    </row>
    <row r="16" spans="1:14" x14ac:dyDescent="0.25">
      <c r="A16" s="1"/>
      <c r="B16" s="171" t="s">
        <v>819</v>
      </c>
      <c r="C16" s="190" t="s">
        <v>805</v>
      </c>
      <c r="D16" s="190">
        <v>28</v>
      </c>
      <c r="E16" s="190">
        <v>29</v>
      </c>
      <c r="F16" s="190">
        <v>30</v>
      </c>
      <c r="G16" s="190">
        <v>25</v>
      </c>
      <c r="H16" s="190">
        <v>31</v>
      </c>
      <c r="I16" s="190">
        <v>27</v>
      </c>
      <c r="J16" s="190">
        <v>33</v>
      </c>
      <c r="K16" s="110" t="s">
        <v>820</v>
      </c>
      <c r="L16" s="239" t="s">
        <v>247</v>
      </c>
      <c r="M16" s="10"/>
    </row>
    <row r="17" spans="1:13" x14ac:dyDescent="0.25">
      <c r="A17" s="1"/>
      <c r="B17" s="171" t="s">
        <v>821</v>
      </c>
      <c r="C17" s="190" t="s">
        <v>805</v>
      </c>
      <c r="D17" s="190">
        <v>9</v>
      </c>
      <c r="E17" s="190">
        <v>8</v>
      </c>
      <c r="F17" s="190">
        <v>7</v>
      </c>
      <c r="G17" s="219">
        <f>D17-D17*0.5</f>
        <v>4.5</v>
      </c>
      <c r="H17" s="219">
        <f>D17+D17*0.5</f>
        <v>13.5</v>
      </c>
      <c r="I17" s="219">
        <f>F17-F17*0.5</f>
        <v>3.5</v>
      </c>
      <c r="J17" s="219">
        <f>F17+F17*0.5</f>
        <v>10.5</v>
      </c>
      <c r="K17" s="110" t="s">
        <v>943</v>
      </c>
      <c r="L17" s="239" t="s">
        <v>247</v>
      </c>
      <c r="M17" s="10"/>
    </row>
    <row r="18" spans="1:13" x14ac:dyDescent="0.25">
      <c r="A18" s="1"/>
      <c r="B18" s="171" t="s">
        <v>822</v>
      </c>
      <c r="C18" s="190" t="s">
        <v>805</v>
      </c>
      <c r="D18" s="190">
        <v>16</v>
      </c>
      <c r="E18" s="190">
        <v>15</v>
      </c>
      <c r="F18" s="190">
        <v>14</v>
      </c>
      <c r="G18" s="190">
        <f>D18-D18*0.5</f>
        <v>8</v>
      </c>
      <c r="H18" s="190">
        <f>D18+D18*0.5</f>
        <v>24</v>
      </c>
      <c r="I18" s="190">
        <f>F18-F18*0.5</f>
        <v>7</v>
      </c>
      <c r="J18" s="190">
        <f>F18+F18*0.5</f>
        <v>21</v>
      </c>
      <c r="K18" s="110" t="s">
        <v>817</v>
      </c>
      <c r="L18" s="239" t="s">
        <v>247</v>
      </c>
      <c r="M18" s="10"/>
    </row>
    <row r="19" spans="1:13" ht="14.45" customHeight="1" x14ac:dyDescent="0.25">
      <c r="A19" s="1"/>
      <c r="B19" s="171" t="s">
        <v>823</v>
      </c>
      <c r="C19" s="190" t="s">
        <v>805</v>
      </c>
      <c r="D19" s="190">
        <v>6</v>
      </c>
      <c r="E19" s="190">
        <v>6</v>
      </c>
      <c r="F19" s="190">
        <v>6</v>
      </c>
      <c r="G19" s="190">
        <v>5</v>
      </c>
      <c r="H19" s="190">
        <f>D19+D19*0.5</f>
        <v>9</v>
      </c>
      <c r="I19" s="190">
        <f>F19-F19*0.5</f>
        <v>3</v>
      </c>
      <c r="J19" s="190">
        <f>F19+F19*0.5</f>
        <v>9</v>
      </c>
      <c r="K19" s="110" t="s">
        <v>817</v>
      </c>
      <c r="L19" s="239" t="s">
        <v>247</v>
      </c>
      <c r="M19" s="10"/>
    </row>
    <row r="20" spans="1:13" x14ac:dyDescent="0.25">
      <c r="A20" s="1"/>
      <c r="B20" s="171"/>
      <c r="C20" s="190"/>
      <c r="D20" s="190"/>
      <c r="E20" s="190"/>
      <c r="F20" s="190"/>
      <c r="G20" s="190"/>
      <c r="H20" s="190"/>
      <c r="I20" s="190"/>
      <c r="J20" s="190"/>
      <c r="K20" s="110"/>
      <c r="L20" s="239"/>
      <c r="M20" s="10"/>
    </row>
    <row r="21" spans="1:13" x14ac:dyDescent="0.25">
      <c r="A21" s="1"/>
      <c r="B21" s="171" t="s">
        <v>99</v>
      </c>
      <c r="C21" s="190" t="s">
        <v>805</v>
      </c>
      <c r="D21" s="190">
        <v>20</v>
      </c>
      <c r="E21" s="190">
        <v>10</v>
      </c>
      <c r="F21" s="190">
        <v>1</v>
      </c>
      <c r="G21" s="190">
        <v>10</v>
      </c>
      <c r="H21" s="190">
        <v>30</v>
      </c>
      <c r="I21" s="190">
        <v>0</v>
      </c>
      <c r="J21" s="190">
        <v>2</v>
      </c>
      <c r="K21" s="110" t="s">
        <v>5</v>
      </c>
      <c r="L21" s="239"/>
      <c r="M21" s="10"/>
    </row>
    <row r="22" spans="1:13" ht="14.25" customHeight="1" x14ac:dyDescent="0.25">
      <c r="A22" s="1"/>
      <c r="B22" s="171" t="s">
        <v>23</v>
      </c>
      <c r="C22" s="190" t="s">
        <v>805</v>
      </c>
      <c r="D22" s="190">
        <v>10</v>
      </c>
      <c r="E22" s="190">
        <v>4</v>
      </c>
      <c r="F22" s="190">
        <v>2</v>
      </c>
      <c r="G22" s="190">
        <v>10</v>
      </c>
      <c r="H22" s="190">
        <v>22</v>
      </c>
      <c r="I22" s="190">
        <v>0</v>
      </c>
      <c r="J22" s="190">
        <v>0</v>
      </c>
      <c r="K22" s="110" t="s">
        <v>824</v>
      </c>
      <c r="L22" s="239"/>
      <c r="M22" s="10"/>
    </row>
    <row r="23" spans="1:13" x14ac:dyDescent="0.25">
      <c r="A23" s="1"/>
      <c r="B23" s="171" t="s">
        <v>14</v>
      </c>
      <c r="C23" s="190" t="s">
        <v>805</v>
      </c>
      <c r="D23" s="190">
        <v>20</v>
      </c>
      <c r="E23" s="190">
        <v>25</v>
      </c>
      <c r="F23" s="190">
        <v>25</v>
      </c>
      <c r="G23" s="190">
        <v>15</v>
      </c>
      <c r="H23" s="190">
        <v>25</v>
      </c>
      <c r="I23" s="190">
        <v>20</v>
      </c>
      <c r="J23" s="190">
        <v>30</v>
      </c>
      <c r="K23" s="110" t="s">
        <v>817</v>
      </c>
      <c r="L23" s="239" t="s">
        <v>825</v>
      </c>
      <c r="M23" s="10"/>
    </row>
    <row r="24" spans="1:13" x14ac:dyDescent="0.25">
      <c r="A24" s="1"/>
      <c r="B24" s="171" t="s">
        <v>12</v>
      </c>
      <c r="C24" s="190" t="s">
        <v>805</v>
      </c>
      <c r="D24" s="190">
        <v>2</v>
      </c>
      <c r="E24" s="190">
        <v>2</v>
      </c>
      <c r="F24" s="190">
        <v>2</v>
      </c>
      <c r="G24" s="219">
        <v>1.5</v>
      </c>
      <c r="H24" s="219">
        <v>2.5</v>
      </c>
      <c r="I24" s="219">
        <v>1.5</v>
      </c>
      <c r="J24" s="219">
        <v>2.5</v>
      </c>
      <c r="K24" s="110" t="s">
        <v>826</v>
      </c>
      <c r="L24" s="239"/>
      <c r="M24" s="10"/>
    </row>
    <row r="25" spans="1:13" x14ac:dyDescent="0.25">
      <c r="A25" s="1"/>
      <c r="B25" s="171"/>
      <c r="C25" s="190"/>
      <c r="D25" s="190"/>
      <c r="E25" s="190"/>
      <c r="F25" s="190"/>
      <c r="G25" s="190"/>
      <c r="H25" s="190"/>
      <c r="I25" s="190"/>
      <c r="J25" s="190"/>
      <c r="K25" s="110"/>
      <c r="L25" s="239"/>
      <c r="M25" s="10"/>
    </row>
    <row r="26" spans="1:13" x14ac:dyDescent="0.25">
      <c r="A26" s="1"/>
      <c r="B26" s="187" t="s">
        <v>948</v>
      </c>
      <c r="C26" s="187"/>
      <c r="D26" s="187"/>
      <c r="E26" s="187"/>
      <c r="F26" s="187"/>
      <c r="G26" s="187"/>
      <c r="H26" s="187"/>
      <c r="I26" s="187"/>
      <c r="J26" s="187"/>
      <c r="K26" s="187"/>
      <c r="L26" s="187"/>
      <c r="M26" s="10"/>
    </row>
    <row r="27" spans="1:13" ht="24" x14ac:dyDescent="0.25">
      <c r="A27" s="1"/>
      <c r="B27" s="171" t="s">
        <v>827</v>
      </c>
      <c r="C27" s="190" t="s">
        <v>805</v>
      </c>
      <c r="D27" s="219">
        <v>0.6</v>
      </c>
      <c r="E27" s="219">
        <v>0.55000000000000004</v>
      </c>
      <c r="F27" s="219">
        <v>0.48499999999999999</v>
      </c>
      <c r="G27" s="219">
        <v>0.3</v>
      </c>
      <c r="H27" s="219">
        <v>0.9</v>
      </c>
      <c r="I27" s="219">
        <v>0.2</v>
      </c>
      <c r="J27" s="219">
        <v>0.7</v>
      </c>
      <c r="K27" s="110" t="s">
        <v>828</v>
      </c>
      <c r="L27" s="239" t="s">
        <v>829</v>
      </c>
      <c r="M27" s="189"/>
    </row>
    <row r="28" spans="1:13" x14ac:dyDescent="0.25">
      <c r="A28" s="1"/>
      <c r="B28" s="171" t="s">
        <v>242</v>
      </c>
      <c r="C28" s="190" t="s">
        <v>805</v>
      </c>
      <c r="D28" s="190">
        <v>50</v>
      </c>
      <c r="E28" s="190">
        <v>50</v>
      </c>
      <c r="F28" s="190">
        <v>50</v>
      </c>
      <c r="G28" s="190">
        <v>45</v>
      </c>
      <c r="H28" s="190" t="s">
        <v>830</v>
      </c>
      <c r="I28" s="190">
        <v>45</v>
      </c>
      <c r="J28" s="190">
        <v>55</v>
      </c>
      <c r="K28" s="110" t="s">
        <v>817</v>
      </c>
      <c r="L28" s="239"/>
      <c r="M28" s="10"/>
    </row>
    <row r="29" spans="1:13" x14ac:dyDescent="0.25">
      <c r="A29" s="1"/>
      <c r="B29" s="171" t="s">
        <v>243</v>
      </c>
      <c r="C29" s="190" t="s">
        <v>805</v>
      </c>
      <c r="D29" s="190">
        <v>50</v>
      </c>
      <c r="E29" s="190">
        <v>50</v>
      </c>
      <c r="F29" s="190">
        <v>50</v>
      </c>
      <c r="G29" s="190">
        <v>45</v>
      </c>
      <c r="H29" s="190">
        <v>55</v>
      </c>
      <c r="I29" s="190">
        <v>45</v>
      </c>
      <c r="J29" s="190">
        <v>55</v>
      </c>
      <c r="K29" s="110" t="s">
        <v>817</v>
      </c>
      <c r="L29" s="239"/>
      <c r="M29" s="10"/>
    </row>
    <row r="30" spans="1:13" ht="14.25" customHeight="1" x14ac:dyDescent="0.25">
      <c r="A30" s="1"/>
      <c r="B30" s="171" t="s">
        <v>831</v>
      </c>
      <c r="C30" s="190" t="s">
        <v>805</v>
      </c>
      <c r="D30" s="190">
        <f>D27*0.02*1000000</f>
        <v>12000</v>
      </c>
      <c r="E30" s="190">
        <f t="shared" ref="E30:F30" si="0">E27*0.02*1000000</f>
        <v>11000.000000000002</v>
      </c>
      <c r="F30" s="190">
        <f t="shared" si="0"/>
        <v>9700</v>
      </c>
      <c r="G30" s="190">
        <v>6000</v>
      </c>
      <c r="H30" s="190">
        <v>18000</v>
      </c>
      <c r="I30" s="190">
        <v>4900</v>
      </c>
      <c r="J30" s="190">
        <v>15000</v>
      </c>
      <c r="K30" s="110" t="s">
        <v>832</v>
      </c>
      <c r="L30" s="239" t="s">
        <v>829</v>
      </c>
      <c r="M30" s="10"/>
    </row>
    <row r="31" spans="1:13" ht="15.75" customHeight="1" x14ac:dyDescent="0.25">
      <c r="A31" s="1"/>
      <c r="B31" s="171" t="s">
        <v>833</v>
      </c>
      <c r="C31" s="190" t="s">
        <v>805</v>
      </c>
      <c r="D31" s="190">
        <v>4</v>
      </c>
      <c r="E31" s="190">
        <f>D31*0.9</f>
        <v>3.6</v>
      </c>
      <c r="F31" s="190">
        <f>E31*0.9</f>
        <v>3.24</v>
      </c>
      <c r="G31" s="190">
        <f>D31-D31*0.5</f>
        <v>2</v>
      </c>
      <c r="H31" s="190">
        <f>D31+D31*0.5</f>
        <v>6</v>
      </c>
      <c r="I31" s="190">
        <f>F31-F31*0.5</f>
        <v>1.62</v>
      </c>
      <c r="J31" s="190">
        <f>F31+F31*0.5</f>
        <v>4.8600000000000003</v>
      </c>
      <c r="K31" s="110" t="s">
        <v>834</v>
      </c>
      <c r="L31" s="239" t="s">
        <v>829</v>
      </c>
      <c r="M31" s="10"/>
    </row>
    <row r="32" spans="1:13" x14ac:dyDescent="0.25">
      <c r="A32" s="1"/>
      <c r="B32" s="171" t="s">
        <v>835</v>
      </c>
      <c r="C32" s="190" t="s">
        <v>805</v>
      </c>
      <c r="D32" s="190" t="s">
        <v>805</v>
      </c>
      <c r="E32" s="190" t="s">
        <v>805</v>
      </c>
      <c r="F32" s="190" t="s">
        <v>805</v>
      </c>
      <c r="G32" s="190" t="s">
        <v>805</v>
      </c>
      <c r="H32" s="190" t="s">
        <v>805</v>
      </c>
      <c r="I32" s="190" t="s">
        <v>805</v>
      </c>
      <c r="J32" s="190" t="s">
        <v>805</v>
      </c>
      <c r="K32" s="110"/>
      <c r="L32" s="239"/>
      <c r="M32" s="10"/>
    </row>
    <row r="33" spans="1:14" x14ac:dyDescent="0.25">
      <c r="A33" s="1"/>
      <c r="B33" s="171"/>
      <c r="C33" s="190"/>
      <c r="D33" s="190"/>
      <c r="E33" s="190"/>
      <c r="F33" s="190"/>
      <c r="G33" s="190"/>
      <c r="H33" s="190"/>
      <c r="I33" s="190"/>
      <c r="J33" s="190"/>
      <c r="K33" s="110"/>
      <c r="L33" s="239"/>
      <c r="M33" s="10"/>
    </row>
    <row r="34" spans="1:14" x14ac:dyDescent="0.25">
      <c r="A34" s="1"/>
      <c r="B34" s="187" t="s">
        <v>244</v>
      </c>
      <c r="C34" s="187"/>
      <c r="D34" s="187"/>
      <c r="E34" s="187"/>
      <c r="F34" s="187"/>
      <c r="G34" s="187"/>
      <c r="H34" s="187"/>
      <c r="I34" s="187"/>
      <c r="J34" s="187"/>
      <c r="K34" s="187"/>
      <c r="L34" s="187"/>
      <c r="M34" s="10"/>
    </row>
    <row r="35" spans="1:14" x14ac:dyDescent="0.25">
      <c r="A35" s="1"/>
      <c r="B35" s="171" t="s">
        <v>836</v>
      </c>
      <c r="C35" s="190" t="s">
        <v>805</v>
      </c>
      <c r="D35" s="190">
        <v>89</v>
      </c>
      <c r="E35" s="190">
        <v>90</v>
      </c>
      <c r="F35" s="190">
        <v>91</v>
      </c>
      <c r="G35" s="190" t="s">
        <v>805</v>
      </c>
      <c r="H35" s="190" t="s">
        <v>805</v>
      </c>
      <c r="I35" s="190" t="s">
        <v>805</v>
      </c>
      <c r="J35" s="190" t="s">
        <v>805</v>
      </c>
      <c r="K35" s="110" t="s">
        <v>837</v>
      </c>
      <c r="L35" s="239"/>
      <c r="M35" s="193"/>
    </row>
    <row r="36" spans="1:14" ht="48" hidden="1" x14ac:dyDescent="0.25">
      <c r="A36" s="1"/>
      <c r="B36" s="194">
        <f>500/7.48</f>
        <v>66.844919786096256</v>
      </c>
      <c r="C36" s="144" t="s">
        <v>153</v>
      </c>
      <c r="D36" s="141" t="e">
        <f>#REF!*100</f>
        <v>#REF!</v>
      </c>
      <c r="E36" s="141" t="e">
        <f>#REF!</f>
        <v>#REF!</v>
      </c>
      <c r="F36" s="141" t="e">
        <f>E36</f>
        <v>#REF!</v>
      </c>
      <c r="G36" s="141" t="e">
        <f>F36</f>
        <v>#REF!</v>
      </c>
      <c r="H36" s="145"/>
      <c r="I36" s="145"/>
      <c r="J36" s="112"/>
      <c r="K36" s="112"/>
      <c r="L36" s="118" t="s">
        <v>154</v>
      </c>
      <c r="M36" s="143" t="s">
        <v>155</v>
      </c>
      <c r="N36" s="195"/>
    </row>
    <row r="37" spans="1:14" hidden="1" x14ac:dyDescent="0.25">
      <c r="A37" s="1"/>
      <c r="C37" s="194"/>
      <c r="D37" s="194"/>
      <c r="E37" s="194"/>
      <c r="F37" s="194"/>
      <c r="G37" s="194"/>
      <c r="N37" s="10"/>
    </row>
    <row r="38" spans="1:14" hidden="1" x14ac:dyDescent="0.25">
      <c r="A38" s="1"/>
      <c r="C38" s="556"/>
      <c r="D38" s="196"/>
      <c r="E38" s="196"/>
      <c r="F38" s="196"/>
      <c r="G38" s="196"/>
      <c r="H38" s="92"/>
      <c r="I38" s="92"/>
      <c r="N38" s="10"/>
    </row>
    <row r="39" spans="1:14" ht="14.45" hidden="1" customHeight="1" x14ac:dyDescent="0.25">
      <c r="A39" s="606"/>
      <c r="B39" s="606"/>
      <c r="C39" s="606"/>
      <c r="D39" s="606"/>
      <c r="E39" s="606"/>
      <c r="F39" s="606"/>
      <c r="G39" s="606"/>
      <c r="H39" s="606"/>
      <c r="I39" s="606"/>
      <c r="J39" s="553"/>
      <c r="K39" s="146"/>
      <c r="L39" s="606"/>
      <c r="M39" s="606"/>
      <c r="N39" s="10"/>
    </row>
    <row r="40" spans="1:14" ht="14.45" hidden="1" customHeight="1" x14ac:dyDescent="0.25">
      <c r="A40" s="146"/>
      <c r="C40" s="606"/>
      <c r="D40" s="607"/>
      <c r="E40" s="607"/>
      <c r="F40" s="607"/>
      <c r="G40" s="607"/>
      <c r="H40" s="607"/>
      <c r="I40" s="607"/>
      <c r="J40" s="607"/>
      <c r="K40" s="607"/>
      <c r="L40" s="606"/>
      <c r="M40" s="606"/>
      <c r="N40" s="10"/>
    </row>
    <row r="41" spans="1:14" ht="14.45" hidden="1" customHeight="1" x14ac:dyDescent="0.25">
      <c r="A41" s="170"/>
      <c r="B41" s="606"/>
      <c r="C41" s="607"/>
      <c r="D41" s="607"/>
      <c r="E41" s="607"/>
      <c r="F41" s="607"/>
      <c r="G41" s="607"/>
      <c r="H41" s="607"/>
      <c r="I41" s="607"/>
      <c r="J41" s="607"/>
      <c r="K41" s="146"/>
      <c r="L41" s="606"/>
      <c r="M41" s="606"/>
      <c r="N41" s="10"/>
    </row>
    <row r="42" spans="1:14" ht="14.45" hidden="1" customHeight="1" x14ac:dyDescent="0.25">
      <c r="A42" s="146"/>
      <c r="C42" s="606"/>
      <c r="D42" s="607"/>
      <c r="E42" s="607"/>
      <c r="F42" s="607"/>
      <c r="G42" s="607"/>
      <c r="H42" s="607"/>
      <c r="I42" s="607"/>
      <c r="J42" s="607"/>
      <c r="K42" s="607"/>
      <c r="L42" s="606"/>
      <c r="M42" s="606"/>
      <c r="N42" s="10"/>
    </row>
    <row r="43" spans="1:14" ht="14.45" hidden="1" customHeight="1" x14ac:dyDescent="0.25">
      <c r="A43" s="146"/>
      <c r="B43" s="606"/>
      <c r="C43" s="607"/>
      <c r="D43" s="607"/>
      <c r="E43" s="607"/>
      <c r="F43" s="607"/>
      <c r="G43" s="607"/>
      <c r="H43" s="607"/>
      <c r="I43" s="607"/>
      <c r="J43" s="607"/>
      <c r="K43" s="146"/>
      <c r="L43" s="606"/>
      <c r="M43" s="606"/>
      <c r="N43" s="10"/>
    </row>
    <row r="44" spans="1:14" ht="3.95" hidden="1" customHeight="1" x14ac:dyDescent="0.25">
      <c r="B44" s="197"/>
      <c r="L44" s="606"/>
      <c r="M44" s="606"/>
      <c r="N44" s="10"/>
    </row>
    <row r="45" spans="1:14" x14ac:dyDescent="0.25">
      <c r="A45" s="146"/>
      <c r="B45" s="553"/>
      <c r="C45" s="553"/>
      <c r="D45" s="198"/>
      <c r="E45" s="553"/>
      <c r="F45" s="553"/>
      <c r="G45" s="553"/>
      <c r="H45" s="553"/>
      <c r="I45" s="553"/>
      <c r="J45" s="553"/>
      <c r="K45" s="146"/>
      <c r="L45" s="606"/>
      <c r="M45" s="606"/>
      <c r="N45" s="10"/>
    </row>
    <row r="46" spans="1:14" ht="14.45" customHeight="1" x14ac:dyDescent="0.25">
      <c r="A46" s="624" t="s">
        <v>6</v>
      </c>
      <c r="B46" s="624"/>
      <c r="C46" s="556"/>
      <c r="D46" s="556"/>
      <c r="E46" s="556"/>
      <c r="F46" s="556"/>
      <c r="G46" s="556"/>
      <c r="H46" s="556"/>
      <c r="I46" s="556"/>
      <c r="J46" s="556"/>
      <c r="K46" s="146"/>
      <c r="L46" s="606"/>
      <c r="M46" s="606"/>
      <c r="N46" s="10"/>
    </row>
    <row r="47" spans="1:14" x14ac:dyDescent="0.25">
      <c r="A47" s="149" t="s">
        <v>5</v>
      </c>
      <c r="B47" s="405" t="s">
        <v>929</v>
      </c>
      <c r="C47" s="410"/>
      <c r="D47" s="410"/>
      <c r="E47" s="410"/>
      <c r="F47" s="410"/>
      <c r="G47" s="410"/>
      <c r="H47" s="410"/>
      <c r="I47" s="410"/>
      <c r="J47" s="410"/>
      <c r="K47" s="402"/>
      <c r="L47" s="402"/>
      <c r="M47" s="402"/>
      <c r="N47" s="406"/>
    </row>
    <row r="48" spans="1:14" x14ac:dyDescent="0.25">
      <c r="A48" s="149" t="s">
        <v>4</v>
      </c>
      <c r="B48" s="405" t="s">
        <v>930</v>
      </c>
      <c r="C48" s="410"/>
      <c r="D48" s="410"/>
      <c r="E48" s="410"/>
      <c r="F48" s="410"/>
      <c r="G48" s="410"/>
      <c r="H48" s="410"/>
      <c r="I48" s="410"/>
      <c r="J48" s="410"/>
      <c r="K48" s="402"/>
      <c r="L48" s="402"/>
      <c r="M48" s="402"/>
      <c r="N48" s="407"/>
    </row>
    <row r="49" spans="1:14" ht="15" customHeight="1" x14ac:dyDescent="0.25">
      <c r="A49" s="149" t="s">
        <v>3</v>
      </c>
      <c r="B49" s="405" t="s">
        <v>931</v>
      </c>
      <c r="C49" s="404"/>
      <c r="D49" s="404"/>
      <c r="E49" s="404"/>
      <c r="F49" s="404"/>
      <c r="G49" s="404"/>
      <c r="H49" s="404"/>
      <c r="I49" s="404"/>
      <c r="J49" s="404"/>
      <c r="K49" s="404"/>
      <c r="L49" s="404"/>
      <c r="M49" s="404"/>
      <c r="N49" s="552"/>
    </row>
    <row r="50" spans="1:14" x14ac:dyDescent="0.25">
      <c r="A50" s="149" t="s">
        <v>2</v>
      </c>
      <c r="B50" s="405" t="s">
        <v>932</v>
      </c>
      <c r="D50" s="410"/>
      <c r="E50" s="410"/>
      <c r="F50" s="410"/>
      <c r="G50" s="410"/>
      <c r="H50" s="410"/>
      <c r="I50" s="410"/>
      <c r="J50" s="410"/>
      <c r="K50" s="410"/>
      <c r="L50" s="402"/>
      <c r="M50" s="402"/>
      <c r="N50" s="552"/>
    </row>
    <row r="51" spans="1:14" ht="15" customHeight="1" x14ac:dyDescent="0.25">
      <c r="A51" s="149" t="s">
        <v>1</v>
      </c>
      <c r="B51" s="405" t="s">
        <v>933</v>
      </c>
      <c r="C51" s="405"/>
      <c r="D51" s="405"/>
      <c r="E51" s="405"/>
      <c r="F51" s="405"/>
      <c r="G51" s="405"/>
      <c r="H51" s="405"/>
      <c r="I51" s="405"/>
      <c r="J51" s="405"/>
      <c r="K51" s="146"/>
      <c r="L51" s="91"/>
      <c r="M51" s="91"/>
      <c r="N51" s="552"/>
    </row>
    <row r="52" spans="1:14" ht="15" customHeight="1" x14ac:dyDescent="0.25">
      <c r="A52" s="149" t="s">
        <v>0</v>
      </c>
      <c r="B52" s="405" t="s">
        <v>934</v>
      </c>
      <c r="C52" s="405"/>
      <c r="D52" s="405"/>
      <c r="E52" s="405"/>
      <c r="F52" s="405"/>
      <c r="G52" s="405"/>
      <c r="H52" s="405"/>
      <c r="I52" s="405"/>
      <c r="J52" s="405"/>
      <c r="K52" s="405"/>
      <c r="L52" s="405"/>
      <c r="M52" s="405"/>
      <c r="N52" s="552"/>
    </row>
    <row r="53" spans="1:14" ht="15" customHeight="1" x14ac:dyDescent="0.25">
      <c r="A53" s="149" t="s">
        <v>40</v>
      </c>
      <c r="B53" s="91" t="s">
        <v>935</v>
      </c>
      <c r="C53" s="91"/>
      <c r="D53" s="91"/>
      <c r="E53" s="91"/>
      <c r="F53" s="91"/>
      <c r="G53" s="91"/>
      <c r="H53" s="91"/>
      <c r="I53" s="91"/>
      <c r="J53" s="91"/>
      <c r="K53" s="91"/>
      <c r="L53" s="91"/>
      <c r="M53" s="91"/>
      <c r="N53" s="552"/>
    </row>
    <row r="54" spans="1:14" ht="15" customHeight="1" x14ac:dyDescent="0.25">
      <c r="A54" s="149" t="s">
        <v>41</v>
      </c>
      <c r="B54" s="91" t="s">
        <v>936</v>
      </c>
      <c r="C54" s="91"/>
      <c r="D54" s="91"/>
      <c r="E54" s="91"/>
      <c r="F54" s="91"/>
      <c r="G54" s="91"/>
      <c r="H54" s="91"/>
      <c r="I54" s="91"/>
      <c r="J54" s="91"/>
      <c r="K54" s="91"/>
      <c r="L54" s="406"/>
      <c r="M54" s="406"/>
      <c r="N54" s="552"/>
    </row>
    <row r="55" spans="1:14" ht="15" customHeight="1" x14ac:dyDescent="0.25">
      <c r="A55" s="149" t="s">
        <v>127</v>
      </c>
      <c r="B55" s="91" t="s">
        <v>937</v>
      </c>
      <c r="C55" s="404"/>
      <c r="D55" s="404"/>
      <c r="E55" s="404"/>
      <c r="F55" s="404"/>
      <c r="G55" s="404"/>
      <c r="H55" s="404"/>
      <c r="I55" s="404"/>
      <c r="J55" s="404"/>
      <c r="K55" s="406"/>
      <c r="L55" s="406"/>
      <c r="M55" s="406"/>
      <c r="N55" s="552"/>
    </row>
    <row r="56" spans="1:14" ht="15" customHeight="1" x14ac:dyDescent="0.25">
      <c r="A56" s="149" t="s">
        <v>98</v>
      </c>
      <c r="B56" s="247" t="s">
        <v>938</v>
      </c>
      <c r="C56" s="247"/>
      <c r="D56" s="247"/>
      <c r="E56" s="247"/>
      <c r="F56" s="247"/>
      <c r="G56" s="247"/>
      <c r="H56" s="247"/>
      <c r="I56" s="247"/>
      <c r="J56" s="247"/>
      <c r="K56" s="247"/>
      <c r="L56" s="247"/>
      <c r="M56" s="247"/>
      <c r="N56" s="247"/>
    </row>
    <row r="57" spans="1:14" ht="15" customHeight="1" x14ac:dyDescent="0.25">
      <c r="A57" s="149" t="s">
        <v>110</v>
      </c>
      <c r="B57" s="247" t="s">
        <v>939</v>
      </c>
      <c r="C57" s="247"/>
      <c r="D57" s="247"/>
      <c r="E57" s="247"/>
      <c r="F57" s="247"/>
      <c r="G57" s="247"/>
      <c r="H57" s="247"/>
      <c r="I57" s="247"/>
      <c r="J57" s="247"/>
      <c r="K57" s="247"/>
      <c r="L57" s="247"/>
      <c r="M57" s="247"/>
      <c r="N57" s="247"/>
    </row>
    <row r="58" spans="1:14" x14ac:dyDescent="0.25">
      <c r="A58" s="149" t="s">
        <v>168</v>
      </c>
      <c r="B58" s="210" t="s">
        <v>940</v>
      </c>
      <c r="C58" s="408"/>
      <c r="D58" s="408"/>
      <c r="E58" s="408"/>
      <c r="F58" s="408"/>
      <c r="G58" s="408"/>
      <c r="H58" s="408"/>
      <c r="I58" s="408"/>
      <c r="J58" s="408"/>
      <c r="K58" s="408"/>
      <c r="L58" s="408"/>
      <c r="M58" s="408"/>
      <c r="N58" s="408"/>
    </row>
    <row r="59" spans="1:14" ht="15" customHeight="1" x14ac:dyDescent="0.25">
      <c r="A59" s="149" t="s">
        <v>692</v>
      </c>
      <c r="B59" s="247" t="s">
        <v>941</v>
      </c>
      <c r="C59" s="247"/>
      <c r="D59" s="247"/>
      <c r="E59" s="247"/>
      <c r="F59" s="247"/>
      <c r="G59" s="247"/>
      <c r="H59" s="247"/>
      <c r="I59" s="247"/>
      <c r="J59" s="247"/>
      <c r="K59" s="247"/>
      <c r="L59" s="247"/>
      <c r="M59" s="247"/>
      <c r="N59" s="247"/>
    </row>
    <row r="60" spans="1:14" x14ac:dyDescent="0.25">
      <c r="A60" s="149" t="s">
        <v>694</v>
      </c>
      <c r="B60" s="210" t="s">
        <v>942</v>
      </c>
      <c r="C60" s="408"/>
      <c r="D60" s="408"/>
      <c r="E60" s="408"/>
      <c r="F60" s="408"/>
      <c r="G60" s="408"/>
      <c r="H60" s="408"/>
      <c r="I60" s="408"/>
      <c r="J60" s="408"/>
      <c r="K60" s="408"/>
      <c r="L60" s="408"/>
      <c r="M60" s="408"/>
      <c r="N60" s="408"/>
    </row>
    <row r="61" spans="1:14" x14ac:dyDescent="0.25">
      <c r="A61" s="149"/>
      <c r="B61" s="210"/>
      <c r="C61" s="408"/>
      <c r="D61" s="408"/>
      <c r="E61" s="408"/>
      <c r="F61" s="408"/>
      <c r="G61" s="408"/>
      <c r="H61" s="408"/>
      <c r="I61" s="408"/>
      <c r="J61" s="408"/>
      <c r="K61" s="408"/>
      <c r="L61" s="408"/>
      <c r="M61" s="408"/>
      <c r="N61" s="408"/>
    </row>
    <row r="62" spans="1:14" x14ac:dyDescent="0.25">
      <c r="A62" s="147" t="s">
        <v>27</v>
      </c>
      <c r="B62" s="409"/>
      <c r="C62" s="409"/>
      <c r="D62" s="409"/>
      <c r="E62" s="409"/>
      <c r="F62" s="409"/>
      <c r="G62" s="409"/>
      <c r="H62" s="409"/>
      <c r="I62" s="409"/>
      <c r="J62" s="552"/>
      <c r="K62" s="552"/>
      <c r="L62" s="552"/>
      <c r="M62" s="552"/>
      <c r="N62" s="552"/>
    </row>
    <row r="63" spans="1:14" x14ac:dyDescent="0.25">
      <c r="A63" s="1">
        <v>1</v>
      </c>
      <c r="B63" s="247" t="s">
        <v>944</v>
      </c>
      <c r="D63" s="554"/>
      <c r="E63" s="554"/>
      <c r="F63" s="554"/>
      <c r="G63" s="554"/>
      <c r="H63" s="554"/>
      <c r="I63" s="554"/>
      <c r="J63" s="554"/>
      <c r="K63" s="554"/>
      <c r="L63" s="552"/>
      <c r="M63" s="552"/>
      <c r="N63" s="552"/>
    </row>
    <row r="64" spans="1:14" x14ac:dyDescent="0.25">
      <c r="A64" s="1">
        <v>2</v>
      </c>
      <c r="B64" s="247" t="s">
        <v>945</v>
      </c>
      <c r="D64" s="554"/>
      <c r="E64" s="554"/>
      <c r="F64" s="554"/>
      <c r="G64" s="554"/>
      <c r="H64" s="554"/>
      <c r="I64" s="554"/>
      <c r="J64" s="552"/>
      <c r="K64" s="552"/>
      <c r="L64" s="552"/>
      <c r="M64" s="552"/>
      <c r="N64" s="552"/>
    </row>
    <row r="65" spans="1:14" x14ac:dyDescent="0.25">
      <c r="A65" s="1">
        <v>3</v>
      </c>
      <c r="B65" s="247" t="s">
        <v>946</v>
      </c>
      <c r="D65" s="554"/>
      <c r="E65" s="554"/>
      <c r="F65" s="554"/>
      <c r="G65" s="554"/>
      <c r="H65" s="554"/>
      <c r="I65" s="554"/>
      <c r="J65" s="554"/>
      <c r="K65" s="554"/>
      <c r="L65" s="552"/>
      <c r="M65" s="552"/>
      <c r="N65" s="552"/>
    </row>
    <row r="66" spans="1:14" x14ac:dyDescent="0.25">
      <c r="A66" s="1">
        <v>6</v>
      </c>
      <c r="B66" s="247" t="s">
        <v>947</v>
      </c>
      <c r="D66" s="554"/>
      <c r="E66" s="554"/>
      <c r="F66" s="554"/>
      <c r="G66" s="554"/>
      <c r="H66" s="554"/>
      <c r="I66" s="554"/>
      <c r="J66" s="554"/>
      <c r="K66" s="554"/>
      <c r="L66" s="552"/>
      <c r="M66" s="552"/>
      <c r="N66" s="552"/>
    </row>
    <row r="67" spans="1:14" x14ac:dyDescent="0.25">
      <c r="B67" s="552"/>
      <c r="C67" s="552"/>
      <c r="D67" s="552"/>
      <c r="E67" s="552"/>
      <c r="F67" s="552"/>
      <c r="G67" s="552"/>
      <c r="H67" s="552"/>
      <c r="I67" s="552"/>
      <c r="J67" s="552"/>
      <c r="K67" s="552"/>
      <c r="L67" s="552"/>
      <c r="M67" s="552"/>
      <c r="N67" s="552"/>
    </row>
  </sheetData>
  <mergeCells count="17">
    <mergeCell ref="C40:K40"/>
    <mergeCell ref="L40:M40"/>
    <mergeCell ref="C3:L3"/>
    <mergeCell ref="G4:H4"/>
    <mergeCell ref="I4:J4"/>
    <mergeCell ref="A39:I39"/>
    <mergeCell ref="L39:M39"/>
    <mergeCell ref="L44:M44"/>
    <mergeCell ref="L45:M45"/>
    <mergeCell ref="A46:B46"/>
    <mergeCell ref="L46:M46"/>
    <mergeCell ref="B41:J41"/>
    <mergeCell ref="L41:M41"/>
    <mergeCell ref="C42:K42"/>
    <mergeCell ref="L42:M42"/>
    <mergeCell ref="B43:J43"/>
    <mergeCell ref="L43:M43"/>
  </mergeCells>
  <hyperlinks>
    <hyperlink ref="C3" location="INDEX" display="Biogas plant, additional straw input in the feedstock mix"/>
  </hyperlinks>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7"/>
  <sheetViews>
    <sheetView showGridLines="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9.5703125" customWidth="1"/>
    <col min="12" max="12" width="5.28515625" customWidth="1"/>
    <col min="13" max="13" width="12.85546875" customWidth="1"/>
    <col min="14" max="14" width="13.7109375" customWidth="1"/>
  </cols>
  <sheetData>
    <row r="2" spans="1:14" x14ac:dyDescent="0.25">
      <c r="A2" s="1"/>
      <c r="B2" s="10"/>
      <c r="C2" s="10"/>
      <c r="D2" s="10"/>
      <c r="E2" s="10"/>
      <c r="F2" s="10"/>
      <c r="G2" s="10"/>
      <c r="H2" s="10"/>
    </row>
    <row r="3" spans="1:14" x14ac:dyDescent="0.25">
      <c r="A3" s="1"/>
      <c r="B3" s="100" t="s">
        <v>20</v>
      </c>
      <c r="C3" s="619" t="s">
        <v>950</v>
      </c>
      <c r="D3" s="620"/>
      <c r="E3" s="620"/>
      <c r="F3" s="620"/>
      <c r="G3" s="620"/>
      <c r="H3" s="620"/>
      <c r="I3" s="620"/>
      <c r="J3" s="620"/>
      <c r="K3" s="620"/>
      <c r="L3" s="620"/>
    </row>
    <row r="4" spans="1:14" x14ac:dyDescent="0.25">
      <c r="A4" s="1"/>
      <c r="B4" s="171"/>
      <c r="C4" s="555">
        <v>2020</v>
      </c>
      <c r="D4" s="555">
        <v>2030</v>
      </c>
      <c r="E4" s="555">
        <v>2040</v>
      </c>
      <c r="F4" s="555">
        <v>2050</v>
      </c>
      <c r="G4" s="621" t="s">
        <v>25</v>
      </c>
      <c r="H4" s="621"/>
      <c r="I4" s="621" t="s">
        <v>24</v>
      </c>
      <c r="J4" s="621"/>
      <c r="K4" s="555" t="s">
        <v>19</v>
      </c>
      <c r="L4" s="555" t="s">
        <v>18</v>
      </c>
      <c r="M4" s="10"/>
    </row>
    <row r="5" spans="1:14" x14ac:dyDescent="0.25">
      <c r="A5" s="1"/>
      <c r="B5" s="100" t="s">
        <v>15</v>
      </c>
      <c r="C5" s="100"/>
      <c r="D5" s="100"/>
      <c r="E5" s="100"/>
      <c r="F5" s="100"/>
      <c r="G5" s="555" t="s">
        <v>17</v>
      </c>
      <c r="H5" s="555" t="s">
        <v>16</v>
      </c>
      <c r="I5" s="555" t="s">
        <v>17</v>
      </c>
      <c r="J5" s="555" t="s">
        <v>16</v>
      </c>
      <c r="K5" s="100"/>
      <c r="L5" s="239"/>
      <c r="M5" s="172"/>
    </row>
    <row r="6" spans="1:14" x14ac:dyDescent="0.25">
      <c r="A6" s="1"/>
      <c r="B6" s="171" t="s">
        <v>239</v>
      </c>
      <c r="C6" s="190" t="s">
        <v>838</v>
      </c>
      <c r="D6" s="190">
        <v>273</v>
      </c>
      <c r="E6" s="190">
        <v>300</v>
      </c>
      <c r="F6" s="190">
        <v>330</v>
      </c>
      <c r="G6" s="219">
        <v>136.5</v>
      </c>
      <c r="H6" s="219">
        <v>409.5</v>
      </c>
      <c r="I6" s="190">
        <v>165</v>
      </c>
      <c r="J6" s="190">
        <v>495</v>
      </c>
      <c r="K6" s="110" t="s">
        <v>806</v>
      </c>
      <c r="L6" s="239" t="s">
        <v>247</v>
      </c>
      <c r="M6" s="10"/>
    </row>
    <row r="7" spans="1:14" x14ac:dyDescent="0.25">
      <c r="A7" s="1"/>
      <c r="B7" s="171" t="s">
        <v>807</v>
      </c>
      <c r="C7" s="190" t="s">
        <v>805</v>
      </c>
      <c r="D7" s="190">
        <v>125</v>
      </c>
      <c r="E7" s="190">
        <v>140</v>
      </c>
      <c r="F7" s="190">
        <v>150</v>
      </c>
      <c r="G7" s="219">
        <v>62.5</v>
      </c>
      <c r="H7" s="219">
        <v>187.5</v>
      </c>
      <c r="I7" s="219">
        <v>75</v>
      </c>
      <c r="J7" s="219">
        <v>225</v>
      </c>
      <c r="K7" s="110" t="s">
        <v>808</v>
      </c>
      <c r="L7" s="239" t="s">
        <v>247</v>
      </c>
      <c r="M7" s="10"/>
    </row>
    <row r="8" spans="1:14" x14ac:dyDescent="0.25">
      <c r="A8" s="1"/>
      <c r="B8" s="171" t="s">
        <v>809</v>
      </c>
      <c r="C8" s="190" t="s">
        <v>805</v>
      </c>
      <c r="D8" s="190">
        <v>89000</v>
      </c>
      <c r="E8" s="190">
        <v>98000</v>
      </c>
      <c r="F8" s="190">
        <v>110000</v>
      </c>
      <c r="G8" s="190">
        <v>45000</v>
      </c>
      <c r="H8" s="190">
        <v>130000</v>
      </c>
      <c r="I8" s="190">
        <v>55000</v>
      </c>
      <c r="J8" s="190">
        <v>160000</v>
      </c>
      <c r="K8" s="110" t="s">
        <v>812</v>
      </c>
      <c r="L8" s="239" t="s">
        <v>247</v>
      </c>
      <c r="M8" s="10"/>
    </row>
    <row r="9" spans="1:14" x14ac:dyDescent="0.25">
      <c r="A9" s="1"/>
      <c r="B9" s="546"/>
      <c r="C9" s="547"/>
      <c r="D9" s="547"/>
      <c r="E9" s="547"/>
      <c r="F9" s="547"/>
      <c r="G9" s="547"/>
      <c r="H9" s="547"/>
      <c r="I9" s="547"/>
      <c r="J9" s="547"/>
      <c r="K9" s="547"/>
      <c r="L9" s="548"/>
      <c r="M9" s="173"/>
    </row>
    <row r="10" spans="1:14" x14ac:dyDescent="0.25">
      <c r="A10" s="1"/>
      <c r="B10" s="174" t="s">
        <v>813</v>
      </c>
      <c r="C10" s="565"/>
      <c r="D10" s="565"/>
      <c r="E10" s="565"/>
      <c r="F10" s="565"/>
      <c r="G10" s="565"/>
      <c r="H10" s="565"/>
      <c r="I10" s="565"/>
      <c r="J10" s="565"/>
      <c r="K10" s="547"/>
      <c r="L10" s="566"/>
      <c r="M10" s="10"/>
    </row>
    <row r="11" spans="1:14" x14ac:dyDescent="0.25">
      <c r="A11" s="1"/>
      <c r="B11" s="171" t="s">
        <v>814</v>
      </c>
      <c r="C11" s="190" t="s">
        <v>805</v>
      </c>
      <c r="D11" s="190">
        <v>84</v>
      </c>
      <c r="E11" s="190">
        <v>86</v>
      </c>
      <c r="F11" s="190">
        <v>88</v>
      </c>
      <c r="G11" s="190">
        <v>82</v>
      </c>
      <c r="H11" s="190">
        <v>86</v>
      </c>
      <c r="I11" s="190">
        <v>86</v>
      </c>
      <c r="J11" s="190">
        <v>90</v>
      </c>
      <c r="K11" s="110" t="s">
        <v>815</v>
      </c>
      <c r="L11" s="239" t="s">
        <v>247</v>
      </c>
      <c r="M11" s="10"/>
    </row>
    <row r="12" spans="1:14" x14ac:dyDescent="0.25">
      <c r="A12" s="1"/>
      <c r="B12" s="171" t="s">
        <v>816</v>
      </c>
      <c r="C12" s="190" t="s">
        <v>805</v>
      </c>
      <c r="D12" s="190">
        <v>16</v>
      </c>
      <c r="E12" s="190">
        <v>14</v>
      </c>
      <c r="F12" s="190">
        <v>12</v>
      </c>
      <c r="G12" s="190">
        <v>14</v>
      </c>
      <c r="H12" s="190">
        <v>18</v>
      </c>
      <c r="I12" s="190">
        <v>10</v>
      </c>
      <c r="J12" s="190">
        <v>14</v>
      </c>
      <c r="K12" s="110" t="s">
        <v>817</v>
      </c>
      <c r="L12" s="239" t="s">
        <v>247</v>
      </c>
      <c r="M12" s="10"/>
    </row>
    <row r="13" spans="1:14" x14ac:dyDescent="0.25">
      <c r="A13" s="1"/>
      <c r="B13" s="546"/>
      <c r="C13" s="547"/>
      <c r="D13" s="547"/>
      <c r="E13" s="547"/>
      <c r="F13" s="547"/>
      <c r="G13" s="547"/>
      <c r="H13" s="547"/>
      <c r="I13" s="547"/>
      <c r="J13" s="547"/>
      <c r="K13" s="567"/>
      <c r="L13" s="548"/>
      <c r="M13" s="181"/>
    </row>
    <row r="14" spans="1:14" x14ac:dyDescent="0.25">
      <c r="A14" s="1"/>
      <c r="B14" s="174" t="s">
        <v>94</v>
      </c>
      <c r="C14" s="565"/>
      <c r="D14" s="569">
        <f>SUM(D15:D19)</f>
        <v>100</v>
      </c>
      <c r="E14" s="569">
        <f t="shared" ref="E14:F14" si="0">SUM(E15:E19)</f>
        <v>100</v>
      </c>
      <c r="F14" s="569">
        <f t="shared" si="0"/>
        <v>100</v>
      </c>
      <c r="G14" s="569"/>
      <c r="H14" s="565"/>
      <c r="I14" s="565"/>
      <c r="J14" s="565"/>
      <c r="K14" s="567"/>
      <c r="L14" s="566"/>
      <c r="M14" s="10"/>
    </row>
    <row r="15" spans="1:14" x14ac:dyDescent="0.25">
      <c r="A15" s="1"/>
      <c r="B15" s="171" t="s">
        <v>818</v>
      </c>
      <c r="C15" s="190" t="s">
        <v>805</v>
      </c>
      <c r="D15" s="190">
        <v>45</v>
      </c>
      <c r="E15" s="190">
        <v>46</v>
      </c>
      <c r="F15" s="190">
        <v>47</v>
      </c>
      <c r="G15" s="190">
        <v>41</v>
      </c>
      <c r="H15" s="190">
        <v>49</v>
      </c>
      <c r="I15" s="190">
        <v>43</v>
      </c>
      <c r="J15" s="190">
        <v>51</v>
      </c>
      <c r="K15" s="110" t="s">
        <v>808</v>
      </c>
      <c r="L15" s="239" t="s">
        <v>247</v>
      </c>
      <c r="M15" s="186"/>
      <c r="N15" s="568"/>
    </row>
    <row r="16" spans="1:14" x14ac:dyDescent="0.25">
      <c r="A16" s="1"/>
      <c r="B16" s="171" t="s">
        <v>819</v>
      </c>
      <c r="C16" s="190" t="s">
        <v>805</v>
      </c>
      <c r="D16" s="190">
        <v>30</v>
      </c>
      <c r="E16" s="190">
        <v>31</v>
      </c>
      <c r="F16" s="190">
        <v>32</v>
      </c>
      <c r="G16" s="190">
        <v>27</v>
      </c>
      <c r="H16" s="190">
        <v>33</v>
      </c>
      <c r="I16" s="190">
        <v>29</v>
      </c>
      <c r="J16" s="190">
        <v>35</v>
      </c>
      <c r="K16" s="110" t="s">
        <v>820</v>
      </c>
      <c r="L16" s="239" t="s">
        <v>247</v>
      </c>
      <c r="M16" s="10"/>
    </row>
    <row r="17" spans="1:13" x14ac:dyDescent="0.25">
      <c r="A17" s="1"/>
      <c r="B17" s="171" t="s">
        <v>821</v>
      </c>
      <c r="C17" s="190" t="s">
        <v>805</v>
      </c>
      <c r="D17" s="190">
        <v>9</v>
      </c>
      <c r="E17" s="190">
        <v>8</v>
      </c>
      <c r="F17" s="190">
        <v>7</v>
      </c>
      <c r="G17" s="219">
        <f>D17-D17*0.5</f>
        <v>4.5</v>
      </c>
      <c r="H17" s="219">
        <f>D17+D17*0.5</f>
        <v>13.5</v>
      </c>
      <c r="I17" s="219">
        <f>F17-F17*0.5</f>
        <v>3.5</v>
      </c>
      <c r="J17" s="219">
        <f>F17+F17*0.5</f>
        <v>10.5</v>
      </c>
      <c r="K17" s="110" t="s">
        <v>943</v>
      </c>
      <c r="L17" s="239"/>
      <c r="M17" s="10"/>
    </row>
    <row r="18" spans="1:13" x14ac:dyDescent="0.25">
      <c r="A18" s="1"/>
      <c r="B18" s="171" t="s">
        <v>822</v>
      </c>
      <c r="C18" s="190" t="s">
        <v>805</v>
      </c>
      <c r="D18" s="190">
        <v>11</v>
      </c>
      <c r="E18" s="190">
        <v>10</v>
      </c>
      <c r="F18" s="190">
        <v>10</v>
      </c>
      <c r="G18" s="219">
        <f>D18-D18*0.5</f>
        <v>5.5</v>
      </c>
      <c r="H18" s="219">
        <f>D18+D18*0.5</f>
        <v>16.5</v>
      </c>
      <c r="I18" s="219">
        <f>F18-F18*0.5</f>
        <v>5</v>
      </c>
      <c r="J18" s="219">
        <f>F18+F18*0.5</f>
        <v>15</v>
      </c>
      <c r="K18" s="110" t="s">
        <v>817</v>
      </c>
      <c r="L18" s="239" t="s">
        <v>247</v>
      </c>
      <c r="M18" s="10"/>
    </row>
    <row r="19" spans="1:13" ht="14.45" customHeight="1" x14ac:dyDescent="0.25">
      <c r="A19" s="1"/>
      <c r="B19" s="171" t="s">
        <v>823</v>
      </c>
      <c r="C19" s="190" t="s">
        <v>805</v>
      </c>
      <c r="D19" s="190">
        <v>5</v>
      </c>
      <c r="E19" s="190">
        <v>5</v>
      </c>
      <c r="F19" s="190">
        <v>4</v>
      </c>
      <c r="G19" s="190">
        <v>4</v>
      </c>
      <c r="H19" s="190">
        <v>10</v>
      </c>
      <c r="I19" s="190">
        <v>2</v>
      </c>
      <c r="J19" s="190">
        <v>8</v>
      </c>
      <c r="K19" s="110" t="s">
        <v>817</v>
      </c>
      <c r="L19" s="239" t="s">
        <v>247</v>
      </c>
      <c r="M19" s="10"/>
    </row>
    <row r="20" spans="1:13" x14ac:dyDescent="0.25">
      <c r="A20" s="1"/>
      <c r="B20" s="171"/>
      <c r="C20" s="190"/>
      <c r="D20" s="190"/>
      <c r="E20" s="190"/>
      <c r="F20" s="190"/>
      <c r="G20" s="190"/>
      <c r="H20" s="190"/>
      <c r="I20" s="190"/>
      <c r="J20" s="190"/>
      <c r="K20" s="110"/>
      <c r="L20" s="239"/>
      <c r="M20" s="10"/>
    </row>
    <row r="21" spans="1:13" x14ac:dyDescent="0.25">
      <c r="A21" s="1"/>
      <c r="B21" s="171" t="s">
        <v>99</v>
      </c>
      <c r="C21" s="190" t="s">
        <v>805</v>
      </c>
      <c r="D21" s="190">
        <v>20</v>
      </c>
      <c r="E21" s="190">
        <v>10</v>
      </c>
      <c r="F21" s="190">
        <v>1</v>
      </c>
      <c r="G21" s="190">
        <v>10</v>
      </c>
      <c r="H21" s="190">
        <v>30</v>
      </c>
      <c r="I21" s="190">
        <v>0</v>
      </c>
      <c r="J21" s="190">
        <v>2</v>
      </c>
      <c r="K21" s="110" t="s">
        <v>5</v>
      </c>
      <c r="L21" s="239"/>
      <c r="M21" s="10"/>
    </row>
    <row r="22" spans="1:13" ht="14.25" customHeight="1" x14ac:dyDescent="0.25">
      <c r="A22" s="1"/>
      <c r="B22" s="171" t="s">
        <v>23</v>
      </c>
      <c r="C22" s="190" t="s">
        <v>805</v>
      </c>
      <c r="D22" s="190">
        <v>16</v>
      </c>
      <c r="E22" s="190">
        <v>4</v>
      </c>
      <c r="F22" s="190">
        <v>2</v>
      </c>
      <c r="G22" s="190">
        <v>10</v>
      </c>
      <c r="H22" s="190">
        <v>22</v>
      </c>
      <c r="I22" s="190">
        <v>2</v>
      </c>
      <c r="J22" s="190">
        <v>4</v>
      </c>
      <c r="K22" s="110" t="s">
        <v>824</v>
      </c>
      <c r="L22" s="239"/>
      <c r="M22" s="10"/>
    </row>
    <row r="23" spans="1:13" x14ac:dyDescent="0.25">
      <c r="A23" s="1"/>
      <c r="B23" s="171" t="s">
        <v>14</v>
      </c>
      <c r="C23" s="190" t="s">
        <v>805</v>
      </c>
      <c r="D23" s="190">
        <v>20</v>
      </c>
      <c r="E23" s="190">
        <v>25</v>
      </c>
      <c r="F23" s="190">
        <v>25</v>
      </c>
      <c r="G23" s="190">
        <v>15</v>
      </c>
      <c r="H23" s="190">
        <v>25</v>
      </c>
      <c r="I23" s="190">
        <v>20</v>
      </c>
      <c r="J23" s="190">
        <v>30</v>
      </c>
      <c r="K23" s="110" t="s">
        <v>817</v>
      </c>
      <c r="L23" s="239" t="s">
        <v>249</v>
      </c>
      <c r="M23" s="10"/>
    </row>
    <row r="24" spans="1:13" x14ac:dyDescent="0.25">
      <c r="A24" s="1"/>
      <c r="B24" s="171" t="s">
        <v>12</v>
      </c>
      <c r="C24" s="190" t="s">
        <v>805</v>
      </c>
      <c r="D24" s="190">
        <v>2</v>
      </c>
      <c r="E24" s="190">
        <v>2</v>
      </c>
      <c r="F24" s="190">
        <v>2</v>
      </c>
      <c r="G24" s="219">
        <v>1.5</v>
      </c>
      <c r="H24" s="219">
        <v>2.5</v>
      </c>
      <c r="I24" s="219">
        <v>1.5</v>
      </c>
      <c r="J24" s="219">
        <v>2.5</v>
      </c>
      <c r="K24" s="110" t="s">
        <v>826</v>
      </c>
      <c r="L24" s="239"/>
      <c r="M24" s="10"/>
    </row>
    <row r="25" spans="1:13" x14ac:dyDescent="0.25">
      <c r="A25" s="1"/>
      <c r="B25" s="171"/>
      <c r="C25" s="190"/>
      <c r="D25" s="190"/>
      <c r="E25" s="190"/>
      <c r="F25" s="190"/>
      <c r="G25" s="190"/>
      <c r="H25" s="190"/>
      <c r="I25" s="190"/>
      <c r="J25" s="190"/>
      <c r="K25" s="110"/>
      <c r="L25" s="239"/>
      <c r="M25" s="10"/>
    </row>
    <row r="26" spans="1:13" x14ac:dyDescent="0.25">
      <c r="A26" s="1"/>
      <c r="B26" s="187" t="s">
        <v>949</v>
      </c>
      <c r="C26" s="187"/>
      <c r="D26" s="187"/>
      <c r="E26" s="187"/>
      <c r="F26" s="187"/>
      <c r="G26" s="187"/>
      <c r="H26" s="187"/>
      <c r="I26" s="187"/>
      <c r="J26" s="187"/>
      <c r="K26" s="187"/>
      <c r="L26" s="187"/>
      <c r="M26" s="10"/>
    </row>
    <row r="27" spans="1:13" ht="24" x14ac:dyDescent="0.25">
      <c r="A27" s="1"/>
      <c r="B27" s="171" t="s">
        <v>827</v>
      </c>
      <c r="C27" s="190" t="s">
        <v>805</v>
      </c>
      <c r="D27" s="219">
        <v>0.83333333333333326</v>
      </c>
      <c r="E27" s="219">
        <v>0.76666666666666672</v>
      </c>
      <c r="F27" s="219">
        <v>0.66666666666666674</v>
      </c>
      <c r="G27" s="219">
        <v>0.4</v>
      </c>
      <c r="H27" s="219">
        <v>1.3</v>
      </c>
      <c r="I27" s="219">
        <v>0.3</v>
      </c>
      <c r="J27" s="219">
        <v>1</v>
      </c>
      <c r="K27" s="110" t="s">
        <v>839</v>
      </c>
      <c r="L27" s="239" t="s">
        <v>829</v>
      </c>
      <c r="M27" s="189"/>
    </row>
    <row r="28" spans="1:13" x14ac:dyDescent="0.25">
      <c r="A28" s="1"/>
      <c r="B28" s="171" t="s">
        <v>242</v>
      </c>
      <c r="C28" s="190" t="s">
        <v>805</v>
      </c>
      <c r="D28" s="190">
        <v>50</v>
      </c>
      <c r="E28" s="190">
        <v>50</v>
      </c>
      <c r="F28" s="190">
        <v>50</v>
      </c>
      <c r="G28" s="190">
        <v>45</v>
      </c>
      <c r="H28" s="190">
        <v>55</v>
      </c>
      <c r="I28" s="190">
        <v>45</v>
      </c>
      <c r="J28" s="190">
        <v>55</v>
      </c>
      <c r="K28" s="110" t="s">
        <v>817</v>
      </c>
      <c r="L28" s="239"/>
      <c r="M28" s="10"/>
    </row>
    <row r="29" spans="1:13" x14ac:dyDescent="0.25">
      <c r="A29" s="1"/>
      <c r="B29" s="171" t="s">
        <v>243</v>
      </c>
      <c r="C29" s="190" t="s">
        <v>805</v>
      </c>
      <c r="D29" s="190">
        <v>50</v>
      </c>
      <c r="E29" s="190">
        <v>50</v>
      </c>
      <c r="F29" s="190">
        <v>50</v>
      </c>
      <c r="G29" s="190">
        <v>45</v>
      </c>
      <c r="H29" s="190">
        <v>55</v>
      </c>
      <c r="I29" s="190">
        <v>45</v>
      </c>
      <c r="J29" s="190">
        <v>55</v>
      </c>
      <c r="K29" s="110" t="s">
        <v>817</v>
      </c>
      <c r="L29" s="239"/>
      <c r="M29" s="10"/>
    </row>
    <row r="30" spans="1:13" ht="14.25" customHeight="1" x14ac:dyDescent="0.25">
      <c r="A30" s="1"/>
      <c r="B30" s="171" t="s">
        <v>831</v>
      </c>
      <c r="C30" s="190" t="s">
        <v>805</v>
      </c>
      <c r="D30" s="190">
        <f>D27*0.03*1000000</f>
        <v>24999.999999999996</v>
      </c>
      <c r="E30" s="190">
        <f t="shared" ref="E30:F30" si="1">E27*0.03*1000000</f>
        <v>23000</v>
      </c>
      <c r="F30" s="190">
        <f t="shared" si="1"/>
        <v>20000</v>
      </c>
      <c r="G30" s="190">
        <v>13000</v>
      </c>
      <c r="H30" s="190">
        <v>38000</v>
      </c>
      <c r="I30" s="190">
        <v>10000</v>
      </c>
      <c r="J30" s="190">
        <v>31000</v>
      </c>
      <c r="K30" s="110" t="s">
        <v>832</v>
      </c>
      <c r="L30" s="239" t="s">
        <v>829</v>
      </c>
      <c r="M30" s="10"/>
    </row>
    <row r="31" spans="1:13" ht="15.75" customHeight="1" x14ac:dyDescent="0.25">
      <c r="A31" s="1"/>
      <c r="B31" s="171" t="s">
        <v>833</v>
      </c>
      <c r="C31" s="190" t="s">
        <v>805</v>
      </c>
      <c r="D31" s="190">
        <v>4</v>
      </c>
      <c r="E31" s="190">
        <f>D31*0.9</f>
        <v>3.6</v>
      </c>
      <c r="F31" s="190">
        <f>E31*0.9</f>
        <v>3.24</v>
      </c>
      <c r="G31" s="190">
        <f>D31-D31*0.5</f>
        <v>2</v>
      </c>
      <c r="H31" s="190">
        <f>D31+D31*0.5</f>
        <v>6</v>
      </c>
      <c r="I31" s="190">
        <f>F31-F31*0.5</f>
        <v>1.62</v>
      </c>
      <c r="J31" s="190">
        <f>F31+F31*0.5</f>
        <v>4.8600000000000003</v>
      </c>
      <c r="K31" s="110" t="s">
        <v>840</v>
      </c>
      <c r="L31" s="239" t="s">
        <v>829</v>
      </c>
      <c r="M31" s="10"/>
    </row>
    <row r="32" spans="1:13" x14ac:dyDescent="0.25">
      <c r="A32" s="1"/>
      <c r="B32" s="171" t="s">
        <v>835</v>
      </c>
      <c r="C32" s="190" t="s">
        <v>805</v>
      </c>
      <c r="D32" s="190" t="s">
        <v>805</v>
      </c>
      <c r="E32" s="190" t="s">
        <v>805</v>
      </c>
      <c r="F32" s="190" t="s">
        <v>805</v>
      </c>
      <c r="G32" s="190" t="s">
        <v>805</v>
      </c>
      <c r="H32" s="190" t="s">
        <v>805</v>
      </c>
      <c r="I32" s="190" t="s">
        <v>805</v>
      </c>
      <c r="J32" s="190" t="s">
        <v>805</v>
      </c>
      <c r="K32" s="110"/>
      <c r="L32" s="239"/>
      <c r="M32" s="10"/>
    </row>
    <row r="33" spans="1:14" x14ac:dyDescent="0.25">
      <c r="A33" s="1"/>
      <c r="B33" s="171"/>
      <c r="C33" s="190"/>
      <c r="D33" s="190"/>
      <c r="E33" s="190"/>
      <c r="F33" s="190"/>
      <c r="G33" s="190"/>
      <c r="H33" s="190"/>
      <c r="I33" s="190"/>
      <c r="J33" s="190"/>
      <c r="K33" s="110"/>
      <c r="L33" s="239"/>
      <c r="M33" s="10"/>
    </row>
    <row r="34" spans="1:14" x14ac:dyDescent="0.25">
      <c r="A34" s="1"/>
      <c r="B34" s="187" t="s">
        <v>244</v>
      </c>
      <c r="C34" s="187"/>
      <c r="D34" s="187"/>
      <c r="E34" s="187"/>
      <c r="F34" s="187"/>
      <c r="G34" s="187"/>
      <c r="H34" s="187"/>
      <c r="I34" s="187"/>
      <c r="J34" s="187"/>
      <c r="K34" s="187"/>
      <c r="L34" s="187"/>
      <c r="M34" s="10"/>
    </row>
    <row r="35" spans="1:14" x14ac:dyDescent="0.25">
      <c r="A35" s="1"/>
      <c r="B35" s="171" t="s">
        <v>836</v>
      </c>
      <c r="C35" s="190" t="s">
        <v>805</v>
      </c>
      <c r="D35" s="190">
        <v>89</v>
      </c>
      <c r="E35" s="190">
        <v>90</v>
      </c>
      <c r="F35" s="190">
        <v>91</v>
      </c>
      <c r="G35" s="190" t="s">
        <v>805</v>
      </c>
      <c r="H35" s="190" t="s">
        <v>805</v>
      </c>
      <c r="I35" s="190" t="s">
        <v>805</v>
      </c>
      <c r="J35" s="190" t="s">
        <v>805</v>
      </c>
      <c r="K35" s="110" t="s">
        <v>837</v>
      </c>
      <c r="L35" s="239"/>
      <c r="M35" s="193"/>
    </row>
    <row r="36" spans="1:14" ht="48" hidden="1" x14ac:dyDescent="0.25">
      <c r="A36" s="1"/>
      <c r="B36" s="194">
        <f>500/7.48</f>
        <v>66.844919786096256</v>
      </c>
      <c r="C36" s="144" t="s">
        <v>153</v>
      </c>
      <c r="D36" s="141" t="e">
        <f>#REF!*100</f>
        <v>#REF!</v>
      </c>
      <c r="E36" s="141" t="e">
        <f>#REF!</f>
        <v>#REF!</v>
      </c>
      <c r="F36" s="141" t="e">
        <f>E36</f>
        <v>#REF!</v>
      </c>
      <c r="G36" s="141" t="e">
        <f>F36</f>
        <v>#REF!</v>
      </c>
      <c r="H36" s="145"/>
      <c r="I36" s="145"/>
      <c r="J36" s="112"/>
      <c r="K36" s="112"/>
      <c r="L36" s="118" t="s">
        <v>154</v>
      </c>
      <c r="M36" s="143" t="s">
        <v>155</v>
      </c>
      <c r="N36" s="195"/>
    </row>
    <row r="37" spans="1:14" hidden="1" x14ac:dyDescent="0.25">
      <c r="A37" s="1"/>
      <c r="C37" s="194"/>
      <c r="D37" s="194"/>
      <c r="E37" s="194"/>
      <c r="F37" s="194"/>
      <c r="G37" s="194"/>
      <c r="N37" s="10"/>
    </row>
    <row r="38" spans="1:14" hidden="1" x14ac:dyDescent="0.25">
      <c r="A38" s="1"/>
      <c r="C38" s="556"/>
      <c r="D38" s="196"/>
      <c r="E38" s="196"/>
      <c r="F38" s="196"/>
      <c r="G38" s="196"/>
      <c r="H38" s="92"/>
      <c r="I38" s="92"/>
      <c r="N38" s="10"/>
    </row>
    <row r="39" spans="1:14" ht="14.45" hidden="1" customHeight="1" x14ac:dyDescent="0.25">
      <c r="A39" s="606"/>
      <c r="B39" s="606"/>
      <c r="C39" s="606"/>
      <c r="D39" s="606"/>
      <c r="E39" s="606"/>
      <c r="F39" s="606"/>
      <c r="G39" s="606"/>
      <c r="H39" s="606"/>
      <c r="I39" s="606"/>
      <c r="J39" s="553"/>
      <c r="K39" s="146"/>
      <c r="L39" s="606"/>
      <c r="M39" s="606"/>
      <c r="N39" s="10"/>
    </row>
    <row r="40" spans="1:14" ht="14.45" hidden="1" customHeight="1" x14ac:dyDescent="0.25">
      <c r="A40" s="146"/>
      <c r="C40" s="606"/>
      <c r="D40" s="607"/>
      <c r="E40" s="607"/>
      <c r="F40" s="607"/>
      <c r="G40" s="607"/>
      <c r="H40" s="607"/>
      <c r="I40" s="607"/>
      <c r="J40" s="607"/>
      <c r="K40" s="607"/>
      <c r="L40" s="606"/>
      <c r="M40" s="606"/>
      <c r="N40" s="10"/>
    </row>
    <row r="41" spans="1:14" ht="14.45" hidden="1" customHeight="1" x14ac:dyDescent="0.25">
      <c r="A41" s="170"/>
      <c r="B41" s="606"/>
      <c r="C41" s="607"/>
      <c r="D41" s="607"/>
      <c r="E41" s="607"/>
      <c r="F41" s="607"/>
      <c r="G41" s="607"/>
      <c r="H41" s="607"/>
      <c r="I41" s="607"/>
      <c r="J41" s="607"/>
      <c r="K41" s="146"/>
      <c r="L41" s="606"/>
      <c r="M41" s="606"/>
      <c r="N41" s="10"/>
    </row>
    <row r="42" spans="1:14" ht="14.45" hidden="1" customHeight="1" x14ac:dyDescent="0.25">
      <c r="A42" s="146"/>
      <c r="C42" s="606"/>
      <c r="D42" s="607"/>
      <c r="E42" s="607"/>
      <c r="F42" s="607"/>
      <c r="G42" s="607"/>
      <c r="H42" s="607"/>
      <c r="I42" s="607"/>
      <c r="J42" s="607"/>
      <c r="K42" s="607"/>
      <c r="L42" s="606"/>
      <c r="M42" s="606"/>
      <c r="N42" s="10"/>
    </row>
    <row r="43" spans="1:14" ht="14.45" hidden="1" customHeight="1" x14ac:dyDescent="0.25">
      <c r="A43" s="146"/>
      <c r="B43" s="606"/>
      <c r="C43" s="607"/>
      <c r="D43" s="607"/>
      <c r="E43" s="607"/>
      <c r="F43" s="607"/>
      <c r="G43" s="607"/>
      <c r="H43" s="607"/>
      <c r="I43" s="607"/>
      <c r="J43" s="607"/>
      <c r="K43" s="146"/>
      <c r="L43" s="606"/>
      <c r="M43" s="606"/>
      <c r="N43" s="10"/>
    </row>
    <row r="44" spans="1:14" ht="3.95" hidden="1" customHeight="1" x14ac:dyDescent="0.25">
      <c r="B44" s="197"/>
      <c r="L44" s="606"/>
      <c r="M44" s="606"/>
      <c r="N44" s="10"/>
    </row>
    <row r="45" spans="1:14" x14ac:dyDescent="0.25">
      <c r="A45" s="146"/>
      <c r="B45" s="553"/>
      <c r="C45" s="553"/>
      <c r="D45" s="198"/>
      <c r="E45" s="553"/>
      <c r="F45" s="553"/>
      <c r="G45" s="553"/>
      <c r="H45" s="553"/>
      <c r="I45" s="553"/>
      <c r="J45" s="553"/>
      <c r="K45" s="146"/>
      <c r="L45" s="606"/>
      <c r="M45" s="606"/>
      <c r="N45" s="10"/>
    </row>
    <row r="46" spans="1:14" ht="14.45" customHeight="1" x14ac:dyDescent="0.25">
      <c r="A46" s="624" t="s">
        <v>6</v>
      </c>
      <c r="B46" s="624"/>
      <c r="C46" s="556"/>
      <c r="D46" s="556"/>
      <c r="E46" s="556"/>
      <c r="F46" s="556"/>
      <c r="G46" s="556"/>
      <c r="H46" s="556"/>
      <c r="I46" s="556"/>
      <c r="J46" s="556"/>
      <c r="K46" s="146"/>
      <c r="L46" s="606"/>
      <c r="M46" s="606"/>
      <c r="N46" s="10"/>
    </row>
    <row r="47" spans="1:14" x14ac:dyDescent="0.25">
      <c r="A47" s="149" t="s">
        <v>5</v>
      </c>
      <c r="B47" s="405" t="s">
        <v>929</v>
      </c>
      <c r="C47" s="410"/>
      <c r="D47" s="410"/>
      <c r="E47" s="410"/>
      <c r="F47" s="410"/>
      <c r="G47" s="410"/>
      <c r="H47" s="410"/>
      <c r="I47" s="410"/>
      <c r="J47" s="410"/>
      <c r="K47" s="402"/>
      <c r="L47" s="402"/>
      <c r="M47" s="402"/>
      <c r="N47" s="406"/>
    </row>
    <row r="48" spans="1:14" x14ac:dyDescent="0.25">
      <c r="A48" s="149" t="s">
        <v>4</v>
      </c>
      <c r="B48" s="405" t="s">
        <v>930</v>
      </c>
      <c r="C48" s="410"/>
      <c r="D48" s="410"/>
      <c r="E48" s="410"/>
      <c r="F48" s="410"/>
      <c r="G48" s="410"/>
      <c r="H48" s="410"/>
      <c r="I48" s="410"/>
      <c r="J48" s="410"/>
      <c r="K48" s="402"/>
      <c r="L48" s="402"/>
      <c r="M48" s="402"/>
      <c r="N48" s="407"/>
    </row>
    <row r="49" spans="1:14" ht="15" customHeight="1" x14ac:dyDescent="0.25">
      <c r="A49" s="149" t="s">
        <v>3</v>
      </c>
      <c r="B49" s="405" t="s">
        <v>931</v>
      </c>
      <c r="C49" s="404"/>
      <c r="D49" s="404"/>
      <c r="E49" s="404"/>
      <c r="F49" s="404"/>
      <c r="G49" s="404"/>
      <c r="H49" s="404"/>
      <c r="I49" s="404"/>
      <c r="J49" s="404"/>
      <c r="K49" s="404"/>
      <c r="L49" s="404"/>
      <c r="M49" s="404"/>
      <c r="N49" s="552"/>
    </row>
    <row r="50" spans="1:14" x14ac:dyDescent="0.25">
      <c r="A50" s="149" t="s">
        <v>2</v>
      </c>
      <c r="B50" s="405" t="s">
        <v>932</v>
      </c>
      <c r="D50" s="410"/>
      <c r="E50" s="410"/>
      <c r="F50" s="410"/>
      <c r="G50" s="410"/>
      <c r="H50" s="410"/>
      <c r="I50" s="410"/>
      <c r="J50" s="410"/>
      <c r="K50" s="410"/>
      <c r="L50" s="402"/>
      <c r="M50" s="402"/>
      <c r="N50" s="552"/>
    </row>
    <row r="51" spans="1:14" ht="15" customHeight="1" x14ac:dyDescent="0.25">
      <c r="A51" s="149" t="s">
        <v>1</v>
      </c>
      <c r="B51" s="405" t="s">
        <v>933</v>
      </c>
      <c r="C51" s="405"/>
      <c r="D51" s="405"/>
      <c r="E51" s="405"/>
      <c r="F51" s="405"/>
      <c r="G51" s="405"/>
      <c r="H51" s="405"/>
      <c r="I51" s="405"/>
      <c r="J51" s="405"/>
      <c r="K51" s="146"/>
      <c r="L51" s="91"/>
      <c r="M51" s="91"/>
      <c r="N51" s="552"/>
    </row>
    <row r="52" spans="1:14" ht="15" customHeight="1" x14ac:dyDescent="0.25">
      <c r="A52" s="149" t="s">
        <v>0</v>
      </c>
      <c r="B52" s="405" t="s">
        <v>934</v>
      </c>
      <c r="C52" s="405"/>
      <c r="D52" s="405"/>
      <c r="E52" s="405"/>
      <c r="F52" s="405"/>
      <c r="G52" s="405"/>
      <c r="H52" s="405"/>
      <c r="I52" s="405"/>
      <c r="J52" s="405"/>
      <c r="K52" s="405"/>
      <c r="L52" s="405"/>
      <c r="M52" s="405"/>
      <c r="N52" s="552"/>
    </row>
    <row r="53" spans="1:14" ht="15" customHeight="1" x14ac:dyDescent="0.25">
      <c r="A53" s="149" t="s">
        <v>40</v>
      </c>
      <c r="B53" s="91" t="s">
        <v>935</v>
      </c>
      <c r="C53" s="91"/>
      <c r="D53" s="91"/>
      <c r="E53" s="91"/>
      <c r="F53" s="91"/>
      <c r="G53" s="91"/>
      <c r="H53" s="91"/>
      <c r="I53" s="91"/>
      <c r="J53" s="91"/>
      <c r="K53" s="91"/>
      <c r="L53" s="91"/>
      <c r="M53" s="91"/>
      <c r="N53" s="552"/>
    </row>
    <row r="54" spans="1:14" ht="15" customHeight="1" x14ac:dyDescent="0.25">
      <c r="A54" s="149" t="s">
        <v>41</v>
      </c>
      <c r="B54" s="91" t="s">
        <v>936</v>
      </c>
      <c r="C54" s="91"/>
      <c r="D54" s="91"/>
      <c r="E54" s="91"/>
      <c r="F54" s="91"/>
      <c r="G54" s="91"/>
      <c r="H54" s="91"/>
      <c r="I54" s="91"/>
      <c r="J54" s="91"/>
      <c r="K54" s="91"/>
      <c r="L54" s="406"/>
      <c r="M54" s="406"/>
      <c r="N54" s="552"/>
    </row>
    <row r="55" spans="1:14" ht="15" customHeight="1" x14ac:dyDescent="0.25">
      <c r="A55" s="149" t="s">
        <v>127</v>
      </c>
      <c r="B55" s="91" t="s">
        <v>937</v>
      </c>
      <c r="C55" s="404"/>
      <c r="D55" s="404"/>
      <c r="E55" s="404"/>
      <c r="F55" s="404"/>
      <c r="G55" s="404"/>
      <c r="H55" s="404"/>
      <c r="I55" s="404"/>
      <c r="J55" s="404"/>
      <c r="K55" s="406"/>
      <c r="L55" s="406"/>
      <c r="M55" s="406"/>
      <c r="N55" s="552"/>
    </row>
    <row r="56" spans="1:14" ht="15" customHeight="1" x14ac:dyDescent="0.25">
      <c r="A56" s="149" t="s">
        <v>98</v>
      </c>
      <c r="B56" s="247" t="s">
        <v>938</v>
      </c>
      <c r="C56" s="247"/>
      <c r="D56" s="247"/>
      <c r="E56" s="247"/>
      <c r="F56" s="247"/>
      <c r="G56" s="247"/>
      <c r="H56" s="247"/>
      <c r="I56" s="247"/>
      <c r="J56" s="247"/>
      <c r="K56" s="247"/>
      <c r="L56" s="247"/>
      <c r="M56" s="247"/>
      <c r="N56" s="247"/>
    </row>
    <row r="57" spans="1:14" ht="15" customHeight="1" x14ac:dyDescent="0.25">
      <c r="A57" s="149" t="s">
        <v>110</v>
      </c>
      <c r="B57" s="247" t="s">
        <v>939</v>
      </c>
      <c r="C57" s="247"/>
      <c r="D57" s="247"/>
      <c r="E57" s="247"/>
      <c r="F57" s="247"/>
      <c r="G57" s="247"/>
      <c r="H57" s="247"/>
      <c r="I57" s="247"/>
      <c r="J57" s="247"/>
      <c r="K57" s="247"/>
      <c r="L57" s="247"/>
      <c r="M57" s="247"/>
      <c r="N57" s="247"/>
    </row>
    <row r="58" spans="1:14" x14ac:dyDescent="0.25">
      <c r="A58" s="149" t="s">
        <v>168</v>
      </c>
      <c r="B58" s="210" t="s">
        <v>940</v>
      </c>
      <c r="C58" s="408"/>
      <c r="D58" s="408"/>
      <c r="E58" s="408"/>
      <c r="F58" s="408"/>
      <c r="G58" s="408"/>
      <c r="H58" s="408"/>
      <c r="I58" s="408"/>
      <c r="J58" s="408"/>
      <c r="K58" s="408"/>
      <c r="L58" s="408"/>
      <c r="M58" s="408"/>
      <c r="N58" s="408"/>
    </row>
    <row r="59" spans="1:14" ht="15" customHeight="1" x14ac:dyDescent="0.25">
      <c r="A59" s="149" t="s">
        <v>692</v>
      </c>
      <c r="B59" s="247" t="s">
        <v>941</v>
      </c>
      <c r="C59" s="247"/>
      <c r="D59" s="247"/>
      <c r="E59" s="247"/>
      <c r="F59" s="247"/>
      <c r="G59" s="247"/>
      <c r="H59" s="247"/>
      <c r="I59" s="247"/>
      <c r="J59" s="247"/>
      <c r="K59" s="247"/>
      <c r="L59" s="247"/>
      <c r="M59" s="247"/>
      <c r="N59" s="247"/>
    </row>
    <row r="60" spans="1:14" x14ac:dyDescent="0.25">
      <c r="A60" s="149" t="s">
        <v>694</v>
      </c>
      <c r="B60" s="210" t="s">
        <v>942</v>
      </c>
      <c r="C60" s="408"/>
      <c r="D60" s="408"/>
      <c r="E60" s="408"/>
      <c r="F60" s="408"/>
      <c r="G60" s="408"/>
      <c r="H60" s="408"/>
      <c r="I60" s="408"/>
      <c r="J60" s="408"/>
      <c r="K60" s="408"/>
      <c r="L60" s="408"/>
      <c r="M60" s="408"/>
      <c r="N60" s="408"/>
    </row>
    <row r="61" spans="1:14" x14ac:dyDescent="0.25">
      <c r="A61" s="149"/>
      <c r="B61" s="210"/>
      <c r="C61" s="408"/>
      <c r="D61" s="408"/>
      <c r="E61" s="408"/>
      <c r="F61" s="408"/>
      <c r="G61" s="408"/>
      <c r="H61" s="408"/>
      <c r="I61" s="408"/>
      <c r="J61" s="408"/>
      <c r="K61" s="408"/>
      <c r="L61" s="408"/>
      <c r="M61" s="408"/>
      <c r="N61" s="408"/>
    </row>
    <row r="62" spans="1:14" x14ac:dyDescent="0.25">
      <c r="A62" s="147" t="s">
        <v>27</v>
      </c>
      <c r="B62" s="409"/>
      <c r="C62" s="409"/>
      <c r="D62" s="409"/>
      <c r="E62" s="409"/>
      <c r="F62" s="409"/>
      <c r="G62" s="409"/>
      <c r="H62" s="409"/>
      <c r="I62" s="409"/>
      <c r="J62" s="552"/>
      <c r="K62" s="552"/>
      <c r="L62" s="552"/>
      <c r="M62" s="552"/>
      <c r="N62" s="552"/>
    </row>
    <row r="63" spans="1:14" x14ac:dyDescent="0.25">
      <c r="A63" s="1">
        <v>1</v>
      </c>
      <c r="B63" s="247" t="s">
        <v>944</v>
      </c>
      <c r="D63" s="554"/>
      <c r="E63" s="554"/>
      <c r="F63" s="554"/>
      <c r="G63" s="554"/>
      <c r="H63" s="554"/>
      <c r="I63" s="554"/>
      <c r="J63" s="554"/>
      <c r="K63" s="554"/>
      <c r="L63" s="552"/>
      <c r="M63" s="552"/>
      <c r="N63" s="552"/>
    </row>
    <row r="64" spans="1:14" x14ac:dyDescent="0.25">
      <c r="A64" s="1">
        <v>2</v>
      </c>
      <c r="B64" s="247" t="s">
        <v>945</v>
      </c>
      <c r="D64" s="554"/>
      <c r="E64" s="554"/>
      <c r="F64" s="554"/>
      <c r="G64" s="554"/>
      <c r="H64" s="554"/>
      <c r="I64" s="554"/>
      <c r="J64" s="552"/>
      <c r="K64" s="552"/>
      <c r="L64" s="552"/>
      <c r="M64" s="552"/>
      <c r="N64" s="552"/>
    </row>
    <row r="65" spans="1:14" x14ac:dyDescent="0.25">
      <c r="A65" s="1">
        <v>3</v>
      </c>
      <c r="B65" s="247" t="s">
        <v>946</v>
      </c>
      <c r="D65" s="554"/>
      <c r="E65" s="554"/>
      <c r="F65" s="554"/>
      <c r="G65" s="554"/>
      <c r="H65" s="554"/>
      <c r="I65" s="554"/>
      <c r="J65" s="554"/>
      <c r="K65" s="554"/>
      <c r="L65" s="552"/>
      <c r="M65" s="552"/>
      <c r="N65" s="552"/>
    </row>
    <row r="66" spans="1:14" x14ac:dyDescent="0.25">
      <c r="A66" s="1">
        <v>6</v>
      </c>
      <c r="B66" s="247" t="s">
        <v>947</v>
      </c>
      <c r="D66" s="554"/>
      <c r="E66" s="554"/>
      <c r="F66" s="554"/>
      <c r="G66" s="554"/>
      <c r="H66" s="554"/>
      <c r="I66" s="554"/>
      <c r="J66" s="554"/>
      <c r="K66" s="554"/>
      <c r="L66" s="552"/>
      <c r="M66" s="552"/>
      <c r="N66" s="552"/>
    </row>
    <row r="67" spans="1:14" x14ac:dyDescent="0.25">
      <c r="B67" s="552"/>
      <c r="C67" s="552"/>
      <c r="D67" s="552"/>
      <c r="E67" s="552"/>
      <c r="F67" s="552"/>
      <c r="G67" s="552"/>
      <c r="H67" s="552"/>
      <c r="I67" s="552"/>
      <c r="J67" s="552"/>
      <c r="K67" s="552"/>
      <c r="L67" s="552"/>
      <c r="M67" s="552"/>
      <c r="N67" s="552"/>
    </row>
  </sheetData>
  <mergeCells count="17">
    <mergeCell ref="C40:K40"/>
    <mergeCell ref="L40:M40"/>
    <mergeCell ref="C3:L3"/>
    <mergeCell ref="G4:H4"/>
    <mergeCell ref="I4:J4"/>
    <mergeCell ref="A39:I39"/>
    <mergeCell ref="L39:M39"/>
    <mergeCell ref="L44:M44"/>
    <mergeCell ref="L45:M45"/>
    <mergeCell ref="A46:B46"/>
    <mergeCell ref="L46:M46"/>
    <mergeCell ref="B41:J41"/>
    <mergeCell ref="L41:M41"/>
    <mergeCell ref="C42:K42"/>
    <mergeCell ref="L42:M42"/>
    <mergeCell ref="B43:J43"/>
    <mergeCell ref="L43:M43"/>
  </mergeCells>
  <hyperlinks>
    <hyperlink ref="C3" location="INDEX" display="Biogas plant, additional straw input in the feedstock mix"/>
  </hyperlinks>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66"/>
  <sheetViews>
    <sheetView zoomScaleNormal="100" workbookViewId="0"/>
  </sheetViews>
  <sheetFormatPr defaultRowHeight="11.25" x14ac:dyDescent="0.15"/>
  <cols>
    <col min="1" max="1" width="3.5703125" style="571" customWidth="1"/>
    <col min="2" max="2" width="64.5703125" style="571" customWidth="1"/>
    <col min="3" max="16384" width="9.140625" style="571"/>
  </cols>
  <sheetData>
    <row r="3" spans="2:13" ht="12" x14ac:dyDescent="0.2">
      <c r="B3" s="570" t="s">
        <v>20</v>
      </c>
      <c r="C3" s="687" t="s">
        <v>954</v>
      </c>
      <c r="D3" s="688"/>
      <c r="E3" s="688"/>
      <c r="F3" s="688"/>
      <c r="G3" s="688"/>
      <c r="H3" s="688"/>
      <c r="I3" s="688"/>
      <c r="J3" s="688"/>
      <c r="K3" s="688"/>
      <c r="L3" s="688"/>
      <c r="M3" s="689"/>
    </row>
    <row r="4" spans="2:13" ht="12" x14ac:dyDescent="0.2">
      <c r="B4" s="570"/>
      <c r="C4" s="570">
        <v>2020</v>
      </c>
      <c r="D4" s="570">
        <v>2025</v>
      </c>
      <c r="E4" s="570">
        <v>2030</v>
      </c>
      <c r="F4" s="570">
        <v>2040</v>
      </c>
      <c r="G4" s="570">
        <v>2050</v>
      </c>
      <c r="H4" s="690" t="s">
        <v>955</v>
      </c>
      <c r="I4" s="691"/>
      <c r="J4" s="690" t="s">
        <v>24</v>
      </c>
      <c r="K4" s="691"/>
      <c r="L4" s="572" t="s">
        <v>19</v>
      </c>
      <c r="M4" s="572" t="s">
        <v>18</v>
      </c>
    </row>
    <row r="5" spans="2:13" ht="12" x14ac:dyDescent="0.2">
      <c r="B5" s="573"/>
      <c r="C5" s="573"/>
      <c r="D5" s="573"/>
      <c r="E5" s="573"/>
      <c r="F5" s="573"/>
      <c r="G5" s="573"/>
      <c r="H5" s="574" t="s">
        <v>17</v>
      </c>
      <c r="I5" s="574" t="s">
        <v>16</v>
      </c>
      <c r="J5" s="574" t="s">
        <v>17</v>
      </c>
      <c r="K5" s="574" t="s">
        <v>16</v>
      </c>
      <c r="L5" s="574"/>
      <c r="M5" s="574"/>
    </row>
    <row r="6" spans="2:13" ht="12" x14ac:dyDescent="0.2">
      <c r="B6" s="575" t="s">
        <v>15</v>
      </c>
      <c r="C6" s="576"/>
      <c r="D6" s="576"/>
      <c r="E6" s="576"/>
      <c r="F6" s="576"/>
      <c r="G6" s="576"/>
      <c r="H6" s="576"/>
      <c r="I6" s="576"/>
      <c r="J6" s="576"/>
      <c r="K6" s="576"/>
      <c r="L6" s="577"/>
      <c r="M6" s="578"/>
    </row>
    <row r="7" spans="2:13" ht="12" x14ac:dyDescent="0.2">
      <c r="B7" s="579" t="s">
        <v>956</v>
      </c>
      <c r="C7" s="579"/>
      <c r="D7" s="579">
        <v>16.600000000000001</v>
      </c>
      <c r="E7" s="579">
        <v>20.9</v>
      </c>
      <c r="F7" s="579">
        <v>29.4</v>
      </c>
      <c r="G7" s="579">
        <v>37.9</v>
      </c>
      <c r="H7" s="580">
        <v>0.5</v>
      </c>
      <c r="I7" s="580">
        <v>1.5</v>
      </c>
      <c r="J7" s="580">
        <v>0.5</v>
      </c>
      <c r="K7" s="580">
        <v>1.75</v>
      </c>
      <c r="L7" s="581" t="s">
        <v>299</v>
      </c>
      <c r="M7" s="581"/>
    </row>
    <row r="8" spans="2:13" ht="12" x14ac:dyDescent="0.2">
      <c r="B8" s="582" t="s">
        <v>957</v>
      </c>
      <c r="C8" s="582"/>
      <c r="D8" s="582">
        <v>20</v>
      </c>
      <c r="E8" s="582">
        <v>25</v>
      </c>
      <c r="F8" s="582">
        <v>35</v>
      </c>
      <c r="G8" s="582">
        <v>45</v>
      </c>
      <c r="H8" s="580">
        <v>0.5</v>
      </c>
      <c r="I8" s="580">
        <v>1.5</v>
      </c>
      <c r="J8" s="580">
        <v>0.5</v>
      </c>
      <c r="K8" s="580">
        <v>1.75</v>
      </c>
      <c r="L8" s="583" t="s">
        <v>305</v>
      </c>
      <c r="M8" s="583"/>
    </row>
    <row r="9" spans="2:13" ht="12" x14ac:dyDescent="0.2">
      <c r="B9" s="575" t="s">
        <v>255</v>
      </c>
      <c r="C9" s="576"/>
      <c r="D9" s="576"/>
      <c r="E9" s="576"/>
      <c r="F9" s="576"/>
      <c r="G9" s="576"/>
      <c r="H9" s="576"/>
      <c r="I9" s="576"/>
      <c r="J9" s="576"/>
      <c r="K9" s="576"/>
      <c r="L9" s="577"/>
      <c r="M9" s="578"/>
    </row>
    <row r="10" spans="2:13" ht="12" x14ac:dyDescent="0.2">
      <c r="B10" s="584" t="s">
        <v>364</v>
      </c>
      <c r="C10" s="584"/>
      <c r="D10" s="582">
        <v>0.99</v>
      </c>
      <c r="E10" s="582">
        <v>0.99</v>
      </c>
      <c r="F10" s="582">
        <v>0.99</v>
      </c>
      <c r="G10" s="582">
        <v>0.99</v>
      </c>
      <c r="H10" s="580">
        <v>0.75</v>
      </c>
      <c r="I10" s="580">
        <v>1.25</v>
      </c>
      <c r="J10" s="580">
        <v>0.5</v>
      </c>
      <c r="K10" s="580">
        <v>1.75</v>
      </c>
      <c r="L10" s="585"/>
      <c r="M10" s="585"/>
    </row>
    <row r="11" spans="2:13" ht="12" x14ac:dyDescent="0.2">
      <c r="B11" s="586" t="s">
        <v>260</v>
      </c>
      <c r="C11" s="584"/>
      <c r="D11" s="584">
        <v>0.04</v>
      </c>
      <c r="E11" s="584">
        <v>0.04</v>
      </c>
      <c r="F11" s="584">
        <v>0.04</v>
      </c>
      <c r="G11" s="584">
        <v>0.04</v>
      </c>
      <c r="H11" s="580">
        <v>0.75</v>
      </c>
      <c r="I11" s="580">
        <v>1.25</v>
      </c>
      <c r="J11" s="580">
        <v>0.5</v>
      </c>
      <c r="K11" s="580">
        <v>1.75</v>
      </c>
      <c r="L11" s="585" t="s">
        <v>1</v>
      </c>
      <c r="M11" s="585"/>
    </row>
    <row r="12" spans="2:13" ht="12" x14ac:dyDescent="0.2">
      <c r="B12" s="575" t="s">
        <v>241</v>
      </c>
      <c r="C12" s="576"/>
      <c r="D12" s="576"/>
      <c r="E12" s="576"/>
      <c r="F12" s="576"/>
      <c r="G12" s="576"/>
      <c r="H12" s="587"/>
      <c r="I12" s="587"/>
      <c r="J12" s="587"/>
      <c r="K12" s="587"/>
      <c r="L12" s="577"/>
      <c r="M12" s="578"/>
    </row>
    <row r="13" spans="2:13" ht="12" x14ac:dyDescent="0.2">
      <c r="B13" s="579" t="s">
        <v>958</v>
      </c>
      <c r="C13" s="579"/>
      <c r="D13" s="588">
        <v>0.4</v>
      </c>
      <c r="E13" s="588">
        <v>0.4</v>
      </c>
      <c r="F13" s="588">
        <v>0.4</v>
      </c>
      <c r="G13" s="588">
        <v>0.4</v>
      </c>
      <c r="H13" s="580">
        <v>0.5</v>
      </c>
      <c r="I13" s="580">
        <v>1.5</v>
      </c>
      <c r="J13" s="580">
        <v>0.5</v>
      </c>
      <c r="K13" s="580">
        <v>1.75</v>
      </c>
      <c r="L13" s="581" t="s">
        <v>0</v>
      </c>
      <c r="M13" s="581"/>
    </row>
    <row r="14" spans="2:13" ht="12" x14ac:dyDescent="0.2">
      <c r="B14" s="579" t="s">
        <v>959</v>
      </c>
      <c r="C14" s="582"/>
      <c r="D14" s="582">
        <v>0.22</v>
      </c>
      <c r="E14" s="582">
        <v>0.22</v>
      </c>
      <c r="F14" s="582">
        <v>0.22</v>
      </c>
      <c r="G14" s="582">
        <v>0.22</v>
      </c>
      <c r="H14" s="580">
        <v>0.5</v>
      </c>
      <c r="I14" s="580">
        <v>1.5</v>
      </c>
      <c r="J14" s="580">
        <v>0.5</v>
      </c>
      <c r="K14" s="580">
        <v>1.75</v>
      </c>
      <c r="L14" s="581" t="s">
        <v>0</v>
      </c>
      <c r="M14" s="583"/>
    </row>
    <row r="15" spans="2:13" ht="12" x14ac:dyDescent="0.2">
      <c r="B15" s="579" t="s">
        <v>960</v>
      </c>
      <c r="C15" s="584"/>
      <c r="D15" s="584">
        <v>0.21</v>
      </c>
      <c r="E15" s="584">
        <v>0.21</v>
      </c>
      <c r="F15" s="584">
        <v>0.21</v>
      </c>
      <c r="G15" s="584">
        <v>0.21</v>
      </c>
      <c r="H15" s="580">
        <v>0.5</v>
      </c>
      <c r="I15" s="580">
        <v>1.5</v>
      </c>
      <c r="J15" s="580">
        <v>0.5</v>
      </c>
      <c r="K15" s="580">
        <v>1.75</v>
      </c>
      <c r="L15" s="581" t="s">
        <v>0</v>
      </c>
      <c r="M15" s="585"/>
    </row>
    <row r="16" spans="2:13" ht="12" x14ac:dyDescent="0.2">
      <c r="B16" s="584" t="s">
        <v>961</v>
      </c>
      <c r="C16" s="584"/>
      <c r="D16" s="584">
        <v>0.05</v>
      </c>
      <c r="E16" s="584">
        <v>0.05</v>
      </c>
      <c r="F16" s="584">
        <v>0.05</v>
      </c>
      <c r="G16" s="584">
        <v>0.05</v>
      </c>
      <c r="H16" s="580">
        <v>0.5</v>
      </c>
      <c r="I16" s="580">
        <v>1.5</v>
      </c>
      <c r="J16" s="580">
        <v>0.5</v>
      </c>
      <c r="K16" s="580">
        <v>1.75</v>
      </c>
      <c r="L16" s="581" t="s">
        <v>0</v>
      </c>
      <c r="M16" s="585"/>
    </row>
    <row r="17" spans="2:13" ht="12" x14ac:dyDescent="0.2">
      <c r="B17" s="589"/>
      <c r="C17" s="576"/>
      <c r="D17" s="576"/>
      <c r="E17" s="576"/>
      <c r="F17" s="576"/>
      <c r="G17" s="576"/>
      <c r="H17" s="587"/>
      <c r="I17" s="587"/>
      <c r="J17" s="587"/>
      <c r="K17" s="587"/>
      <c r="L17" s="577"/>
      <c r="M17" s="578"/>
    </row>
    <row r="18" spans="2:13" ht="12" x14ac:dyDescent="0.2">
      <c r="B18" s="579" t="s">
        <v>99</v>
      </c>
      <c r="C18" s="579"/>
      <c r="D18" s="579">
        <v>4</v>
      </c>
      <c r="E18" s="579">
        <v>2</v>
      </c>
      <c r="F18" s="579">
        <v>1</v>
      </c>
      <c r="G18" s="579">
        <v>1</v>
      </c>
      <c r="H18" s="579"/>
      <c r="I18" s="579"/>
      <c r="J18" s="579"/>
      <c r="K18" s="579"/>
      <c r="L18" s="581" t="s">
        <v>40</v>
      </c>
      <c r="M18" s="581"/>
    </row>
    <row r="19" spans="2:13" ht="12" x14ac:dyDescent="0.2">
      <c r="B19" s="582" t="s">
        <v>23</v>
      </c>
      <c r="C19" s="582"/>
      <c r="D19" s="582">
        <v>2</v>
      </c>
      <c r="E19" s="582">
        <v>2</v>
      </c>
      <c r="F19" s="582">
        <v>2</v>
      </c>
      <c r="G19" s="582">
        <v>2</v>
      </c>
      <c r="H19" s="582"/>
      <c r="I19" s="582"/>
      <c r="J19" s="582"/>
      <c r="K19" s="582"/>
      <c r="L19" s="583" t="s">
        <v>41</v>
      </c>
      <c r="M19" s="583"/>
    </row>
    <row r="20" spans="2:13" ht="12" x14ac:dyDescent="0.2">
      <c r="B20" s="582" t="s">
        <v>14</v>
      </c>
      <c r="C20" s="582"/>
      <c r="D20" s="582">
        <v>25</v>
      </c>
      <c r="E20" s="582">
        <v>25</v>
      </c>
      <c r="F20" s="582">
        <v>25</v>
      </c>
      <c r="G20" s="582">
        <v>25</v>
      </c>
      <c r="H20" s="582"/>
      <c r="I20" s="582"/>
      <c r="J20" s="582"/>
      <c r="K20" s="582"/>
      <c r="L20" s="583" t="s">
        <v>127</v>
      </c>
      <c r="M20" s="583"/>
    </row>
    <row r="21" spans="2:13" ht="12" x14ac:dyDescent="0.2">
      <c r="B21" s="584" t="s">
        <v>12</v>
      </c>
      <c r="C21" s="584"/>
      <c r="D21" s="584">
        <v>2</v>
      </c>
      <c r="E21" s="584">
        <v>2</v>
      </c>
      <c r="F21" s="584">
        <v>2</v>
      </c>
      <c r="G21" s="584">
        <v>2</v>
      </c>
      <c r="H21" s="584"/>
      <c r="I21" s="584"/>
      <c r="J21" s="584"/>
      <c r="K21" s="584"/>
      <c r="L21" s="585" t="s">
        <v>98</v>
      </c>
      <c r="M21" s="585"/>
    </row>
    <row r="22" spans="2:13" ht="12" x14ac:dyDescent="0.2">
      <c r="B22" s="575" t="s">
        <v>9</v>
      </c>
      <c r="C22" s="590"/>
      <c r="D22" s="590"/>
      <c r="E22" s="590"/>
      <c r="F22" s="590"/>
      <c r="G22" s="590"/>
      <c r="H22" s="576"/>
      <c r="I22" s="576"/>
      <c r="J22" s="576"/>
      <c r="K22" s="576"/>
      <c r="L22" s="577"/>
      <c r="M22" s="578"/>
    </row>
    <row r="23" spans="2:13" ht="12" x14ac:dyDescent="0.2">
      <c r="B23" s="591" t="s">
        <v>962</v>
      </c>
      <c r="C23" s="592"/>
      <c r="D23" s="592">
        <v>1.3</v>
      </c>
      <c r="E23" s="592">
        <v>1.2</v>
      </c>
      <c r="F23" s="592">
        <v>1.1000000000000001</v>
      </c>
      <c r="G23" s="592">
        <v>1</v>
      </c>
      <c r="H23" s="593">
        <v>0.6</v>
      </c>
      <c r="I23" s="593">
        <v>1.4</v>
      </c>
      <c r="J23" s="593">
        <v>0.5</v>
      </c>
      <c r="K23" s="593">
        <v>1.5</v>
      </c>
      <c r="L23" s="581" t="s">
        <v>963</v>
      </c>
      <c r="M23" s="581">
        <v>1</v>
      </c>
    </row>
    <row r="24" spans="2:13" ht="12" x14ac:dyDescent="0.2">
      <c r="B24" s="582" t="s">
        <v>313</v>
      </c>
      <c r="C24" s="594"/>
      <c r="D24" s="595">
        <v>75</v>
      </c>
      <c r="E24" s="595">
        <v>75</v>
      </c>
      <c r="F24" s="595">
        <v>75</v>
      </c>
      <c r="G24" s="595">
        <v>75</v>
      </c>
      <c r="H24" s="580"/>
      <c r="I24" s="580"/>
      <c r="J24" s="580"/>
      <c r="K24" s="580"/>
      <c r="L24" s="583" t="s">
        <v>692</v>
      </c>
      <c r="M24" s="583"/>
    </row>
    <row r="25" spans="2:13" ht="12" x14ac:dyDescent="0.2">
      <c r="B25" s="582" t="s">
        <v>314</v>
      </c>
      <c r="C25" s="582"/>
      <c r="D25" s="582">
        <v>25</v>
      </c>
      <c r="E25" s="582">
        <v>25</v>
      </c>
      <c r="F25" s="582">
        <v>25</v>
      </c>
      <c r="G25" s="582">
        <v>25</v>
      </c>
      <c r="H25" s="582"/>
      <c r="I25" s="582"/>
      <c r="J25" s="582"/>
      <c r="K25" s="582"/>
      <c r="L25" s="583"/>
      <c r="M25" s="583"/>
    </row>
    <row r="26" spans="2:13" ht="12" x14ac:dyDescent="0.2">
      <c r="B26" s="582" t="s">
        <v>964</v>
      </c>
      <c r="C26" s="582"/>
      <c r="D26" s="582">
        <v>4.4999999999999998E-2</v>
      </c>
      <c r="E26" s="596">
        <v>4.1000000000000002E-2</v>
      </c>
      <c r="F26" s="596">
        <v>3.6999999999999998E-2</v>
      </c>
      <c r="G26" s="596">
        <v>3.4000000000000002E-2</v>
      </c>
      <c r="H26" s="593">
        <v>0.6</v>
      </c>
      <c r="I26" s="593">
        <v>1.4</v>
      </c>
      <c r="J26" s="593">
        <v>0.5</v>
      </c>
      <c r="K26" s="593">
        <v>1.5</v>
      </c>
      <c r="L26" s="583" t="s">
        <v>694</v>
      </c>
      <c r="M26" s="583"/>
    </row>
    <row r="27" spans="2:13" ht="12" x14ac:dyDescent="0.2">
      <c r="B27" s="582" t="s">
        <v>965</v>
      </c>
      <c r="C27" s="594"/>
      <c r="D27" s="597">
        <v>6.4</v>
      </c>
      <c r="E27" s="597">
        <v>6.4</v>
      </c>
      <c r="F27" s="597">
        <v>6.4</v>
      </c>
      <c r="G27" s="597">
        <v>6.4</v>
      </c>
      <c r="H27" s="593">
        <v>0.6</v>
      </c>
      <c r="I27" s="593">
        <v>1.4</v>
      </c>
      <c r="J27" s="593">
        <v>0.5</v>
      </c>
      <c r="K27" s="593">
        <v>1.5</v>
      </c>
      <c r="L27" s="583"/>
      <c r="M27" s="583">
        <v>2</v>
      </c>
    </row>
    <row r="28" spans="2:13" ht="12" x14ac:dyDescent="0.2">
      <c r="B28" s="584" t="s">
        <v>966</v>
      </c>
      <c r="C28" s="598"/>
      <c r="D28" s="599">
        <v>0</v>
      </c>
      <c r="E28" s="599">
        <v>0</v>
      </c>
      <c r="F28" s="599">
        <v>0</v>
      </c>
      <c r="G28" s="599">
        <v>0</v>
      </c>
      <c r="H28" s="600"/>
      <c r="I28" s="600"/>
      <c r="J28" s="600"/>
      <c r="K28" s="600"/>
      <c r="L28" s="585"/>
      <c r="M28" s="585"/>
    </row>
    <row r="29" spans="2:13" ht="12" x14ac:dyDescent="0.2">
      <c r="B29" s="575" t="s">
        <v>244</v>
      </c>
      <c r="C29" s="576"/>
      <c r="D29" s="576"/>
      <c r="E29" s="576"/>
      <c r="F29" s="576"/>
      <c r="G29" s="576"/>
      <c r="H29" s="587"/>
      <c r="I29" s="587"/>
      <c r="J29" s="587"/>
      <c r="K29" s="587"/>
      <c r="L29" s="577"/>
      <c r="M29" s="578"/>
    </row>
    <row r="30" spans="2:13" ht="12" x14ac:dyDescent="0.2">
      <c r="B30" s="579" t="s">
        <v>967</v>
      </c>
      <c r="C30" s="579"/>
      <c r="D30" s="579">
        <v>25</v>
      </c>
      <c r="E30" s="579">
        <v>25</v>
      </c>
      <c r="F30" s="579">
        <v>25</v>
      </c>
      <c r="G30" s="579">
        <v>25</v>
      </c>
      <c r="H30" s="580">
        <v>0.8</v>
      </c>
      <c r="I30" s="580">
        <v>1.2</v>
      </c>
      <c r="J30" s="579"/>
      <c r="K30" s="579"/>
      <c r="L30" s="581" t="s">
        <v>968</v>
      </c>
      <c r="M30" s="583">
        <v>3</v>
      </c>
    </row>
    <row r="31" spans="2:13" ht="12" x14ac:dyDescent="0.2">
      <c r="B31" s="582" t="s">
        <v>969</v>
      </c>
      <c r="C31" s="582"/>
      <c r="D31" s="582">
        <v>7.4999999999999997E-2</v>
      </c>
      <c r="E31" s="582">
        <v>7.4999999999999997E-2</v>
      </c>
      <c r="F31" s="582">
        <v>7.4999999999999997E-2</v>
      </c>
      <c r="G31" s="582">
        <v>7.4999999999999997E-2</v>
      </c>
      <c r="H31" s="580">
        <v>0.8</v>
      </c>
      <c r="I31" s="580">
        <v>1.2</v>
      </c>
      <c r="J31" s="582"/>
      <c r="K31" s="582"/>
      <c r="L31" s="581" t="s">
        <v>970</v>
      </c>
      <c r="M31" s="583">
        <v>3</v>
      </c>
    </row>
    <row r="32" spans="2:13" ht="12" x14ac:dyDescent="0.2">
      <c r="B32" s="582" t="s">
        <v>971</v>
      </c>
      <c r="C32" s="582"/>
      <c r="D32" s="582">
        <v>1.6</v>
      </c>
      <c r="E32" s="582">
        <v>1.6</v>
      </c>
      <c r="F32" s="582">
        <v>1.6</v>
      </c>
      <c r="G32" s="582">
        <v>1.6</v>
      </c>
      <c r="H32" s="580">
        <v>0.8</v>
      </c>
      <c r="I32" s="580">
        <v>1.2</v>
      </c>
      <c r="J32" s="582"/>
      <c r="K32" s="582"/>
      <c r="L32" s="581" t="s">
        <v>970</v>
      </c>
      <c r="M32" s="583">
        <v>3</v>
      </c>
    </row>
    <row r="33" spans="2:13" ht="12" x14ac:dyDescent="0.2">
      <c r="B33" s="579" t="s">
        <v>972</v>
      </c>
      <c r="C33" s="582"/>
      <c r="D33" s="582">
        <v>32.799999999999997</v>
      </c>
      <c r="E33" s="582">
        <v>32.799999999999997</v>
      </c>
      <c r="F33" s="582">
        <v>32.799999999999997</v>
      </c>
      <c r="G33" s="582">
        <v>32.799999999999997</v>
      </c>
      <c r="H33" s="580">
        <v>0.8</v>
      </c>
      <c r="I33" s="580">
        <v>1.2</v>
      </c>
      <c r="J33" s="582"/>
      <c r="K33" s="582"/>
      <c r="L33" s="581" t="s">
        <v>973</v>
      </c>
      <c r="M33" s="583">
        <v>2</v>
      </c>
    </row>
    <row r="34" spans="2:13" ht="12" x14ac:dyDescent="0.2">
      <c r="B34" s="582" t="s">
        <v>974</v>
      </c>
      <c r="C34" s="594"/>
      <c r="D34" s="597">
        <v>1.1000000000000001</v>
      </c>
      <c r="E34" s="597">
        <v>1.1000000000000001</v>
      </c>
      <c r="F34" s="597">
        <v>1.1000000000000001</v>
      </c>
      <c r="G34" s="597">
        <v>1.1000000000000001</v>
      </c>
      <c r="H34" s="580">
        <v>0.8</v>
      </c>
      <c r="I34" s="580">
        <v>1.2</v>
      </c>
      <c r="J34" s="580"/>
      <c r="K34" s="580"/>
      <c r="L34" s="581" t="s">
        <v>970</v>
      </c>
      <c r="M34" s="583">
        <v>4</v>
      </c>
    </row>
    <row r="35" spans="2:13" ht="12" x14ac:dyDescent="0.2">
      <c r="B35" s="579" t="s">
        <v>975</v>
      </c>
      <c r="C35" s="594"/>
      <c r="D35" s="597">
        <v>12.9</v>
      </c>
      <c r="E35" s="597">
        <v>12.9</v>
      </c>
      <c r="F35" s="597">
        <v>12.9</v>
      </c>
      <c r="G35" s="597">
        <v>12.9</v>
      </c>
      <c r="H35" s="580">
        <v>0.8</v>
      </c>
      <c r="I35" s="580">
        <v>1.2</v>
      </c>
      <c r="J35" s="580"/>
      <c r="K35" s="580"/>
      <c r="L35" s="581" t="s">
        <v>976</v>
      </c>
      <c r="M35" s="583">
        <v>2</v>
      </c>
    </row>
    <row r="36" spans="2:13" ht="12" x14ac:dyDescent="0.2">
      <c r="B36" s="582" t="s">
        <v>977</v>
      </c>
      <c r="C36" s="582"/>
      <c r="D36" s="582">
        <v>1.35</v>
      </c>
      <c r="E36" s="582">
        <v>1.35</v>
      </c>
      <c r="F36" s="582">
        <v>1.35</v>
      </c>
      <c r="G36" s="582">
        <v>1.35</v>
      </c>
      <c r="H36" s="580">
        <v>0.8</v>
      </c>
      <c r="I36" s="580">
        <v>1.2</v>
      </c>
      <c r="J36" s="582"/>
      <c r="K36" s="582"/>
      <c r="L36" s="581" t="s">
        <v>978</v>
      </c>
      <c r="M36" s="583">
        <v>2</v>
      </c>
    </row>
    <row r="37" spans="2:13" ht="12" x14ac:dyDescent="0.2">
      <c r="B37" s="582"/>
      <c r="C37" s="596"/>
      <c r="D37" s="596"/>
      <c r="E37" s="596"/>
      <c r="F37" s="596"/>
      <c r="G37" s="596"/>
      <c r="H37" s="582"/>
      <c r="I37" s="580"/>
      <c r="J37" s="580"/>
      <c r="K37" s="580"/>
      <c r="L37" s="581"/>
      <c r="M37" s="583"/>
    </row>
    <row r="38" spans="2:13" ht="12" x14ac:dyDescent="0.2">
      <c r="B38" s="582"/>
      <c r="C38" s="596"/>
      <c r="D38" s="596"/>
      <c r="E38" s="596"/>
      <c r="F38" s="596"/>
      <c r="G38" s="596"/>
      <c r="H38" s="601"/>
      <c r="I38" s="601"/>
      <c r="J38" s="601"/>
      <c r="K38" s="601"/>
      <c r="L38" s="581"/>
      <c r="M38" s="583"/>
    </row>
    <row r="39" spans="2:13" ht="12" x14ac:dyDescent="0.2">
      <c r="B39" s="602" t="s">
        <v>6</v>
      </c>
    </row>
    <row r="40" spans="2:13" x14ac:dyDescent="0.15">
      <c r="B40" s="603" t="s">
        <v>979</v>
      </c>
    </row>
    <row r="41" spans="2:13" x14ac:dyDescent="0.15">
      <c r="B41" s="603" t="s">
        <v>980</v>
      </c>
    </row>
    <row r="42" spans="2:13" x14ac:dyDescent="0.15">
      <c r="B42" s="603" t="s">
        <v>981</v>
      </c>
    </row>
    <row r="43" spans="2:13" x14ac:dyDescent="0.15">
      <c r="B43" s="603" t="s">
        <v>982</v>
      </c>
    </row>
    <row r="44" spans="2:13" x14ac:dyDescent="0.15">
      <c r="B44" s="603" t="s">
        <v>983</v>
      </c>
    </row>
    <row r="45" spans="2:13" x14ac:dyDescent="0.15">
      <c r="B45" s="603" t="s">
        <v>984</v>
      </c>
    </row>
    <row r="46" spans="2:13" x14ac:dyDescent="0.15">
      <c r="B46" s="603" t="s">
        <v>985</v>
      </c>
    </row>
    <row r="47" spans="2:13" x14ac:dyDescent="0.15">
      <c r="B47" s="603" t="s">
        <v>986</v>
      </c>
    </row>
    <row r="48" spans="2:13" x14ac:dyDescent="0.15">
      <c r="B48" s="603" t="s">
        <v>987</v>
      </c>
    </row>
    <row r="49" spans="2:2" x14ac:dyDescent="0.15">
      <c r="B49" s="603" t="s">
        <v>988</v>
      </c>
    </row>
    <row r="50" spans="2:2" x14ac:dyDescent="0.15">
      <c r="B50" s="603" t="s">
        <v>989</v>
      </c>
    </row>
    <row r="51" spans="2:2" x14ac:dyDescent="0.15">
      <c r="B51" s="603" t="s">
        <v>990</v>
      </c>
    </row>
    <row r="52" spans="2:2" x14ac:dyDescent="0.15">
      <c r="B52" s="603" t="s">
        <v>991</v>
      </c>
    </row>
    <row r="53" spans="2:2" x14ac:dyDescent="0.15">
      <c r="B53" s="603" t="s">
        <v>992</v>
      </c>
    </row>
    <row r="54" spans="2:2" x14ac:dyDescent="0.15">
      <c r="B54" s="603" t="s">
        <v>993</v>
      </c>
    </row>
    <row r="55" spans="2:2" x14ac:dyDescent="0.15">
      <c r="B55" s="603" t="s">
        <v>994</v>
      </c>
    </row>
    <row r="56" spans="2:2" x14ac:dyDescent="0.15">
      <c r="B56" s="603" t="s">
        <v>995</v>
      </c>
    </row>
    <row r="57" spans="2:2" x14ac:dyDescent="0.15">
      <c r="B57" s="603" t="s">
        <v>996</v>
      </c>
    </row>
    <row r="58" spans="2:2" x14ac:dyDescent="0.15">
      <c r="B58" s="603" t="s">
        <v>997</v>
      </c>
    </row>
    <row r="60" spans="2:2" ht="12" x14ac:dyDescent="0.2">
      <c r="B60" s="602" t="s">
        <v>27</v>
      </c>
    </row>
    <row r="61" spans="2:2" x14ac:dyDescent="0.15">
      <c r="B61" s="603" t="s">
        <v>998</v>
      </c>
    </row>
    <row r="62" spans="2:2" x14ac:dyDescent="0.15">
      <c r="B62" s="603" t="s">
        <v>999</v>
      </c>
    </row>
    <row r="63" spans="2:2" x14ac:dyDescent="0.15">
      <c r="B63" s="603" t="s">
        <v>1000</v>
      </c>
    </row>
    <row r="64" spans="2:2" x14ac:dyDescent="0.15">
      <c r="B64" s="603" t="s">
        <v>1001</v>
      </c>
    </row>
    <row r="65" spans="2:2" x14ac:dyDescent="0.15">
      <c r="B65" s="603"/>
    </row>
    <row r="66" spans="2:2" x14ac:dyDescent="0.15">
      <c r="B66" s="603"/>
    </row>
  </sheetData>
  <mergeCells count="3">
    <mergeCell ref="C3:M3"/>
    <mergeCell ref="H4:I4"/>
    <mergeCell ref="J4:K4"/>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68"/>
  <sheetViews>
    <sheetView workbookViewId="0">
      <selection activeCell="B44" sqref="B44"/>
    </sheetView>
  </sheetViews>
  <sheetFormatPr defaultRowHeight="11.25" x14ac:dyDescent="0.15"/>
  <cols>
    <col min="1" max="1" width="3.5703125" style="571" customWidth="1"/>
    <col min="2" max="2" width="64.5703125" style="571" customWidth="1"/>
    <col min="3" max="16384" width="9.140625" style="571"/>
  </cols>
  <sheetData>
    <row r="3" spans="2:13" ht="12" x14ac:dyDescent="0.2">
      <c r="B3" s="570" t="s">
        <v>20</v>
      </c>
      <c r="C3" s="687" t="s">
        <v>1002</v>
      </c>
      <c r="D3" s="688"/>
      <c r="E3" s="688"/>
      <c r="F3" s="688"/>
      <c r="G3" s="688"/>
      <c r="H3" s="688"/>
      <c r="I3" s="688"/>
      <c r="J3" s="688"/>
      <c r="K3" s="688"/>
      <c r="L3" s="688"/>
      <c r="M3" s="689"/>
    </row>
    <row r="4" spans="2:13" ht="12" x14ac:dyDescent="0.2">
      <c r="B4" s="570"/>
      <c r="C4" s="570">
        <v>2020</v>
      </c>
      <c r="D4" s="570">
        <v>2025</v>
      </c>
      <c r="E4" s="570">
        <v>2030</v>
      </c>
      <c r="F4" s="570">
        <v>2040</v>
      </c>
      <c r="G4" s="570">
        <v>2050</v>
      </c>
      <c r="H4" s="690" t="s">
        <v>955</v>
      </c>
      <c r="I4" s="691"/>
      <c r="J4" s="690" t="s">
        <v>24</v>
      </c>
      <c r="K4" s="691"/>
      <c r="L4" s="572" t="s">
        <v>19</v>
      </c>
      <c r="M4" s="572" t="s">
        <v>18</v>
      </c>
    </row>
    <row r="5" spans="2:13" ht="12" x14ac:dyDescent="0.2">
      <c r="B5" s="573"/>
      <c r="C5" s="573"/>
      <c r="D5" s="573"/>
      <c r="E5" s="573"/>
      <c r="F5" s="573"/>
      <c r="G5" s="573"/>
      <c r="H5" s="574" t="s">
        <v>17</v>
      </c>
      <c r="I5" s="574" t="s">
        <v>16</v>
      </c>
      <c r="J5" s="574" t="s">
        <v>17</v>
      </c>
      <c r="K5" s="574" t="s">
        <v>16</v>
      </c>
      <c r="L5" s="574"/>
      <c r="M5" s="574"/>
    </row>
    <row r="6" spans="2:13" ht="12" x14ac:dyDescent="0.2">
      <c r="B6" s="575" t="s">
        <v>15</v>
      </c>
      <c r="C6" s="576"/>
      <c r="D6" s="576"/>
      <c r="E6" s="576"/>
      <c r="F6" s="576"/>
      <c r="G6" s="576"/>
      <c r="H6" s="576"/>
      <c r="I6" s="576"/>
      <c r="J6" s="576"/>
      <c r="K6" s="576"/>
      <c r="L6" s="577"/>
      <c r="M6" s="578"/>
    </row>
    <row r="7" spans="2:13" ht="12" x14ac:dyDescent="0.2">
      <c r="B7" s="579" t="s">
        <v>956</v>
      </c>
      <c r="C7" s="579"/>
      <c r="D7" s="579">
        <v>13</v>
      </c>
      <c r="E7" s="579">
        <v>16</v>
      </c>
      <c r="F7" s="579">
        <v>23</v>
      </c>
      <c r="G7" s="579">
        <v>30</v>
      </c>
      <c r="H7" s="580">
        <v>0.5</v>
      </c>
      <c r="I7" s="580">
        <v>1.5</v>
      </c>
      <c r="J7" s="580">
        <v>0.5</v>
      </c>
      <c r="K7" s="580">
        <v>1.75</v>
      </c>
      <c r="L7" s="581" t="s">
        <v>299</v>
      </c>
      <c r="M7" s="581"/>
    </row>
    <row r="8" spans="2:13" ht="12" x14ac:dyDescent="0.2">
      <c r="B8" s="582" t="s">
        <v>957</v>
      </c>
      <c r="C8" s="582"/>
      <c r="D8" s="582">
        <v>18</v>
      </c>
      <c r="E8" s="582">
        <v>22</v>
      </c>
      <c r="F8" s="582">
        <v>31</v>
      </c>
      <c r="G8" s="582">
        <v>40</v>
      </c>
      <c r="H8" s="580">
        <v>0.5</v>
      </c>
      <c r="I8" s="580">
        <v>1.5</v>
      </c>
      <c r="J8" s="580">
        <v>0.5</v>
      </c>
      <c r="K8" s="580">
        <v>1.75</v>
      </c>
      <c r="L8" s="583" t="s">
        <v>305</v>
      </c>
      <c r="M8" s="583"/>
    </row>
    <row r="9" spans="2:13" ht="12" x14ac:dyDescent="0.2">
      <c r="B9" s="575" t="s">
        <v>255</v>
      </c>
      <c r="C9" s="576"/>
      <c r="D9" s="576"/>
      <c r="E9" s="576"/>
      <c r="F9" s="576"/>
      <c r="G9" s="576"/>
      <c r="H9" s="576"/>
      <c r="I9" s="576"/>
      <c r="J9" s="576"/>
      <c r="K9" s="576"/>
      <c r="L9" s="577"/>
      <c r="M9" s="578"/>
    </row>
    <row r="10" spans="2:13" ht="12" x14ac:dyDescent="0.2">
      <c r="B10" s="584" t="s">
        <v>364</v>
      </c>
      <c r="C10" s="584"/>
      <c r="D10" s="582">
        <v>0.99</v>
      </c>
      <c r="E10" s="582">
        <v>0.99</v>
      </c>
      <c r="F10" s="582">
        <v>0.99</v>
      </c>
      <c r="G10" s="582">
        <v>0.99</v>
      </c>
      <c r="H10" s="580">
        <v>0.75</v>
      </c>
      <c r="I10" s="580">
        <v>1.25</v>
      </c>
      <c r="J10" s="580">
        <v>0.5</v>
      </c>
      <c r="K10" s="580">
        <v>1.75</v>
      </c>
      <c r="L10" s="585"/>
      <c r="M10" s="585"/>
    </row>
    <row r="11" spans="2:13" ht="12" x14ac:dyDescent="0.2">
      <c r="B11" s="586" t="s">
        <v>260</v>
      </c>
      <c r="C11" s="584"/>
      <c r="D11" s="584">
        <v>0.04</v>
      </c>
      <c r="E11" s="584">
        <v>0.04</v>
      </c>
      <c r="F11" s="584">
        <v>0.04</v>
      </c>
      <c r="G11" s="584">
        <v>0.04</v>
      </c>
      <c r="H11" s="580">
        <v>0.75</v>
      </c>
      <c r="I11" s="580">
        <v>1.25</v>
      </c>
      <c r="J11" s="580">
        <v>0.5</v>
      </c>
      <c r="K11" s="580">
        <v>1.75</v>
      </c>
      <c r="L11" s="585" t="s">
        <v>1</v>
      </c>
      <c r="M11" s="585"/>
    </row>
    <row r="12" spans="2:13" ht="12" x14ac:dyDescent="0.2">
      <c r="B12" s="575" t="s">
        <v>241</v>
      </c>
      <c r="C12" s="576"/>
      <c r="D12" s="576"/>
      <c r="E12" s="576"/>
      <c r="F12" s="576"/>
      <c r="G12" s="576"/>
      <c r="H12" s="587"/>
      <c r="I12" s="587"/>
      <c r="J12" s="587"/>
      <c r="K12" s="587"/>
      <c r="L12" s="577"/>
      <c r="M12" s="578"/>
    </row>
    <row r="13" spans="2:13" ht="12" x14ac:dyDescent="0.2">
      <c r="B13" s="579" t="s">
        <v>958</v>
      </c>
      <c r="C13" s="579"/>
      <c r="D13" s="579">
        <v>0.38</v>
      </c>
      <c r="E13" s="579">
        <v>0.38</v>
      </c>
      <c r="F13" s="579">
        <v>0.38</v>
      </c>
      <c r="G13" s="579">
        <v>0.38</v>
      </c>
      <c r="H13" s="580">
        <v>0.5</v>
      </c>
      <c r="I13" s="580">
        <v>1.5</v>
      </c>
      <c r="J13" s="580">
        <v>0.5</v>
      </c>
      <c r="K13" s="580">
        <v>1.75</v>
      </c>
      <c r="L13" s="581" t="s">
        <v>0</v>
      </c>
      <c r="M13" s="581"/>
    </row>
    <row r="14" spans="2:13" ht="12" x14ac:dyDescent="0.2">
      <c r="B14" s="579" t="s">
        <v>959</v>
      </c>
      <c r="C14" s="582"/>
      <c r="D14" s="582">
        <v>0.17</v>
      </c>
      <c r="E14" s="582">
        <v>0.17</v>
      </c>
      <c r="F14" s="582">
        <v>0.17</v>
      </c>
      <c r="G14" s="582">
        <v>0.17</v>
      </c>
      <c r="H14" s="580">
        <v>0.5</v>
      </c>
      <c r="I14" s="580">
        <v>1.5</v>
      </c>
      <c r="J14" s="580">
        <v>0.5</v>
      </c>
      <c r="K14" s="580">
        <v>1.75</v>
      </c>
      <c r="L14" s="581" t="s">
        <v>0</v>
      </c>
      <c r="M14" s="583"/>
    </row>
    <row r="15" spans="2:13" ht="12" x14ac:dyDescent="0.2">
      <c r="B15" s="579" t="s">
        <v>960</v>
      </c>
      <c r="C15" s="584"/>
      <c r="D15" s="584">
        <v>0.19</v>
      </c>
      <c r="E15" s="584">
        <v>0.19</v>
      </c>
      <c r="F15" s="584">
        <v>0.19</v>
      </c>
      <c r="G15" s="584">
        <v>0.19</v>
      </c>
      <c r="H15" s="580">
        <v>0.5</v>
      </c>
      <c r="I15" s="580">
        <v>1.5</v>
      </c>
      <c r="J15" s="580">
        <v>0.5</v>
      </c>
      <c r="K15" s="580">
        <v>1.75</v>
      </c>
      <c r="L15" s="581" t="s">
        <v>0</v>
      </c>
      <c r="M15" s="585"/>
    </row>
    <row r="16" spans="2:13" ht="12" x14ac:dyDescent="0.2">
      <c r="B16" s="584" t="s">
        <v>961</v>
      </c>
      <c r="C16" s="584"/>
      <c r="D16" s="584">
        <v>0.08</v>
      </c>
      <c r="E16" s="584">
        <v>0.08</v>
      </c>
      <c r="F16" s="584">
        <v>0.08</v>
      </c>
      <c r="G16" s="584">
        <v>0.08</v>
      </c>
      <c r="H16" s="580">
        <v>0.5</v>
      </c>
      <c r="I16" s="580">
        <v>1.5</v>
      </c>
      <c r="J16" s="580">
        <v>0.5</v>
      </c>
      <c r="K16" s="580">
        <v>1.75</v>
      </c>
      <c r="L16" s="581" t="s">
        <v>0</v>
      </c>
      <c r="M16" s="585"/>
    </row>
    <row r="17" spans="2:13" ht="12" x14ac:dyDescent="0.2">
      <c r="B17" s="589"/>
      <c r="C17" s="576"/>
      <c r="D17" s="576"/>
      <c r="E17" s="576"/>
      <c r="F17" s="576"/>
      <c r="G17" s="576"/>
      <c r="H17" s="587"/>
      <c r="I17" s="587"/>
      <c r="J17" s="587"/>
      <c r="K17" s="587"/>
      <c r="L17" s="577"/>
      <c r="M17" s="578"/>
    </row>
    <row r="18" spans="2:13" ht="12" x14ac:dyDescent="0.2">
      <c r="B18" s="579" t="s">
        <v>99</v>
      </c>
      <c r="C18" s="579"/>
      <c r="D18" s="579">
        <v>4</v>
      </c>
      <c r="E18" s="579">
        <v>2</v>
      </c>
      <c r="F18" s="579">
        <v>1</v>
      </c>
      <c r="G18" s="579">
        <v>1</v>
      </c>
      <c r="H18" s="579"/>
      <c r="I18" s="579"/>
      <c r="J18" s="579"/>
      <c r="K18" s="579"/>
      <c r="L18" s="581" t="s">
        <v>40</v>
      </c>
      <c r="M18" s="581"/>
    </row>
    <row r="19" spans="2:13" ht="12" x14ac:dyDescent="0.2">
      <c r="B19" s="582" t="s">
        <v>23</v>
      </c>
      <c r="C19" s="582"/>
      <c r="D19" s="582">
        <v>2</v>
      </c>
      <c r="E19" s="582">
        <v>2</v>
      </c>
      <c r="F19" s="582">
        <v>2</v>
      </c>
      <c r="G19" s="582">
        <v>2</v>
      </c>
      <c r="H19" s="582"/>
      <c r="I19" s="582"/>
      <c r="J19" s="582"/>
      <c r="K19" s="582"/>
      <c r="L19" s="583" t="s">
        <v>41</v>
      </c>
      <c r="M19" s="583"/>
    </row>
    <row r="20" spans="2:13" ht="12" x14ac:dyDescent="0.2">
      <c r="B20" s="582" t="s">
        <v>14</v>
      </c>
      <c r="C20" s="582"/>
      <c r="D20" s="582">
        <v>25</v>
      </c>
      <c r="E20" s="582">
        <v>25</v>
      </c>
      <c r="F20" s="582">
        <v>25</v>
      </c>
      <c r="G20" s="582">
        <v>25</v>
      </c>
      <c r="H20" s="582"/>
      <c r="I20" s="582"/>
      <c r="J20" s="582"/>
      <c r="K20" s="582"/>
      <c r="L20" s="583" t="s">
        <v>127</v>
      </c>
      <c r="M20" s="583"/>
    </row>
    <row r="21" spans="2:13" ht="12" x14ac:dyDescent="0.2">
      <c r="B21" s="584" t="s">
        <v>12</v>
      </c>
      <c r="C21" s="584"/>
      <c r="D21" s="584">
        <v>2</v>
      </c>
      <c r="E21" s="584">
        <v>2</v>
      </c>
      <c r="F21" s="584">
        <v>2</v>
      </c>
      <c r="G21" s="584">
        <v>2</v>
      </c>
      <c r="H21" s="584"/>
      <c r="I21" s="584"/>
      <c r="J21" s="584"/>
      <c r="K21" s="584"/>
      <c r="L21" s="585" t="s">
        <v>98</v>
      </c>
      <c r="M21" s="585"/>
    </row>
    <row r="22" spans="2:13" ht="12" x14ac:dyDescent="0.2">
      <c r="B22" s="575" t="s">
        <v>9</v>
      </c>
      <c r="C22" s="590"/>
      <c r="D22" s="590"/>
      <c r="E22" s="590"/>
      <c r="F22" s="590"/>
      <c r="G22" s="590"/>
      <c r="H22" s="576"/>
      <c r="I22" s="576"/>
      <c r="J22" s="576"/>
      <c r="K22" s="576"/>
      <c r="L22" s="577"/>
      <c r="M22" s="578"/>
    </row>
    <row r="23" spans="2:13" ht="12" x14ac:dyDescent="0.2">
      <c r="B23" s="591" t="s">
        <v>962</v>
      </c>
      <c r="C23" s="592"/>
      <c r="D23" s="592">
        <v>1.6</v>
      </c>
      <c r="E23" s="592">
        <v>1.4</v>
      </c>
      <c r="F23" s="592">
        <v>1.3</v>
      </c>
      <c r="G23" s="592">
        <v>1.2</v>
      </c>
      <c r="H23" s="593">
        <v>0.6</v>
      </c>
      <c r="I23" s="593">
        <v>1.4</v>
      </c>
      <c r="J23" s="593">
        <v>0.5</v>
      </c>
      <c r="K23" s="593">
        <v>1.5</v>
      </c>
      <c r="L23" s="581" t="s">
        <v>963</v>
      </c>
      <c r="M23" s="581">
        <v>1</v>
      </c>
    </row>
    <row r="24" spans="2:13" ht="12" x14ac:dyDescent="0.2">
      <c r="B24" s="582" t="s">
        <v>313</v>
      </c>
      <c r="C24" s="594"/>
      <c r="D24" s="595">
        <v>75</v>
      </c>
      <c r="E24" s="595">
        <v>75</v>
      </c>
      <c r="F24" s="595">
        <v>75</v>
      </c>
      <c r="G24" s="595">
        <v>75</v>
      </c>
      <c r="H24" s="580"/>
      <c r="I24" s="580"/>
      <c r="J24" s="580"/>
      <c r="K24" s="580"/>
      <c r="L24" s="583" t="s">
        <v>692</v>
      </c>
      <c r="M24" s="583"/>
    </row>
    <row r="25" spans="2:13" ht="12" x14ac:dyDescent="0.2">
      <c r="B25" s="582" t="s">
        <v>314</v>
      </c>
      <c r="C25" s="582"/>
      <c r="D25" s="582">
        <v>25</v>
      </c>
      <c r="E25" s="582">
        <v>25</v>
      </c>
      <c r="F25" s="582">
        <v>25</v>
      </c>
      <c r="G25" s="582">
        <v>25</v>
      </c>
      <c r="H25" s="582"/>
      <c r="I25" s="582"/>
      <c r="J25" s="582"/>
      <c r="K25" s="582"/>
      <c r="L25" s="583"/>
      <c r="M25" s="583"/>
    </row>
    <row r="26" spans="2:13" ht="12" x14ac:dyDescent="0.2">
      <c r="B26" s="582" t="s">
        <v>964</v>
      </c>
      <c r="C26" s="582"/>
      <c r="D26" s="582">
        <v>5.3999999999999999E-2</v>
      </c>
      <c r="E26" s="596">
        <v>5.0999999999999997E-2</v>
      </c>
      <c r="F26" s="596">
        <v>4.4999999999999998E-2</v>
      </c>
      <c r="G26" s="596">
        <v>4.2000000000000003E-2</v>
      </c>
      <c r="H26" s="593">
        <v>0.6</v>
      </c>
      <c r="I26" s="593">
        <v>1.4</v>
      </c>
      <c r="J26" s="593">
        <v>0.5</v>
      </c>
      <c r="K26" s="593">
        <v>1.5</v>
      </c>
      <c r="L26" s="583" t="s">
        <v>694</v>
      </c>
      <c r="M26" s="583"/>
    </row>
    <row r="27" spans="2:13" ht="12" x14ac:dyDescent="0.2">
      <c r="B27" s="582" t="s">
        <v>965</v>
      </c>
      <c r="C27" s="594"/>
      <c r="D27" s="597">
        <v>8.1</v>
      </c>
      <c r="E27" s="597">
        <v>8.1</v>
      </c>
      <c r="F27" s="597">
        <v>8.1</v>
      </c>
      <c r="G27" s="597">
        <v>8.1</v>
      </c>
      <c r="H27" s="593">
        <v>0.6</v>
      </c>
      <c r="I27" s="593">
        <v>1.4</v>
      </c>
      <c r="J27" s="593">
        <v>0.5</v>
      </c>
      <c r="K27" s="593">
        <v>1.5</v>
      </c>
      <c r="L27" s="583"/>
      <c r="M27" s="583">
        <v>2</v>
      </c>
    </row>
    <row r="28" spans="2:13" ht="12" x14ac:dyDescent="0.2">
      <c r="B28" s="584" t="s">
        <v>966</v>
      </c>
      <c r="C28" s="598"/>
      <c r="D28" s="599">
        <v>0</v>
      </c>
      <c r="E28" s="599">
        <v>0</v>
      </c>
      <c r="F28" s="599">
        <v>0</v>
      </c>
      <c r="G28" s="599">
        <v>0</v>
      </c>
      <c r="H28" s="600"/>
      <c r="I28" s="600"/>
      <c r="J28" s="600"/>
      <c r="K28" s="600"/>
      <c r="L28" s="585"/>
      <c r="M28" s="585"/>
    </row>
    <row r="29" spans="2:13" ht="12" x14ac:dyDescent="0.2">
      <c r="B29" s="575" t="s">
        <v>244</v>
      </c>
      <c r="C29" s="576"/>
      <c r="D29" s="576"/>
      <c r="E29" s="576"/>
      <c r="F29" s="576"/>
      <c r="G29" s="576"/>
      <c r="H29" s="587"/>
      <c r="I29" s="587"/>
      <c r="J29" s="587"/>
      <c r="K29" s="587"/>
      <c r="L29" s="577"/>
      <c r="M29" s="578"/>
    </row>
    <row r="30" spans="2:13" ht="12" x14ac:dyDescent="0.2">
      <c r="B30" s="579" t="s">
        <v>1003</v>
      </c>
      <c r="C30" s="579"/>
      <c r="D30" s="579">
        <v>27</v>
      </c>
      <c r="E30" s="579">
        <v>27</v>
      </c>
      <c r="F30" s="579">
        <v>27</v>
      </c>
      <c r="G30" s="579">
        <v>27</v>
      </c>
      <c r="H30" s="580">
        <v>0.8</v>
      </c>
      <c r="I30" s="580">
        <v>1.2</v>
      </c>
      <c r="J30" s="579"/>
      <c r="K30" s="579"/>
      <c r="L30" s="581" t="s">
        <v>970</v>
      </c>
      <c r="M30" s="583">
        <v>4</v>
      </c>
    </row>
    <row r="31" spans="2:13" ht="12" x14ac:dyDescent="0.2">
      <c r="B31" s="582" t="s">
        <v>969</v>
      </c>
      <c r="C31" s="582"/>
      <c r="D31" s="582">
        <v>7.4999999999999997E-2</v>
      </c>
      <c r="E31" s="582">
        <v>7.4999999999999997E-2</v>
      </c>
      <c r="F31" s="582">
        <v>7.4999999999999997E-2</v>
      </c>
      <c r="G31" s="582">
        <v>7.4999999999999997E-2</v>
      </c>
      <c r="H31" s="580">
        <v>0.8</v>
      </c>
      <c r="I31" s="580">
        <v>1.2</v>
      </c>
      <c r="J31" s="582"/>
      <c r="K31" s="582"/>
      <c r="L31" s="581" t="s">
        <v>970</v>
      </c>
      <c r="M31" s="583">
        <v>3</v>
      </c>
    </row>
    <row r="32" spans="2:13" ht="12" x14ac:dyDescent="0.2">
      <c r="B32" s="582" t="s">
        <v>971</v>
      </c>
      <c r="C32" s="582"/>
      <c r="D32" s="582">
        <v>1.6</v>
      </c>
      <c r="E32" s="582">
        <v>1.6</v>
      </c>
      <c r="F32" s="582">
        <v>1.6</v>
      </c>
      <c r="G32" s="582">
        <v>1.6</v>
      </c>
      <c r="H32" s="580">
        <v>0.8</v>
      </c>
      <c r="I32" s="580">
        <v>1.2</v>
      </c>
      <c r="J32" s="582"/>
      <c r="K32" s="582"/>
      <c r="L32" s="581" t="s">
        <v>970</v>
      </c>
      <c r="M32" s="583">
        <v>3</v>
      </c>
    </row>
    <row r="33" spans="2:13" ht="12" x14ac:dyDescent="0.2">
      <c r="B33" s="579" t="s">
        <v>1004</v>
      </c>
      <c r="C33" s="582"/>
      <c r="D33" s="582">
        <v>23.5</v>
      </c>
      <c r="E33" s="582">
        <v>23.5</v>
      </c>
      <c r="F33" s="582">
        <v>23.5</v>
      </c>
      <c r="G33" s="582">
        <v>23.5</v>
      </c>
      <c r="H33" s="580">
        <v>0.8</v>
      </c>
      <c r="I33" s="580">
        <v>1.2</v>
      </c>
      <c r="J33" s="582"/>
      <c r="K33" s="582"/>
      <c r="L33" s="581" t="s">
        <v>973</v>
      </c>
      <c r="M33" s="583">
        <v>5</v>
      </c>
    </row>
    <row r="34" spans="2:13" ht="12" x14ac:dyDescent="0.2">
      <c r="B34" s="582" t="s">
        <v>974</v>
      </c>
      <c r="C34" s="594"/>
      <c r="D34" s="597">
        <v>1.1000000000000001</v>
      </c>
      <c r="E34" s="597">
        <v>1.1000000000000001</v>
      </c>
      <c r="F34" s="597">
        <v>1.1000000000000001</v>
      </c>
      <c r="G34" s="597">
        <v>1.1000000000000001</v>
      </c>
      <c r="H34" s="580">
        <v>0.8</v>
      </c>
      <c r="I34" s="580">
        <v>1.2</v>
      </c>
      <c r="J34" s="580"/>
      <c r="K34" s="580"/>
      <c r="L34" s="581" t="s">
        <v>970</v>
      </c>
      <c r="M34" s="583">
        <v>6</v>
      </c>
    </row>
    <row r="35" spans="2:13" ht="12" x14ac:dyDescent="0.2">
      <c r="B35" s="579" t="s">
        <v>1005</v>
      </c>
      <c r="C35" s="582"/>
      <c r="D35" s="582">
        <v>15.7</v>
      </c>
      <c r="E35" s="582">
        <v>15.7</v>
      </c>
      <c r="F35" s="582">
        <v>15.7</v>
      </c>
      <c r="G35" s="582">
        <v>15.7</v>
      </c>
      <c r="H35" s="580">
        <v>0.8</v>
      </c>
      <c r="I35" s="580">
        <v>1.2</v>
      </c>
      <c r="J35" s="582"/>
      <c r="K35" s="582"/>
      <c r="L35" s="581" t="s">
        <v>1006</v>
      </c>
      <c r="M35" s="583">
        <v>5</v>
      </c>
    </row>
    <row r="36" spans="2:13" ht="12" x14ac:dyDescent="0.2">
      <c r="B36" s="582" t="s">
        <v>977</v>
      </c>
      <c r="C36" s="582"/>
      <c r="D36" s="582">
        <v>1.35</v>
      </c>
      <c r="E36" s="582">
        <v>1.35</v>
      </c>
      <c r="F36" s="582">
        <v>1.35</v>
      </c>
      <c r="G36" s="582">
        <v>1.35</v>
      </c>
      <c r="H36" s="580">
        <v>0.8</v>
      </c>
      <c r="I36" s="580">
        <v>1.2</v>
      </c>
      <c r="J36" s="582"/>
      <c r="K36" s="582"/>
      <c r="L36" s="581" t="s">
        <v>978</v>
      </c>
      <c r="M36" s="583">
        <v>2</v>
      </c>
    </row>
    <row r="37" spans="2:13" ht="12" x14ac:dyDescent="0.2">
      <c r="B37" s="582"/>
      <c r="C37" s="596"/>
      <c r="D37" s="596"/>
      <c r="E37" s="596"/>
      <c r="F37" s="596"/>
      <c r="G37" s="596"/>
      <c r="H37" s="582"/>
      <c r="I37" s="580"/>
      <c r="J37" s="580"/>
      <c r="K37" s="580"/>
      <c r="L37" s="581"/>
      <c r="M37" s="583"/>
    </row>
    <row r="38" spans="2:13" ht="12" x14ac:dyDescent="0.2">
      <c r="B38" s="582"/>
      <c r="C38" s="596"/>
      <c r="D38" s="596"/>
      <c r="E38" s="596"/>
      <c r="F38" s="596"/>
      <c r="G38" s="596"/>
      <c r="H38" s="601"/>
      <c r="I38" s="601"/>
      <c r="J38" s="601"/>
      <c r="K38" s="601"/>
      <c r="L38" s="581"/>
      <c r="M38" s="583"/>
    </row>
    <row r="39" spans="2:13" ht="12" x14ac:dyDescent="0.2">
      <c r="B39" s="602" t="s">
        <v>6</v>
      </c>
    </row>
    <row r="40" spans="2:13" x14ac:dyDescent="0.15">
      <c r="B40" s="603" t="s">
        <v>979</v>
      </c>
    </row>
    <row r="41" spans="2:13" x14ac:dyDescent="0.15">
      <c r="B41" s="603" t="s">
        <v>980</v>
      </c>
    </row>
    <row r="42" spans="2:13" x14ac:dyDescent="0.15">
      <c r="B42" s="603" t="s">
        <v>981</v>
      </c>
    </row>
    <row r="43" spans="2:13" x14ac:dyDescent="0.15">
      <c r="B43" s="603" t="s">
        <v>982</v>
      </c>
    </row>
    <row r="44" spans="2:13" x14ac:dyDescent="0.15">
      <c r="B44" s="603" t="s">
        <v>983</v>
      </c>
    </row>
    <row r="45" spans="2:13" x14ac:dyDescent="0.15">
      <c r="B45" s="603" t="s">
        <v>1007</v>
      </c>
    </row>
    <row r="46" spans="2:13" x14ac:dyDescent="0.15">
      <c r="B46" s="603" t="s">
        <v>985</v>
      </c>
    </row>
    <row r="47" spans="2:13" x14ac:dyDescent="0.15">
      <c r="B47" s="603" t="s">
        <v>986</v>
      </c>
    </row>
    <row r="48" spans="2:13" x14ac:dyDescent="0.15">
      <c r="B48" s="603" t="s">
        <v>987</v>
      </c>
    </row>
    <row r="49" spans="2:2" x14ac:dyDescent="0.15">
      <c r="B49" s="603" t="s">
        <v>988</v>
      </c>
    </row>
    <row r="50" spans="2:2" x14ac:dyDescent="0.15">
      <c r="B50" s="603" t="s">
        <v>989</v>
      </c>
    </row>
    <row r="51" spans="2:2" x14ac:dyDescent="0.15">
      <c r="B51" s="603" t="s">
        <v>990</v>
      </c>
    </row>
    <row r="52" spans="2:2" x14ac:dyDescent="0.15">
      <c r="B52" s="603" t="s">
        <v>991</v>
      </c>
    </row>
    <row r="53" spans="2:2" x14ac:dyDescent="0.15">
      <c r="B53" s="603" t="s">
        <v>992</v>
      </c>
    </row>
    <row r="54" spans="2:2" x14ac:dyDescent="0.15">
      <c r="B54" s="603" t="s">
        <v>993</v>
      </c>
    </row>
    <row r="55" spans="2:2" x14ac:dyDescent="0.15">
      <c r="B55" s="603" t="s">
        <v>994</v>
      </c>
    </row>
    <row r="56" spans="2:2" x14ac:dyDescent="0.15">
      <c r="B56" s="603" t="s">
        <v>995</v>
      </c>
    </row>
    <row r="57" spans="2:2" x14ac:dyDescent="0.15">
      <c r="B57" s="603" t="s">
        <v>996</v>
      </c>
    </row>
    <row r="58" spans="2:2" x14ac:dyDescent="0.15">
      <c r="B58" s="603" t="s">
        <v>997</v>
      </c>
    </row>
    <row r="60" spans="2:2" ht="12" x14ac:dyDescent="0.2">
      <c r="B60" s="602" t="s">
        <v>27</v>
      </c>
    </row>
    <row r="61" spans="2:2" x14ac:dyDescent="0.15">
      <c r="B61" s="603" t="s">
        <v>998</v>
      </c>
    </row>
    <row r="62" spans="2:2" x14ac:dyDescent="0.15">
      <c r="B62" s="603" t="s">
        <v>999</v>
      </c>
    </row>
    <row r="63" spans="2:2" x14ac:dyDescent="0.15">
      <c r="B63" s="603" t="s">
        <v>1000</v>
      </c>
    </row>
    <row r="64" spans="2:2" x14ac:dyDescent="0.15">
      <c r="B64" s="603" t="s">
        <v>1008</v>
      </c>
    </row>
    <row r="65" spans="2:2" x14ac:dyDescent="0.15">
      <c r="B65" s="603" t="s">
        <v>1009</v>
      </c>
    </row>
    <row r="66" spans="2:2" x14ac:dyDescent="0.15">
      <c r="B66" s="603" t="s">
        <v>1010</v>
      </c>
    </row>
    <row r="67" spans="2:2" x14ac:dyDescent="0.15">
      <c r="B67" s="603"/>
    </row>
    <row r="68" spans="2:2" x14ac:dyDescent="0.15">
      <c r="B68" s="603"/>
    </row>
  </sheetData>
  <mergeCells count="3">
    <mergeCell ref="C3:M3"/>
    <mergeCell ref="H4:I4"/>
    <mergeCell ref="J4:K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M64"/>
  <sheetViews>
    <sheetView showGridLines="0" workbookViewId="0">
      <selection activeCell="B56" sqref="B56"/>
    </sheetView>
  </sheetViews>
  <sheetFormatPr defaultRowHeight="15" x14ac:dyDescent="0.25"/>
  <cols>
    <col min="1" max="1" width="2.140625" customWidth="1"/>
    <col min="2" max="2" width="39.85546875" customWidth="1"/>
    <col min="3" max="12" width="11.140625" customWidth="1"/>
    <col min="13" max="13" width="12.85546875" customWidth="1"/>
  </cols>
  <sheetData>
    <row r="2" spans="1:12" x14ac:dyDescent="0.25">
      <c r="A2" s="1"/>
      <c r="B2" s="10"/>
      <c r="C2" s="10"/>
      <c r="D2" s="10"/>
      <c r="E2" s="10"/>
      <c r="F2" s="10"/>
      <c r="G2" s="10"/>
      <c r="H2" s="10"/>
    </row>
    <row r="3" spans="1:12" x14ac:dyDescent="0.25">
      <c r="A3" s="1"/>
      <c r="B3" s="100" t="s">
        <v>20</v>
      </c>
      <c r="C3" s="608" t="s">
        <v>164</v>
      </c>
      <c r="D3" s="629"/>
      <c r="E3" s="629"/>
      <c r="F3" s="629"/>
      <c r="G3" s="629"/>
      <c r="H3" s="629"/>
      <c r="I3" s="629"/>
      <c r="J3" s="629"/>
      <c r="K3" s="629"/>
      <c r="L3" s="612"/>
    </row>
    <row r="4" spans="1:12" x14ac:dyDescent="0.25">
      <c r="A4" s="1"/>
      <c r="B4" s="108"/>
      <c r="C4" s="130">
        <v>2015</v>
      </c>
      <c r="D4" s="130">
        <v>2020</v>
      </c>
      <c r="E4" s="130">
        <v>2030</v>
      </c>
      <c r="F4" s="130">
        <v>2050</v>
      </c>
      <c r="G4" s="611" t="s">
        <v>25</v>
      </c>
      <c r="H4" s="612"/>
      <c r="I4" s="611" t="s">
        <v>24</v>
      </c>
      <c r="J4" s="612"/>
      <c r="K4" s="130" t="s">
        <v>19</v>
      </c>
      <c r="L4" s="130" t="s">
        <v>18</v>
      </c>
    </row>
    <row r="5" spans="1:12" x14ac:dyDescent="0.25">
      <c r="A5" s="1"/>
      <c r="B5" s="100" t="s">
        <v>15</v>
      </c>
      <c r="C5" s="100"/>
      <c r="D5" s="100"/>
      <c r="E5" s="100"/>
      <c r="F5" s="100"/>
      <c r="G5" s="100" t="s">
        <v>17</v>
      </c>
      <c r="H5" s="100" t="s">
        <v>16</v>
      </c>
      <c r="I5" s="100" t="s">
        <v>17</v>
      </c>
      <c r="J5" s="100" t="s">
        <v>16</v>
      </c>
      <c r="K5" s="100"/>
      <c r="L5" s="100"/>
    </row>
    <row r="6" spans="1:12" ht="24" x14ac:dyDescent="0.25">
      <c r="A6" s="1"/>
      <c r="B6" s="108" t="s">
        <v>165</v>
      </c>
      <c r="C6" s="626">
        <v>1</v>
      </c>
      <c r="D6" s="627"/>
      <c r="E6" s="627"/>
      <c r="F6" s="628"/>
      <c r="G6" s="110"/>
      <c r="H6" s="110"/>
      <c r="I6" s="110"/>
      <c r="J6" s="110"/>
      <c r="K6" s="110" t="s">
        <v>88</v>
      </c>
      <c r="L6" s="110"/>
    </row>
    <row r="7" spans="1:12" x14ac:dyDescent="0.25">
      <c r="A7" s="1"/>
      <c r="B7" s="108"/>
      <c r="C7" s="626"/>
      <c r="D7" s="627"/>
      <c r="E7" s="627"/>
      <c r="F7" s="628"/>
      <c r="G7" s="110"/>
      <c r="H7" s="110"/>
      <c r="I7" s="110"/>
      <c r="J7" s="110"/>
      <c r="K7" s="110"/>
      <c r="L7" s="110"/>
    </row>
    <row r="8" spans="1:12" x14ac:dyDescent="0.25">
      <c r="A8" s="1"/>
      <c r="B8" s="113" t="s">
        <v>86</v>
      </c>
      <c r="C8" s="110"/>
      <c r="D8" s="110"/>
      <c r="E8" s="110"/>
      <c r="F8" s="110"/>
      <c r="G8" s="110"/>
      <c r="H8" s="110"/>
      <c r="I8" s="110"/>
      <c r="J8" s="110"/>
      <c r="K8" s="110"/>
      <c r="L8" s="110"/>
    </row>
    <row r="9" spans="1:12" x14ac:dyDescent="0.25">
      <c r="A9" s="1"/>
      <c r="B9" s="114" t="s">
        <v>166</v>
      </c>
      <c r="C9" s="199" t="s">
        <v>167</v>
      </c>
      <c r="D9" s="199" t="s">
        <v>167</v>
      </c>
      <c r="E9" s="199" t="s">
        <v>167</v>
      </c>
      <c r="F9" s="199" t="s">
        <v>167</v>
      </c>
      <c r="G9" s="116"/>
      <c r="H9" s="116"/>
      <c r="I9" s="116"/>
      <c r="J9" s="116"/>
      <c r="K9" s="116" t="s">
        <v>168</v>
      </c>
      <c r="L9" s="116"/>
    </row>
    <row r="10" spans="1:12" x14ac:dyDescent="0.25">
      <c r="A10" s="1"/>
      <c r="B10" s="200" t="s">
        <v>169</v>
      </c>
      <c r="C10" s="177">
        <v>6529.1925465838513</v>
      </c>
      <c r="D10" s="177">
        <v>6529.1925465838513</v>
      </c>
      <c r="E10" s="177">
        <v>6529.1925465838513</v>
      </c>
      <c r="F10" s="177">
        <v>6529.1925465838513</v>
      </c>
      <c r="G10" s="116"/>
      <c r="H10" s="116"/>
      <c r="I10" s="116"/>
      <c r="J10" s="116"/>
      <c r="K10" s="116"/>
      <c r="L10" s="116">
        <v>5</v>
      </c>
    </row>
    <row r="11" spans="1:12" x14ac:dyDescent="0.25">
      <c r="A11" s="1"/>
      <c r="B11" s="114" t="s">
        <v>170</v>
      </c>
      <c r="C11" s="178">
        <v>7.6770186335403728E-3</v>
      </c>
      <c r="D11" s="178">
        <v>7.6770186335403728E-3</v>
      </c>
      <c r="E11" s="178">
        <v>7.6770186335403728E-3</v>
      </c>
      <c r="F11" s="178">
        <v>7.6770186335403728E-3</v>
      </c>
      <c r="G11" s="112"/>
      <c r="H11" s="112"/>
      <c r="I11" s="112"/>
      <c r="J11" s="112"/>
      <c r="K11" s="116"/>
      <c r="L11" s="191" t="s">
        <v>171</v>
      </c>
    </row>
    <row r="12" spans="1:12" x14ac:dyDescent="0.25">
      <c r="A12" s="1"/>
      <c r="B12" s="200" t="s">
        <v>172</v>
      </c>
      <c r="C12" s="180">
        <v>10.3</v>
      </c>
      <c r="D12" s="180">
        <v>10.3</v>
      </c>
      <c r="E12" s="180">
        <v>10.3</v>
      </c>
      <c r="F12" s="180">
        <v>10.3</v>
      </c>
      <c r="G12" s="112"/>
      <c r="H12" s="112"/>
      <c r="I12" s="112"/>
      <c r="J12" s="112"/>
      <c r="K12" s="116" t="s">
        <v>5</v>
      </c>
      <c r="L12" s="191"/>
    </row>
    <row r="13" spans="1:12" x14ac:dyDescent="0.25">
      <c r="A13" s="1"/>
      <c r="B13" s="201" t="s">
        <v>173</v>
      </c>
      <c r="C13" s="178">
        <v>1.3863354037267081E-2</v>
      </c>
      <c r="D13" s="178">
        <v>1.3863354037267081E-2</v>
      </c>
      <c r="E13" s="178">
        <v>1.3863354037267081E-2</v>
      </c>
      <c r="F13" s="178">
        <v>1.3863354037267081E-2</v>
      </c>
      <c r="G13" s="119"/>
      <c r="H13" s="119"/>
      <c r="I13" s="116"/>
      <c r="J13" s="116"/>
      <c r="K13" s="116"/>
      <c r="L13" s="111" t="s">
        <v>171</v>
      </c>
    </row>
    <row r="14" spans="1:12" x14ac:dyDescent="0.25">
      <c r="A14" s="1"/>
      <c r="B14" s="202" t="s">
        <v>174</v>
      </c>
      <c r="C14" s="180">
        <v>18.600000000000001</v>
      </c>
      <c r="D14" s="180">
        <v>18.600000000000001</v>
      </c>
      <c r="E14" s="180">
        <v>18.600000000000001</v>
      </c>
      <c r="F14" s="180">
        <v>18.600000000000001</v>
      </c>
      <c r="G14" s="116"/>
      <c r="H14" s="116"/>
      <c r="I14" s="116"/>
      <c r="J14" s="116"/>
      <c r="K14" s="118" t="s">
        <v>5</v>
      </c>
      <c r="L14" s="111"/>
    </row>
    <row r="15" spans="1:12" x14ac:dyDescent="0.25">
      <c r="A15" s="1"/>
      <c r="B15" s="112"/>
      <c r="C15" s="112"/>
      <c r="D15" s="112"/>
      <c r="E15" s="112"/>
      <c r="F15" s="112"/>
      <c r="G15" s="116"/>
      <c r="H15" s="116"/>
      <c r="I15" s="116"/>
      <c r="J15" s="116"/>
      <c r="K15" s="118"/>
      <c r="L15" s="112"/>
    </row>
    <row r="16" spans="1:12" x14ac:dyDescent="0.25">
      <c r="A16" s="1"/>
      <c r="B16" s="120" t="s">
        <v>94</v>
      </c>
      <c r="C16" s="121"/>
      <c r="D16" s="121"/>
      <c r="E16" s="122"/>
      <c r="F16" s="122"/>
      <c r="G16" s="116"/>
      <c r="H16" s="116"/>
      <c r="I16" s="116"/>
      <c r="J16" s="116"/>
      <c r="K16" s="116"/>
      <c r="L16" s="123"/>
    </row>
    <row r="17" spans="1:12" x14ac:dyDescent="0.25">
      <c r="A17" s="1"/>
      <c r="B17" s="124" t="s">
        <v>175</v>
      </c>
      <c r="C17" s="185">
        <v>1</v>
      </c>
      <c r="D17" s="185">
        <v>1</v>
      </c>
      <c r="E17" s="185">
        <v>1</v>
      </c>
      <c r="F17" s="185">
        <v>1</v>
      </c>
      <c r="G17" s="116"/>
      <c r="H17" s="116"/>
      <c r="I17" s="116"/>
      <c r="J17" s="116"/>
      <c r="K17" s="116" t="s">
        <v>144</v>
      </c>
      <c r="L17" s="126"/>
    </row>
    <row r="18" spans="1:12" x14ac:dyDescent="0.25">
      <c r="A18" s="1"/>
      <c r="B18" s="114" t="s">
        <v>176</v>
      </c>
      <c r="C18" s="121">
        <v>4.83</v>
      </c>
      <c r="D18" s="121">
        <v>4.83</v>
      </c>
      <c r="E18" s="121">
        <v>4.83</v>
      </c>
      <c r="F18" s="121">
        <v>4.83</v>
      </c>
      <c r="G18" s="116"/>
      <c r="H18" s="116"/>
      <c r="I18" s="116"/>
      <c r="J18" s="116"/>
      <c r="K18" s="116" t="s">
        <v>177</v>
      </c>
      <c r="L18" s="111" t="s">
        <v>178</v>
      </c>
    </row>
    <row r="19" spans="1:12" x14ac:dyDescent="0.25">
      <c r="A19" s="1"/>
      <c r="B19" s="114" t="s">
        <v>146</v>
      </c>
      <c r="C19" s="121"/>
      <c r="D19" s="121"/>
      <c r="E19" s="121"/>
      <c r="F19" s="121"/>
      <c r="G19" s="116"/>
      <c r="H19" s="116"/>
      <c r="I19" s="116"/>
      <c r="J19" s="116"/>
      <c r="K19" s="116" t="s">
        <v>2</v>
      </c>
      <c r="L19" s="112"/>
    </row>
    <row r="20" spans="1:12" x14ac:dyDescent="0.25">
      <c r="A20" s="1"/>
      <c r="B20" s="114"/>
      <c r="C20" s="121"/>
      <c r="D20" s="121"/>
      <c r="E20" s="121"/>
      <c r="F20" s="121"/>
      <c r="G20" s="110"/>
      <c r="H20" s="110"/>
      <c r="I20" s="110"/>
      <c r="J20" s="110"/>
      <c r="K20" s="116"/>
      <c r="L20" s="123"/>
    </row>
    <row r="21" spans="1:12" x14ac:dyDescent="0.25">
      <c r="A21" s="1"/>
      <c r="B21" s="114" t="s">
        <v>99</v>
      </c>
      <c r="C21" s="116">
        <v>0</v>
      </c>
      <c r="D21" s="116">
        <v>0</v>
      </c>
      <c r="E21" s="128">
        <v>0</v>
      </c>
      <c r="F21" s="129">
        <v>0</v>
      </c>
      <c r="G21" s="110"/>
      <c r="H21" s="110"/>
      <c r="I21" s="110"/>
      <c r="J21" s="110"/>
      <c r="K21" s="116"/>
      <c r="L21" s="123"/>
    </row>
    <row r="22" spans="1:12" x14ac:dyDescent="0.25">
      <c r="A22" s="1"/>
      <c r="B22" s="114" t="s">
        <v>100</v>
      </c>
      <c r="C22" s="116">
        <v>10</v>
      </c>
      <c r="D22" s="116">
        <v>10</v>
      </c>
      <c r="E22" s="116">
        <v>10</v>
      </c>
      <c r="F22" s="116">
        <v>10</v>
      </c>
      <c r="G22" s="110"/>
      <c r="H22" s="110"/>
      <c r="I22" s="110"/>
      <c r="J22" s="110"/>
      <c r="K22" s="116"/>
      <c r="L22" s="116"/>
    </row>
    <row r="23" spans="1:12" x14ac:dyDescent="0.25">
      <c r="A23" s="1"/>
      <c r="B23" s="108" t="s">
        <v>14</v>
      </c>
      <c r="C23" s="116">
        <v>20</v>
      </c>
      <c r="D23" s="116">
        <v>20</v>
      </c>
      <c r="E23" s="128">
        <v>20</v>
      </c>
      <c r="F23" s="129">
        <v>20</v>
      </c>
      <c r="G23" s="110"/>
      <c r="H23" s="110"/>
      <c r="I23" s="110"/>
      <c r="J23" s="110"/>
      <c r="K23" s="110"/>
      <c r="L23" s="110"/>
    </row>
    <row r="24" spans="1:12" x14ac:dyDescent="0.25">
      <c r="A24" s="1"/>
      <c r="B24" s="108" t="s">
        <v>12</v>
      </c>
      <c r="C24" s="116">
        <v>1</v>
      </c>
      <c r="D24" s="116">
        <v>1</v>
      </c>
      <c r="E24" s="128">
        <v>1</v>
      </c>
      <c r="F24" s="129">
        <v>1</v>
      </c>
      <c r="G24" s="136"/>
      <c r="H24" s="136"/>
      <c r="I24" s="136"/>
      <c r="J24" s="136"/>
      <c r="K24" s="110"/>
      <c r="L24" s="110"/>
    </row>
    <row r="25" spans="1:12" x14ac:dyDescent="0.25">
      <c r="A25" s="1"/>
      <c r="B25" s="108"/>
      <c r="C25" s="110"/>
      <c r="D25" s="110"/>
      <c r="E25" s="110"/>
      <c r="F25" s="110"/>
      <c r="G25" s="110"/>
      <c r="H25" s="110"/>
      <c r="I25" s="110"/>
      <c r="J25" s="110"/>
      <c r="K25" s="110"/>
      <c r="L25" s="110"/>
    </row>
    <row r="26" spans="1:12" x14ac:dyDescent="0.25">
      <c r="A26" s="1"/>
      <c r="B26" s="187" t="s">
        <v>9</v>
      </c>
      <c r="C26" s="203"/>
      <c r="D26" s="203"/>
      <c r="E26" s="203"/>
      <c r="F26" s="203"/>
      <c r="G26" s="110"/>
      <c r="H26" s="110"/>
      <c r="I26" s="110"/>
      <c r="J26" s="110"/>
      <c r="K26" s="130"/>
      <c r="L26" s="100"/>
    </row>
    <row r="27" spans="1:12" x14ac:dyDescent="0.25">
      <c r="A27" s="1"/>
      <c r="B27" s="114" t="s">
        <v>179</v>
      </c>
      <c r="C27" s="125">
        <v>276050.42016806721</v>
      </c>
      <c r="D27" s="125">
        <v>276050.42016806721</v>
      </c>
      <c r="E27" s="125">
        <v>276050.42016806721</v>
      </c>
      <c r="F27" s="125">
        <v>276050.42016806721</v>
      </c>
      <c r="G27" s="190"/>
      <c r="H27" s="190"/>
      <c r="I27" s="190"/>
      <c r="J27" s="190"/>
      <c r="K27" s="110" t="s">
        <v>180</v>
      </c>
      <c r="L27" s="111" t="s">
        <v>107</v>
      </c>
    </row>
    <row r="28" spans="1:12" x14ac:dyDescent="0.25">
      <c r="A28" s="1"/>
      <c r="B28" s="200" t="s">
        <v>181</v>
      </c>
      <c r="C28" s="135">
        <v>42.279411764705877</v>
      </c>
      <c r="D28" s="135">
        <v>42.279411764705877</v>
      </c>
      <c r="E28" s="135">
        <v>42.279411764705877</v>
      </c>
      <c r="F28" s="135">
        <v>42.279411764705877</v>
      </c>
      <c r="G28" s="110"/>
      <c r="H28" s="110"/>
      <c r="I28" s="110"/>
      <c r="J28" s="110"/>
      <c r="K28" s="110" t="s">
        <v>180</v>
      </c>
      <c r="L28" s="204"/>
    </row>
    <row r="29" spans="1:12" x14ac:dyDescent="0.25">
      <c r="A29" s="1"/>
      <c r="B29" s="114" t="s">
        <v>104</v>
      </c>
      <c r="C29" s="125">
        <f>C30*C10</f>
        <v>49500.2802219816</v>
      </c>
      <c r="D29" s="125">
        <f t="shared" ref="D29:F29" si="0">D30*D10</f>
        <v>49903.784321360479</v>
      </c>
      <c r="E29" s="125">
        <f t="shared" si="0"/>
        <v>52055.806184714507</v>
      </c>
      <c r="F29" s="125">
        <f t="shared" si="0"/>
        <v>53131.817116391525</v>
      </c>
      <c r="G29" s="145"/>
      <c r="H29" s="145"/>
      <c r="I29" s="112"/>
      <c r="J29" s="112"/>
      <c r="K29" s="110" t="s">
        <v>182</v>
      </c>
      <c r="L29" s="111" t="s">
        <v>107</v>
      </c>
    </row>
    <row r="30" spans="1:12" x14ac:dyDescent="0.25">
      <c r="A30" s="1"/>
      <c r="B30" s="200" t="s">
        <v>183</v>
      </c>
      <c r="C30" s="141">
        <f>C31+C32+C33</f>
        <v>7.5813785347593576</v>
      </c>
      <c r="D30" s="141">
        <f t="shared" ref="D30:F30" si="1">D31+D32+D33</f>
        <v>7.6431785347593575</v>
      </c>
      <c r="E30" s="141">
        <f t="shared" si="1"/>
        <v>7.9727785347593567</v>
      </c>
      <c r="F30" s="141">
        <f t="shared" si="1"/>
        <v>8.1375785347593563</v>
      </c>
      <c r="G30" s="142"/>
      <c r="H30" s="142"/>
      <c r="I30" s="112"/>
      <c r="J30" s="112"/>
      <c r="K30" s="110" t="s">
        <v>182</v>
      </c>
      <c r="L30" s="204"/>
    </row>
    <row r="31" spans="1:12" ht="24" x14ac:dyDescent="0.25">
      <c r="A31" s="1"/>
      <c r="B31" s="138" t="s">
        <v>108</v>
      </c>
      <c r="C31" s="141">
        <v>6.5224785347593564</v>
      </c>
      <c r="D31" s="141">
        <v>6.5224785347593564</v>
      </c>
      <c r="E31" s="141">
        <v>6.5224785347593564</v>
      </c>
      <c r="F31" s="141">
        <v>6.5224785347593564</v>
      </c>
      <c r="G31" s="142"/>
      <c r="H31" s="142"/>
      <c r="I31" s="112"/>
      <c r="J31" s="112"/>
      <c r="K31" s="110"/>
      <c r="L31" s="204"/>
    </row>
    <row r="32" spans="1:12" x14ac:dyDescent="0.25">
      <c r="A32" s="1"/>
      <c r="B32" s="138" t="s">
        <v>109</v>
      </c>
      <c r="C32" s="135">
        <f>63*C12/1000</f>
        <v>0.64890000000000014</v>
      </c>
      <c r="D32" s="135">
        <f>69*D12/1000</f>
        <v>0.7107</v>
      </c>
      <c r="E32" s="135">
        <f>101*E12/1000</f>
        <v>1.0403000000000002</v>
      </c>
      <c r="F32" s="135">
        <f>117*F12/1000</f>
        <v>1.2051000000000001</v>
      </c>
      <c r="G32" s="142"/>
      <c r="H32" s="142"/>
      <c r="I32" s="112"/>
      <c r="J32" s="112"/>
      <c r="K32" s="110" t="s">
        <v>110</v>
      </c>
      <c r="L32" s="204"/>
    </row>
    <row r="33" spans="1:13" x14ac:dyDescent="0.25">
      <c r="A33" s="1"/>
      <c r="B33" s="138" t="s">
        <v>111</v>
      </c>
      <c r="C33" s="135">
        <f>0.0220430107526882*C14</f>
        <v>0.41000000000000059</v>
      </c>
      <c r="D33" s="135">
        <f t="shared" ref="D33:F33" si="2">0.0220430107526882*D14</f>
        <v>0.41000000000000059</v>
      </c>
      <c r="E33" s="135">
        <f t="shared" si="2"/>
        <v>0.41000000000000059</v>
      </c>
      <c r="F33" s="135">
        <f t="shared" si="2"/>
        <v>0.41000000000000059</v>
      </c>
      <c r="G33" s="142"/>
      <c r="H33" s="142"/>
      <c r="I33" s="112"/>
      <c r="J33" s="112"/>
      <c r="K33" s="110"/>
      <c r="L33" s="204"/>
    </row>
    <row r="34" spans="1:13" x14ac:dyDescent="0.25">
      <c r="A34" s="1"/>
      <c r="B34" s="108"/>
      <c r="C34" s="205"/>
      <c r="D34" s="205"/>
      <c r="E34" s="206"/>
      <c r="F34" s="206"/>
      <c r="G34" s="145"/>
      <c r="H34" s="145"/>
      <c r="I34" s="112"/>
      <c r="J34" s="112"/>
      <c r="K34" s="118"/>
      <c r="L34" s="111"/>
    </row>
    <row r="35" spans="1:13" x14ac:dyDescent="0.25">
      <c r="A35" s="1"/>
      <c r="B35" s="192" t="s">
        <v>112</v>
      </c>
      <c r="C35" s="141"/>
      <c r="D35" s="141"/>
      <c r="E35" s="141"/>
      <c r="F35" s="141"/>
      <c r="G35" s="142"/>
      <c r="H35" s="142"/>
      <c r="I35" s="112"/>
      <c r="J35" s="112"/>
      <c r="K35" s="118"/>
      <c r="L35" s="191"/>
    </row>
    <row r="36" spans="1:13" x14ac:dyDescent="0.25">
      <c r="A36" s="1"/>
      <c r="B36" s="114" t="s">
        <v>152</v>
      </c>
      <c r="C36" s="141">
        <v>4</v>
      </c>
      <c r="D36" s="141">
        <v>4.4000000000000004</v>
      </c>
      <c r="E36" s="141">
        <v>4.4000000000000004</v>
      </c>
      <c r="F36" s="141">
        <v>4.4000000000000004</v>
      </c>
      <c r="G36" s="145">
        <v>1.8</v>
      </c>
      <c r="H36" s="145">
        <v>9.1999999999999993</v>
      </c>
      <c r="I36" s="145">
        <v>1.8</v>
      </c>
      <c r="J36" s="145">
        <v>9.1999999999999993</v>
      </c>
      <c r="K36" s="118" t="s">
        <v>41</v>
      </c>
      <c r="L36" s="191" t="s">
        <v>114</v>
      </c>
    </row>
    <row r="37" spans="1:13" hidden="1" x14ac:dyDescent="0.25">
      <c r="A37" s="1"/>
      <c r="C37" s="99"/>
      <c r="D37" s="207"/>
      <c r="E37" s="207"/>
      <c r="F37" s="207"/>
      <c r="G37" s="207"/>
      <c r="H37" s="92"/>
      <c r="I37" s="92"/>
      <c r="J37" s="10"/>
      <c r="K37" s="10"/>
      <c r="L37" s="208"/>
      <c r="M37" s="209"/>
    </row>
    <row r="38" spans="1:13" hidden="1" x14ac:dyDescent="0.25">
      <c r="A38" s="606"/>
      <c r="B38" s="606"/>
      <c r="C38" s="606"/>
      <c r="D38" s="606"/>
      <c r="E38" s="606"/>
      <c r="F38" s="606"/>
      <c r="G38" s="606"/>
      <c r="H38" s="606"/>
      <c r="I38" s="606"/>
      <c r="J38" s="99"/>
      <c r="K38" s="146"/>
      <c r="L38" s="606"/>
      <c r="M38" s="606"/>
    </row>
    <row r="39" spans="1:13" hidden="1" x14ac:dyDescent="0.25">
      <c r="A39" s="146"/>
      <c r="C39" s="606"/>
      <c r="D39" s="606"/>
      <c r="E39" s="606"/>
      <c r="F39" s="606"/>
      <c r="G39" s="606"/>
      <c r="H39" s="606"/>
      <c r="I39" s="606"/>
      <c r="J39" s="606"/>
      <c r="K39" s="606"/>
      <c r="L39" s="606"/>
      <c r="M39" s="606"/>
    </row>
    <row r="40" spans="1:13" hidden="1" x14ac:dyDescent="0.25">
      <c r="A40" s="146"/>
      <c r="B40" s="606"/>
      <c r="C40" s="606"/>
      <c r="D40" s="606"/>
      <c r="E40" s="606"/>
      <c r="F40" s="606"/>
      <c r="G40" s="606"/>
      <c r="H40" s="606"/>
      <c r="I40" s="606"/>
      <c r="J40" s="606"/>
      <c r="K40" s="146"/>
      <c r="L40" s="606"/>
      <c r="M40" s="606"/>
    </row>
    <row r="41" spans="1:13" hidden="1" x14ac:dyDescent="0.25">
      <c r="A41" s="170"/>
      <c r="C41" s="606"/>
      <c r="D41" s="606"/>
      <c r="E41" s="606"/>
      <c r="F41" s="606"/>
      <c r="G41" s="606"/>
      <c r="H41" s="606"/>
      <c r="I41" s="606"/>
      <c r="J41" s="606"/>
      <c r="K41" s="606"/>
      <c r="L41" s="606"/>
      <c r="M41" s="606"/>
    </row>
    <row r="42" spans="1:13" hidden="1" x14ac:dyDescent="0.25">
      <c r="A42" s="170"/>
      <c r="B42" s="606"/>
      <c r="C42" s="606"/>
      <c r="D42" s="606"/>
      <c r="E42" s="606"/>
      <c r="F42" s="606"/>
      <c r="G42" s="606"/>
      <c r="H42" s="606"/>
      <c r="I42" s="606"/>
      <c r="J42" s="606"/>
      <c r="K42" s="146"/>
      <c r="L42" s="606"/>
      <c r="M42" s="606"/>
    </row>
    <row r="43" spans="1:13" hidden="1" x14ac:dyDescent="0.25">
      <c r="A43" s="146"/>
      <c r="B43" s="197"/>
      <c r="C43" s="99"/>
      <c r="D43" s="99"/>
      <c r="E43" s="99"/>
      <c r="F43" s="99"/>
      <c r="G43" s="99"/>
      <c r="H43" s="99"/>
      <c r="I43" s="99"/>
      <c r="J43" s="99"/>
      <c r="K43" s="146"/>
      <c r="L43" s="606"/>
      <c r="M43" s="606"/>
    </row>
    <row r="44" spans="1:13" hidden="1" x14ac:dyDescent="0.25">
      <c r="A44" s="146"/>
      <c r="B44" s="99"/>
      <c r="C44" s="99"/>
      <c r="D44" s="99"/>
      <c r="E44" s="99"/>
      <c r="F44" s="99"/>
      <c r="G44" s="99"/>
      <c r="H44" s="99"/>
      <c r="I44" s="99"/>
      <c r="J44" s="99"/>
      <c r="K44" s="146"/>
      <c r="L44" s="606"/>
      <c r="M44" s="606"/>
    </row>
    <row r="45" spans="1:13" x14ac:dyDescent="0.25">
      <c r="A45" s="606"/>
      <c r="B45" s="606"/>
      <c r="C45" s="148"/>
      <c r="D45" s="148"/>
      <c r="E45" s="148"/>
      <c r="F45" s="148"/>
      <c r="G45" s="148"/>
      <c r="H45" s="148"/>
      <c r="I45" s="148"/>
      <c r="J45" s="148"/>
      <c r="K45" s="146"/>
      <c r="L45" s="606"/>
      <c r="M45" s="606"/>
    </row>
    <row r="46" spans="1:13" x14ac:dyDescent="0.25">
      <c r="A46" s="624" t="s">
        <v>6</v>
      </c>
      <c r="B46" s="624"/>
      <c r="C46" s="148"/>
      <c r="D46" s="148"/>
      <c r="E46" s="148"/>
      <c r="F46" s="148"/>
      <c r="G46" s="148"/>
      <c r="H46" s="148"/>
      <c r="I46" s="148"/>
      <c r="J46" s="148"/>
      <c r="K46" s="146"/>
      <c r="L46" s="606"/>
      <c r="M46" s="606"/>
    </row>
    <row r="47" spans="1:13" x14ac:dyDescent="0.25">
      <c r="A47" s="149" t="s">
        <v>5</v>
      </c>
      <c r="B47" s="405" t="s">
        <v>667</v>
      </c>
      <c r="C47" s="405"/>
      <c r="D47" s="405"/>
      <c r="E47" s="405"/>
      <c r="F47" s="405"/>
      <c r="G47" s="405"/>
      <c r="H47" s="405"/>
      <c r="I47" s="405"/>
      <c r="J47" s="405"/>
      <c r="K47" s="405"/>
      <c r="L47" s="405"/>
      <c r="M47" s="405"/>
    </row>
    <row r="48" spans="1:13" ht="15" customHeight="1" x14ac:dyDescent="0.25">
      <c r="A48" s="149" t="s">
        <v>4</v>
      </c>
      <c r="B48" s="405" t="s">
        <v>157</v>
      </c>
      <c r="C48" s="405"/>
      <c r="D48" s="405"/>
      <c r="E48" s="405"/>
      <c r="F48" s="405"/>
      <c r="G48" s="405"/>
      <c r="H48" s="405"/>
      <c r="I48" s="405"/>
      <c r="J48" s="405"/>
      <c r="K48" s="405"/>
      <c r="L48" s="405"/>
      <c r="M48" s="405"/>
    </row>
    <row r="49" spans="1:13" x14ac:dyDescent="0.25">
      <c r="A49" s="149" t="s">
        <v>3</v>
      </c>
      <c r="B49" s="404" t="s">
        <v>158</v>
      </c>
      <c r="C49" s="404"/>
      <c r="D49" s="404"/>
      <c r="E49" s="404"/>
      <c r="F49" s="404"/>
      <c r="G49" s="404"/>
      <c r="H49" s="404"/>
      <c r="I49" s="404"/>
      <c r="J49" s="404"/>
      <c r="K49" s="404"/>
      <c r="L49" s="404"/>
      <c r="M49" s="404"/>
    </row>
    <row r="50" spans="1:13" ht="15" customHeight="1" x14ac:dyDescent="0.25">
      <c r="A50" s="149" t="s">
        <v>2</v>
      </c>
      <c r="B50" s="399" t="s">
        <v>159</v>
      </c>
      <c r="C50" s="405"/>
      <c r="D50" s="405"/>
      <c r="E50" s="405"/>
      <c r="F50" s="405"/>
      <c r="G50" s="405"/>
      <c r="H50" s="405"/>
      <c r="I50" s="405"/>
      <c r="J50" s="405"/>
      <c r="K50" s="405"/>
      <c r="L50" s="405"/>
      <c r="M50" s="405"/>
    </row>
    <row r="51" spans="1:13" ht="15" customHeight="1" x14ac:dyDescent="0.25">
      <c r="A51" s="149" t="s">
        <v>1</v>
      </c>
      <c r="B51" s="405" t="s">
        <v>160</v>
      </c>
      <c r="C51" s="405"/>
      <c r="D51" s="405"/>
      <c r="E51" s="405"/>
      <c r="F51" s="405"/>
      <c r="G51" s="405"/>
      <c r="H51" s="405"/>
      <c r="I51" s="405"/>
      <c r="J51" s="405"/>
      <c r="K51" s="146"/>
      <c r="L51" s="91"/>
      <c r="M51" s="91"/>
    </row>
    <row r="52" spans="1:13" ht="15" customHeight="1" x14ac:dyDescent="0.25">
      <c r="A52" s="149" t="s">
        <v>0</v>
      </c>
      <c r="B52" s="405" t="s">
        <v>184</v>
      </c>
      <c r="C52" s="405"/>
      <c r="D52" s="405"/>
      <c r="E52" s="405"/>
      <c r="F52" s="405"/>
      <c r="G52" s="405"/>
      <c r="H52" s="405"/>
      <c r="I52" s="405"/>
      <c r="J52" s="405"/>
      <c r="K52" s="405"/>
      <c r="L52" s="405"/>
      <c r="M52" s="405"/>
    </row>
    <row r="53" spans="1:13" ht="15" customHeight="1" x14ac:dyDescent="0.25">
      <c r="A53" s="149" t="s">
        <v>40</v>
      </c>
      <c r="B53" s="91" t="s">
        <v>162</v>
      </c>
      <c r="C53" s="91"/>
      <c r="D53" s="91"/>
      <c r="E53" s="91"/>
      <c r="F53" s="91"/>
      <c r="G53" s="91"/>
      <c r="H53" s="91"/>
      <c r="I53" s="91"/>
      <c r="J53" s="91"/>
      <c r="K53" s="91"/>
      <c r="L53" s="91"/>
      <c r="M53" s="91"/>
    </row>
    <row r="54" spans="1:13" ht="15" customHeight="1" x14ac:dyDescent="0.25">
      <c r="A54" s="149" t="s">
        <v>41</v>
      </c>
      <c r="B54" s="91" t="s">
        <v>163</v>
      </c>
      <c r="C54" s="91"/>
      <c r="D54" s="91"/>
      <c r="E54" s="91"/>
      <c r="F54" s="91"/>
      <c r="G54" s="91"/>
      <c r="H54" s="91"/>
      <c r="I54" s="91"/>
      <c r="J54" s="91"/>
      <c r="K54" s="91"/>
      <c r="L54" s="406"/>
      <c r="M54" s="406"/>
    </row>
    <row r="55" spans="1:13" ht="15" customHeight="1" x14ac:dyDescent="0.25">
      <c r="A55" s="149" t="s">
        <v>98</v>
      </c>
      <c r="B55" s="404" t="s">
        <v>185</v>
      </c>
      <c r="C55" s="404"/>
      <c r="D55" s="404"/>
      <c r="E55" s="404"/>
      <c r="F55" s="404"/>
      <c r="G55" s="404"/>
      <c r="H55" s="404"/>
      <c r="I55" s="404"/>
      <c r="J55" s="404"/>
      <c r="K55" s="406"/>
      <c r="L55" s="406"/>
      <c r="M55" s="406"/>
    </row>
    <row r="56" spans="1:13" ht="15" customHeight="1" x14ac:dyDescent="0.25">
      <c r="A56" s="149" t="s">
        <v>110</v>
      </c>
      <c r="B56" s="247" t="s">
        <v>129</v>
      </c>
      <c r="C56" s="247"/>
      <c r="D56" s="247"/>
      <c r="E56" s="247"/>
      <c r="F56" s="247"/>
      <c r="G56" s="247"/>
      <c r="H56" s="247"/>
      <c r="I56" s="247"/>
      <c r="J56" s="247"/>
      <c r="K56" s="247"/>
      <c r="L56" s="247"/>
      <c r="M56" s="399"/>
    </row>
    <row r="57" spans="1:13" x14ac:dyDescent="0.25">
      <c r="A57" s="149" t="s">
        <v>168</v>
      </c>
      <c r="B57" s="210" t="s">
        <v>186</v>
      </c>
      <c r="C57" s="210"/>
      <c r="D57" s="210"/>
      <c r="E57" s="210"/>
      <c r="F57" s="210"/>
      <c r="G57" s="210"/>
      <c r="H57" s="210"/>
      <c r="I57" s="210"/>
      <c r="J57" s="210"/>
      <c r="K57" s="210"/>
      <c r="L57" s="210"/>
      <c r="M57" s="399"/>
    </row>
    <row r="58" spans="1:13" x14ac:dyDescent="0.25">
      <c r="B58" s="210" t="s">
        <v>187</v>
      </c>
      <c r="C58" s="210"/>
      <c r="D58" s="210"/>
      <c r="E58" s="210"/>
      <c r="F58" s="210"/>
      <c r="G58" s="210"/>
      <c r="H58" s="210"/>
      <c r="I58" s="210"/>
      <c r="J58" s="210"/>
      <c r="K58" s="210"/>
      <c r="L58" s="210"/>
      <c r="M58" s="399"/>
    </row>
    <row r="59" spans="1:13" x14ac:dyDescent="0.25">
      <c r="C59" s="210"/>
      <c r="D59" s="397"/>
      <c r="E59" s="397"/>
      <c r="F59" s="397"/>
      <c r="G59" s="397"/>
      <c r="H59" s="397"/>
      <c r="I59" s="397"/>
      <c r="J59" s="397"/>
      <c r="K59" s="397"/>
      <c r="L59" s="397"/>
      <c r="M59" s="397"/>
    </row>
    <row r="60" spans="1:13" x14ac:dyDescent="0.25">
      <c r="A60" s="147" t="s">
        <v>27</v>
      </c>
    </row>
    <row r="61" spans="1:13" x14ac:dyDescent="0.25">
      <c r="A61" s="1">
        <v>5</v>
      </c>
      <c r="B61" s="398" t="s">
        <v>130</v>
      </c>
      <c r="C61" s="398"/>
      <c r="D61" s="398"/>
      <c r="E61" s="398"/>
      <c r="F61" s="398"/>
      <c r="G61" s="398"/>
      <c r="H61" s="398"/>
      <c r="I61" s="398"/>
      <c r="J61" s="398"/>
    </row>
    <row r="62" spans="1:13" x14ac:dyDescent="0.25">
      <c r="A62" s="1">
        <v>8</v>
      </c>
      <c r="B62" s="398" t="s">
        <v>131</v>
      </c>
      <c r="C62" s="398"/>
      <c r="D62" s="398"/>
      <c r="E62" s="398"/>
      <c r="F62" s="398"/>
      <c r="G62" s="398"/>
      <c r="H62" s="398"/>
    </row>
    <row r="63" spans="1:13" x14ac:dyDescent="0.25">
      <c r="A63" s="1">
        <v>9</v>
      </c>
      <c r="B63" s="398" t="s">
        <v>132</v>
      </c>
      <c r="C63" s="398"/>
      <c r="D63" s="398"/>
      <c r="E63" s="398"/>
      <c r="F63" s="398"/>
      <c r="G63" s="398"/>
      <c r="H63" s="398"/>
      <c r="I63" s="398"/>
      <c r="J63" s="398"/>
    </row>
    <row r="64" spans="1:13" x14ac:dyDescent="0.25">
      <c r="A64" s="1">
        <v>12</v>
      </c>
      <c r="B64" s="398" t="s">
        <v>133</v>
      </c>
      <c r="C64" s="398"/>
      <c r="D64" s="398"/>
      <c r="E64" s="398"/>
      <c r="F64" s="398"/>
      <c r="G64" s="398"/>
      <c r="H64" s="398"/>
      <c r="I64" s="398"/>
      <c r="J64" s="398"/>
    </row>
  </sheetData>
  <mergeCells count="21">
    <mergeCell ref="C41:K41"/>
    <mergeCell ref="L41:M41"/>
    <mergeCell ref="B42:J42"/>
    <mergeCell ref="L42:M42"/>
    <mergeCell ref="L43:M43"/>
    <mergeCell ref="L44:M44"/>
    <mergeCell ref="A45:B45"/>
    <mergeCell ref="L45:M45"/>
    <mergeCell ref="A46:B46"/>
    <mergeCell ref="L46:M46"/>
    <mergeCell ref="A38:I38"/>
    <mergeCell ref="L38:M38"/>
    <mergeCell ref="C39:K39"/>
    <mergeCell ref="L39:M39"/>
    <mergeCell ref="B40:J40"/>
    <mergeCell ref="L40:M40"/>
    <mergeCell ref="C7:F7"/>
    <mergeCell ref="C3:L3"/>
    <mergeCell ref="G4:H4"/>
    <mergeCell ref="I4:J4"/>
    <mergeCell ref="C6:F6"/>
  </mergeCells>
  <hyperlinks>
    <hyperlink ref="C3" location="INDEX" display="Biogas plant, additional industrial organic waste in the feedstock mi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P70"/>
  <sheetViews>
    <sheetView showGridLines="0" workbookViewId="0">
      <selection activeCell="D18" sqref="D18"/>
    </sheetView>
  </sheetViews>
  <sheetFormatPr defaultRowHeight="15" x14ac:dyDescent="0.25"/>
  <cols>
    <col min="1" max="1" width="2.140625" customWidth="1"/>
    <col min="2" max="2" width="39.85546875" customWidth="1"/>
    <col min="3" max="10" width="9.5703125" customWidth="1"/>
    <col min="11" max="11" width="9.7109375" bestFit="1" customWidth="1"/>
    <col min="12" max="12" width="9.28515625" customWidth="1"/>
    <col min="13" max="13" width="9" bestFit="1" customWidth="1"/>
    <col min="14" max="14" width="9.42578125" customWidth="1"/>
    <col min="15" max="15" width="7.28515625" customWidth="1"/>
    <col min="16" max="16" width="12.85546875" customWidth="1"/>
  </cols>
  <sheetData>
    <row r="2" spans="1:12" ht="20.25" customHeight="1" x14ac:dyDescent="0.3">
      <c r="A2" s="5"/>
      <c r="B2" s="16"/>
      <c r="C2" s="400"/>
      <c r="D2" s="401"/>
      <c r="E2" s="401"/>
      <c r="F2" s="401"/>
      <c r="G2" s="401"/>
      <c r="H2" s="401"/>
      <c r="I2" s="401"/>
      <c r="J2" s="401"/>
      <c r="K2" s="401"/>
      <c r="L2" s="211"/>
    </row>
    <row r="3" spans="1:12" x14ac:dyDescent="0.25">
      <c r="A3" s="5"/>
      <c r="B3" s="100" t="s">
        <v>20</v>
      </c>
      <c r="C3" s="608" t="s">
        <v>188</v>
      </c>
      <c r="D3" s="609"/>
      <c r="E3" s="609"/>
      <c r="F3" s="609"/>
      <c r="G3" s="609"/>
      <c r="H3" s="609"/>
      <c r="I3" s="609"/>
      <c r="J3" s="609"/>
      <c r="K3" s="609"/>
      <c r="L3" s="610"/>
    </row>
    <row r="4" spans="1:12" x14ac:dyDescent="0.25">
      <c r="A4" s="5"/>
      <c r="B4" s="101"/>
      <c r="C4" s="102">
        <v>2015</v>
      </c>
      <c r="D4" s="102">
        <v>2020</v>
      </c>
      <c r="E4" s="102">
        <v>2030</v>
      </c>
      <c r="F4" s="102">
        <v>2050</v>
      </c>
      <c r="G4" s="611" t="s">
        <v>25</v>
      </c>
      <c r="H4" s="612"/>
      <c r="I4" s="611" t="s">
        <v>24</v>
      </c>
      <c r="J4" s="612"/>
      <c r="K4" s="102" t="s">
        <v>19</v>
      </c>
      <c r="L4" s="102" t="s">
        <v>18</v>
      </c>
    </row>
    <row r="5" spans="1:12" x14ac:dyDescent="0.25">
      <c r="A5" s="5"/>
      <c r="B5" s="212" t="s">
        <v>15</v>
      </c>
      <c r="C5" s="213"/>
      <c r="D5" s="213"/>
      <c r="E5" s="213"/>
      <c r="F5" s="213"/>
      <c r="G5" s="213" t="s">
        <v>17</v>
      </c>
      <c r="H5" s="213" t="s">
        <v>16</v>
      </c>
      <c r="I5" s="213" t="s">
        <v>17</v>
      </c>
      <c r="J5" s="213" t="s">
        <v>16</v>
      </c>
      <c r="K5" s="213"/>
      <c r="L5" s="214"/>
    </row>
    <row r="6" spans="1:12" x14ac:dyDescent="0.25">
      <c r="A6" s="5"/>
      <c r="B6" s="108" t="s">
        <v>189</v>
      </c>
      <c r="C6" s="127">
        <v>5.92218</v>
      </c>
      <c r="D6" s="127">
        <v>5.92218</v>
      </c>
      <c r="E6" s="127">
        <v>5.92218</v>
      </c>
      <c r="F6" s="127">
        <v>5.92218</v>
      </c>
      <c r="G6" s="110"/>
      <c r="H6" s="110"/>
      <c r="I6" s="110"/>
      <c r="J6" s="110"/>
      <c r="K6" s="110" t="s">
        <v>190</v>
      </c>
      <c r="L6" s="110"/>
    </row>
    <row r="7" spans="1:12" x14ac:dyDescent="0.25">
      <c r="A7" s="5"/>
      <c r="B7" s="108" t="s">
        <v>191</v>
      </c>
      <c r="C7" s="215">
        <v>1000</v>
      </c>
      <c r="D7" s="215">
        <v>1000</v>
      </c>
      <c r="E7" s="110">
        <v>1000</v>
      </c>
      <c r="F7" s="110">
        <v>1000</v>
      </c>
      <c r="G7" s="110"/>
      <c r="H7" s="110"/>
      <c r="I7" s="110"/>
      <c r="J7" s="110"/>
      <c r="K7" s="110" t="s">
        <v>88</v>
      </c>
      <c r="L7" s="111" t="s">
        <v>192</v>
      </c>
    </row>
    <row r="8" spans="1:12" x14ac:dyDescent="0.25">
      <c r="A8" s="5"/>
      <c r="B8" s="216" t="s">
        <v>193</v>
      </c>
      <c r="C8" s="215">
        <v>594</v>
      </c>
      <c r="D8" s="215">
        <v>594</v>
      </c>
      <c r="E8" s="215">
        <v>594</v>
      </c>
      <c r="F8" s="215">
        <v>594</v>
      </c>
      <c r="G8" s="110"/>
      <c r="H8" s="110"/>
      <c r="I8" s="110"/>
      <c r="J8" s="110"/>
      <c r="K8" s="110" t="s">
        <v>88</v>
      </c>
      <c r="L8" s="110"/>
    </row>
    <row r="9" spans="1:12" x14ac:dyDescent="0.25">
      <c r="A9" s="5"/>
      <c r="B9" s="217"/>
      <c r="C9" s="217"/>
      <c r="D9" s="217"/>
      <c r="E9" s="217"/>
      <c r="F9" s="217"/>
      <c r="G9" s="217"/>
      <c r="H9" s="217"/>
      <c r="I9" s="217"/>
      <c r="J9" s="217"/>
      <c r="K9" s="217"/>
      <c r="L9" s="217"/>
    </row>
    <row r="10" spans="1:12" x14ac:dyDescent="0.25">
      <c r="A10" s="5"/>
      <c r="B10" s="113" t="s">
        <v>86</v>
      </c>
      <c r="C10" s="110"/>
      <c r="D10" s="110"/>
      <c r="E10" s="110"/>
      <c r="F10" s="110"/>
      <c r="G10" s="110"/>
      <c r="H10" s="110"/>
      <c r="I10" s="110"/>
      <c r="J10" s="110"/>
      <c r="K10" s="110"/>
      <c r="L10" s="110"/>
    </row>
    <row r="11" spans="1:12" x14ac:dyDescent="0.25">
      <c r="A11" s="5"/>
      <c r="B11" s="108" t="s">
        <v>194</v>
      </c>
      <c r="C11" s="218">
        <v>1</v>
      </c>
      <c r="D11" s="219">
        <v>100</v>
      </c>
      <c r="E11" s="219">
        <v>100</v>
      </c>
      <c r="F11" s="219">
        <v>100</v>
      </c>
      <c r="G11" s="110"/>
      <c r="H11" s="110"/>
      <c r="I11" s="110"/>
      <c r="J11" s="110"/>
      <c r="K11" s="110"/>
      <c r="L11" s="110"/>
    </row>
    <row r="12" spans="1:12" ht="24" x14ac:dyDescent="0.25">
      <c r="A12" s="5"/>
      <c r="B12" s="108" t="s">
        <v>195</v>
      </c>
      <c r="C12" s="220">
        <v>4.3129388164493486E-2</v>
      </c>
      <c r="D12" s="220">
        <v>4.3129388164493486E-2</v>
      </c>
      <c r="E12" s="220">
        <v>2.1564694082246743E-2</v>
      </c>
      <c r="F12" s="220">
        <v>2.1564694082246743E-2</v>
      </c>
      <c r="G12" s="218">
        <v>3.2347041123370113E-2</v>
      </c>
      <c r="H12" s="221">
        <v>4.3129388164493486E-2</v>
      </c>
      <c r="I12" s="220">
        <v>1.6173520561685056E-2</v>
      </c>
      <c r="J12" s="220">
        <v>3.2347041123370113E-2</v>
      </c>
      <c r="K12" s="110" t="s">
        <v>196</v>
      </c>
      <c r="L12" s="111" t="s">
        <v>197</v>
      </c>
    </row>
    <row r="13" spans="1:12" x14ac:dyDescent="0.25">
      <c r="A13" s="5"/>
      <c r="B13" s="216" t="s">
        <v>198</v>
      </c>
      <c r="C13" s="220">
        <v>1.0030090270812439E-2</v>
      </c>
      <c r="D13" s="220">
        <v>1.0030090270812439E-2</v>
      </c>
      <c r="E13" s="220">
        <v>1.0030090270812439E-2</v>
      </c>
      <c r="F13" s="220">
        <v>1.0030090270812439E-2</v>
      </c>
      <c r="G13" s="217"/>
      <c r="H13" s="217"/>
      <c r="I13" s="217"/>
      <c r="J13" s="217"/>
      <c r="K13" s="222" t="s">
        <v>199</v>
      </c>
      <c r="L13" s="111" t="s">
        <v>200</v>
      </c>
    </row>
    <row r="14" spans="1:12" x14ac:dyDescent="0.25">
      <c r="A14" s="5"/>
      <c r="B14" s="216" t="s">
        <v>201</v>
      </c>
      <c r="C14" s="220">
        <v>0</v>
      </c>
      <c r="D14" s="220">
        <v>0</v>
      </c>
      <c r="E14" s="220">
        <v>0</v>
      </c>
      <c r="F14" s="220">
        <v>0</v>
      </c>
      <c r="G14" s="217"/>
      <c r="H14" s="217"/>
      <c r="I14" s="217"/>
      <c r="J14" s="217"/>
      <c r="K14" s="222"/>
      <c r="L14" s="111" t="s">
        <v>200</v>
      </c>
    </row>
    <row r="15" spans="1:12" x14ac:dyDescent="0.25">
      <c r="A15" s="5"/>
      <c r="B15" s="108"/>
      <c r="C15" s="223"/>
      <c r="D15" s="223"/>
      <c r="E15" s="223"/>
      <c r="F15" s="223"/>
      <c r="G15" s="224"/>
      <c r="H15" s="224"/>
      <c r="I15" s="110"/>
      <c r="J15" s="110"/>
      <c r="K15" s="110"/>
      <c r="L15" s="110"/>
    </row>
    <row r="16" spans="1:12" x14ac:dyDescent="0.25">
      <c r="A16" s="5"/>
      <c r="B16" s="113" t="s">
        <v>94</v>
      </c>
      <c r="C16" s="225"/>
      <c r="D16" s="225"/>
      <c r="E16" s="225"/>
      <c r="F16" s="225"/>
      <c r="G16" s="110"/>
      <c r="H16" s="110"/>
      <c r="I16" s="110"/>
      <c r="J16" s="110"/>
      <c r="K16" s="110"/>
      <c r="L16" s="226"/>
    </row>
    <row r="17" spans="1:12" x14ac:dyDescent="0.25">
      <c r="A17" s="5"/>
      <c r="B17" s="227" t="s">
        <v>202</v>
      </c>
      <c r="C17" s="228">
        <v>0.99</v>
      </c>
      <c r="D17" s="223">
        <v>0.99</v>
      </c>
      <c r="E17" s="223">
        <v>1</v>
      </c>
      <c r="F17" s="223">
        <v>1</v>
      </c>
      <c r="G17" s="110"/>
      <c r="H17" s="110"/>
      <c r="I17" s="110"/>
      <c r="J17" s="110"/>
      <c r="K17" s="110" t="s">
        <v>127</v>
      </c>
      <c r="L17" s="111">
        <v>2</v>
      </c>
    </row>
    <row r="18" spans="1:12" x14ac:dyDescent="0.25">
      <c r="A18" s="5"/>
      <c r="B18" s="108" t="s">
        <v>203</v>
      </c>
      <c r="C18" s="223">
        <v>0.01</v>
      </c>
      <c r="D18" s="229">
        <v>0.01</v>
      </c>
      <c r="E18" s="230">
        <v>1E-3</v>
      </c>
      <c r="F18" s="230">
        <v>1E-3</v>
      </c>
      <c r="G18" s="110"/>
      <c r="H18" s="110"/>
      <c r="I18" s="110"/>
      <c r="J18" s="110"/>
      <c r="K18" s="110" t="s">
        <v>127</v>
      </c>
      <c r="L18" s="111"/>
    </row>
    <row r="19" spans="1:12" x14ac:dyDescent="0.25">
      <c r="A19" s="5"/>
      <c r="B19" s="108" t="s">
        <v>204</v>
      </c>
      <c r="C19" s="228">
        <v>5.2999999999999999E-2</v>
      </c>
      <c r="D19" s="230">
        <v>5.2999999999999999E-2</v>
      </c>
      <c r="E19" s="230">
        <v>3.2000000000000001E-2</v>
      </c>
      <c r="F19" s="230">
        <v>3.2000000000000001E-2</v>
      </c>
      <c r="G19" s="110"/>
      <c r="H19" s="110"/>
      <c r="I19" s="110"/>
      <c r="J19" s="110"/>
      <c r="K19" s="110"/>
      <c r="L19" s="111"/>
    </row>
    <row r="20" spans="1:12" x14ac:dyDescent="0.25">
      <c r="A20" s="5"/>
      <c r="B20" s="217"/>
      <c r="C20" s="211"/>
      <c r="D20" s="231"/>
      <c r="E20" s="231"/>
      <c r="F20" s="231"/>
      <c r="G20" s="110"/>
      <c r="H20" s="110"/>
      <c r="I20" s="110"/>
      <c r="J20" s="110"/>
      <c r="K20" s="110"/>
      <c r="L20" s="226"/>
    </row>
    <row r="21" spans="1:12" x14ac:dyDescent="0.25">
      <c r="A21" s="5"/>
      <c r="B21" s="108" t="s">
        <v>205</v>
      </c>
      <c r="C21" s="110">
        <v>1</v>
      </c>
      <c r="D21" s="110">
        <v>1</v>
      </c>
      <c r="E21" s="110">
        <v>1</v>
      </c>
      <c r="F21" s="110">
        <v>1</v>
      </c>
      <c r="G21" s="110"/>
      <c r="H21" s="110"/>
      <c r="I21" s="110"/>
      <c r="J21" s="110"/>
      <c r="K21" s="110"/>
      <c r="L21" s="226"/>
    </row>
    <row r="22" spans="1:12" x14ac:dyDescent="0.25">
      <c r="A22" s="5"/>
      <c r="B22" s="108" t="s">
        <v>23</v>
      </c>
      <c r="C22" s="110">
        <v>1</v>
      </c>
      <c r="D22" s="110">
        <v>1</v>
      </c>
      <c r="E22" s="110">
        <v>1</v>
      </c>
      <c r="F22" s="110">
        <v>1</v>
      </c>
      <c r="G22" s="110"/>
      <c r="H22" s="110"/>
      <c r="I22" s="110"/>
      <c r="J22" s="110"/>
      <c r="K22" s="110"/>
      <c r="L22" s="110"/>
    </row>
    <row r="23" spans="1:12" x14ac:dyDescent="0.25">
      <c r="A23" s="5"/>
      <c r="B23" s="108" t="s">
        <v>14</v>
      </c>
      <c r="C23" s="110">
        <v>15</v>
      </c>
      <c r="D23" s="110">
        <v>15</v>
      </c>
      <c r="E23" s="110">
        <v>15</v>
      </c>
      <c r="F23" s="110">
        <v>15</v>
      </c>
      <c r="G23" s="110"/>
      <c r="H23" s="110"/>
      <c r="I23" s="110"/>
      <c r="J23" s="110"/>
      <c r="K23" s="110"/>
      <c r="L23" s="110"/>
    </row>
    <row r="24" spans="1:12" x14ac:dyDescent="0.25">
      <c r="A24" s="5"/>
      <c r="B24" s="108" t="s">
        <v>12</v>
      </c>
      <c r="C24" s="110">
        <v>0.5</v>
      </c>
      <c r="D24" s="110">
        <v>0.5</v>
      </c>
      <c r="E24" s="110">
        <v>0.5</v>
      </c>
      <c r="F24" s="110">
        <v>0.5</v>
      </c>
      <c r="G24" s="110"/>
      <c r="H24" s="110"/>
      <c r="I24" s="110"/>
      <c r="J24" s="110"/>
      <c r="K24" s="110"/>
      <c r="L24" s="110"/>
    </row>
    <row r="25" spans="1:12" x14ac:dyDescent="0.25">
      <c r="A25" s="5"/>
      <c r="B25" s="108"/>
      <c r="C25" s="110"/>
      <c r="D25" s="110"/>
      <c r="E25" s="110"/>
      <c r="F25" s="110"/>
      <c r="G25" s="110"/>
      <c r="H25" s="110"/>
      <c r="I25" s="110"/>
      <c r="J25" s="110"/>
      <c r="K25" s="110"/>
      <c r="L25" s="110"/>
    </row>
    <row r="26" spans="1:12" x14ac:dyDescent="0.25">
      <c r="A26" s="5"/>
      <c r="B26" s="100" t="s">
        <v>9</v>
      </c>
      <c r="C26" s="100"/>
      <c r="D26" s="100"/>
      <c r="E26" s="100"/>
      <c r="F26" s="100"/>
      <c r="G26" s="100"/>
      <c r="H26" s="100"/>
      <c r="I26" s="100"/>
      <c r="J26" s="100"/>
      <c r="K26" s="130"/>
      <c r="L26" s="130"/>
    </row>
    <row r="27" spans="1:12" ht="24" x14ac:dyDescent="0.25">
      <c r="A27" s="5"/>
      <c r="B27" s="108" t="s">
        <v>206</v>
      </c>
      <c r="C27" s="232">
        <v>335000</v>
      </c>
      <c r="D27" s="232">
        <v>302000</v>
      </c>
      <c r="E27" s="232">
        <v>272000</v>
      </c>
      <c r="F27" s="232">
        <v>245000</v>
      </c>
      <c r="G27" s="232">
        <v>268000</v>
      </c>
      <c r="H27" s="232">
        <v>318000</v>
      </c>
      <c r="I27" s="232">
        <v>172000</v>
      </c>
      <c r="J27" s="232">
        <v>287000</v>
      </c>
      <c r="K27" s="110" t="s">
        <v>207</v>
      </c>
      <c r="L27" s="132" t="s">
        <v>208</v>
      </c>
    </row>
    <row r="28" spans="1:12" ht="24" x14ac:dyDescent="0.25">
      <c r="A28" s="5"/>
      <c r="B28" s="108" t="s">
        <v>209</v>
      </c>
      <c r="C28" s="232">
        <v>134000</v>
      </c>
      <c r="D28" s="232">
        <v>121000</v>
      </c>
      <c r="E28" s="232">
        <v>109000</v>
      </c>
      <c r="F28" s="232">
        <v>98000</v>
      </c>
      <c r="G28" s="232">
        <v>107000</v>
      </c>
      <c r="H28" s="232">
        <v>127000</v>
      </c>
      <c r="I28" s="233">
        <v>69000</v>
      </c>
      <c r="J28" s="233">
        <v>115000</v>
      </c>
      <c r="K28" s="110" t="s">
        <v>0</v>
      </c>
      <c r="L28" s="110">
        <v>5</v>
      </c>
    </row>
    <row r="29" spans="1:12" x14ac:dyDescent="0.25">
      <c r="A29" s="5"/>
      <c r="B29" s="108"/>
      <c r="C29" s="234"/>
      <c r="D29" s="234"/>
      <c r="E29" s="234"/>
      <c r="F29" s="234"/>
      <c r="G29" s="110"/>
      <c r="H29" s="110"/>
      <c r="I29" s="110"/>
      <c r="J29" s="110"/>
      <c r="K29" s="110"/>
      <c r="L29" s="110"/>
    </row>
    <row r="30" spans="1:12" x14ac:dyDescent="0.25">
      <c r="A30" s="5"/>
      <c r="B30" s="108" t="s">
        <v>210</v>
      </c>
      <c r="C30" s="235">
        <v>11800</v>
      </c>
      <c r="D30" s="235">
        <v>10600</v>
      </c>
      <c r="E30" s="235">
        <v>9500</v>
      </c>
      <c r="F30" s="235">
        <v>8600</v>
      </c>
      <c r="G30" s="235">
        <v>9400</v>
      </c>
      <c r="H30" s="235">
        <v>11200</v>
      </c>
      <c r="I30" s="235">
        <v>6000</v>
      </c>
      <c r="J30" s="235">
        <v>10100</v>
      </c>
      <c r="K30" s="222"/>
      <c r="L30" s="222">
        <v>2</v>
      </c>
    </row>
    <row r="31" spans="1:12" ht="24" x14ac:dyDescent="0.25">
      <c r="A31" s="5"/>
      <c r="B31" s="227" t="s">
        <v>211</v>
      </c>
      <c r="C31" s="235">
        <v>8400</v>
      </c>
      <c r="D31" s="235">
        <v>7600</v>
      </c>
      <c r="E31" s="235">
        <v>6800</v>
      </c>
      <c r="F31" s="235">
        <v>6100</v>
      </c>
      <c r="G31" s="235">
        <v>6700</v>
      </c>
      <c r="H31" s="235">
        <v>8000</v>
      </c>
      <c r="I31" s="235">
        <v>4300</v>
      </c>
      <c r="J31" s="235">
        <v>7200</v>
      </c>
      <c r="K31" s="222"/>
      <c r="L31" s="222">
        <v>2</v>
      </c>
    </row>
    <row r="32" spans="1:12" ht="24" x14ac:dyDescent="0.25">
      <c r="A32" s="5"/>
      <c r="B32" s="227" t="s">
        <v>212</v>
      </c>
      <c r="C32" s="235">
        <v>3400</v>
      </c>
      <c r="D32" s="235">
        <v>3000</v>
      </c>
      <c r="E32" s="235">
        <v>2700</v>
      </c>
      <c r="F32" s="235">
        <v>2500</v>
      </c>
      <c r="G32" s="235">
        <v>2700</v>
      </c>
      <c r="H32" s="235">
        <v>3200</v>
      </c>
      <c r="I32" s="235">
        <v>1700</v>
      </c>
      <c r="J32" s="235">
        <v>2900</v>
      </c>
      <c r="K32" s="222" t="s">
        <v>41</v>
      </c>
      <c r="L32" s="222">
        <v>2</v>
      </c>
    </row>
    <row r="33" spans="1:16" x14ac:dyDescent="0.25">
      <c r="A33" s="5"/>
      <c r="B33" s="108" t="s">
        <v>213</v>
      </c>
      <c r="C33" s="236">
        <v>0.92999554218210201</v>
      </c>
      <c r="D33" s="236">
        <v>1.0252396077120252</v>
      </c>
      <c r="E33" s="236">
        <v>0.88439067201604815</v>
      </c>
      <c r="F33" s="236">
        <v>1.0229689067201606</v>
      </c>
      <c r="G33" s="217"/>
      <c r="H33" s="217"/>
      <c r="I33" s="217"/>
      <c r="J33" s="217"/>
      <c r="K33" s="222" t="s">
        <v>41</v>
      </c>
      <c r="L33" s="222"/>
    </row>
    <row r="34" spans="1:16" x14ac:dyDescent="0.25">
      <c r="A34" s="5"/>
      <c r="B34" s="227" t="s">
        <v>214</v>
      </c>
      <c r="C34" s="236">
        <v>0.92999554218210201</v>
      </c>
      <c r="D34" s="236">
        <v>1.0252396077120252</v>
      </c>
      <c r="E34" s="236">
        <v>0.88439067201604815</v>
      </c>
      <c r="F34" s="236">
        <v>1.0229689067201606</v>
      </c>
      <c r="G34" s="190"/>
      <c r="H34" s="190"/>
      <c r="I34" s="190"/>
      <c r="J34" s="190"/>
      <c r="K34" s="110" t="s">
        <v>1</v>
      </c>
      <c r="L34" s="111" t="s">
        <v>215</v>
      </c>
    </row>
    <row r="35" spans="1:16" x14ac:dyDescent="0.25">
      <c r="A35" s="5"/>
      <c r="B35" s="108"/>
      <c r="C35" s="237"/>
      <c r="D35" s="237"/>
      <c r="E35" s="237"/>
      <c r="F35" s="237"/>
      <c r="G35" s="145"/>
      <c r="H35" s="145"/>
      <c r="I35" s="217"/>
      <c r="J35" s="217"/>
      <c r="K35" s="222"/>
      <c r="L35" s="137"/>
    </row>
    <row r="36" spans="1:16" x14ac:dyDescent="0.25">
      <c r="A36" s="5"/>
      <c r="B36" s="238" t="s">
        <v>26</v>
      </c>
      <c r="C36" s="237"/>
      <c r="D36" s="237"/>
      <c r="E36" s="237"/>
      <c r="F36" s="237"/>
      <c r="G36" s="145"/>
      <c r="H36" s="145"/>
      <c r="I36" s="217"/>
      <c r="J36" s="217"/>
      <c r="K36" s="222"/>
      <c r="L36" s="222"/>
    </row>
    <row r="37" spans="1:16" x14ac:dyDescent="0.25">
      <c r="A37" s="5"/>
      <c r="B37" s="108" t="s">
        <v>216</v>
      </c>
      <c r="C37" s="224">
        <v>0.01</v>
      </c>
      <c r="D37" s="224">
        <v>0.01</v>
      </c>
      <c r="E37" s="221">
        <v>1E-3</v>
      </c>
      <c r="F37" s="221">
        <v>1E-3</v>
      </c>
      <c r="G37" s="100"/>
      <c r="H37" s="100"/>
      <c r="I37" s="100"/>
      <c r="J37" s="100"/>
      <c r="K37" s="130" t="s">
        <v>127</v>
      </c>
      <c r="L37" s="239">
        <v>2</v>
      </c>
    </row>
    <row r="38" spans="1:16" x14ac:dyDescent="0.25">
      <c r="A38" s="5"/>
      <c r="B38" s="108" t="s">
        <v>13</v>
      </c>
      <c r="C38" s="110">
        <v>50</v>
      </c>
      <c r="D38" s="217"/>
      <c r="E38" s="217"/>
      <c r="F38" s="217"/>
      <c r="G38" s="217"/>
      <c r="H38" s="217"/>
      <c r="I38" s="217"/>
      <c r="J38" s="217"/>
      <c r="K38" s="222"/>
      <c r="L38" s="222">
        <v>7</v>
      </c>
    </row>
    <row r="39" spans="1:16" x14ac:dyDescent="0.25">
      <c r="A39" s="5"/>
      <c r="B39" s="108" t="s">
        <v>217</v>
      </c>
      <c r="C39" s="110">
        <v>98.5</v>
      </c>
      <c r="D39" s="110"/>
      <c r="E39" s="110"/>
      <c r="F39" s="110"/>
      <c r="G39" s="110"/>
      <c r="H39" s="110"/>
      <c r="I39" s="110"/>
      <c r="J39" s="110"/>
      <c r="K39" s="110"/>
      <c r="L39" s="110">
        <v>1</v>
      </c>
    </row>
    <row r="40" spans="1:16" hidden="1" x14ac:dyDescent="0.25">
      <c r="A40" s="5"/>
      <c r="B40" s="99"/>
      <c r="C40" s="12"/>
      <c r="D40" s="12"/>
      <c r="E40" s="12"/>
      <c r="F40" s="12"/>
      <c r="G40" s="12"/>
      <c r="H40" s="12"/>
      <c r="I40" s="12"/>
      <c r="J40" s="12"/>
      <c r="K40" s="12"/>
      <c r="L40" s="12"/>
    </row>
    <row r="41" spans="1:16" hidden="1" x14ac:dyDescent="0.25">
      <c r="A41" s="5"/>
      <c r="B41" s="99"/>
      <c r="C41" s="12"/>
      <c r="D41" s="12"/>
      <c r="E41" s="12"/>
      <c r="F41" s="12"/>
      <c r="G41" s="12"/>
      <c r="H41" s="12"/>
      <c r="I41" s="240"/>
      <c r="J41" s="240"/>
      <c r="K41" s="12"/>
      <c r="L41" s="12"/>
    </row>
    <row r="42" spans="1:16" hidden="1" x14ac:dyDescent="0.25">
      <c r="A42" s="5"/>
      <c r="B42" s="99"/>
      <c r="C42" s="12"/>
      <c r="D42" s="12"/>
      <c r="E42" s="12"/>
      <c r="F42" s="12"/>
      <c r="G42" s="12"/>
      <c r="H42" s="12"/>
      <c r="I42" s="241"/>
      <c r="J42" s="241"/>
      <c r="K42" s="12"/>
      <c r="L42" s="12"/>
    </row>
    <row r="43" spans="1:16" hidden="1" x14ac:dyDescent="0.25">
      <c r="A43" s="5"/>
      <c r="B43" s="211"/>
      <c r="C43" s="211"/>
      <c r="D43" s="211"/>
      <c r="E43" s="211"/>
      <c r="F43" s="211"/>
      <c r="G43" s="211"/>
      <c r="H43" s="211"/>
      <c r="I43" s="211"/>
      <c r="J43" s="211"/>
      <c r="K43" s="211"/>
      <c r="L43" s="211"/>
    </row>
    <row r="44" spans="1:16" x14ac:dyDescent="0.25">
      <c r="A44" s="5"/>
      <c r="B44" s="211"/>
      <c r="C44" s="211"/>
      <c r="D44" s="211"/>
      <c r="E44" s="211"/>
      <c r="F44" s="211"/>
      <c r="G44" s="211"/>
      <c r="H44" s="211"/>
      <c r="I44" s="211"/>
      <c r="J44" s="211"/>
      <c r="K44" s="211"/>
      <c r="L44" s="211"/>
    </row>
    <row r="45" spans="1:16" hidden="1" x14ac:dyDescent="0.25">
      <c r="A45" s="6" t="s">
        <v>27</v>
      </c>
      <c r="B45" s="242"/>
      <c r="C45" s="98"/>
      <c r="D45" s="98"/>
      <c r="E45" s="98"/>
      <c r="F45" s="98"/>
      <c r="G45" s="98"/>
      <c r="H45" s="98"/>
      <c r="I45" s="98"/>
      <c r="J45" s="98"/>
      <c r="K45" s="98"/>
      <c r="L45" s="98"/>
      <c r="M45" s="211"/>
      <c r="N45" s="211"/>
      <c r="O45" s="211"/>
      <c r="P45" s="211"/>
    </row>
    <row r="46" spans="1:16" ht="15" hidden="1" customHeight="1" x14ac:dyDescent="0.25">
      <c r="A46" s="17">
        <v>1</v>
      </c>
      <c r="B46" s="630" t="s">
        <v>218</v>
      </c>
      <c r="C46" s="631"/>
      <c r="D46" s="631"/>
      <c r="E46" s="631"/>
      <c r="F46" s="631"/>
      <c r="G46" s="631"/>
      <c r="H46" s="631"/>
      <c r="I46" s="631"/>
      <c r="J46" s="631"/>
      <c r="K46" s="631"/>
      <c r="L46" s="631"/>
      <c r="M46" s="211"/>
      <c r="N46" s="211"/>
      <c r="O46" s="211"/>
      <c r="P46" s="211"/>
    </row>
    <row r="47" spans="1:16" hidden="1" x14ac:dyDescent="0.25">
      <c r="A47" s="17">
        <v>2</v>
      </c>
      <c r="B47" s="243" t="s">
        <v>219</v>
      </c>
      <c r="C47" s="5"/>
      <c r="D47" s="5"/>
      <c r="E47" s="5"/>
      <c r="F47" s="243" t="s">
        <v>220</v>
      </c>
      <c r="G47" s="5"/>
      <c r="H47" s="5"/>
      <c r="I47" s="5"/>
      <c r="J47" s="5"/>
      <c r="K47" s="5"/>
      <c r="L47" s="5"/>
      <c r="M47" s="211"/>
      <c r="N47" s="211"/>
      <c r="O47" s="211"/>
      <c r="P47" s="211"/>
    </row>
    <row r="48" spans="1:16" ht="15" hidden="1" customHeight="1" x14ac:dyDescent="0.25">
      <c r="A48" s="18">
        <v>4</v>
      </c>
      <c r="B48" s="630" t="s">
        <v>221</v>
      </c>
      <c r="C48" s="631"/>
      <c r="D48" s="631"/>
      <c r="E48" s="631"/>
      <c r="F48" s="631"/>
      <c r="G48" s="631"/>
      <c r="H48" s="631"/>
      <c r="I48" s="631"/>
      <c r="J48" s="631"/>
      <c r="K48" s="631"/>
      <c r="L48" s="631"/>
      <c r="M48" s="211"/>
      <c r="N48" s="211"/>
      <c r="O48" s="211"/>
      <c r="P48" s="211"/>
    </row>
    <row r="49" spans="1:16" ht="15" hidden="1" customHeight="1" x14ac:dyDescent="0.25">
      <c r="A49" s="17">
        <v>5</v>
      </c>
      <c r="B49" s="630" t="s">
        <v>222</v>
      </c>
      <c r="C49" s="631"/>
      <c r="D49" s="631"/>
      <c r="E49" s="631"/>
      <c r="F49" s="631"/>
      <c r="G49" s="631"/>
      <c r="H49" s="631"/>
      <c r="I49" s="631"/>
      <c r="J49" s="631"/>
      <c r="K49" s="631"/>
      <c r="L49" s="631"/>
      <c r="M49" s="211"/>
      <c r="N49" s="211"/>
      <c r="O49" s="211"/>
      <c r="P49" s="211"/>
    </row>
    <row r="50" spans="1:16" ht="15" hidden="1" customHeight="1" x14ac:dyDescent="0.25">
      <c r="A50" s="17">
        <v>7</v>
      </c>
      <c r="B50" s="630" t="s">
        <v>223</v>
      </c>
      <c r="C50" s="631"/>
      <c r="D50" s="631"/>
      <c r="E50" s="631"/>
      <c r="F50" s="631"/>
      <c r="G50" s="631"/>
      <c r="H50" s="631"/>
      <c r="I50" s="631"/>
      <c r="J50" s="631"/>
      <c r="K50" s="631"/>
      <c r="L50" s="631"/>
      <c r="M50" s="211"/>
      <c r="N50" s="211"/>
      <c r="O50" s="211"/>
      <c r="P50" s="211"/>
    </row>
    <row r="51" spans="1:16" x14ac:dyDescent="0.25">
      <c r="A51" s="17"/>
      <c r="B51" s="99"/>
      <c r="C51" s="99"/>
      <c r="D51" s="99"/>
      <c r="E51" s="99"/>
      <c r="F51" s="99"/>
      <c r="G51" s="99"/>
      <c r="H51" s="99"/>
      <c r="I51" s="99"/>
      <c r="J51" s="99"/>
      <c r="K51" s="99"/>
      <c r="L51" s="99"/>
      <c r="M51" s="211"/>
      <c r="N51" s="211"/>
      <c r="O51" s="211"/>
      <c r="P51" s="211"/>
    </row>
    <row r="52" spans="1:16" x14ac:dyDescent="0.25">
      <c r="A52" s="19" t="s">
        <v>6</v>
      </c>
      <c r="B52" s="99"/>
      <c r="C52" s="15"/>
      <c r="D52" s="15"/>
      <c r="E52" s="15"/>
      <c r="F52" s="15"/>
      <c r="G52" s="15"/>
      <c r="H52" s="15"/>
      <c r="I52" s="15"/>
      <c r="J52" s="15"/>
      <c r="K52" s="15"/>
      <c r="L52" s="15"/>
      <c r="M52" s="211"/>
      <c r="N52" s="211"/>
      <c r="O52" s="211"/>
      <c r="P52" s="211"/>
    </row>
    <row r="53" spans="1:16" ht="15" customHeight="1" x14ac:dyDescent="0.25">
      <c r="A53" s="4" t="s">
        <v>5</v>
      </c>
      <c r="B53" s="633" t="s">
        <v>224</v>
      </c>
      <c r="C53" s="634"/>
      <c r="D53" s="634"/>
      <c r="E53" s="634"/>
      <c r="F53" s="634"/>
      <c r="G53" s="634"/>
      <c r="H53" s="634"/>
      <c r="I53" s="634"/>
      <c r="J53" s="634"/>
      <c r="K53" s="634"/>
      <c r="L53" s="634"/>
      <c r="M53" s="635"/>
      <c r="N53" s="635"/>
      <c r="O53" s="635"/>
      <c r="P53" s="635"/>
    </row>
    <row r="54" spans="1:16" ht="15" customHeight="1" x14ac:dyDescent="0.25">
      <c r="A54" s="4" t="s">
        <v>4</v>
      </c>
      <c r="B54" s="633" t="s">
        <v>225</v>
      </c>
      <c r="C54" s="634"/>
      <c r="D54" s="634"/>
      <c r="E54" s="634"/>
      <c r="F54" s="634"/>
      <c r="G54" s="634"/>
      <c r="H54" s="634"/>
      <c r="I54" s="634"/>
      <c r="J54" s="634"/>
      <c r="K54" s="634"/>
      <c r="L54" s="634"/>
      <c r="M54" s="211"/>
      <c r="N54" s="211"/>
      <c r="O54" s="211"/>
      <c r="P54" s="211"/>
    </row>
    <row r="55" spans="1:16" ht="15" customHeight="1" x14ac:dyDescent="0.25">
      <c r="A55" s="4" t="s">
        <v>3</v>
      </c>
      <c r="B55" s="633" t="s">
        <v>226</v>
      </c>
      <c r="C55" s="634"/>
      <c r="D55" s="634"/>
      <c r="E55" s="634"/>
      <c r="F55" s="634"/>
      <c r="G55" s="634"/>
      <c r="H55" s="634"/>
      <c r="I55" s="634"/>
      <c r="J55" s="634"/>
      <c r="K55" s="634"/>
      <c r="L55" s="634"/>
      <c r="M55" s="211"/>
      <c r="N55" s="211"/>
      <c r="O55" s="211"/>
      <c r="P55" s="211"/>
    </row>
    <row r="56" spans="1:16" ht="15" customHeight="1" x14ac:dyDescent="0.25">
      <c r="A56" s="4" t="s">
        <v>2</v>
      </c>
      <c r="B56" s="633" t="s">
        <v>227</v>
      </c>
      <c r="C56" s="634"/>
      <c r="D56" s="634"/>
      <c r="E56" s="634"/>
      <c r="F56" s="634"/>
      <c r="G56" s="634"/>
      <c r="H56" s="634"/>
      <c r="I56" s="634"/>
      <c r="J56" s="634"/>
      <c r="K56" s="634"/>
      <c r="L56" s="634"/>
      <c r="M56" s="635"/>
      <c r="N56" s="635"/>
      <c r="O56" s="635"/>
      <c r="P56" s="635"/>
    </row>
    <row r="57" spans="1:16" ht="15" customHeight="1" x14ac:dyDescent="0.25">
      <c r="A57" s="4" t="s">
        <v>1</v>
      </c>
      <c r="B57" s="633" t="s">
        <v>228</v>
      </c>
      <c r="C57" s="634"/>
      <c r="D57" s="634"/>
      <c r="E57" s="634"/>
      <c r="F57" s="634"/>
      <c r="G57" s="634"/>
      <c r="H57" s="634"/>
      <c r="I57" s="634"/>
      <c r="J57" s="634"/>
      <c r="K57" s="634"/>
      <c r="L57" s="634"/>
      <c r="M57" s="635"/>
      <c r="N57" s="635"/>
      <c r="O57" s="635"/>
      <c r="P57" s="635"/>
    </row>
    <row r="58" spans="1:16" ht="15" customHeight="1" x14ac:dyDescent="0.25">
      <c r="A58" s="4" t="s">
        <v>0</v>
      </c>
      <c r="B58" s="633" t="s">
        <v>229</v>
      </c>
      <c r="C58" s="633"/>
      <c r="D58" s="633"/>
      <c r="E58" s="633"/>
      <c r="F58" s="633"/>
      <c r="G58" s="633"/>
      <c r="H58" s="633"/>
      <c r="I58" s="633"/>
      <c r="J58" s="633"/>
      <c r="K58" s="633"/>
      <c r="L58" s="633"/>
      <c r="M58" s="633"/>
      <c r="N58" s="633"/>
      <c r="O58" s="633"/>
      <c r="P58" s="633"/>
    </row>
    <row r="59" spans="1:16" ht="15" customHeight="1" x14ac:dyDescent="0.25">
      <c r="A59" s="4" t="s">
        <v>40</v>
      </c>
      <c r="B59" s="633" t="s">
        <v>230</v>
      </c>
      <c r="C59" s="633"/>
      <c r="D59" s="633"/>
      <c r="E59" s="633"/>
      <c r="F59" s="633"/>
      <c r="G59" s="633"/>
      <c r="H59" s="633"/>
      <c r="I59" s="633"/>
      <c r="J59" s="633"/>
      <c r="K59" s="633"/>
      <c r="L59" s="633"/>
      <c r="M59" s="633"/>
      <c r="N59" s="633"/>
      <c r="O59" s="633"/>
      <c r="P59" s="633"/>
    </row>
    <row r="60" spans="1:16" ht="15" customHeight="1" x14ac:dyDescent="0.25">
      <c r="A60" s="4" t="s">
        <v>41</v>
      </c>
      <c r="B60" s="633" t="s">
        <v>231</v>
      </c>
      <c r="C60" s="633"/>
      <c r="D60" s="633"/>
      <c r="E60" s="633"/>
      <c r="F60" s="633"/>
      <c r="G60" s="633"/>
      <c r="H60" s="633"/>
      <c r="I60" s="633"/>
      <c r="J60" s="633"/>
      <c r="K60" s="633"/>
      <c r="L60" s="633"/>
    </row>
    <row r="61" spans="1:16" ht="15" customHeight="1" x14ac:dyDescent="0.25">
      <c r="A61" s="4" t="s">
        <v>232</v>
      </c>
      <c r="B61" s="633" t="s">
        <v>233</v>
      </c>
      <c r="C61" s="633"/>
      <c r="D61" s="633"/>
      <c r="E61" s="633"/>
      <c r="F61" s="633"/>
      <c r="G61" s="633"/>
      <c r="H61" s="633"/>
      <c r="I61" s="633"/>
      <c r="J61" s="633"/>
      <c r="K61" s="633"/>
      <c r="L61" s="633"/>
    </row>
    <row r="62" spans="1:16" ht="15" customHeight="1" x14ac:dyDescent="0.25">
      <c r="A62" s="4" t="s">
        <v>98</v>
      </c>
      <c r="B62" s="632" t="s">
        <v>234</v>
      </c>
      <c r="C62" s="632"/>
      <c r="D62" s="632"/>
      <c r="E62" s="632"/>
      <c r="F62" s="632"/>
      <c r="G62" s="632"/>
      <c r="H62" s="632"/>
      <c r="I62" s="632"/>
      <c r="J62" s="632"/>
      <c r="K62" s="632"/>
      <c r="L62" s="632"/>
    </row>
    <row r="63" spans="1:16" x14ac:dyDescent="0.25">
      <c r="A63" s="211"/>
      <c r="B63" s="244" t="s">
        <v>235</v>
      </c>
      <c r="C63" s="211"/>
      <c r="D63" s="211"/>
      <c r="E63" s="211"/>
      <c r="F63" s="211"/>
      <c r="G63" s="211"/>
      <c r="H63" s="211"/>
      <c r="I63" s="211"/>
      <c r="J63" s="211"/>
      <c r="K63" s="211"/>
      <c r="L63" s="211"/>
    </row>
    <row r="64" spans="1:16" ht="15.75" x14ac:dyDescent="0.25">
      <c r="A64" s="211"/>
      <c r="B64" s="245"/>
      <c r="C64" s="211"/>
      <c r="D64" s="211"/>
      <c r="E64" s="211"/>
      <c r="F64" s="211"/>
      <c r="G64" s="211"/>
      <c r="H64" s="211"/>
      <c r="I64" s="211"/>
      <c r="J64" s="211"/>
      <c r="K64" s="211"/>
      <c r="L64" s="211"/>
    </row>
    <row r="65" spans="1:12" x14ac:dyDescent="0.25">
      <c r="A65" s="147" t="s">
        <v>27</v>
      </c>
      <c r="B65" s="211"/>
      <c r="C65" s="211"/>
      <c r="D65" s="211"/>
      <c r="E65" s="211"/>
      <c r="F65" s="211"/>
      <c r="G65" s="211"/>
      <c r="H65" s="211"/>
      <c r="I65" s="211"/>
      <c r="J65" s="211"/>
      <c r="K65" s="211"/>
      <c r="L65" s="211"/>
    </row>
    <row r="66" spans="1:12" x14ac:dyDescent="0.25">
      <c r="A66" s="211">
        <v>1</v>
      </c>
      <c r="B66" s="636" t="s">
        <v>236</v>
      </c>
      <c r="C66" s="636"/>
      <c r="D66" s="636"/>
      <c r="E66" s="636"/>
      <c r="F66" s="636"/>
      <c r="G66" s="636"/>
      <c r="H66" s="636"/>
      <c r="I66" s="636"/>
      <c r="J66" s="636"/>
      <c r="K66" s="636"/>
      <c r="L66" s="636"/>
    </row>
    <row r="67" spans="1:12" x14ac:dyDescent="0.25">
      <c r="A67" s="211">
        <v>2</v>
      </c>
      <c r="B67" s="636" t="s">
        <v>237</v>
      </c>
      <c r="C67" s="636"/>
      <c r="D67" s="636"/>
      <c r="E67" s="636"/>
      <c r="F67" s="636"/>
      <c r="G67" s="636"/>
      <c r="H67" s="636"/>
      <c r="I67" s="636"/>
      <c r="J67" s="636"/>
      <c r="K67" s="636"/>
      <c r="L67" s="636"/>
    </row>
    <row r="68" spans="1:12" x14ac:dyDescent="0.25">
      <c r="A68" s="211">
        <v>4</v>
      </c>
      <c r="B68" s="636" t="s">
        <v>238</v>
      </c>
      <c r="C68" s="636"/>
      <c r="D68" s="636"/>
      <c r="E68" s="636"/>
      <c r="F68" s="636"/>
      <c r="G68" s="636"/>
      <c r="H68" s="636"/>
      <c r="I68" s="636"/>
      <c r="J68" s="636"/>
      <c r="K68" s="636"/>
      <c r="L68" s="636"/>
    </row>
    <row r="69" spans="1:12" x14ac:dyDescent="0.25">
      <c r="A69" s="211">
        <v>5</v>
      </c>
      <c r="B69" s="636" t="s">
        <v>222</v>
      </c>
      <c r="C69" s="636"/>
      <c r="D69" s="636"/>
      <c r="E69" s="636"/>
      <c r="F69" s="636"/>
      <c r="G69" s="636"/>
      <c r="H69" s="636"/>
      <c r="I69" s="636"/>
      <c r="J69" s="636"/>
      <c r="K69" s="636"/>
      <c r="L69" s="636"/>
    </row>
    <row r="70" spans="1:12" x14ac:dyDescent="0.25">
      <c r="A70" s="211">
        <v>7</v>
      </c>
      <c r="B70" s="636" t="s">
        <v>223</v>
      </c>
      <c r="C70" s="636"/>
      <c r="D70" s="636"/>
      <c r="E70" s="636"/>
      <c r="F70" s="636"/>
      <c r="G70" s="636"/>
      <c r="H70" s="636"/>
      <c r="I70" s="636"/>
      <c r="J70" s="636"/>
      <c r="K70" s="636"/>
      <c r="L70" s="636"/>
    </row>
  </sheetData>
  <mergeCells count="22">
    <mergeCell ref="B66:L66"/>
    <mergeCell ref="B67:L67"/>
    <mergeCell ref="B68:L68"/>
    <mergeCell ref="B69:L69"/>
    <mergeCell ref="B70:L70"/>
    <mergeCell ref="B62:L62"/>
    <mergeCell ref="B49:L49"/>
    <mergeCell ref="B50:L50"/>
    <mergeCell ref="B53:P53"/>
    <mergeCell ref="B54:L54"/>
    <mergeCell ref="B55:L55"/>
    <mergeCell ref="B56:P56"/>
    <mergeCell ref="B57:P57"/>
    <mergeCell ref="B58:P58"/>
    <mergeCell ref="B59:P59"/>
    <mergeCell ref="B60:L60"/>
    <mergeCell ref="B61:L61"/>
    <mergeCell ref="B48:L48"/>
    <mergeCell ref="C3:L3"/>
    <mergeCell ref="G4:H4"/>
    <mergeCell ref="I4:J4"/>
    <mergeCell ref="B46:L46"/>
  </mergeCells>
  <hyperlinks>
    <hyperlink ref="C3" location="INDEX" display="Biogas upgradi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46"/>
  <sheetViews>
    <sheetView showGridLines="0" workbookViewId="0">
      <selection activeCell="I60" sqref="I60"/>
    </sheetView>
  </sheetViews>
  <sheetFormatPr defaultColWidth="9.140625" defaultRowHeight="15" x14ac:dyDescent="0.25"/>
  <cols>
    <col min="1" max="1" width="2.140625" style="40" customWidth="1"/>
    <col min="2" max="2" width="39.85546875" style="40" customWidth="1"/>
    <col min="3" max="10" width="7.28515625" style="40" bestFit="1" customWidth="1"/>
    <col min="11" max="11" width="4.5703125" style="40" bestFit="1" customWidth="1"/>
    <col min="12" max="12" width="9.7109375" style="40" customWidth="1"/>
    <col min="13" max="13" width="4.42578125" style="40" customWidth="1"/>
    <col min="14" max="17" width="0" style="83" hidden="1" customWidth="1"/>
    <col min="18" max="16384" width="9.140625" style="83"/>
  </cols>
  <sheetData>
    <row r="1" spans="1:13" s="504" customFormat="1" x14ac:dyDescent="0.25">
      <c r="A1" s="40"/>
      <c r="B1" s="40"/>
      <c r="C1" s="40"/>
      <c r="D1" s="40"/>
      <c r="E1" s="40"/>
      <c r="F1" s="40"/>
      <c r="G1" s="40"/>
      <c r="H1" s="40"/>
      <c r="I1" s="40"/>
      <c r="J1" s="40"/>
      <c r="K1" s="40"/>
      <c r="L1" s="40"/>
      <c r="M1" s="40"/>
    </row>
    <row r="2" spans="1:13" x14ac:dyDescent="0.25">
      <c r="B2" s="5"/>
      <c r="C2" s="5"/>
      <c r="D2" s="5"/>
      <c r="E2" s="5"/>
      <c r="F2" s="5"/>
      <c r="G2" s="5"/>
      <c r="H2" s="5"/>
      <c r="I2" s="5"/>
      <c r="J2" s="5"/>
      <c r="K2" s="5"/>
      <c r="L2" s="39"/>
    </row>
    <row r="3" spans="1:13" x14ac:dyDescent="0.25">
      <c r="B3" s="9" t="s">
        <v>20</v>
      </c>
      <c r="C3" s="640" t="s">
        <v>61</v>
      </c>
      <c r="D3" s="641"/>
      <c r="E3" s="641"/>
      <c r="F3" s="641"/>
      <c r="G3" s="641"/>
      <c r="H3" s="641"/>
      <c r="I3" s="641"/>
      <c r="J3" s="641"/>
      <c r="K3" s="641"/>
      <c r="L3" s="642"/>
    </row>
    <row r="4" spans="1:13" ht="27.75" customHeight="1" x14ac:dyDescent="0.25">
      <c r="B4" s="8"/>
      <c r="C4" s="70">
        <v>2015</v>
      </c>
      <c r="D4" s="70">
        <v>2020</v>
      </c>
      <c r="E4" s="70">
        <v>2030</v>
      </c>
      <c r="F4" s="70">
        <v>2050</v>
      </c>
      <c r="G4" s="643" t="s">
        <v>25</v>
      </c>
      <c r="H4" s="644"/>
      <c r="I4" s="643" t="s">
        <v>24</v>
      </c>
      <c r="J4" s="644"/>
      <c r="K4" s="70" t="s">
        <v>19</v>
      </c>
      <c r="L4" s="70" t="s">
        <v>62</v>
      </c>
    </row>
    <row r="5" spans="1:13" x14ac:dyDescent="0.25">
      <c r="B5" s="36" t="s">
        <v>15</v>
      </c>
      <c r="C5" s="71"/>
      <c r="D5" s="71"/>
      <c r="E5" s="71"/>
      <c r="F5" s="71"/>
      <c r="G5" s="69" t="s">
        <v>17</v>
      </c>
      <c r="H5" s="69" t="s">
        <v>16</v>
      </c>
      <c r="I5" s="69" t="s">
        <v>17</v>
      </c>
      <c r="J5" s="69" t="s">
        <v>16</v>
      </c>
      <c r="K5" s="71"/>
      <c r="L5" s="71"/>
    </row>
    <row r="6" spans="1:13" x14ac:dyDescent="0.25">
      <c r="B6" s="32" t="s">
        <v>72</v>
      </c>
      <c r="C6" s="21">
        <v>20</v>
      </c>
      <c r="D6" s="21">
        <v>20</v>
      </c>
      <c r="E6" s="21">
        <v>20</v>
      </c>
      <c r="F6" s="21">
        <v>20</v>
      </c>
      <c r="G6" s="21"/>
      <c r="H6" s="21"/>
      <c r="I6" s="21"/>
      <c r="J6" s="21"/>
      <c r="K6" s="21" t="s">
        <v>5</v>
      </c>
      <c r="L6" s="21" t="s">
        <v>63</v>
      </c>
    </row>
    <row r="7" spans="1:13" x14ac:dyDescent="0.25">
      <c r="B7" s="34"/>
      <c r="C7" s="31"/>
      <c r="D7" s="21"/>
      <c r="E7" s="21"/>
      <c r="F7" s="21"/>
      <c r="G7" s="21"/>
      <c r="H7" s="21"/>
      <c r="I7" s="21"/>
      <c r="J7" s="21"/>
      <c r="K7" s="21"/>
      <c r="L7" s="21"/>
    </row>
    <row r="8" spans="1:13" x14ac:dyDescent="0.25">
      <c r="B8" s="33" t="s">
        <v>34</v>
      </c>
      <c r="C8" s="21"/>
      <c r="D8" s="21"/>
      <c r="E8" s="21"/>
      <c r="F8" s="21"/>
      <c r="G8" s="21"/>
      <c r="H8" s="21"/>
      <c r="I8" s="21"/>
      <c r="J8" s="21"/>
      <c r="K8" s="21"/>
      <c r="L8" s="21"/>
    </row>
    <row r="9" spans="1:13" x14ac:dyDescent="0.25">
      <c r="B9" s="72" t="s">
        <v>77</v>
      </c>
      <c r="C9" s="21">
        <v>98</v>
      </c>
      <c r="D9" s="21">
        <v>98</v>
      </c>
      <c r="E9" s="21">
        <v>98</v>
      </c>
      <c r="F9" s="21">
        <v>98</v>
      </c>
      <c r="G9" s="21"/>
      <c r="H9" s="21"/>
      <c r="I9" s="21"/>
      <c r="J9" s="21"/>
      <c r="K9" s="21"/>
      <c r="L9" s="21"/>
    </row>
    <row r="10" spans="1:13" x14ac:dyDescent="0.25">
      <c r="B10" s="29" t="s">
        <v>78</v>
      </c>
      <c r="C10" s="21">
        <v>2</v>
      </c>
      <c r="D10" s="21">
        <v>2</v>
      </c>
      <c r="E10" s="21">
        <v>2</v>
      </c>
      <c r="F10" s="21">
        <v>2</v>
      </c>
      <c r="G10" s="21"/>
      <c r="H10" s="21"/>
      <c r="I10" s="21"/>
      <c r="J10" s="21"/>
      <c r="K10" s="21"/>
      <c r="L10" s="21"/>
    </row>
    <row r="11" spans="1:13" x14ac:dyDescent="0.25">
      <c r="B11" s="29"/>
      <c r="C11" s="21"/>
      <c r="D11" s="21"/>
      <c r="E11" s="21"/>
      <c r="F11" s="21"/>
      <c r="G11" s="21"/>
      <c r="H11" s="21"/>
      <c r="I11" s="21"/>
      <c r="J11" s="21"/>
      <c r="K11" s="21"/>
      <c r="L11" s="21"/>
    </row>
    <row r="12" spans="1:13" x14ac:dyDescent="0.25">
      <c r="B12" s="28" t="s">
        <v>35</v>
      </c>
      <c r="C12" s="21"/>
      <c r="D12" s="21"/>
      <c r="E12" s="21"/>
      <c r="F12" s="21"/>
      <c r="G12" s="21"/>
      <c r="H12" s="21"/>
      <c r="I12" s="21"/>
      <c r="J12" s="21"/>
      <c r="K12" s="21"/>
      <c r="L12" s="21"/>
    </row>
    <row r="13" spans="1:13" x14ac:dyDescent="0.25">
      <c r="B13" s="26" t="s">
        <v>79</v>
      </c>
      <c r="C13" s="21">
        <v>74</v>
      </c>
      <c r="D13" s="21">
        <v>75</v>
      </c>
      <c r="E13" s="21">
        <v>77</v>
      </c>
      <c r="F13" s="21">
        <v>83</v>
      </c>
      <c r="G13" s="21">
        <v>60</v>
      </c>
      <c r="H13" s="21">
        <v>80</v>
      </c>
      <c r="I13" s="21">
        <v>80</v>
      </c>
      <c r="J13" s="21">
        <v>90</v>
      </c>
      <c r="K13" s="21" t="s">
        <v>3</v>
      </c>
      <c r="L13" s="21" t="s">
        <v>64</v>
      </c>
    </row>
    <row r="14" spans="1:13" x14ac:dyDescent="0.25">
      <c r="B14" s="26" t="s">
        <v>80</v>
      </c>
      <c r="C14" s="21">
        <v>10</v>
      </c>
      <c r="D14" s="21">
        <v>10</v>
      </c>
      <c r="E14" s="21">
        <v>9</v>
      </c>
      <c r="F14" s="21">
        <v>5</v>
      </c>
      <c r="G14" s="21"/>
      <c r="H14" s="21"/>
      <c r="I14" s="21"/>
      <c r="J14" s="21"/>
      <c r="K14" s="21" t="s">
        <v>4</v>
      </c>
      <c r="L14" s="21" t="s">
        <v>64</v>
      </c>
    </row>
    <row r="15" spans="1:13" x14ac:dyDescent="0.25">
      <c r="B15" s="26"/>
      <c r="C15" s="21"/>
      <c r="D15" s="31"/>
      <c r="E15" s="21"/>
      <c r="F15" s="21"/>
      <c r="G15" s="21"/>
      <c r="H15" s="21"/>
      <c r="I15" s="21"/>
      <c r="J15" s="21"/>
      <c r="K15" s="21"/>
      <c r="L15" s="21"/>
    </row>
    <row r="16" spans="1:13" x14ac:dyDescent="0.25">
      <c r="B16" s="73" t="s">
        <v>76</v>
      </c>
      <c r="C16" s="21">
        <v>5</v>
      </c>
      <c r="D16" s="31">
        <v>5</v>
      </c>
      <c r="E16" s="21">
        <v>5</v>
      </c>
      <c r="F16" s="21">
        <v>5</v>
      </c>
      <c r="G16" s="21"/>
      <c r="H16" s="21"/>
      <c r="I16" s="21"/>
      <c r="J16" s="21"/>
      <c r="K16" s="21"/>
      <c r="L16" s="21" t="s">
        <v>63</v>
      </c>
    </row>
    <row r="17" spans="1:26" x14ac:dyDescent="0.25">
      <c r="B17" s="73" t="s">
        <v>23</v>
      </c>
      <c r="C17" s="21">
        <v>3</v>
      </c>
      <c r="D17" s="31">
        <v>3</v>
      </c>
      <c r="E17" s="21">
        <v>3</v>
      </c>
      <c r="F17" s="21">
        <v>3</v>
      </c>
      <c r="G17" s="21"/>
      <c r="H17" s="21"/>
      <c r="I17" s="21"/>
      <c r="J17" s="21"/>
      <c r="K17" s="21"/>
      <c r="L17" s="21" t="s">
        <v>63</v>
      </c>
    </row>
    <row r="18" spans="1:26" x14ac:dyDescent="0.25">
      <c r="B18" s="73" t="s">
        <v>14</v>
      </c>
      <c r="C18" s="21">
        <v>20</v>
      </c>
      <c r="D18" s="31">
        <v>20</v>
      </c>
      <c r="E18" s="21">
        <v>20</v>
      </c>
      <c r="F18" s="21">
        <v>20</v>
      </c>
      <c r="G18" s="21"/>
      <c r="H18" s="21"/>
      <c r="I18" s="21"/>
      <c r="J18" s="21"/>
      <c r="K18" s="21"/>
      <c r="L18" s="21" t="s">
        <v>63</v>
      </c>
    </row>
    <row r="19" spans="1:26" x14ac:dyDescent="0.25">
      <c r="B19" s="73" t="s">
        <v>12</v>
      </c>
      <c r="C19" s="21" t="s">
        <v>65</v>
      </c>
      <c r="D19" s="31" t="s">
        <v>65</v>
      </c>
      <c r="E19" s="31" t="s">
        <v>65</v>
      </c>
      <c r="F19" s="31" t="s">
        <v>65</v>
      </c>
      <c r="G19" s="21"/>
      <c r="H19" s="21"/>
      <c r="I19" s="21"/>
      <c r="J19" s="21"/>
      <c r="K19" s="21"/>
      <c r="L19" s="21" t="s">
        <v>63</v>
      </c>
    </row>
    <row r="20" spans="1:26" x14ac:dyDescent="0.25">
      <c r="B20" s="26"/>
      <c r="C20" s="21"/>
      <c r="D20" s="31"/>
      <c r="E20" s="21"/>
      <c r="F20" s="21"/>
      <c r="G20" s="21"/>
      <c r="H20" s="21"/>
      <c r="I20" s="21"/>
      <c r="J20" s="21"/>
      <c r="K20" s="21"/>
      <c r="L20" s="21"/>
    </row>
    <row r="21" spans="1:26" x14ac:dyDescent="0.25">
      <c r="B21" s="86" t="s">
        <v>9</v>
      </c>
      <c r="C21" s="87"/>
      <c r="D21" s="88"/>
      <c r="E21" s="88"/>
      <c r="F21" s="88"/>
      <c r="G21" s="88"/>
      <c r="H21" s="88"/>
      <c r="I21" s="88"/>
      <c r="J21" s="88"/>
      <c r="K21" s="44"/>
      <c r="L21" s="37"/>
    </row>
    <row r="22" spans="1:26" x14ac:dyDescent="0.25">
      <c r="B22" s="30" t="s">
        <v>53</v>
      </c>
      <c r="C22" s="90">
        <v>1.4</v>
      </c>
      <c r="D22" s="90">
        <v>1.3</v>
      </c>
      <c r="E22" s="90">
        <v>1.2</v>
      </c>
      <c r="F22" s="90">
        <v>1.1000000000000001</v>
      </c>
      <c r="G22" s="90">
        <v>0.9</v>
      </c>
      <c r="H22" s="90">
        <v>1.8</v>
      </c>
      <c r="I22" s="90">
        <v>0.7</v>
      </c>
      <c r="J22" s="90">
        <v>1.4</v>
      </c>
      <c r="K22" s="31" t="s">
        <v>2</v>
      </c>
      <c r="L22" s="21" t="s">
        <v>50</v>
      </c>
      <c r="R22" s="93"/>
      <c r="S22" s="93"/>
      <c r="T22" s="93"/>
      <c r="U22" s="93"/>
      <c r="V22" s="93"/>
      <c r="W22" s="93"/>
      <c r="X22" s="93"/>
      <c r="Y22" s="93"/>
      <c r="Z22" s="93"/>
    </row>
    <row r="23" spans="1:26" ht="14.45" customHeight="1" x14ac:dyDescent="0.25">
      <c r="B23" s="30" t="s">
        <v>8</v>
      </c>
      <c r="C23" s="89" t="s">
        <v>28</v>
      </c>
      <c r="D23" s="89"/>
      <c r="E23" s="89"/>
      <c r="F23" s="89"/>
      <c r="G23" s="89"/>
      <c r="H23" s="89"/>
      <c r="I23" s="89"/>
      <c r="J23" s="89"/>
      <c r="K23" s="31"/>
      <c r="L23" s="21"/>
      <c r="R23" s="93"/>
      <c r="S23" s="93"/>
      <c r="T23" s="93"/>
      <c r="U23" s="93"/>
      <c r="V23" s="93"/>
      <c r="W23" s="93"/>
      <c r="X23" s="92"/>
      <c r="Y23" s="92"/>
      <c r="Z23" s="12"/>
    </row>
    <row r="24" spans="1:26" ht="14.45" customHeight="1" x14ac:dyDescent="0.25">
      <c r="B24" s="30" t="s">
        <v>7</v>
      </c>
      <c r="C24" s="95" t="s">
        <v>28</v>
      </c>
      <c r="D24" s="95"/>
      <c r="E24" s="95"/>
      <c r="F24" s="95"/>
      <c r="G24" s="95"/>
      <c r="H24" s="95"/>
      <c r="I24" s="95"/>
      <c r="J24" s="95"/>
      <c r="K24" s="31"/>
      <c r="L24" s="21"/>
      <c r="R24" s="93"/>
      <c r="S24" s="93"/>
      <c r="T24" s="93"/>
      <c r="U24" s="93"/>
      <c r="V24" s="93"/>
      <c r="W24" s="93"/>
      <c r="X24" s="92"/>
      <c r="Y24" s="92"/>
      <c r="Z24" s="12"/>
    </row>
    <row r="25" spans="1:26" x14ac:dyDescent="0.25">
      <c r="B25" s="30" t="s">
        <v>66</v>
      </c>
      <c r="C25" s="96">
        <v>21000</v>
      </c>
      <c r="D25" s="96">
        <v>20000</v>
      </c>
      <c r="E25" s="96">
        <v>18000</v>
      </c>
      <c r="F25" s="96">
        <v>16200</v>
      </c>
      <c r="G25" s="96">
        <v>15000</v>
      </c>
      <c r="H25" s="96">
        <v>24900</v>
      </c>
      <c r="I25" s="96">
        <v>12100</v>
      </c>
      <c r="J25" s="96">
        <v>20200</v>
      </c>
      <c r="K25" s="31" t="s">
        <v>2</v>
      </c>
      <c r="L25" s="21" t="s">
        <v>50</v>
      </c>
      <c r="R25" s="94"/>
      <c r="S25" s="94"/>
      <c r="T25" s="94"/>
      <c r="U25" s="94"/>
      <c r="V25" s="94"/>
      <c r="W25" s="94"/>
      <c r="X25" s="94"/>
      <c r="Y25" s="94"/>
      <c r="Z25" s="94"/>
    </row>
    <row r="26" spans="1:26" x14ac:dyDescent="0.25">
      <c r="B26" s="30" t="s">
        <v>54</v>
      </c>
      <c r="C26" s="90">
        <v>2.6</v>
      </c>
      <c r="D26" s="90">
        <v>2.5</v>
      </c>
      <c r="E26" s="90">
        <v>2.2000000000000002</v>
      </c>
      <c r="F26" s="90">
        <v>2</v>
      </c>
      <c r="G26" s="90">
        <v>1.7</v>
      </c>
      <c r="H26" s="90">
        <v>3.3</v>
      </c>
      <c r="I26" s="90">
        <v>1.4</v>
      </c>
      <c r="J26" s="90">
        <v>2.7</v>
      </c>
      <c r="K26" s="31" t="s">
        <v>2</v>
      </c>
      <c r="L26" s="21" t="s">
        <v>50</v>
      </c>
      <c r="R26" s="93"/>
      <c r="S26" s="93"/>
      <c r="T26" s="93"/>
      <c r="U26" s="93"/>
      <c r="V26" s="93"/>
      <c r="W26" s="93"/>
      <c r="X26" s="93"/>
      <c r="Y26" s="93"/>
      <c r="Z26" s="93"/>
    </row>
    <row r="27" spans="1:26" x14ac:dyDescent="0.25">
      <c r="B27" s="30"/>
      <c r="C27" s="38"/>
      <c r="D27" s="25"/>
      <c r="E27" s="25"/>
      <c r="F27" s="25"/>
      <c r="G27" s="27"/>
      <c r="H27" s="27"/>
      <c r="I27" s="27"/>
      <c r="J27" s="27"/>
      <c r="K27" s="27"/>
      <c r="L27" s="27"/>
    </row>
    <row r="28" spans="1:26" x14ac:dyDescent="0.25">
      <c r="B28" s="74" t="s">
        <v>26</v>
      </c>
      <c r="C28" s="35"/>
      <c r="D28" s="35"/>
      <c r="E28" s="35"/>
      <c r="F28" s="35"/>
      <c r="G28" s="21"/>
      <c r="H28" s="21"/>
      <c r="I28" s="21"/>
      <c r="J28" s="21"/>
      <c r="K28" s="21"/>
      <c r="L28" s="21"/>
    </row>
    <row r="29" spans="1:26" x14ac:dyDescent="0.25">
      <c r="B29" s="30" t="s">
        <v>13</v>
      </c>
      <c r="C29" s="21">
        <v>20</v>
      </c>
      <c r="D29" s="21">
        <v>20</v>
      </c>
      <c r="E29" s="21">
        <v>20</v>
      </c>
      <c r="F29" s="21">
        <v>20</v>
      </c>
      <c r="G29" s="21"/>
      <c r="H29" s="21"/>
      <c r="I29" s="21"/>
      <c r="J29" s="21"/>
      <c r="K29" s="21"/>
      <c r="L29" s="21">
        <v>8</v>
      </c>
    </row>
    <row r="30" spans="1:26" hidden="1" x14ac:dyDescent="0.25"/>
    <row r="31" spans="1:26" hidden="1" x14ac:dyDescent="0.25">
      <c r="A31" s="6" t="s">
        <v>27</v>
      </c>
      <c r="B31" s="1"/>
      <c r="C31" s="78"/>
      <c r="D31" s="78"/>
      <c r="E31" s="78"/>
      <c r="F31" s="78"/>
      <c r="G31" s="78"/>
      <c r="H31" s="78"/>
      <c r="I31" s="78"/>
      <c r="J31" s="78"/>
      <c r="K31" s="78"/>
      <c r="L31" s="78"/>
    </row>
    <row r="32" spans="1:26" hidden="1" x14ac:dyDescent="0.25">
      <c r="A32" s="17"/>
      <c r="B32" s="605"/>
      <c r="C32" s="638"/>
      <c r="D32" s="638"/>
      <c r="E32" s="638"/>
      <c r="F32" s="638"/>
      <c r="G32" s="638"/>
      <c r="H32" s="638"/>
      <c r="I32" s="638"/>
      <c r="J32" s="638"/>
      <c r="K32" s="638"/>
      <c r="L32" s="638"/>
    </row>
    <row r="33" spans="1:13" hidden="1" x14ac:dyDescent="0.25">
      <c r="A33" s="17" t="s">
        <v>46</v>
      </c>
      <c r="B33" s="605" t="s">
        <v>45</v>
      </c>
      <c r="C33" s="638"/>
      <c r="D33" s="638"/>
      <c r="E33" s="638"/>
      <c r="F33" s="638"/>
      <c r="G33" s="638"/>
      <c r="H33" s="638"/>
      <c r="I33" s="638"/>
      <c r="J33" s="638"/>
      <c r="K33" s="638"/>
      <c r="L33" s="638"/>
    </row>
    <row r="34" spans="1:13" hidden="1" x14ac:dyDescent="0.25">
      <c r="A34" s="18">
        <v>3</v>
      </c>
      <c r="B34" t="s">
        <v>48</v>
      </c>
      <c r="C34"/>
      <c r="D34"/>
      <c r="E34"/>
      <c r="F34"/>
      <c r="G34"/>
      <c r="H34"/>
      <c r="I34"/>
      <c r="J34"/>
      <c r="K34"/>
      <c r="L34"/>
    </row>
    <row r="35" spans="1:13" hidden="1" x14ac:dyDescent="0.25">
      <c r="A35" s="17">
        <v>4</v>
      </c>
      <c r="B35" s="42" t="s">
        <v>47</v>
      </c>
      <c r="C35" s="42"/>
      <c r="D35" s="42"/>
      <c r="E35" s="42"/>
      <c r="F35" s="42"/>
      <c r="G35" s="42"/>
      <c r="H35" s="42"/>
      <c r="I35" s="42"/>
      <c r="J35" s="42"/>
      <c r="K35" s="42"/>
      <c r="L35" s="42"/>
    </row>
    <row r="36" spans="1:13" hidden="1" x14ac:dyDescent="0.25">
      <c r="A36" s="17">
        <v>5</v>
      </c>
      <c r="B36" s="605" t="s">
        <v>49</v>
      </c>
      <c r="C36" s="638"/>
      <c r="D36" s="638"/>
      <c r="E36" s="638"/>
      <c r="F36" s="638"/>
      <c r="G36" s="638"/>
      <c r="H36" s="638"/>
      <c r="I36" s="638"/>
      <c r="J36" s="638"/>
      <c r="K36" s="638"/>
      <c r="L36" s="638"/>
    </row>
    <row r="37" spans="1:13" hidden="1" x14ac:dyDescent="0.25">
      <c r="A37" s="17"/>
      <c r="B37" s="605"/>
      <c r="C37" s="638"/>
      <c r="D37" s="638"/>
      <c r="E37" s="638"/>
      <c r="F37" s="638"/>
      <c r="G37" s="638"/>
      <c r="H37" s="638"/>
      <c r="I37" s="638"/>
      <c r="J37" s="638"/>
      <c r="K37" s="638"/>
      <c r="L37" s="638"/>
    </row>
    <row r="38" spans="1:13" x14ac:dyDescent="0.25">
      <c r="A38" s="1"/>
      <c r="B38" s="605"/>
      <c r="C38" s="638"/>
      <c r="D38" s="638"/>
      <c r="E38" s="638"/>
      <c r="F38" s="638"/>
      <c r="G38" s="638"/>
      <c r="H38" s="638"/>
      <c r="I38" s="638"/>
      <c r="J38" s="638"/>
      <c r="K38" s="638"/>
      <c r="L38" s="638"/>
    </row>
    <row r="39" spans="1:13" x14ac:dyDescent="0.25">
      <c r="A39" s="19" t="s">
        <v>6</v>
      </c>
      <c r="B39" s="82"/>
      <c r="C39" s="15"/>
      <c r="D39" s="15"/>
      <c r="E39" s="15"/>
      <c r="F39" s="15"/>
      <c r="G39" s="15"/>
      <c r="H39" s="15"/>
      <c r="I39" s="15"/>
      <c r="J39" s="15"/>
      <c r="K39" s="15"/>
      <c r="L39" s="15"/>
    </row>
    <row r="40" spans="1:13" x14ac:dyDescent="0.25">
      <c r="A40" s="4" t="s">
        <v>5</v>
      </c>
      <c r="B40" s="605" t="s">
        <v>51</v>
      </c>
      <c r="C40" s="638"/>
      <c r="D40" s="638"/>
      <c r="E40" s="638"/>
      <c r="F40" s="638"/>
      <c r="G40" s="638"/>
      <c r="H40" s="638"/>
      <c r="I40" s="638"/>
      <c r="J40" s="638"/>
      <c r="K40" s="638"/>
      <c r="L40" s="638"/>
    </row>
    <row r="41" spans="1:13" x14ac:dyDescent="0.25">
      <c r="A41" s="4" t="s">
        <v>4</v>
      </c>
      <c r="B41" s="605" t="s">
        <v>67</v>
      </c>
      <c r="C41" s="638"/>
      <c r="D41" s="638"/>
      <c r="E41" s="638"/>
      <c r="F41" s="638"/>
      <c r="G41" s="638"/>
      <c r="H41" s="638"/>
      <c r="I41" s="638"/>
      <c r="J41" s="638"/>
      <c r="K41" s="638"/>
      <c r="L41" s="638"/>
    </row>
    <row r="42" spans="1:13" x14ac:dyDescent="0.25">
      <c r="A42" s="4" t="s">
        <v>3</v>
      </c>
      <c r="B42" s="633" t="s">
        <v>68</v>
      </c>
      <c r="C42" s="637"/>
      <c r="D42" s="637"/>
      <c r="E42" s="637"/>
      <c r="F42" s="637"/>
      <c r="G42" s="637"/>
      <c r="H42" s="637"/>
      <c r="I42" s="637"/>
      <c r="J42" s="637"/>
      <c r="K42" s="637"/>
      <c r="L42" s="637"/>
    </row>
    <row r="43" spans="1:13" s="43" customFormat="1" ht="74.25" customHeight="1" x14ac:dyDescent="0.25">
      <c r="A43" s="75" t="s">
        <v>2</v>
      </c>
      <c r="B43" s="633" t="s">
        <v>82</v>
      </c>
      <c r="C43" s="637"/>
      <c r="D43" s="637"/>
      <c r="E43" s="637"/>
      <c r="F43" s="637"/>
      <c r="G43" s="637"/>
      <c r="H43" s="637"/>
      <c r="I43" s="637"/>
      <c r="J43" s="637"/>
      <c r="K43" s="637"/>
      <c r="L43" s="637"/>
      <c r="M43" s="24"/>
    </row>
    <row r="44" spans="1:13" ht="25.5" customHeight="1" x14ac:dyDescent="0.25">
      <c r="A44" s="4" t="s">
        <v>1</v>
      </c>
      <c r="B44" s="605" t="s">
        <v>69</v>
      </c>
      <c r="C44" s="638"/>
      <c r="D44" s="638"/>
      <c r="E44" s="638"/>
      <c r="F44" s="638"/>
      <c r="G44" s="638"/>
      <c r="H44" s="638"/>
      <c r="I44" s="638"/>
      <c r="J44" s="638"/>
      <c r="K44" s="638"/>
      <c r="L44" s="638"/>
    </row>
    <row r="45" spans="1:13" ht="24" customHeight="1" x14ac:dyDescent="0.25">
      <c r="A45" s="4" t="s">
        <v>0</v>
      </c>
      <c r="B45" s="605" t="s">
        <v>70</v>
      </c>
      <c r="C45" s="638"/>
      <c r="D45" s="638"/>
      <c r="E45" s="638"/>
      <c r="F45" s="638"/>
      <c r="G45" s="638"/>
      <c r="H45" s="638"/>
      <c r="I45" s="638"/>
      <c r="J45" s="638"/>
      <c r="K45" s="638"/>
      <c r="L45" s="638"/>
    </row>
    <row r="46" spans="1:13" ht="24" customHeight="1" x14ac:dyDescent="0.25">
      <c r="A46" s="4" t="s">
        <v>40</v>
      </c>
      <c r="B46" s="639" t="s">
        <v>71</v>
      </c>
      <c r="C46" s="638"/>
      <c r="D46" s="638"/>
      <c r="E46" s="638"/>
      <c r="F46" s="638"/>
      <c r="G46" s="638"/>
      <c r="H46" s="638"/>
      <c r="I46" s="638"/>
      <c r="J46" s="638"/>
      <c r="K46" s="638"/>
      <c r="L46" s="638"/>
    </row>
  </sheetData>
  <mergeCells count="15">
    <mergeCell ref="B33:L33"/>
    <mergeCell ref="C3:L3"/>
    <mergeCell ref="G4:H4"/>
    <mergeCell ref="I4:J4"/>
    <mergeCell ref="B32:L32"/>
    <mergeCell ref="B43:L43"/>
    <mergeCell ref="B44:L44"/>
    <mergeCell ref="B45:L45"/>
    <mergeCell ref="B46:L46"/>
    <mergeCell ref="B36:L36"/>
    <mergeCell ref="B37:L37"/>
    <mergeCell ref="B38:L38"/>
    <mergeCell ref="B40:L40"/>
    <mergeCell ref="B41:L41"/>
    <mergeCell ref="B42:L42"/>
  </mergeCells>
  <hyperlinks>
    <hyperlink ref="B35" r:id="rId1"/>
    <hyperlink ref="C3" location="INDEX" display="Gasifier, biomass, producer gas, small - medium scal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2:X76"/>
  <sheetViews>
    <sheetView showGridLines="0" zoomScaleNormal="100" workbookViewId="0">
      <selection activeCell="D18" sqref="D18"/>
    </sheetView>
  </sheetViews>
  <sheetFormatPr defaultRowHeight="15" x14ac:dyDescent="0.25"/>
  <cols>
    <col min="1" max="1" width="2.140625" style="1" customWidth="1"/>
    <col min="2" max="2" width="39.85546875" style="1" customWidth="1"/>
    <col min="3" max="10" width="7.140625" style="1" customWidth="1"/>
    <col min="11" max="11" width="5" style="1" customWidth="1"/>
    <col min="12" max="12" width="16.85546875" style="62" customWidth="1"/>
    <col min="13" max="13" width="4.42578125" style="1" customWidth="1"/>
    <col min="14" max="17" width="9.140625" customWidth="1"/>
    <col min="18" max="18" width="30.140625" customWidth="1"/>
    <col min="19" max="19" width="10.28515625" customWidth="1"/>
    <col min="20" max="20" width="9.7109375" customWidth="1"/>
    <col min="21" max="21" width="10" customWidth="1"/>
    <col min="22" max="22" width="7.85546875" customWidth="1"/>
    <col min="23" max="23" width="7.140625" customWidth="1"/>
    <col min="24" max="24" width="7.7109375" customWidth="1"/>
  </cols>
  <sheetData>
    <row r="2" spans="1:24" x14ac:dyDescent="0.25">
      <c r="A2" s="5"/>
      <c r="B2" s="5"/>
      <c r="C2" s="5"/>
      <c r="D2" s="5"/>
      <c r="E2" s="5"/>
      <c r="F2" s="5"/>
      <c r="G2" s="5"/>
      <c r="H2" s="5"/>
      <c r="I2" s="5"/>
      <c r="J2" s="5"/>
      <c r="K2" s="5"/>
      <c r="L2" s="59"/>
      <c r="R2" s="10"/>
      <c r="S2" s="10"/>
      <c r="T2" s="10"/>
      <c r="U2" s="79"/>
      <c r="V2" s="10"/>
      <c r="W2" s="10"/>
      <c r="X2" s="10"/>
    </row>
    <row r="3" spans="1:24" ht="15" customHeight="1" x14ac:dyDescent="0.25">
      <c r="A3" s="5"/>
      <c r="B3" s="46" t="s">
        <v>20</v>
      </c>
      <c r="C3" s="646" t="s">
        <v>52</v>
      </c>
      <c r="D3" s="647"/>
      <c r="E3" s="647"/>
      <c r="F3" s="647"/>
      <c r="G3" s="647"/>
      <c r="H3" s="647"/>
      <c r="I3" s="647"/>
      <c r="J3" s="647"/>
      <c r="K3" s="647"/>
      <c r="L3" s="647"/>
      <c r="S3" s="648"/>
      <c r="T3" s="649"/>
      <c r="U3" s="649"/>
      <c r="V3" s="649"/>
      <c r="W3" s="649"/>
      <c r="X3" s="649"/>
    </row>
    <row r="4" spans="1:24" ht="25.5" customHeight="1" x14ac:dyDescent="0.25">
      <c r="A4" s="5"/>
      <c r="B4" s="47"/>
      <c r="C4" s="84">
        <v>2015</v>
      </c>
      <c r="D4" s="84">
        <v>2020</v>
      </c>
      <c r="E4" s="84">
        <v>2030</v>
      </c>
      <c r="F4" s="84">
        <v>2050</v>
      </c>
      <c r="G4" s="650" t="s">
        <v>25</v>
      </c>
      <c r="H4" s="650"/>
      <c r="I4" s="650" t="s">
        <v>24</v>
      </c>
      <c r="J4" s="650"/>
      <c r="K4" s="84" t="s">
        <v>19</v>
      </c>
      <c r="L4" s="84" t="s">
        <v>18</v>
      </c>
      <c r="R4" s="11"/>
      <c r="S4" s="85"/>
      <c r="T4" s="85"/>
      <c r="U4" s="85"/>
      <c r="V4" s="85"/>
      <c r="W4" s="85"/>
      <c r="X4" s="85"/>
    </row>
    <row r="5" spans="1:24" ht="15" customHeight="1" x14ac:dyDescent="0.25">
      <c r="A5" s="5"/>
      <c r="B5" s="48" t="s">
        <v>15</v>
      </c>
      <c r="C5" s="48"/>
      <c r="D5" s="48"/>
      <c r="E5" s="48"/>
      <c r="F5" s="48"/>
      <c r="G5" s="68" t="s">
        <v>17</v>
      </c>
      <c r="H5" s="68" t="s">
        <v>16</v>
      </c>
      <c r="I5" s="68" t="s">
        <v>17</v>
      </c>
      <c r="J5" s="68" t="s">
        <v>16</v>
      </c>
      <c r="K5" s="48"/>
      <c r="L5" s="58"/>
      <c r="R5" s="651"/>
      <c r="S5" s="651"/>
      <c r="T5" s="651"/>
      <c r="U5" s="651"/>
      <c r="V5" s="651"/>
      <c r="W5" s="651"/>
      <c r="X5" s="651"/>
    </row>
    <row r="6" spans="1:24" x14ac:dyDescent="0.25">
      <c r="A6" s="5"/>
      <c r="B6" s="76" t="s">
        <v>72</v>
      </c>
      <c r="C6" s="50">
        <v>32</v>
      </c>
      <c r="D6" s="50">
        <v>154</v>
      </c>
      <c r="E6" s="50">
        <v>400</v>
      </c>
      <c r="F6" s="50">
        <v>400</v>
      </c>
      <c r="G6" s="50"/>
      <c r="H6" s="50"/>
      <c r="I6" s="50"/>
      <c r="J6" s="50"/>
      <c r="K6" s="50"/>
      <c r="L6" s="65" t="s">
        <v>55</v>
      </c>
      <c r="R6" s="82"/>
      <c r="S6" s="652"/>
      <c r="T6" s="653"/>
      <c r="U6" s="653"/>
      <c r="V6" s="653"/>
      <c r="W6" s="653"/>
      <c r="X6" s="653"/>
    </row>
    <row r="7" spans="1:24" ht="15" customHeight="1" x14ac:dyDescent="0.25">
      <c r="A7" s="5"/>
      <c r="B7" s="57"/>
      <c r="C7" s="50"/>
      <c r="D7" s="50"/>
      <c r="E7" s="50"/>
      <c r="F7" s="50"/>
      <c r="G7" s="50"/>
      <c r="H7" s="50"/>
      <c r="I7" s="50"/>
      <c r="J7" s="50"/>
      <c r="K7" s="50"/>
      <c r="L7" s="65"/>
      <c r="R7" s="82"/>
      <c r="S7" s="80"/>
      <c r="T7" s="81"/>
      <c r="U7" s="81"/>
      <c r="V7" s="81"/>
      <c r="W7" s="81"/>
      <c r="X7" s="81"/>
    </row>
    <row r="8" spans="1:24" ht="15" customHeight="1" x14ac:dyDescent="0.25">
      <c r="A8" s="5"/>
      <c r="B8" s="51" t="s">
        <v>34</v>
      </c>
      <c r="C8" s="50"/>
      <c r="D8" s="50"/>
      <c r="E8" s="50"/>
      <c r="F8" s="50"/>
      <c r="G8" s="50"/>
      <c r="H8" s="50"/>
      <c r="I8" s="50"/>
      <c r="J8" s="50"/>
      <c r="K8" s="50" t="s">
        <v>4</v>
      </c>
      <c r="L8" s="65"/>
      <c r="R8" s="82"/>
      <c r="S8" s="80"/>
      <c r="T8" s="81"/>
      <c r="U8" s="81"/>
      <c r="V8" s="81"/>
      <c r="W8" s="81"/>
      <c r="X8" s="81"/>
    </row>
    <row r="9" spans="1:24" x14ac:dyDescent="0.25">
      <c r="A9" s="5"/>
      <c r="B9" s="49" t="s">
        <v>77</v>
      </c>
      <c r="C9" s="50">
        <v>91</v>
      </c>
      <c r="D9" s="50">
        <v>100</v>
      </c>
      <c r="E9" s="50">
        <v>100</v>
      </c>
      <c r="F9" s="50">
        <v>100</v>
      </c>
      <c r="G9" s="50"/>
      <c r="H9" s="50"/>
      <c r="I9" s="50"/>
      <c r="J9" s="50"/>
      <c r="K9" s="50"/>
      <c r="L9" s="65"/>
      <c r="R9" s="82"/>
      <c r="S9" s="80"/>
      <c r="T9" s="81"/>
      <c r="U9" s="81"/>
      <c r="V9" s="81"/>
      <c r="W9" s="81"/>
      <c r="X9" s="81"/>
    </row>
    <row r="10" spans="1:24" x14ac:dyDescent="0.25">
      <c r="A10" s="5"/>
      <c r="B10" s="49" t="s">
        <v>78</v>
      </c>
      <c r="C10" s="50">
        <v>9</v>
      </c>
      <c r="D10" s="50">
        <v>0</v>
      </c>
      <c r="E10" s="50">
        <v>0</v>
      </c>
      <c r="F10" s="50">
        <v>0</v>
      </c>
      <c r="G10" s="50"/>
      <c r="H10" s="50"/>
      <c r="I10" s="50"/>
      <c r="J10" s="50"/>
      <c r="K10" s="50" t="s">
        <v>4</v>
      </c>
      <c r="L10" s="65"/>
      <c r="R10" s="82"/>
      <c r="S10" s="80"/>
      <c r="T10" s="81"/>
      <c r="U10" s="81"/>
      <c r="V10" s="81"/>
      <c r="W10" s="81"/>
      <c r="X10" s="81"/>
    </row>
    <row r="11" spans="1:24" ht="15" customHeight="1" x14ac:dyDescent="0.25">
      <c r="A11" s="5"/>
      <c r="B11" s="52"/>
      <c r="C11" s="50"/>
      <c r="D11" s="50"/>
      <c r="E11" s="50"/>
      <c r="F11" s="50"/>
      <c r="G11" s="50"/>
      <c r="H11" s="50"/>
      <c r="I11" s="50"/>
      <c r="J11" s="50"/>
      <c r="K11" s="50"/>
      <c r="L11" s="65"/>
      <c r="R11" s="82"/>
      <c r="S11" s="80"/>
      <c r="T11" s="81"/>
      <c r="U11" s="81"/>
      <c r="V11" s="81"/>
      <c r="W11" s="81"/>
      <c r="X11" s="81"/>
    </row>
    <row r="12" spans="1:24" ht="15" customHeight="1" x14ac:dyDescent="0.25">
      <c r="A12" s="5"/>
      <c r="B12" s="51" t="s">
        <v>35</v>
      </c>
      <c r="C12" s="50"/>
      <c r="D12" s="50"/>
      <c r="E12" s="50"/>
      <c r="F12" s="50"/>
      <c r="G12" s="50"/>
      <c r="H12" s="50"/>
      <c r="I12" s="50"/>
      <c r="J12" s="50"/>
      <c r="K12" s="50" t="s">
        <v>4</v>
      </c>
      <c r="L12" s="65"/>
      <c r="R12" s="82"/>
      <c r="S12" s="80"/>
      <c r="T12" s="81"/>
      <c r="U12" s="81"/>
      <c r="V12" s="81"/>
      <c r="W12" s="81"/>
      <c r="X12" s="81"/>
    </row>
    <row r="13" spans="1:24" x14ac:dyDescent="0.25">
      <c r="A13" s="5"/>
      <c r="B13" s="49" t="s">
        <v>81</v>
      </c>
      <c r="C13" s="50">
        <v>56</v>
      </c>
      <c r="D13" s="50">
        <v>60</v>
      </c>
      <c r="E13" s="50">
        <v>63</v>
      </c>
      <c r="F13" s="50">
        <v>70</v>
      </c>
      <c r="G13" s="50">
        <v>58</v>
      </c>
      <c r="H13" s="50">
        <v>65</v>
      </c>
      <c r="I13" s="50">
        <v>65</v>
      </c>
      <c r="J13" s="50">
        <v>75</v>
      </c>
      <c r="K13" s="50" t="s">
        <v>40</v>
      </c>
      <c r="L13" s="65" t="s">
        <v>56</v>
      </c>
      <c r="R13" s="82"/>
      <c r="S13" s="80"/>
      <c r="T13" s="81"/>
      <c r="U13" s="81"/>
      <c r="V13" s="81"/>
      <c r="W13" s="81"/>
      <c r="X13" s="81"/>
    </row>
    <row r="14" spans="1:24" x14ac:dyDescent="0.25">
      <c r="A14" s="5"/>
      <c r="B14" s="49" t="s">
        <v>80</v>
      </c>
      <c r="C14" s="50">
        <v>15</v>
      </c>
      <c r="D14" s="50">
        <v>20</v>
      </c>
      <c r="E14" s="50">
        <v>22</v>
      </c>
      <c r="F14" s="50">
        <v>20</v>
      </c>
      <c r="G14" s="50"/>
      <c r="H14" s="50"/>
      <c r="I14" s="50"/>
      <c r="J14" s="50"/>
      <c r="K14" s="50" t="s">
        <v>41</v>
      </c>
      <c r="L14" s="65" t="s">
        <v>56</v>
      </c>
      <c r="R14" s="82"/>
      <c r="S14" s="80"/>
      <c r="T14" s="81"/>
      <c r="U14" s="81"/>
      <c r="V14" s="81"/>
      <c r="W14" s="81"/>
      <c r="X14" s="81"/>
    </row>
    <row r="15" spans="1:24" x14ac:dyDescent="0.25">
      <c r="A15" s="5"/>
      <c r="B15" s="49"/>
      <c r="C15" s="50"/>
      <c r="D15" s="50"/>
      <c r="E15" s="50"/>
      <c r="F15" s="50"/>
      <c r="G15" s="50"/>
      <c r="H15" s="50"/>
      <c r="I15" s="50"/>
      <c r="J15" s="50"/>
      <c r="K15" s="50"/>
      <c r="L15" s="65"/>
      <c r="R15" s="82"/>
      <c r="S15" s="12"/>
      <c r="T15" s="12"/>
      <c r="U15" s="12"/>
      <c r="V15" s="12"/>
      <c r="W15" s="12"/>
      <c r="X15" s="12"/>
    </row>
    <row r="16" spans="1:24" x14ac:dyDescent="0.25">
      <c r="A16" s="5"/>
      <c r="B16" s="49" t="s">
        <v>76</v>
      </c>
      <c r="C16" s="50">
        <v>3</v>
      </c>
      <c r="D16" s="50">
        <v>3</v>
      </c>
      <c r="E16" s="50">
        <v>3</v>
      </c>
      <c r="F16" s="50">
        <v>3</v>
      </c>
      <c r="G16" s="50"/>
      <c r="H16" s="50"/>
      <c r="I16" s="50"/>
      <c r="J16" s="50"/>
      <c r="K16" s="50"/>
      <c r="L16" s="65"/>
      <c r="R16" s="82"/>
      <c r="S16" s="12"/>
      <c r="T16" s="12"/>
      <c r="U16" s="12"/>
      <c r="V16" s="12"/>
      <c r="W16" s="12"/>
      <c r="X16" s="12"/>
    </row>
    <row r="17" spans="1:24" x14ac:dyDescent="0.25">
      <c r="A17" s="5"/>
      <c r="B17" s="49" t="s">
        <v>23</v>
      </c>
      <c r="C17" s="50">
        <v>3</v>
      </c>
      <c r="D17" s="50">
        <v>3</v>
      </c>
      <c r="E17" s="50">
        <v>3</v>
      </c>
      <c r="F17" s="50">
        <v>3</v>
      </c>
      <c r="G17" s="50"/>
      <c r="H17" s="50"/>
      <c r="I17" s="50"/>
      <c r="J17" s="50"/>
      <c r="K17" s="50"/>
      <c r="L17" s="65"/>
      <c r="R17" s="82"/>
      <c r="S17" s="12"/>
      <c r="T17" s="12"/>
      <c r="U17" s="12"/>
      <c r="V17" s="12"/>
      <c r="W17" s="12"/>
      <c r="X17" s="12"/>
    </row>
    <row r="18" spans="1:24" x14ac:dyDescent="0.25">
      <c r="A18" s="5"/>
      <c r="B18" s="49" t="s">
        <v>14</v>
      </c>
      <c r="C18" s="50">
        <v>15</v>
      </c>
      <c r="D18" s="50">
        <v>20</v>
      </c>
      <c r="E18" s="50">
        <v>20</v>
      </c>
      <c r="F18" s="50">
        <v>20</v>
      </c>
      <c r="G18" s="50"/>
      <c r="H18" s="50"/>
      <c r="I18" s="50"/>
      <c r="J18" s="50"/>
      <c r="K18" s="50"/>
      <c r="L18" s="65"/>
      <c r="R18" s="82"/>
      <c r="S18" s="12"/>
      <c r="T18" s="12"/>
      <c r="U18" s="12"/>
      <c r="V18" s="12"/>
      <c r="W18" s="12"/>
      <c r="X18" s="12"/>
    </row>
    <row r="19" spans="1:24" x14ac:dyDescent="0.25">
      <c r="A19" s="5"/>
      <c r="B19" s="49" t="s">
        <v>12</v>
      </c>
      <c r="C19" s="50">
        <v>2.5</v>
      </c>
      <c r="D19" s="50">
        <v>2.5</v>
      </c>
      <c r="E19" s="50">
        <v>2.5</v>
      </c>
      <c r="F19" s="50">
        <v>2.5</v>
      </c>
      <c r="G19" s="50"/>
      <c r="H19" s="50"/>
      <c r="I19" s="50"/>
      <c r="J19" s="50"/>
      <c r="K19" s="50"/>
      <c r="L19" s="65"/>
      <c r="R19" s="82"/>
      <c r="S19" s="12"/>
      <c r="T19" s="12"/>
      <c r="U19" s="12"/>
      <c r="V19" s="12"/>
      <c r="W19" s="12"/>
      <c r="X19" s="12"/>
    </row>
    <row r="20" spans="1:24" x14ac:dyDescent="0.25">
      <c r="A20" s="5"/>
      <c r="B20" s="49"/>
      <c r="C20" s="50"/>
      <c r="D20" s="50"/>
      <c r="E20" s="50"/>
      <c r="F20" s="50"/>
      <c r="G20" s="50"/>
      <c r="H20" s="50"/>
      <c r="I20" s="50"/>
      <c r="J20" s="50"/>
      <c r="K20" s="50"/>
      <c r="L20" s="65"/>
      <c r="R20" s="82"/>
      <c r="S20" s="12"/>
      <c r="T20" s="12"/>
      <c r="U20" s="12"/>
      <c r="V20" s="12"/>
      <c r="W20" s="12"/>
      <c r="X20" s="12"/>
    </row>
    <row r="21" spans="1:24" x14ac:dyDescent="0.25">
      <c r="A21" s="5"/>
      <c r="B21" s="48" t="s">
        <v>9</v>
      </c>
      <c r="C21" s="48"/>
      <c r="D21" s="48"/>
      <c r="E21" s="48"/>
      <c r="F21" s="48"/>
      <c r="G21" s="48"/>
      <c r="H21" s="48"/>
      <c r="I21" s="48"/>
      <c r="J21" s="48"/>
      <c r="K21" s="48"/>
      <c r="L21" s="66"/>
      <c r="R21" s="82"/>
      <c r="S21" s="12"/>
      <c r="T21" s="12"/>
      <c r="U21" s="12"/>
      <c r="V21" s="12"/>
      <c r="W21" s="12"/>
      <c r="X21" s="12"/>
    </row>
    <row r="22" spans="1:24" ht="15" customHeight="1" x14ac:dyDescent="0.25">
      <c r="A22" s="5"/>
      <c r="B22" s="76" t="s">
        <v>53</v>
      </c>
      <c r="C22" s="50">
        <v>4</v>
      </c>
      <c r="D22" s="50">
        <v>2.5</v>
      </c>
      <c r="E22" s="50">
        <v>1.6</v>
      </c>
      <c r="F22" s="50">
        <v>1.5</v>
      </c>
      <c r="G22" s="50">
        <v>1.8</v>
      </c>
      <c r="H22" s="50">
        <v>3</v>
      </c>
      <c r="I22" s="50">
        <v>1.4</v>
      </c>
      <c r="J22" s="50">
        <v>2.6</v>
      </c>
      <c r="K22" s="50" t="s">
        <v>1</v>
      </c>
      <c r="L22" s="67" t="s">
        <v>57</v>
      </c>
      <c r="Q22" s="93"/>
      <c r="R22" s="93"/>
      <c r="S22" s="93"/>
      <c r="T22" s="93"/>
      <c r="U22" s="93"/>
      <c r="V22" s="93"/>
      <c r="W22" s="93"/>
      <c r="X22" s="93"/>
    </row>
    <row r="23" spans="1:24" ht="16.5" customHeight="1" x14ac:dyDescent="0.25">
      <c r="A23" s="5"/>
      <c r="B23" s="49" t="s">
        <v>8</v>
      </c>
      <c r="C23" s="50" t="s">
        <v>28</v>
      </c>
      <c r="D23" s="50"/>
      <c r="E23" s="50"/>
      <c r="F23" s="50"/>
      <c r="G23" s="50"/>
      <c r="H23" s="50"/>
      <c r="I23" s="50"/>
      <c r="J23" s="50"/>
      <c r="K23" s="50"/>
      <c r="L23" s="65"/>
      <c r="Q23" s="93"/>
      <c r="R23" s="93"/>
      <c r="S23" s="93"/>
      <c r="T23" s="93"/>
      <c r="U23" s="93"/>
      <c r="V23" s="92"/>
      <c r="W23" s="92"/>
      <c r="X23" s="12"/>
    </row>
    <row r="24" spans="1:24" ht="16.5" customHeight="1" x14ac:dyDescent="0.25">
      <c r="A24" s="5"/>
      <c r="B24" s="49" t="s">
        <v>7</v>
      </c>
      <c r="C24" s="50" t="s">
        <v>28</v>
      </c>
      <c r="D24" s="50"/>
      <c r="E24" s="50"/>
      <c r="F24" s="50"/>
      <c r="G24" s="50"/>
      <c r="H24" s="50"/>
      <c r="I24" s="50"/>
      <c r="J24" s="50"/>
      <c r="K24" s="50"/>
      <c r="L24" s="65"/>
      <c r="Q24" s="93"/>
      <c r="R24" s="93"/>
      <c r="S24" s="93"/>
      <c r="T24" s="93"/>
      <c r="U24" s="93"/>
      <c r="V24" s="92"/>
      <c r="W24" s="92"/>
      <c r="X24" s="12"/>
    </row>
    <row r="25" spans="1:24" x14ac:dyDescent="0.25">
      <c r="A25" s="5"/>
      <c r="B25" s="49" t="s">
        <v>73</v>
      </c>
      <c r="C25" s="97">
        <v>80500</v>
      </c>
      <c r="D25" s="97">
        <v>40200</v>
      </c>
      <c r="E25" s="97">
        <v>26200</v>
      </c>
      <c r="F25" s="97">
        <v>24100</v>
      </c>
      <c r="G25" s="97">
        <v>30200</v>
      </c>
      <c r="H25" s="97">
        <v>50300</v>
      </c>
      <c r="I25" s="97">
        <v>18100</v>
      </c>
      <c r="J25" s="97">
        <v>30200</v>
      </c>
      <c r="K25" s="50" t="s">
        <v>0</v>
      </c>
      <c r="L25" s="65" t="s">
        <v>58</v>
      </c>
      <c r="Q25" s="94"/>
      <c r="R25" s="94"/>
      <c r="S25" s="94"/>
      <c r="T25" s="94"/>
      <c r="U25" s="94"/>
      <c r="V25" s="94"/>
      <c r="W25" s="94"/>
      <c r="X25" s="94"/>
    </row>
    <row r="26" spans="1:24" x14ac:dyDescent="0.25">
      <c r="A26" s="5"/>
      <c r="B26" s="49" t="s">
        <v>54</v>
      </c>
      <c r="C26" s="50">
        <v>5.3</v>
      </c>
      <c r="D26" s="50">
        <v>2.7</v>
      </c>
      <c r="E26" s="50">
        <v>1.7</v>
      </c>
      <c r="F26" s="50">
        <v>1.6</v>
      </c>
      <c r="G26" s="50">
        <v>1.8</v>
      </c>
      <c r="H26" s="50">
        <v>3.5</v>
      </c>
      <c r="I26" s="50">
        <v>1.1000000000000001</v>
      </c>
      <c r="J26" s="50">
        <v>2.1</v>
      </c>
      <c r="K26" s="50" t="s">
        <v>0</v>
      </c>
      <c r="L26" s="65" t="s">
        <v>58</v>
      </c>
      <c r="Q26" s="93"/>
      <c r="R26" s="93"/>
      <c r="S26" s="93"/>
      <c r="T26" s="93"/>
      <c r="U26" s="93"/>
      <c r="V26" s="93"/>
      <c r="W26" s="93"/>
      <c r="X26" s="93"/>
    </row>
    <row r="27" spans="1:24" ht="15" customHeight="1" x14ac:dyDescent="0.25">
      <c r="A27" s="5"/>
      <c r="B27" s="49"/>
      <c r="C27" s="55"/>
      <c r="D27" s="53"/>
      <c r="E27" s="53"/>
      <c r="F27" s="53"/>
      <c r="G27" s="50"/>
      <c r="H27" s="50"/>
      <c r="I27" s="50"/>
      <c r="J27" s="50"/>
      <c r="K27" s="50"/>
      <c r="L27" s="65"/>
      <c r="R27" s="82"/>
      <c r="S27" s="12"/>
      <c r="T27" s="12"/>
      <c r="U27" s="12"/>
      <c r="V27" s="12"/>
      <c r="W27" s="12"/>
      <c r="X27" s="12"/>
    </row>
    <row r="28" spans="1:24" ht="15" customHeight="1" x14ac:dyDescent="0.25">
      <c r="A28" s="5"/>
      <c r="B28" s="64" t="s">
        <v>26</v>
      </c>
      <c r="C28" s="54"/>
      <c r="D28" s="54"/>
      <c r="E28" s="54"/>
      <c r="F28" s="54"/>
      <c r="G28" s="50"/>
      <c r="H28" s="50"/>
      <c r="I28" s="50"/>
      <c r="J28" s="50"/>
      <c r="K28" s="50"/>
      <c r="L28" s="65"/>
      <c r="R28" s="82"/>
      <c r="S28" s="12"/>
      <c r="T28" s="12"/>
      <c r="U28" s="12"/>
      <c r="V28" s="12"/>
      <c r="W28" s="12"/>
      <c r="X28" s="12"/>
    </row>
    <row r="29" spans="1:24" ht="15" customHeight="1" x14ac:dyDescent="0.25">
      <c r="A29" s="5"/>
      <c r="B29" s="49" t="s">
        <v>22</v>
      </c>
      <c r="C29" s="50">
        <v>6</v>
      </c>
      <c r="D29" s="50">
        <v>6</v>
      </c>
      <c r="E29" s="50">
        <v>6</v>
      </c>
      <c r="F29" s="50">
        <v>6</v>
      </c>
      <c r="G29" s="50"/>
      <c r="H29" s="50"/>
      <c r="I29" s="50"/>
      <c r="J29" s="50"/>
      <c r="K29" s="50" t="s">
        <v>3</v>
      </c>
      <c r="L29" s="65"/>
      <c r="R29" s="82"/>
      <c r="S29" s="12"/>
      <c r="T29" s="12"/>
      <c r="U29" s="12"/>
      <c r="V29" s="12"/>
      <c r="W29" s="12"/>
      <c r="X29" s="12"/>
    </row>
    <row r="30" spans="1:24" ht="15" customHeight="1" x14ac:dyDescent="0.25">
      <c r="A30" s="5"/>
      <c r="B30" s="49" t="s">
        <v>21</v>
      </c>
      <c r="C30" s="50">
        <v>12</v>
      </c>
      <c r="D30" s="50">
        <v>12</v>
      </c>
      <c r="E30" s="50">
        <v>12</v>
      </c>
      <c r="F30" s="50">
        <v>12</v>
      </c>
      <c r="G30" s="50"/>
      <c r="H30" s="50"/>
      <c r="I30" s="50"/>
      <c r="J30" s="50"/>
      <c r="K30" s="50" t="s">
        <v>3</v>
      </c>
      <c r="L30" s="65"/>
      <c r="R30" s="82"/>
      <c r="S30" s="12"/>
      <c r="T30" s="12"/>
      <c r="U30" s="12"/>
      <c r="V30" s="12"/>
      <c r="W30" s="12"/>
      <c r="X30" s="12"/>
    </row>
    <row r="31" spans="1:24" ht="15" customHeight="1" x14ac:dyDescent="0.25">
      <c r="A31" s="5"/>
      <c r="B31" s="49"/>
      <c r="C31" s="50"/>
      <c r="D31" s="50"/>
      <c r="E31" s="50"/>
      <c r="F31" s="50"/>
      <c r="G31" s="50"/>
      <c r="H31" s="50"/>
      <c r="I31" s="50"/>
      <c r="J31" s="50"/>
      <c r="K31" s="50"/>
      <c r="L31" s="65"/>
      <c r="R31" s="82"/>
      <c r="S31" s="12"/>
      <c r="T31" s="12"/>
      <c r="U31" s="12"/>
      <c r="V31" s="12"/>
      <c r="W31" s="12"/>
      <c r="X31" s="12"/>
    </row>
    <row r="32" spans="1:24" ht="15" customHeight="1" x14ac:dyDescent="0.25">
      <c r="A32" s="5"/>
      <c r="B32" s="48" t="s">
        <v>11</v>
      </c>
      <c r="C32" s="48"/>
      <c r="D32" s="48"/>
      <c r="E32" s="48"/>
      <c r="F32" s="48"/>
      <c r="G32" s="48"/>
      <c r="H32" s="48"/>
      <c r="I32" s="48"/>
      <c r="J32" s="48"/>
      <c r="K32" s="48"/>
      <c r="L32" s="66"/>
      <c r="R32" s="82"/>
      <c r="S32" s="12"/>
      <c r="T32" s="12"/>
      <c r="U32" s="12"/>
      <c r="V32" s="12"/>
      <c r="W32" s="12"/>
      <c r="X32" s="12"/>
    </row>
    <row r="33" spans="1:24" ht="15" customHeight="1" x14ac:dyDescent="0.25">
      <c r="A33" s="5"/>
      <c r="B33" s="49" t="s">
        <v>10</v>
      </c>
      <c r="C33" s="50">
        <v>16</v>
      </c>
      <c r="D33" s="50">
        <v>20</v>
      </c>
      <c r="E33" s="50">
        <v>20</v>
      </c>
      <c r="F33" s="50">
        <v>20</v>
      </c>
      <c r="G33" s="50"/>
      <c r="H33" s="50"/>
      <c r="I33" s="50"/>
      <c r="J33" s="50"/>
      <c r="K33" s="50" t="s">
        <v>2</v>
      </c>
      <c r="L33" s="65" t="s">
        <v>74</v>
      </c>
      <c r="R33" s="82"/>
      <c r="S33" s="12"/>
      <c r="T33" s="12"/>
      <c r="U33" s="12"/>
      <c r="V33" s="12"/>
      <c r="W33" s="12"/>
      <c r="X33" s="12"/>
    </row>
    <row r="34" spans="1:24" ht="15" customHeight="1" x14ac:dyDescent="0.25">
      <c r="A34" s="5"/>
      <c r="B34" s="49" t="s">
        <v>59</v>
      </c>
      <c r="C34" s="50">
        <v>0</v>
      </c>
      <c r="D34" s="50">
        <v>0</v>
      </c>
      <c r="E34" s="50">
        <v>0</v>
      </c>
      <c r="F34" s="50">
        <v>0</v>
      </c>
      <c r="G34" s="50"/>
      <c r="H34" s="50"/>
      <c r="I34" s="56"/>
      <c r="J34" s="56"/>
      <c r="K34" s="50" t="s">
        <v>2</v>
      </c>
      <c r="L34" s="65">
        <v>29</v>
      </c>
      <c r="R34" s="82"/>
      <c r="S34" s="12"/>
      <c r="T34" s="12"/>
      <c r="U34" s="12"/>
      <c r="V34" s="12"/>
      <c r="W34" s="12"/>
      <c r="X34" s="12"/>
    </row>
    <row r="35" spans="1:24" ht="15" customHeight="1" x14ac:dyDescent="0.25">
      <c r="A35" s="5"/>
      <c r="B35" s="49" t="s">
        <v>60</v>
      </c>
      <c r="C35" s="50">
        <v>0.3</v>
      </c>
      <c r="D35" s="50">
        <v>1</v>
      </c>
      <c r="E35" s="50">
        <v>1</v>
      </c>
      <c r="F35" s="50">
        <v>0</v>
      </c>
      <c r="G35" s="50"/>
      <c r="H35" s="50"/>
      <c r="I35" s="54"/>
      <c r="J35" s="54"/>
      <c r="K35" s="50" t="s">
        <v>2</v>
      </c>
      <c r="L35" s="65" t="s">
        <v>74</v>
      </c>
      <c r="R35" s="82"/>
      <c r="S35" s="12"/>
      <c r="T35" s="12"/>
      <c r="U35" s="12"/>
      <c r="V35" s="12"/>
      <c r="W35" s="12"/>
      <c r="X35" s="12"/>
    </row>
    <row r="36" spans="1:24" hidden="1" x14ac:dyDescent="0.25">
      <c r="A36" s="6" t="s">
        <v>27</v>
      </c>
      <c r="C36" s="41"/>
      <c r="D36" s="41"/>
      <c r="E36" s="41"/>
      <c r="F36" s="41"/>
      <c r="G36" s="41"/>
      <c r="H36" s="41"/>
      <c r="I36" s="41"/>
      <c r="J36" s="41"/>
      <c r="K36" s="78"/>
      <c r="L36" s="60"/>
    </row>
    <row r="37" spans="1:24" ht="15" hidden="1" customHeight="1" x14ac:dyDescent="0.25">
      <c r="A37" s="17">
        <v>1</v>
      </c>
      <c r="B37" s="606" t="s">
        <v>36</v>
      </c>
      <c r="C37" s="645"/>
      <c r="D37" s="645"/>
      <c r="E37" s="645"/>
      <c r="F37" s="645"/>
      <c r="G37" s="645"/>
      <c r="H37" s="645"/>
      <c r="I37" s="645"/>
      <c r="J37" s="645"/>
      <c r="K37" s="645"/>
      <c r="L37" s="645"/>
    </row>
    <row r="38" spans="1:24" ht="15" hidden="1" customHeight="1" x14ac:dyDescent="0.25">
      <c r="A38" s="17">
        <v>2</v>
      </c>
      <c r="B38" s="606" t="s">
        <v>30</v>
      </c>
      <c r="C38" s="645"/>
      <c r="D38" s="645"/>
      <c r="E38" s="645"/>
      <c r="F38" s="645"/>
      <c r="G38" s="645"/>
      <c r="H38" s="645"/>
      <c r="I38" s="645"/>
      <c r="J38" s="645"/>
      <c r="K38" s="645"/>
      <c r="L38" s="645"/>
    </row>
    <row r="39" spans="1:24" ht="15" hidden="1" customHeight="1" x14ac:dyDescent="0.25">
      <c r="A39" s="18">
        <v>3</v>
      </c>
      <c r="B39" s="606" t="s">
        <v>43</v>
      </c>
      <c r="C39" s="645"/>
      <c r="D39" s="645"/>
      <c r="E39" s="645"/>
      <c r="F39" s="645"/>
      <c r="G39" s="645"/>
      <c r="H39" s="645"/>
      <c r="I39" s="645"/>
      <c r="J39" s="645"/>
      <c r="K39" s="645"/>
      <c r="L39" s="645"/>
    </row>
    <row r="40" spans="1:24" s="14" customFormat="1" ht="15.75" hidden="1" customHeight="1" x14ac:dyDescent="0.25">
      <c r="A40" s="17">
        <v>4</v>
      </c>
      <c r="B40" s="606" t="s">
        <v>37</v>
      </c>
      <c r="C40" s="645"/>
      <c r="D40" s="645"/>
      <c r="E40" s="645"/>
      <c r="F40" s="645"/>
      <c r="G40" s="645"/>
      <c r="H40" s="645"/>
      <c r="I40" s="645"/>
      <c r="J40" s="645"/>
      <c r="K40" s="645"/>
      <c r="L40" s="645"/>
      <c r="M40" s="13"/>
    </row>
    <row r="41" spans="1:24" ht="15" hidden="1" customHeight="1" x14ac:dyDescent="0.25">
      <c r="A41" s="17">
        <v>5</v>
      </c>
      <c r="B41" s="82" t="s">
        <v>39</v>
      </c>
      <c r="C41" s="82"/>
      <c r="D41" s="82"/>
      <c r="E41" s="82"/>
      <c r="F41" s="82"/>
      <c r="G41" s="82"/>
      <c r="H41" s="82"/>
      <c r="I41" s="82"/>
      <c r="J41" s="82"/>
      <c r="K41" s="82"/>
      <c r="L41" s="12"/>
    </row>
    <row r="42" spans="1:24" ht="21" hidden="1" customHeight="1" x14ac:dyDescent="0.25">
      <c r="A42" s="17">
        <v>6</v>
      </c>
      <c r="B42" s="606" t="s">
        <v>31</v>
      </c>
      <c r="C42" s="645"/>
      <c r="D42" s="645"/>
      <c r="E42" s="645"/>
      <c r="F42" s="645"/>
      <c r="G42" s="645"/>
      <c r="H42" s="645"/>
      <c r="I42" s="645"/>
      <c r="J42" s="645"/>
      <c r="K42" s="645"/>
      <c r="L42" s="645"/>
    </row>
    <row r="43" spans="1:24" ht="34.5" customHeight="1" x14ac:dyDescent="0.25">
      <c r="A43" s="45" t="s">
        <v>6</v>
      </c>
      <c r="B43" s="82"/>
      <c r="C43" s="15"/>
      <c r="D43" s="15"/>
      <c r="E43" s="15"/>
      <c r="F43" s="15"/>
      <c r="G43" s="15"/>
      <c r="H43" s="15"/>
      <c r="I43" s="15"/>
      <c r="J43" s="15"/>
      <c r="K43" s="15"/>
      <c r="L43" s="61"/>
    </row>
    <row r="44" spans="1:24" ht="13.5" customHeight="1" x14ac:dyDescent="0.25">
      <c r="A44" s="4" t="s">
        <v>5</v>
      </c>
      <c r="B44" s="77" t="s">
        <v>29</v>
      </c>
      <c r="C44" s="78"/>
      <c r="D44" s="78"/>
      <c r="E44" s="78"/>
      <c r="F44" s="78"/>
      <c r="G44" s="78"/>
      <c r="H44" s="78"/>
      <c r="I44" s="78"/>
      <c r="J44" s="78"/>
      <c r="K44" s="78"/>
      <c r="L44" s="60"/>
    </row>
    <row r="45" spans="1:24" ht="14.25" customHeight="1" x14ac:dyDescent="0.25">
      <c r="A45" s="4" t="s">
        <v>4</v>
      </c>
      <c r="B45" s="606" t="s">
        <v>38</v>
      </c>
      <c r="C45" s="645"/>
      <c r="D45" s="645"/>
      <c r="E45" s="645"/>
      <c r="F45" s="645"/>
      <c r="G45" s="645"/>
      <c r="H45" s="645"/>
      <c r="I45" s="645"/>
      <c r="J45" s="645"/>
      <c r="K45" s="645"/>
      <c r="L45" s="645"/>
    </row>
    <row r="46" spans="1:24" ht="13.5" customHeight="1" x14ac:dyDescent="0.25">
      <c r="A46" s="4" t="s">
        <v>3</v>
      </c>
      <c r="B46" s="606" t="s">
        <v>32</v>
      </c>
      <c r="C46" s="645"/>
      <c r="D46" s="645"/>
      <c r="E46" s="645"/>
      <c r="F46" s="645"/>
      <c r="G46" s="645"/>
      <c r="H46" s="645"/>
      <c r="I46" s="645"/>
      <c r="J46" s="645"/>
      <c r="K46" s="645"/>
      <c r="L46" s="645"/>
    </row>
    <row r="47" spans="1:24" ht="30" customHeight="1" x14ac:dyDescent="0.25">
      <c r="A47" s="4" t="s">
        <v>2</v>
      </c>
      <c r="B47" s="606" t="s">
        <v>75</v>
      </c>
      <c r="C47" s="645"/>
      <c r="D47" s="645"/>
      <c r="E47" s="645"/>
      <c r="F47" s="645"/>
      <c r="G47" s="645"/>
      <c r="H47" s="645"/>
      <c r="I47" s="645"/>
      <c r="J47" s="645"/>
      <c r="K47" s="645"/>
      <c r="L47" s="645"/>
    </row>
    <row r="48" spans="1:24" ht="56.25" customHeight="1" x14ac:dyDescent="0.25">
      <c r="A48" s="4" t="s">
        <v>1</v>
      </c>
      <c r="B48" s="639" t="s">
        <v>83</v>
      </c>
      <c r="C48" s="645"/>
      <c r="D48" s="645"/>
      <c r="E48" s="645"/>
      <c r="F48" s="645"/>
      <c r="G48" s="645"/>
      <c r="H48" s="645"/>
      <c r="I48" s="645"/>
      <c r="J48" s="645"/>
      <c r="K48" s="645"/>
      <c r="L48" s="645"/>
      <c r="M48" s="78"/>
    </row>
    <row r="49" spans="1:12" ht="15" customHeight="1" x14ac:dyDescent="0.25">
      <c r="A49" s="4" t="s">
        <v>0</v>
      </c>
      <c r="B49" s="639" t="s">
        <v>33</v>
      </c>
      <c r="C49" s="645"/>
      <c r="D49" s="645"/>
      <c r="E49" s="645"/>
      <c r="F49" s="645"/>
      <c r="G49" s="645"/>
      <c r="H49" s="645"/>
      <c r="I49" s="645"/>
      <c r="J49" s="645"/>
      <c r="K49" s="645"/>
      <c r="L49" s="645"/>
    </row>
    <row r="50" spans="1:12" ht="27.95" customHeight="1" x14ac:dyDescent="0.25">
      <c r="A50" s="4" t="s">
        <v>40</v>
      </c>
      <c r="B50" s="639" t="s">
        <v>42</v>
      </c>
      <c r="C50" s="645"/>
      <c r="D50" s="645"/>
      <c r="E50" s="645"/>
      <c r="F50" s="645"/>
      <c r="G50" s="645"/>
      <c r="H50" s="645"/>
      <c r="I50" s="645"/>
      <c r="J50" s="645"/>
      <c r="K50" s="645"/>
      <c r="L50" s="645"/>
    </row>
    <row r="51" spans="1:12" ht="24.75" customHeight="1" x14ac:dyDescent="0.25">
      <c r="A51" s="4" t="s">
        <v>41</v>
      </c>
      <c r="B51" s="639" t="s">
        <v>44</v>
      </c>
      <c r="C51" s="645"/>
      <c r="D51" s="645"/>
      <c r="E51" s="645"/>
      <c r="F51" s="645"/>
      <c r="G51" s="645"/>
      <c r="H51" s="645"/>
      <c r="I51" s="645"/>
      <c r="J51" s="645"/>
      <c r="K51" s="645"/>
      <c r="L51" s="645"/>
    </row>
    <row r="52" spans="1:12" x14ac:dyDescent="0.25">
      <c r="A52" s="23"/>
      <c r="B52" s="78"/>
      <c r="C52" s="78"/>
      <c r="D52" s="78"/>
      <c r="E52" s="78"/>
      <c r="F52" s="78"/>
      <c r="G52" s="78"/>
      <c r="H52" s="78"/>
      <c r="I52" s="78"/>
      <c r="J52" s="78"/>
      <c r="K52" s="78"/>
      <c r="L52" s="60"/>
    </row>
    <row r="53" spans="1:12" x14ac:dyDescent="0.25">
      <c r="A53" s="23"/>
      <c r="B53" s="78"/>
      <c r="C53" s="78"/>
      <c r="D53" s="78"/>
      <c r="E53" s="78"/>
      <c r="F53" s="78"/>
      <c r="G53" s="78"/>
      <c r="H53" s="78"/>
      <c r="I53" s="78"/>
      <c r="J53" s="78"/>
      <c r="K53" s="78"/>
      <c r="L53" s="60"/>
    </row>
    <row r="54" spans="1:12" x14ac:dyDescent="0.25">
      <c r="A54" s="23"/>
      <c r="B54" s="20"/>
      <c r="C54" s="78"/>
      <c r="D54" s="78"/>
      <c r="E54" s="78"/>
      <c r="F54" s="78"/>
      <c r="G54" s="78"/>
      <c r="H54" s="78"/>
      <c r="I54" s="78"/>
      <c r="J54" s="78"/>
      <c r="K54" s="78"/>
      <c r="L54" s="60"/>
    </row>
    <row r="55" spans="1:12" x14ac:dyDescent="0.25">
      <c r="A55" s="23"/>
      <c r="B55" s="78"/>
      <c r="C55" s="78"/>
      <c r="D55" s="78"/>
      <c r="E55" s="78"/>
      <c r="F55" s="78"/>
      <c r="G55" s="78"/>
      <c r="H55" s="78"/>
      <c r="I55" s="78"/>
      <c r="J55" s="78"/>
      <c r="K55" s="78"/>
      <c r="L55" s="60"/>
    </row>
    <row r="56" spans="1:12" x14ac:dyDescent="0.25">
      <c r="B56" s="7"/>
    </row>
    <row r="57" spans="1:12" x14ac:dyDescent="0.25">
      <c r="B57" s="78"/>
    </row>
    <row r="58" spans="1:12" x14ac:dyDescent="0.25">
      <c r="B58" s="78"/>
    </row>
    <row r="59" spans="1:12" x14ac:dyDescent="0.25">
      <c r="B59" s="78"/>
    </row>
    <row r="60" spans="1:12" x14ac:dyDescent="0.25">
      <c r="B60" s="78"/>
    </row>
    <row r="61" spans="1:12" x14ac:dyDescent="0.25">
      <c r="B61" s="78"/>
    </row>
    <row r="70" spans="2:12" x14ac:dyDescent="0.25">
      <c r="C70" s="22"/>
      <c r="D70" s="22"/>
      <c r="E70" s="22"/>
      <c r="F70" s="22"/>
      <c r="G70" s="22"/>
      <c r="H70" s="22"/>
      <c r="I70" s="22"/>
      <c r="J70" s="22"/>
      <c r="K70" s="22"/>
      <c r="L70" s="63"/>
    </row>
    <row r="73" spans="2:12" x14ac:dyDescent="0.25">
      <c r="C73" s="3"/>
      <c r="D73" s="3"/>
    </row>
    <row r="74" spans="2:12" x14ac:dyDescent="0.25">
      <c r="C74" s="2"/>
      <c r="D74" s="2"/>
      <c r="E74" s="2"/>
    </row>
    <row r="76" spans="2:12" x14ac:dyDescent="0.25">
      <c r="B76" s="22"/>
    </row>
  </sheetData>
  <mergeCells count="18">
    <mergeCell ref="B42:L42"/>
    <mergeCell ref="C3:L3"/>
    <mergeCell ref="S3:X3"/>
    <mergeCell ref="G4:H4"/>
    <mergeCell ref="I4:J4"/>
    <mergeCell ref="R5:X5"/>
    <mergeCell ref="S6:X6"/>
    <mergeCell ref="B37:L37"/>
    <mergeCell ref="B38:L38"/>
    <mergeCell ref="B39:L39"/>
    <mergeCell ref="B40:L40"/>
    <mergeCell ref="B51:L51"/>
    <mergeCell ref="B45:L45"/>
    <mergeCell ref="B46:L46"/>
    <mergeCell ref="B47:L47"/>
    <mergeCell ref="B48:L48"/>
    <mergeCell ref="B49:L49"/>
    <mergeCell ref="B50:L50"/>
  </mergeCells>
  <hyperlinks>
    <hyperlink ref="C3" location="INDEX" display="Gasifier, biomass, bio-SNG, medium - large scale"/>
  </hyperlinks>
  <pageMargins left="0.7" right="0.7" top="0.75" bottom="0.75" header="0.3" footer="0.3"/>
  <pageSetup paperSize="9" scale="3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2:M65"/>
  <sheetViews>
    <sheetView showGridLines="0" zoomScaleNormal="100" workbookViewId="0">
      <selection activeCell="D18" sqref="D18"/>
    </sheetView>
  </sheetViews>
  <sheetFormatPr defaultRowHeight="15" x14ac:dyDescent="0.25"/>
  <cols>
    <col min="1" max="1" width="2.140625" customWidth="1"/>
    <col min="2" max="2" width="39.85546875" customWidth="1"/>
    <col min="3" max="12" width="8.28515625" customWidth="1"/>
  </cols>
  <sheetData>
    <row r="2" spans="2:13" x14ac:dyDescent="0.25">
      <c r="H2" s="255"/>
    </row>
    <row r="3" spans="2:13" ht="15" customHeight="1" x14ac:dyDescent="0.25">
      <c r="B3" s="411" t="s">
        <v>20</v>
      </c>
      <c r="C3" s="654" t="s">
        <v>668</v>
      </c>
      <c r="D3" s="655"/>
      <c r="E3" s="655"/>
      <c r="F3" s="655"/>
      <c r="G3" s="655"/>
      <c r="H3" s="655"/>
      <c r="I3" s="655"/>
      <c r="J3" s="655"/>
      <c r="K3" s="655"/>
      <c r="L3" s="655"/>
      <c r="M3" s="655"/>
    </row>
    <row r="4" spans="2:13" ht="15" customHeight="1" x14ac:dyDescent="0.25">
      <c r="B4" s="201"/>
      <c r="C4" s="201">
        <v>2015</v>
      </c>
      <c r="D4" s="201">
        <v>2020</v>
      </c>
      <c r="E4" s="201">
        <v>2030</v>
      </c>
      <c r="F4" s="201">
        <v>2040</v>
      </c>
      <c r="G4" s="201">
        <v>2050</v>
      </c>
      <c r="H4" s="656" t="s">
        <v>25</v>
      </c>
      <c r="I4" s="656"/>
      <c r="J4" s="656" t="s">
        <v>24</v>
      </c>
      <c r="K4" s="656"/>
      <c r="L4" s="412" t="s">
        <v>19</v>
      </c>
      <c r="M4" s="412" t="s">
        <v>18</v>
      </c>
    </row>
    <row r="5" spans="2:13" x14ac:dyDescent="0.25">
      <c r="B5" s="413"/>
      <c r="C5" s="413"/>
      <c r="D5" s="413"/>
      <c r="E5" s="413"/>
      <c r="F5" s="413"/>
      <c r="G5" s="413"/>
      <c r="H5" s="414" t="s">
        <v>17</v>
      </c>
      <c r="I5" s="414" t="s">
        <v>16</v>
      </c>
      <c r="J5" s="414" t="s">
        <v>17</v>
      </c>
      <c r="K5" s="414" t="s">
        <v>16</v>
      </c>
      <c r="L5" s="414"/>
      <c r="M5" s="414"/>
    </row>
    <row r="6" spans="2:13" x14ac:dyDescent="0.25">
      <c r="B6" s="415" t="s">
        <v>15</v>
      </c>
      <c r="C6" s="416"/>
      <c r="D6" s="416"/>
      <c r="E6" s="416"/>
      <c r="F6" s="416"/>
      <c r="G6" s="416"/>
      <c r="H6" s="416"/>
      <c r="I6" s="416"/>
      <c r="J6" s="416"/>
      <c r="K6" s="416"/>
      <c r="L6" s="417"/>
      <c r="M6" s="418"/>
    </row>
    <row r="7" spans="2:13" x14ac:dyDescent="0.25">
      <c r="B7" s="419" t="s">
        <v>451</v>
      </c>
      <c r="C7" s="419">
        <v>50</v>
      </c>
      <c r="D7" s="419">
        <v>50</v>
      </c>
      <c r="E7" s="419">
        <v>100</v>
      </c>
      <c r="F7" s="419">
        <v>125</v>
      </c>
      <c r="G7" s="419">
        <v>150</v>
      </c>
      <c r="H7" s="420">
        <v>1</v>
      </c>
      <c r="I7" s="420">
        <v>1.5</v>
      </c>
      <c r="J7" s="420">
        <v>0.5</v>
      </c>
      <c r="K7" s="420">
        <v>1.5</v>
      </c>
      <c r="L7" s="421" t="s">
        <v>299</v>
      </c>
      <c r="M7" s="421" t="s">
        <v>394</v>
      </c>
    </row>
    <row r="8" spans="2:13" x14ac:dyDescent="0.25">
      <c r="B8" s="413" t="s">
        <v>427</v>
      </c>
      <c r="C8" s="413">
        <v>75</v>
      </c>
      <c r="D8" s="413">
        <v>75</v>
      </c>
      <c r="E8" s="413">
        <v>150</v>
      </c>
      <c r="F8" s="413">
        <v>190</v>
      </c>
      <c r="G8" s="413">
        <v>225</v>
      </c>
      <c r="H8" s="422">
        <v>1</v>
      </c>
      <c r="I8" s="422">
        <v>1.5</v>
      </c>
      <c r="J8" s="422">
        <v>0.5</v>
      </c>
      <c r="K8" s="422">
        <v>1.5</v>
      </c>
      <c r="L8" s="414" t="s">
        <v>301</v>
      </c>
      <c r="M8" s="414" t="s">
        <v>394</v>
      </c>
    </row>
    <row r="9" spans="2:13" x14ac:dyDescent="0.25">
      <c r="B9" s="415" t="s">
        <v>240</v>
      </c>
      <c r="C9" s="416"/>
      <c r="D9" s="416"/>
      <c r="E9" s="416"/>
      <c r="F9" s="416"/>
      <c r="G9" s="416"/>
      <c r="H9" s="416"/>
      <c r="I9" s="416"/>
      <c r="J9" s="416"/>
      <c r="K9" s="416"/>
      <c r="L9" s="417"/>
      <c r="M9" s="418"/>
    </row>
    <row r="10" spans="2:13" x14ac:dyDescent="0.25">
      <c r="B10" s="423" t="s">
        <v>364</v>
      </c>
      <c r="C10" s="424">
        <v>1</v>
      </c>
      <c r="D10" s="424">
        <v>1</v>
      </c>
      <c r="E10" s="424">
        <v>1</v>
      </c>
      <c r="F10" s="424">
        <v>1</v>
      </c>
      <c r="G10" s="424">
        <v>1</v>
      </c>
      <c r="H10" s="425">
        <v>0.8</v>
      </c>
      <c r="I10" s="425">
        <v>1</v>
      </c>
      <c r="J10" s="425">
        <v>0.8</v>
      </c>
      <c r="K10" s="425">
        <v>1</v>
      </c>
      <c r="L10" s="426" t="s">
        <v>3</v>
      </c>
      <c r="M10" s="426">
        <v>1</v>
      </c>
    </row>
    <row r="11" spans="2:13" x14ac:dyDescent="0.25">
      <c r="B11" s="415" t="s">
        <v>241</v>
      </c>
      <c r="C11" s="416"/>
      <c r="D11" s="416"/>
      <c r="E11" s="416"/>
      <c r="F11" s="416"/>
      <c r="G11" s="416"/>
      <c r="H11" s="427"/>
      <c r="I11" s="427"/>
      <c r="J11" s="427"/>
      <c r="K11" s="427"/>
      <c r="L11" s="417"/>
      <c r="M11" s="418"/>
    </row>
    <row r="12" spans="2:13" x14ac:dyDescent="0.25">
      <c r="B12" s="419" t="s">
        <v>597</v>
      </c>
      <c r="C12" s="428">
        <v>0.1376</v>
      </c>
      <c r="D12" s="428">
        <v>0.1376</v>
      </c>
      <c r="E12" s="429">
        <f>D12*0.4/0.38</f>
        <v>0.14484210526315791</v>
      </c>
      <c r="F12" s="429">
        <f>(E12+G12)/2</f>
        <v>0.15389473684210528</v>
      </c>
      <c r="G12" s="429">
        <f>D12*0.45/0.38</f>
        <v>0.16294736842105265</v>
      </c>
      <c r="H12" s="430">
        <v>0.8</v>
      </c>
      <c r="I12" s="430">
        <v>1.1000000000000001</v>
      </c>
      <c r="J12" s="430">
        <v>0.8</v>
      </c>
      <c r="K12" s="430">
        <v>1.1000000000000001</v>
      </c>
      <c r="L12" s="421" t="s">
        <v>2</v>
      </c>
      <c r="M12" s="421">
        <v>1</v>
      </c>
    </row>
    <row r="13" spans="2:13" x14ac:dyDescent="0.25">
      <c r="B13" s="201" t="s">
        <v>617</v>
      </c>
      <c r="C13" s="431">
        <v>1.47E-2</v>
      </c>
      <c r="D13" s="431">
        <v>1.47E-2</v>
      </c>
      <c r="E13" s="432">
        <f t="shared" ref="E13:E14" si="0">D13*0.4/0.38</f>
        <v>1.5473684210526315E-2</v>
      </c>
      <c r="F13" s="432">
        <f t="shared" ref="F13:F15" si="1">(E13+G13)/2</f>
        <v>1.6440789473684211E-2</v>
      </c>
      <c r="G13" s="432">
        <f t="shared" ref="G13:G14" si="2">D13*0.45/0.38</f>
        <v>1.7407894736842105E-2</v>
      </c>
      <c r="H13" s="433">
        <v>0.8</v>
      </c>
      <c r="I13" s="433">
        <v>1.1000000000000001</v>
      </c>
      <c r="J13" s="433">
        <v>0.8</v>
      </c>
      <c r="K13" s="433">
        <v>1.1000000000000001</v>
      </c>
      <c r="L13" s="412" t="s">
        <v>2</v>
      </c>
      <c r="M13" s="412">
        <v>1</v>
      </c>
    </row>
    <row r="14" spans="2:13" x14ac:dyDescent="0.25">
      <c r="B14" s="201" t="s">
        <v>618</v>
      </c>
      <c r="C14" s="431">
        <v>9.98E-2</v>
      </c>
      <c r="D14" s="431">
        <v>9.98E-2</v>
      </c>
      <c r="E14" s="432">
        <f t="shared" si="0"/>
        <v>0.10505263157894738</v>
      </c>
      <c r="F14" s="432">
        <f t="shared" si="1"/>
        <v>0.11161842105263159</v>
      </c>
      <c r="G14" s="432">
        <f t="shared" si="2"/>
        <v>0.11818421052631578</v>
      </c>
      <c r="H14" s="433">
        <v>0.8</v>
      </c>
      <c r="I14" s="433">
        <v>1.1000000000000001</v>
      </c>
      <c r="J14" s="433">
        <v>0.8</v>
      </c>
      <c r="K14" s="433">
        <v>1.1000000000000001</v>
      </c>
      <c r="L14" s="412" t="s">
        <v>2</v>
      </c>
      <c r="M14" s="412">
        <v>1</v>
      </c>
    </row>
    <row r="15" spans="2:13" x14ac:dyDescent="0.25">
      <c r="B15" s="413" t="s">
        <v>619</v>
      </c>
      <c r="C15" s="434">
        <v>1.17E-2</v>
      </c>
      <c r="D15" s="434">
        <v>1.17E-2</v>
      </c>
      <c r="E15" s="435">
        <v>1.6E-2</v>
      </c>
      <c r="F15" s="435">
        <f t="shared" si="1"/>
        <v>1.8000000000000002E-2</v>
      </c>
      <c r="G15" s="435">
        <v>0.02</v>
      </c>
      <c r="H15" s="436">
        <v>0.8</v>
      </c>
      <c r="I15" s="436">
        <v>1.1000000000000001</v>
      </c>
      <c r="J15" s="436">
        <v>0.8</v>
      </c>
      <c r="K15" s="436">
        <v>1.1000000000000001</v>
      </c>
      <c r="L15" s="414" t="s">
        <v>2</v>
      </c>
      <c r="M15" s="414">
        <v>1</v>
      </c>
    </row>
    <row r="16" spans="2:13" x14ac:dyDescent="0.25">
      <c r="B16" s="437"/>
      <c r="C16" s="416"/>
      <c r="D16" s="416"/>
      <c r="E16" s="416"/>
      <c r="F16" s="416"/>
      <c r="G16" s="416"/>
      <c r="H16" s="416"/>
      <c r="I16" s="416"/>
      <c r="J16" s="416"/>
      <c r="K16" s="416"/>
      <c r="L16" s="416"/>
      <c r="M16" s="438"/>
    </row>
    <row r="17" spans="2:13" x14ac:dyDescent="0.25">
      <c r="B17" s="419" t="s">
        <v>99</v>
      </c>
      <c r="C17" s="419">
        <v>4</v>
      </c>
      <c r="D17" s="419">
        <v>4</v>
      </c>
      <c r="E17" s="419">
        <v>0</v>
      </c>
      <c r="F17" s="419">
        <v>0</v>
      </c>
      <c r="G17" s="419">
        <v>0</v>
      </c>
      <c r="H17" s="430"/>
      <c r="I17" s="430"/>
      <c r="J17" s="430"/>
      <c r="K17" s="430"/>
      <c r="L17" s="421"/>
      <c r="M17" s="421"/>
    </row>
    <row r="18" spans="2:13" x14ac:dyDescent="0.25">
      <c r="B18" s="201" t="s">
        <v>23</v>
      </c>
      <c r="C18" s="439">
        <v>2</v>
      </c>
      <c r="D18" s="439">
        <v>2</v>
      </c>
      <c r="E18" s="439">
        <v>2</v>
      </c>
      <c r="F18" s="439">
        <v>2</v>
      </c>
      <c r="G18" s="439">
        <v>2</v>
      </c>
      <c r="H18" s="433"/>
      <c r="I18" s="433"/>
      <c r="J18" s="433"/>
      <c r="K18" s="433"/>
      <c r="L18" s="412"/>
      <c r="M18" s="412"/>
    </row>
    <row r="19" spans="2:13" x14ac:dyDescent="0.25">
      <c r="B19" s="201" t="s">
        <v>14</v>
      </c>
      <c r="C19" s="440">
        <v>20</v>
      </c>
      <c r="D19" s="439">
        <v>25</v>
      </c>
      <c r="E19" s="439">
        <v>25</v>
      </c>
      <c r="F19" s="439">
        <v>25</v>
      </c>
      <c r="G19" s="439">
        <v>25</v>
      </c>
      <c r="H19" s="201"/>
      <c r="I19" s="201"/>
      <c r="J19" s="201"/>
      <c r="K19" s="201"/>
      <c r="L19" s="412"/>
      <c r="M19" s="412"/>
    </row>
    <row r="20" spans="2:13" x14ac:dyDescent="0.25">
      <c r="B20" s="413" t="s">
        <v>12</v>
      </c>
      <c r="C20" s="441">
        <v>2</v>
      </c>
      <c r="D20" s="441">
        <v>2</v>
      </c>
      <c r="E20" s="441">
        <v>2</v>
      </c>
      <c r="F20" s="441">
        <v>2</v>
      </c>
      <c r="G20" s="441">
        <v>2</v>
      </c>
      <c r="H20" s="413"/>
      <c r="I20" s="413"/>
      <c r="J20" s="413"/>
      <c r="K20" s="413"/>
      <c r="L20" s="414"/>
      <c r="M20" s="414"/>
    </row>
    <row r="21" spans="2:13" x14ac:dyDescent="0.25">
      <c r="B21" s="415" t="s">
        <v>9</v>
      </c>
      <c r="C21" s="442"/>
      <c r="D21" s="442"/>
      <c r="E21" s="442"/>
      <c r="F21" s="442"/>
      <c r="G21" s="442"/>
      <c r="H21" s="416"/>
      <c r="I21" s="416"/>
      <c r="J21" s="416"/>
      <c r="K21" s="416"/>
      <c r="L21" s="417"/>
      <c r="M21" s="418"/>
    </row>
    <row r="22" spans="2:13" x14ac:dyDescent="0.25">
      <c r="B22" s="419" t="s">
        <v>620</v>
      </c>
      <c r="C22" s="443">
        <v>4.329004329004329</v>
      </c>
      <c r="D22" s="443">
        <v>4.329004329004329</v>
      </c>
      <c r="E22" s="443">
        <v>3.8961038961038956</v>
      </c>
      <c r="F22" s="443">
        <v>3.6184210526315788</v>
      </c>
      <c r="G22" s="443">
        <v>3.4632034632034632</v>
      </c>
      <c r="H22" s="420">
        <v>0.75</v>
      </c>
      <c r="I22" s="420">
        <v>1.2</v>
      </c>
      <c r="J22" s="420">
        <v>0.75</v>
      </c>
      <c r="K22" s="420">
        <v>1.2</v>
      </c>
      <c r="L22" s="421" t="s">
        <v>453</v>
      </c>
      <c r="M22" s="421" t="s">
        <v>454</v>
      </c>
    </row>
    <row r="23" spans="2:13" x14ac:dyDescent="0.25">
      <c r="B23" s="201" t="s">
        <v>313</v>
      </c>
      <c r="C23" s="440">
        <v>75</v>
      </c>
      <c r="D23" s="440">
        <v>75</v>
      </c>
      <c r="E23" s="440">
        <v>75</v>
      </c>
      <c r="F23" s="440">
        <v>75</v>
      </c>
      <c r="G23" s="440">
        <v>75</v>
      </c>
      <c r="H23" s="201"/>
      <c r="I23" s="201"/>
      <c r="J23" s="201"/>
      <c r="K23" s="201"/>
      <c r="L23" s="412"/>
      <c r="M23" s="412"/>
    </row>
    <row r="24" spans="2:13" x14ac:dyDescent="0.25">
      <c r="B24" s="201" t="s">
        <v>314</v>
      </c>
      <c r="C24" s="201">
        <v>25</v>
      </c>
      <c r="D24" s="201">
        <v>25</v>
      </c>
      <c r="E24" s="201">
        <v>25</v>
      </c>
      <c r="F24" s="201">
        <v>25</v>
      </c>
      <c r="G24" s="201">
        <v>25</v>
      </c>
      <c r="H24" s="201"/>
      <c r="I24" s="201"/>
      <c r="J24" s="201"/>
      <c r="K24" s="201"/>
      <c r="L24" s="412"/>
      <c r="M24" s="412"/>
    </row>
    <row r="25" spans="2:13" x14ac:dyDescent="0.25">
      <c r="B25" s="201" t="s">
        <v>621</v>
      </c>
      <c r="C25" s="431">
        <v>0.10389610389610389</v>
      </c>
      <c r="D25" s="431">
        <v>0.10389610389610389</v>
      </c>
      <c r="E25" s="431">
        <v>0.10389610389610389</v>
      </c>
      <c r="F25" s="431">
        <v>0.10263157894736842</v>
      </c>
      <c r="G25" s="431">
        <v>0.10389610389610389</v>
      </c>
      <c r="H25" s="444">
        <v>0.75</v>
      </c>
      <c r="I25" s="444">
        <v>1.2</v>
      </c>
      <c r="J25" s="444">
        <v>0.75</v>
      </c>
      <c r="K25" s="444">
        <v>1.2</v>
      </c>
      <c r="L25" s="412" t="s">
        <v>168</v>
      </c>
      <c r="M25" s="412">
        <v>1</v>
      </c>
    </row>
    <row r="26" spans="2:13" x14ac:dyDescent="0.25">
      <c r="B26" s="201" t="s">
        <v>622</v>
      </c>
      <c r="C26" s="431">
        <v>1.0625737898465171</v>
      </c>
      <c r="D26" s="431">
        <v>1.0625737898465171</v>
      </c>
      <c r="E26" s="431">
        <v>1.0625737898465171</v>
      </c>
      <c r="F26" s="431">
        <v>1.0636363636363637</v>
      </c>
      <c r="G26" s="431">
        <v>1.0625737898465171</v>
      </c>
      <c r="H26" s="444">
        <v>0.75</v>
      </c>
      <c r="I26" s="444">
        <v>1.2</v>
      </c>
      <c r="J26" s="444">
        <v>0.75</v>
      </c>
      <c r="K26" s="444">
        <v>1.2</v>
      </c>
      <c r="L26" s="412" t="s">
        <v>168</v>
      </c>
      <c r="M26" s="412">
        <v>1</v>
      </c>
    </row>
    <row r="27" spans="2:13" x14ac:dyDescent="0.25">
      <c r="B27" s="413" t="s">
        <v>457</v>
      </c>
      <c r="C27" s="445">
        <v>0</v>
      </c>
      <c r="D27" s="413">
        <v>0</v>
      </c>
      <c r="E27" s="413">
        <v>0</v>
      </c>
      <c r="F27" s="413">
        <v>0</v>
      </c>
      <c r="G27" s="413">
        <v>0</v>
      </c>
      <c r="H27" s="413"/>
      <c r="I27" s="413"/>
      <c r="J27" s="413"/>
      <c r="K27" s="413"/>
      <c r="L27" s="414" t="s">
        <v>0</v>
      </c>
      <c r="M27" s="414"/>
    </row>
    <row r="28" spans="2:13" x14ac:dyDescent="0.25">
      <c r="B28" s="415" t="s">
        <v>244</v>
      </c>
      <c r="C28" s="416"/>
      <c r="D28" s="416"/>
      <c r="E28" s="416"/>
      <c r="F28" s="416"/>
      <c r="G28" s="416"/>
      <c r="H28" s="427"/>
      <c r="I28" s="427"/>
      <c r="J28" s="427"/>
      <c r="K28" s="427"/>
      <c r="L28" s="417"/>
      <c r="M28" s="418"/>
    </row>
    <row r="29" spans="2:13" x14ac:dyDescent="0.25">
      <c r="B29" s="419" t="s">
        <v>458</v>
      </c>
      <c r="C29" s="446">
        <v>44</v>
      </c>
      <c r="D29" s="446">
        <v>44</v>
      </c>
      <c r="E29" s="446">
        <v>44</v>
      </c>
      <c r="F29" s="446">
        <v>44</v>
      </c>
      <c r="G29" s="446">
        <v>44</v>
      </c>
      <c r="H29" s="430"/>
      <c r="I29" s="430"/>
      <c r="J29" s="430"/>
      <c r="K29" s="430"/>
      <c r="L29" s="421"/>
      <c r="M29" s="421"/>
    </row>
    <row r="30" spans="2:13" x14ac:dyDescent="0.25">
      <c r="B30" s="201" t="s">
        <v>591</v>
      </c>
      <c r="C30" s="439">
        <v>0.77</v>
      </c>
      <c r="D30" s="439">
        <v>0.77</v>
      </c>
      <c r="E30" s="439">
        <v>0.77</v>
      </c>
      <c r="F30" s="439">
        <v>0.77</v>
      </c>
      <c r="G30" s="439">
        <v>0.77</v>
      </c>
      <c r="H30" s="433"/>
      <c r="I30" s="433"/>
      <c r="J30" s="433"/>
      <c r="K30" s="433"/>
      <c r="L30" s="412"/>
      <c r="M30" s="412"/>
    </row>
    <row r="31" spans="2:13" x14ac:dyDescent="0.25">
      <c r="B31" s="201" t="s">
        <v>452</v>
      </c>
      <c r="C31" s="447">
        <v>6.4935064935064934</v>
      </c>
      <c r="D31" s="447">
        <v>6.4935064935064934</v>
      </c>
      <c r="E31" s="447">
        <v>5.8441558441558437</v>
      </c>
      <c r="F31" s="447">
        <v>5.5</v>
      </c>
      <c r="G31" s="447">
        <v>5.1948051948051948</v>
      </c>
      <c r="H31" s="444">
        <v>0.75</v>
      </c>
      <c r="I31" s="444">
        <v>1.2</v>
      </c>
      <c r="J31" s="444">
        <v>0.75</v>
      </c>
      <c r="K31" s="444">
        <v>1.2</v>
      </c>
      <c r="L31" s="412" t="s">
        <v>453</v>
      </c>
      <c r="M31" s="412" t="s">
        <v>454</v>
      </c>
    </row>
    <row r="32" spans="2:13" x14ac:dyDescent="0.25">
      <c r="B32" s="201" t="s">
        <v>313</v>
      </c>
      <c r="C32" s="440">
        <v>75</v>
      </c>
      <c r="D32" s="440">
        <v>75</v>
      </c>
      <c r="E32" s="440">
        <v>75</v>
      </c>
      <c r="F32" s="440">
        <v>75</v>
      </c>
      <c r="G32" s="440">
        <v>75</v>
      </c>
      <c r="H32" s="201"/>
      <c r="I32" s="201"/>
      <c r="J32" s="201"/>
      <c r="K32" s="201"/>
      <c r="L32" s="412"/>
      <c r="M32" s="412"/>
    </row>
    <row r="33" spans="2:13" x14ac:dyDescent="0.25">
      <c r="B33" s="201" t="s">
        <v>314</v>
      </c>
      <c r="C33" s="201">
        <v>25</v>
      </c>
      <c r="D33" s="201">
        <v>25</v>
      </c>
      <c r="E33" s="201">
        <v>25</v>
      </c>
      <c r="F33" s="201">
        <v>25</v>
      </c>
      <c r="G33" s="201">
        <v>25</v>
      </c>
      <c r="H33" s="201"/>
      <c r="I33" s="201"/>
      <c r="J33" s="201"/>
      <c r="K33" s="201"/>
      <c r="L33" s="412"/>
      <c r="M33" s="412"/>
    </row>
    <row r="34" spans="2:13" x14ac:dyDescent="0.25">
      <c r="B34" s="201" t="s">
        <v>455</v>
      </c>
      <c r="C34" s="431">
        <v>0.15584415584415584</v>
      </c>
      <c r="D34" s="431">
        <v>0.15584415584415584</v>
      </c>
      <c r="E34" s="431">
        <v>0.15584415584415584</v>
      </c>
      <c r="F34" s="431">
        <v>0.156</v>
      </c>
      <c r="G34" s="431">
        <v>0.15584415584415584</v>
      </c>
      <c r="H34" s="444">
        <v>0.75</v>
      </c>
      <c r="I34" s="444">
        <v>1.2</v>
      </c>
      <c r="J34" s="444">
        <v>0.75</v>
      </c>
      <c r="K34" s="444">
        <v>1.2</v>
      </c>
      <c r="L34" s="412" t="s">
        <v>168</v>
      </c>
      <c r="M34" s="412">
        <v>1</v>
      </c>
    </row>
    <row r="35" spans="2:13" x14ac:dyDescent="0.25">
      <c r="B35" s="201" t="s">
        <v>456</v>
      </c>
      <c r="C35" s="431">
        <v>1.2987012987012986E-2</v>
      </c>
      <c r="D35" s="431">
        <v>1.2987012987012986E-2</v>
      </c>
      <c r="E35" s="431">
        <v>1.2987012987012986E-2</v>
      </c>
      <c r="F35" s="431">
        <v>1.2999999999999999E-2</v>
      </c>
      <c r="G35" s="431">
        <v>1.2987012987012986E-2</v>
      </c>
      <c r="H35" s="444">
        <v>0.75</v>
      </c>
      <c r="I35" s="444">
        <v>1.2</v>
      </c>
      <c r="J35" s="444">
        <v>0.75</v>
      </c>
      <c r="K35" s="444">
        <v>1.2</v>
      </c>
      <c r="L35" s="412" t="s">
        <v>168</v>
      </c>
      <c r="M35" s="412">
        <v>1</v>
      </c>
    </row>
    <row r="36" spans="2:13" x14ac:dyDescent="0.25">
      <c r="B36" s="201" t="s">
        <v>457</v>
      </c>
      <c r="C36" s="440">
        <v>0</v>
      </c>
      <c r="D36" s="201">
        <v>0</v>
      </c>
      <c r="E36" s="201">
        <v>0</v>
      </c>
      <c r="F36" s="201">
        <v>0</v>
      </c>
      <c r="G36" s="201">
        <v>0</v>
      </c>
      <c r="H36" s="201"/>
      <c r="I36" s="201"/>
      <c r="J36" s="201"/>
      <c r="K36" s="201"/>
      <c r="L36" s="412" t="s">
        <v>0</v>
      </c>
      <c r="M36" s="412"/>
    </row>
    <row r="38" spans="2:13" x14ac:dyDescent="0.25">
      <c r="B38" s="253" t="s">
        <v>6</v>
      </c>
    </row>
    <row r="39" spans="2:13" x14ac:dyDescent="0.25">
      <c r="B39" s="252" t="s">
        <v>459</v>
      </c>
    </row>
    <row r="40" spans="2:13" x14ac:dyDescent="0.25">
      <c r="B40" s="252" t="s">
        <v>460</v>
      </c>
    </row>
    <row r="41" spans="2:13" x14ac:dyDescent="0.25">
      <c r="B41" s="252" t="s">
        <v>461</v>
      </c>
    </row>
    <row r="42" spans="2:13" x14ac:dyDescent="0.25">
      <c r="B42" s="252" t="s">
        <v>462</v>
      </c>
    </row>
    <row r="43" spans="2:13" x14ac:dyDescent="0.25">
      <c r="B43" s="252" t="s">
        <v>463</v>
      </c>
    </row>
    <row r="44" spans="2:13" x14ac:dyDescent="0.25">
      <c r="B44" s="252" t="s">
        <v>464</v>
      </c>
    </row>
    <row r="45" spans="2:13" x14ac:dyDescent="0.25">
      <c r="B45" s="252" t="s">
        <v>465</v>
      </c>
    </row>
    <row r="46" spans="2:13" x14ac:dyDescent="0.25">
      <c r="B46" s="252" t="s">
        <v>466</v>
      </c>
    </row>
    <row r="48" spans="2:13" x14ac:dyDescent="0.25">
      <c r="B48" s="253" t="s">
        <v>287</v>
      </c>
    </row>
    <row r="49" spans="2:2" x14ac:dyDescent="0.25">
      <c r="B49" s="252" t="s">
        <v>467</v>
      </c>
    </row>
    <row r="50" spans="2:2" x14ac:dyDescent="0.25">
      <c r="B50" s="252" t="s">
        <v>468</v>
      </c>
    </row>
    <row r="51" spans="2:2" x14ac:dyDescent="0.25">
      <c r="B51" s="252" t="s">
        <v>469</v>
      </c>
    </row>
    <row r="52" spans="2:2" x14ac:dyDescent="0.25">
      <c r="B52" s="252" t="s">
        <v>470</v>
      </c>
    </row>
    <row r="53" spans="2:2" x14ac:dyDescent="0.25">
      <c r="B53" s="252" t="s">
        <v>471</v>
      </c>
    </row>
    <row r="54" spans="2:2" x14ac:dyDescent="0.25">
      <c r="B54" s="252" t="s">
        <v>472</v>
      </c>
    </row>
    <row r="55" spans="2:2" x14ac:dyDescent="0.25">
      <c r="B55" s="252" t="s">
        <v>473</v>
      </c>
    </row>
    <row r="56" spans="2:2" x14ac:dyDescent="0.25">
      <c r="B56" s="252" t="s">
        <v>474</v>
      </c>
    </row>
    <row r="57" spans="2:2" x14ac:dyDescent="0.25">
      <c r="B57" s="252" t="s">
        <v>475</v>
      </c>
    </row>
    <row r="58" spans="2:2" x14ac:dyDescent="0.25">
      <c r="B58" s="252" t="s">
        <v>476</v>
      </c>
    </row>
    <row r="59" spans="2:2" x14ac:dyDescent="0.25">
      <c r="B59" s="252" t="s">
        <v>477</v>
      </c>
    </row>
    <row r="60" spans="2:2" x14ac:dyDescent="0.25">
      <c r="B60" s="252" t="s">
        <v>478</v>
      </c>
    </row>
    <row r="61" spans="2:2" x14ac:dyDescent="0.25">
      <c r="B61" s="252" t="s">
        <v>479</v>
      </c>
    </row>
    <row r="62" spans="2:2" x14ac:dyDescent="0.25">
      <c r="B62" s="252" t="s">
        <v>480</v>
      </c>
    </row>
    <row r="63" spans="2:2" x14ac:dyDescent="0.25">
      <c r="B63" s="252" t="s">
        <v>448</v>
      </c>
    </row>
    <row r="64" spans="2:2" x14ac:dyDescent="0.25">
      <c r="B64" s="252" t="s">
        <v>449</v>
      </c>
    </row>
    <row r="65" spans="2:2" x14ac:dyDescent="0.25">
      <c r="B65" s="252" t="s">
        <v>481</v>
      </c>
    </row>
  </sheetData>
  <mergeCells count="3">
    <mergeCell ref="C3:M3"/>
    <mergeCell ref="H4:I4"/>
    <mergeCell ref="J4:K4"/>
  </mergeCells>
  <hyperlinks>
    <hyperlink ref="B49" r:id="rId1" display="https://www.doi.org/10.1002/bbb.1710"/>
    <hyperlink ref="B50" r:id="rId2" display="http://acee.princeton.edu/wp-content/uploads/2016/10/Kreutz-et-al-PCC-2008-10-7-08.pdf"/>
    <hyperlink ref="B51" r:id="rId3" display="https://www.doi.org/10.1021/ef302003f"/>
    <hyperlink ref="B52" r:id="rId4" display="https://doi.org/10.1039/C6EE00935B"/>
    <hyperlink ref="B53" r:id="rId5" display="https://doi.org/10.1016/j.jechem.2015.11.005"/>
    <hyperlink ref="B54" r:id="rId6" display="http://www.velocys.com/our-biorefineries/"/>
    <hyperlink ref="B55" r:id="rId7" display="https://doi.org/10.13031/2013.30383"/>
    <hyperlink ref="B56" r:id="rId8" display="https://ens.dk/sites/ens.dk/files/Statistik/energy_statistics_2015.pdf"/>
    <hyperlink ref="B57" r:id="rId9" display="https://www.doi.org/10.3389/fsufs.2017.00002"/>
    <hyperlink ref="B58" r:id="rId10" display="http://www.velocys.com/establishment-of-a-strategic-alliance-with-tri/"/>
    <hyperlink ref="B59" r:id="rId11" display="https://biorrefineria.blogspot.ca/2017/06/velocys-plans-for-construction-of-commercial-BTL-plant-move-forward.html"/>
    <hyperlink ref="B60" r:id="rId12" display="http://web.anl.gov/PCS/acsfuel/preprint archive/Files/39_4_WASHINGTON DC_08-94_1146.pdf"/>
    <hyperlink ref="B61" r:id="rId13" display="http://www.adktroutguide.com/files/1999_Phd_Thesis_-_Kinetics_Selectivity_and_Scaleup_of_FT_Synthesis.pdf"/>
    <hyperlink ref="B62" r:id="rId14" display="https://www.ien.com/operations/news/20980331/mississippi-lands-biofuel-refinery"/>
    <hyperlink ref="B63" r:id="rId15" display="http://www.irena.org/DocumentDownloads/Publications/IRENA_Innovation_Outlook_Advanced_Liquid_Biofuels_2016.pdf"/>
    <hyperlink ref="B64" r:id="rId16" display="http://platformduurzamebiobrandstoffen.nl/wp-content/uploads/2017/07/2017_SGAB_Cost-of-Biofuels.pdf"/>
    <hyperlink ref="B65" r:id="rId17" display="https://www.doi.org/10.1002/bbb.1613"/>
    <hyperlink ref="C3" location="INDEX" display="Gasifier, biomass, Fischer Tropsch liquid fuels, large scale"/>
  </hyperlinks>
  <pageMargins left="0.7" right="0.7" top="0.75" bottom="0.75" header="0.3" footer="0.3"/>
  <pageSetup paperSize="9" scale="36" orientation="portrait" r:id="rId1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3"/>
  <sheetViews>
    <sheetView showGridLines="0" workbookViewId="0">
      <selection activeCell="B29" sqref="B29"/>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619" t="s">
        <v>845</v>
      </c>
      <c r="D3" s="620"/>
      <c r="E3" s="620"/>
      <c r="F3" s="620"/>
      <c r="G3" s="620"/>
      <c r="H3" s="620"/>
      <c r="I3" s="620"/>
      <c r="J3" s="620"/>
      <c r="K3" s="620"/>
      <c r="L3" s="620"/>
    </row>
    <row r="4" spans="1:13" x14ac:dyDescent="0.25">
      <c r="A4" s="1"/>
      <c r="B4" s="171"/>
      <c r="C4" s="545">
        <v>2020</v>
      </c>
      <c r="D4" s="545">
        <v>2030</v>
      </c>
      <c r="E4" s="545">
        <v>2040</v>
      </c>
      <c r="F4" s="545">
        <v>2050</v>
      </c>
      <c r="G4" s="621" t="s">
        <v>25</v>
      </c>
      <c r="H4" s="621"/>
      <c r="I4" s="621" t="s">
        <v>24</v>
      </c>
      <c r="J4" s="621"/>
      <c r="K4" s="545" t="s">
        <v>19</v>
      </c>
      <c r="L4" s="545" t="s">
        <v>18</v>
      </c>
      <c r="M4" s="10"/>
    </row>
    <row r="5" spans="1:13" x14ac:dyDescent="0.25">
      <c r="A5" s="1"/>
      <c r="B5" s="100" t="s">
        <v>15</v>
      </c>
      <c r="C5" s="100"/>
      <c r="D5" s="100"/>
      <c r="E5" s="100"/>
      <c r="F5" s="100"/>
      <c r="G5" s="545" t="s">
        <v>17</v>
      </c>
      <c r="H5" s="545" t="s">
        <v>16</v>
      </c>
      <c r="I5" s="545" t="s">
        <v>17</v>
      </c>
      <c r="J5" s="545" t="s">
        <v>16</v>
      </c>
      <c r="K5" s="100"/>
      <c r="L5" s="239"/>
      <c r="M5" s="172"/>
    </row>
    <row r="6" spans="1:13" x14ac:dyDescent="0.25">
      <c r="A6" s="1"/>
      <c r="B6" s="171" t="s">
        <v>846</v>
      </c>
      <c r="C6" s="190">
        <v>1</v>
      </c>
      <c r="D6" s="190">
        <v>1</v>
      </c>
      <c r="E6" s="190">
        <v>1</v>
      </c>
      <c r="F6" s="190">
        <v>1</v>
      </c>
      <c r="G6" s="190">
        <v>1</v>
      </c>
      <c r="H6" s="190">
        <v>1</v>
      </c>
      <c r="I6" s="190">
        <v>1</v>
      </c>
      <c r="J6" s="190">
        <v>1</v>
      </c>
      <c r="K6" s="110"/>
      <c r="L6" s="239"/>
      <c r="M6" s="10"/>
    </row>
    <row r="7" spans="1:13" x14ac:dyDescent="0.25">
      <c r="A7" s="1"/>
      <c r="B7" s="171" t="s">
        <v>920</v>
      </c>
      <c r="C7" s="190">
        <f t="shared" ref="C7:J7" si="0">C6*3600*(C15/100)*24/120</f>
        <v>478.8</v>
      </c>
      <c r="D7" s="190">
        <f t="shared" si="0"/>
        <v>489.6</v>
      </c>
      <c r="E7" s="190">
        <f t="shared" si="0"/>
        <v>514.79999999999995</v>
      </c>
      <c r="F7" s="190">
        <f t="shared" si="0"/>
        <v>540</v>
      </c>
      <c r="G7" s="190">
        <f t="shared" si="0"/>
        <v>453.6</v>
      </c>
      <c r="H7" s="190">
        <f t="shared" si="0"/>
        <v>504</v>
      </c>
      <c r="I7" s="190">
        <f t="shared" si="0"/>
        <v>504</v>
      </c>
      <c r="J7" s="190">
        <f t="shared" si="0"/>
        <v>576</v>
      </c>
      <c r="K7" s="110" t="s">
        <v>847</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909</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910</v>
      </c>
      <c r="C12" s="190">
        <f>C21+(C21*8)</f>
        <v>179.56795679567958</v>
      </c>
      <c r="D12" s="190">
        <f t="shared" ref="D12:J12" si="1">D21+(D21*8)</f>
        <v>183.61836183618362</v>
      </c>
      <c r="E12" s="190">
        <f t="shared" si="1"/>
        <v>193.06930693069307</v>
      </c>
      <c r="F12" s="190">
        <f t="shared" si="1"/>
        <v>202.52025202520252</v>
      </c>
      <c r="G12" s="190">
        <f t="shared" si="1"/>
        <v>170.11701170117013</v>
      </c>
      <c r="H12" s="190">
        <f t="shared" si="1"/>
        <v>189.01890189018903</v>
      </c>
      <c r="I12" s="190">
        <f t="shared" si="1"/>
        <v>189.01890189018903</v>
      </c>
      <c r="J12" s="190">
        <f t="shared" si="1"/>
        <v>216.02160216021602</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911</v>
      </c>
      <c r="C15" s="219">
        <f>(63+70)/2</f>
        <v>66.5</v>
      </c>
      <c r="D15" s="219">
        <f>(65+71)/2</f>
        <v>68</v>
      </c>
      <c r="E15" s="219">
        <f>(D15+F15)/2</f>
        <v>71.5</v>
      </c>
      <c r="F15" s="219">
        <f>(70+80)/2</f>
        <v>75</v>
      </c>
      <c r="G15" s="219">
        <v>63</v>
      </c>
      <c r="H15" s="219">
        <v>70</v>
      </c>
      <c r="I15" s="219">
        <v>70</v>
      </c>
      <c r="J15" s="219">
        <v>80</v>
      </c>
      <c r="K15" s="110" t="s">
        <v>4</v>
      </c>
      <c r="L15" s="239" t="s">
        <v>848</v>
      </c>
      <c r="M15" s="186"/>
    </row>
    <row r="16" spans="1:13" x14ac:dyDescent="0.25">
      <c r="A16" s="1"/>
      <c r="B16" s="171" t="s">
        <v>912</v>
      </c>
      <c r="C16" s="219">
        <f t="shared" ref="C16:J16" si="2">(C21*39.4/1000*100)-C15</f>
        <v>12.110861086108613</v>
      </c>
      <c r="D16" s="219">
        <f t="shared" si="2"/>
        <v>12.384038403840378</v>
      </c>
      <c r="E16" s="219">
        <f t="shared" si="2"/>
        <v>13.021452145214511</v>
      </c>
      <c r="F16" s="219">
        <f t="shared" si="2"/>
        <v>13.658865886588657</v>
      </c>
      <c r="G16" s="219">
        <f t="shared" si="2"/>
        <v>11.473447344734481</v>
      </c>
      <c r="H16" s="219">
        <f t="shared" si="2"/>
        <v>12.748274827482746</v>
      </c>
      <c r="I16" s="219">
        <f t="shared" si="2"/>
        <v>12.748274827482746</v>
      </c>
      <c r="J16" s="219">
        <f t="shared" si="2"/>
        <v>14.569456945694569</v>
      </c>
      <c r="K16" s="110" t="s">
        <v>694</v>
      </c>
      <c r="L16" s="239"/>
      <c r="M16" s="10"/>
    </row>
    <row r="17" spans="1:13" x14ac:dyDescent="0.25">
      <c r="A17" s="1"/>
      <c r="B17" s="171" t="s">
        <v>913</v>
      </c>
      <c r="C17" s="219">
        <f>100-C15-C16</f>
        <v>21.389138913891387</v>
      </c>
      <c r="D17" s="219">
        <f t="shared" ref="D17:J17" si="3">100-D15-D16</f>
        <v>19.615961596159622</v>
      </c>
      <c r="E17" s="219">
        <f t="shared" si="3"/>
        <v>15.478547854785489</v>
      </c>
      <c r="F17" s="219">
        <f t="shared" si="3"/>
        <v>11.341134113411343</v>
      </c>
      <c r="G17" s="219">
        <f t="shared" si="3"/>
        <v>25.526552655265519</v>
      </c>
      <c r="H17" s="219">
        <f t="shared" si="3"/>
        <v>17.251725172517254</v>
      </c>
      <c r="I17" s="219">
        <f t="shared" si="3"/>
        <v>17.251725172517254</v>
      </c>
      <c r="J17" s="219">
        <f t="shared" si="3"/>
        <v>5.4305430543054314</v>
      </c>
      <c r="K17" s="110"/>
      <c r="L17" s="239"/>
      <c r="M17" s="10"/>
    </row>
    <row r="18" spans="1:13" x14ac:dyDescent="0.25">
      <c r="A18" s="1"/>
      <c r="B18" s="171" t="s">
        <v>849</v>
      </c>
      <c r="C18" s="219">
        <v>5</v>
      </c>
      <c r="D18" s="219">
        <v>5</v>
      </c>
      <c r="E18" s="219">
        <v>5</v>
      </c>
      <c r="F18" s="219">
        <v>5</v>
      </c>
      <c r="G18" s="219">
        <v>5</v>
      </c>
      <c r="H18" s="219">
        <v>5</v>
      </c>
      <c r="I18" s="219">
        <v>5</v>
      </c>
      <c r="J18" s="219">
        <v>5</v>
      </c>
      <c r="K18" s="110" t="s">
        <v>5</v>
      </c>
      <c r="L18" s="239"/>
      <c r="M18" s="10"/>
    </row>
    <row r="19" spans="1:13" ht="14.45" customHeight="1" x14ac:dyDescent="0.25">
      <c r="A19" s="1"/>
      <c r="B19" s="171" t="s">
        <v>850</v>
      </c>
      <c r="C19" s="219">
        <f>C17-C18</f>
        <v>16.389138913891387</v>
      </c>
      <c r="D19" s="219">
        <f t="shared" ref="D19:J19" si="4">D17-D18</f>
        <v>14.615961596159622</v>
      </c>
      <c r="E19" s="219">
        <f t="shared" si="4"/>
        <v>10.478547854785489</v>
      </c>
      <c r="F19" s="219">
        <f t="shared" si="4"/>
        <v>6.3411341134113428</v>
      </c>
      <c r="G19" s="219">
        <f t="shared" si="4"/>
        <v>20.526552655265519</v>
      </c>
      <c r="H19" s="219">
        <f t="shared" si="4"/>
        <v>12.251725172517254</v>
      </c>
      <c r="I19" s="219">
        <f t="shared" si="4"/>
        <v>12.251725172517254</v>
      </c>
      <c r="J19" s="219">
        <f t="shared" si="4"/>
        <v>0.43054305430543138</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914</v>
      </c>
      <c r="C21" s="219">
        <f>C15/100/33.33*1000</f>
        <v>19.951995199519953</v>
      </c>
      <c r="D21" s="219">
        <f t="shared" ref="D21:J21" si="5">D15/33.33*1000/100</f>
        <v>20.402040204020402</v>
      </c>
      <c r="E21" s="219">
        <f t="shared" si="5"/>
        <v>21.452145214521451</v>
      </c>
      <c r="F21" s="219">
        <f t="shared" si="5"/>
        <v>22.502250225022504</v>
      </c>
      <c r="G21" s="219">
        <f t="shared" si="5"/>
        <v>18.901890189018903</v>
      </c>
      <c r="H21" s="219">
        <f t="shared" si="5"/>
        <v>21.002100210021002</v>
      </c>
      <c r="I21" s="219">
        <f t="shared" si="5"/>
        <v>21.002100210021002</v>
      </c>
      <c r="J21" s="219">
        <f t="shared" si="5"/>
        <v>24.002400240024002</v>
      </c>
      <c r="K21" s="110" t="s">
        <v>4</v>
      </c>
      <c r="L21" s="239" t="s">
        <v>848</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25</v>
      </c>
      <c r="D25" s="190">
        <v>30</v>
      </c>
      <c r="E25" s="190">
        <v>32</v>
      </c>
      <c r="F25" s="190">
        <v>35</v>
      </c>
      <c r="G25" s="190">
        <v>25</v>
      </c>
      <c r="H25" s="190">
        <v>25</v>
      </c>
      <c r="I25" s="190">
        <v>30</v>
      </c>
      <c r="J25" s="190">
        <v>35</v>
      </c>
      <c r="K25" s="110" t="s">
        <v>592</v>
      </c>
      <c r="L25" s="239" t="s">
        <v>851</v>
      </c>
      <c r="M25" s="10"/>
    </row>
    <row r="26" spans="1:13" x14ac:dyDescent="0.25">
      <c r="A26" s="1"/>
      <c r="B26" s="171" t="s">
        <v>12</v>
      </c>
      <c r="C26" s="136">
        <v>0.33</v>
      </c>
      <c r="D26" s="136">
        <v>0.33</v>
      </c>
      <c r="E26" s="136">
        <v>0.33</v>
      </c>
      <c r="F26" s="136">
        <v>0.33</v>
      </c>
      <c r="G26" s="136">
        <v>0.33</v>
      </c>
      <c r="H26" s="136">
        <v>0.33</v>
      </c>
      <c r="I26" s="136">
        <v>0.33</v>
      </c>
      <c r="J26" s="136">
        <v>0.33</v>
      </c>
      <c r="K26" s="110" t="s">
        <v>852</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951</v>
      </c>
      <c r="C28" s="136"/>
      <c r="D28" s="136"/>
      <c r="E28" s="136"/>
      <c r="F28" s="136"/>
      <c r="G28" s="136"/>
      <c r="H28" s="136"/>
      <c r="I28" s="136"/>
      <c r="J28" s="136"/>
      <c r="K28" s="110"/>
      <c r="L28" s="239"/>
      <c r="M28" s="10"/>
    </row>
    <row r="29" spans="1:13" x14ac:dyDescent="0.25">
      <c r="A29" s="1"/>
      <c r="B29" s="171" t="s">
        <v>853</v>
      </c>
      <c r="C29" s="190">
        <v>750</v>
      </c>
      <c r="D29" s="190">
        <v>570</v>
      </c>
      <c r="E29" s="190">
        <v>450</v>
      </c>
      <c r="F29" s="190">
        <v>350</v>
      </c>
      <c r="G29" s="190">
        <v>500</v>
      </c>
      <c r="H29" s="190">
        <v>1400</v>
      </c>
      <c r="I29" s="190">
        <v>200</v>
      </c>
      <c r="J29" s="190">
        <v>700</v>
      </c>
      <c r="K29" s="110" t="s">
        <v>854</v>
      </c>
      <c r="L29" s="239"/>
      <c r="M29" s="189"/>
    </row>
    <row r="30" spans="1:13" x14ac:dyDescent="0.25">
      <c r="A30" s="1"/>
      <c r="B30" s="171" t="s">
        <v>921</v>
      </c>
      <c r="C30" s="190">
        <f t="shared" ref="C30:J30" si="6">C29/(C7/1000/C6)</f>
        <v>1566.4160401002507</v>
      </c>
      <c r="D30" s="190">
        <f t="shared" si="6"/>
        <v>1164.2156862745096</v>
      </c>
      <c r="E30" s="190">
        <f t="shared" si="6"/>
        <v>874.12587412587425</v>
      </c>
      <c r="F30" s="190">
        <f t="shared" si="6"/>
        <v>648.14814814814815</v>
      </c>
      <c r="G30" s="190">
        <f t="shared" si="6"/>
        <v>1102.2927689594355</v>
      </c>
      <c r="H30" s="190">
        <f t="shared" si="6"/>
        <v>2777.7777777777778</v>
      </c>
      <c r="I30" s="190">
        <f t="shared" si="6"/>
        <v>396.82539682539681</v>
      </c>
      <c r="J30" s="190">
        <f t="shared" si="6"/>
        <v>1215.2777777777778</v>
      </c>
      <c r="K30" s="110" t="s">
        <v>855</v>
      </c>
      <c r="L30" s="239"/>
      <c r="M30" s="10"/>
    </row>
    <row r="31" spans="1:13" x14ac:dyDescent="0.25">
      <c r="A31" s="1"/>
      <c r="B31" s="171" t="s">
        <v>242</v>
      </c>
      <c r="C31" s="190">
        <v>95</v>
      </c>
      <c r="D31" s="190">
        <v>95</v>
      </c>
      <c r="E31" s="190">
        <v>95</v>
      </c>
      <c r="F31" s="190">
        <v>95</v>
      </c>
      <c r="G31" s="190">
        <v>95</v>
      </c>
      <c r="H31" s="190">
        <v>95</v>
      </c>
      <c r="I31" s="190">
        <v>95</v>
      </c>
      <c r="J31" s="190">
        <v>95</v>
      </c>
      <c r="K31" s="110" t="s">
        <v>0</v>
      </c>
      <c r="L31" s="239"/>
      <c r="M31" s="10"/>
    </row>
    <row r="32" spans="1:13" x14ac:dyDescent="0.25">
      <c r="A32" s="1"/>
      <c r="B32" s="171" t="s">
        <v>243</v>
      </c>
      <c r="C32" s="190">
        <v>5</v>
      </c>
      <c r="D32" s="190">
        <v>5</v>
      </c>
      <c r="E32" s="190">
        <v>5</v>
      </c>
      <c r="F32" s="190">
        <v>5</v>
      </c>
      <c r="G32" s="190">
        <v>5</v>
      </c>
      <c r="H32" s="190">
        <v>5</v>
      </c>
      <c r="I32" s="190">
        <v>5</v>
      </c>
      <c r="J32" s="190">
        <v>5</v>
      </c>
      <c r="K32" s="110" t="s">
        <v>0</v>
      </c>
      <c r="L32" s="239"/>
      <c r="M32" s="10"/>
    </row>
    <row r="33" spans="1:14" x14ac:dyDescent="0.25">
      <c r="A33" s="1"/>
      <c r="B33" s="171" t="s">
        <v>915</v>
      </c>
      <c r="C33" s="190">
        <v>5</v>
      </c>
      <c r="D33" s="190">
        <v>5</v>
      </c>
      <c r="E33" s="190">
        <v>5</v>
      </c>
      <c r="F33" s="190">
        <v>5</v>
      </c>
      <c r="G33" s="190">
        <v>5</v>
      </c>
      <c r="H33" s="190">
        <v>5</v>
      </c>
      <c r="I33" s="190">
        <v>5</v>
      </c>
      <c r="J33" s="190">
        <v>5</v>
      </c>
      <c r="K33" s="110" t="s">
        <v>856</v>
      </c>
      <c r="L33" s="239" t="s">
        <v>857</v>
      </c>
      <c r="M33" s="10"/>
    </row>
    <row r="34" spans="1:14" x14ac:dyDescent="0.25">
      <c r="A34" s="1"/>
      <c r="B34" s="171" t="s">
        <v>858</v>
      </c>
      <c r="C34" s="136" t="s">
        <v>28</v>
      </c>
      <c r="D34" s="136" t="s">
        <v>28</v>
      </c>
      <c r="E34" s="136" t="s">
        <v>28</v>
      </c>
      <c r="F34" s="136" t="s">
        <v>28</v>
      </c>
      <c r="G34" s="136"/>
      <c r="H34" s="136"/>
      <c r="I34" s="136"/>
      <c r="J34" s="136"/>
      <c r="K34" s="110" t="s">
        <v>692</v>
      </c>
      <c r="L34" s="239"/>
      <c r="M34" s="10"/>
    </row>
    <row r="35" spans="1:14" x14ac:dyDescent="0.25">
      <c r="A35" s="1"/>
      <c r="B35" s="171" t="s">
        <v>859</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26</v>
      </c>
      <c r="C37" s="136"/>
      <c r="D37" s="136"/>
      <c r="E37" s="136"/>
      <c r="F37" s="136"/>
      <c r="G37" s="136"/>
      <c r="H37" s="136"/>
      <c r="I37" s="136"/>
      <c r="J37" s="136"/>
      <c r="K37" s="110"/>
      <c r="L37" s="239"/>
      <c r="M37" s="10"/>
    </row>
    <row r="38" spans="1:14" x14ac:dyDescent="0.25">
      <c r="A38" s="1"/>
      <c r="B38" s="171" t="s">
        <v>916</v>
      </c>
      <c r="C38" s="219">
        <v>0.6</v>
      </c>
      <c r="D38" s="219">
        <v>1</v>
      </c>
      <c r="E38" s="219">
        <v>1.2</v>
      </c>
      <c r="F38" s="219">
        <v>1.5</v>
      </c>
      <c r="G38" s="219">
        <v>0.4</v>
      </c>
      <c r="H38" s="219">
        <v>0.6</v>
      </c>
      <c r="I38" s="219">
        <v>1.2</v>
      </c>
      <c r="J38" s="219">
        <v>1.5</v>
      </c>
      <c r="K38" s="110" t="s">
        <v>41</v>
      </c>
      <c r="L38" s="239" t="s">
        <v>860</v>
      </c>
      <c r="M38" s="193"/>
    </row>
    <row r="39" spans="1:14" ht="17.100000000000001" customHeight="1" x14ac:dyDescent="0.25">
      <c r="A39" s="1"/>
      <c r="B39" s="171" t="s">
        <v>917</v>
      </c>
      <c r="C39" s="561">
        <v>12.5</v>
      </c>
      <c r="D39" s="561">
        <v>10</v>
      </c>
      <c r="E39" s="561">
        <v>8</v>
      </c>
      <c r="F39" s="561">
        <v>7.5</v>
      </c>
      <c r="G39" s="561">
        <v>10</v>
      </c>
      <c r="H39" s="561">
        <v>15</v>
      </c>
      <c r="I39" s="561">
        <v>5</v>
      </c>
      <c r="J39" s="561">
        <v>10</v>
      </c>
      <c r="K39" s="562" t="s">
        <v>41</v>
      </c>
      <c r="L39" s="560" t="s">
        <v>860</v>
      </c>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44"/>
      <c r="D42" s="196"/>
      <c r="E42" s="196"/>
      <c r="F42" s="196"/>
      <c r="G42" s="196"/>
      <c r="H42" s="92"/>
      <c r="I42" s="92"/>
      <c r="N42" s="10"/>
    </row>
    <row r="43" spans="1:14" ht="14.45" hidden="1" customHeight="1" x14ac:dyDescent="0.25">
      <c r="A43" s="606"/>
      <c r="B43" s="606"/>
      <c r="C43" s="606"/>
      <c r="D43" s="606"/>
      <c r="E43" s="606"/>
      <c r="F43" s="606"/>
      <c r="G43" s="606"/>
      <c r="H43" s="606"/>
      <c r="I43" s="606"/>
      <c r="J43" s="543"/>
      <c r="K43" s="146"/>
      <c r="L43" s="606"/>
      <c r="M43" s="606"/>
      <c r="N43" s="10"/>
    </row>
    <row r="44" spans="1:14" ht="14.45" hidden="1" customHeight="1" x14ac:dyDescent="0.25">
      <c r="A44" s="146"/>
      <c r="C44" s="606"/>
      <c r="D44" s="607"/>
      <c r="E44" s="607"/>
      <c r="F44" s="607"/>
      <c r="G44" s="607"/>
      <c r="H44" s="607"/>
      <c r="I44" s="607"/>
      <c r="J44" s="607"/>
      <c r="K44" s="607"/>
      <c r="L44" s="606"/>
      <c r="M44" s="606"/>
      <c r="N44" s="10"/>
    </row>
    <row r="45" spans="1:14" ht="14.45" hidden="1" customHeight="1" x14ac:dyDescent="0.25">
      <c r="A45" s="170"/>
      <c r="B45" s="606"/>
      <c r="C45" s="607"/>
      <c r="D45" s="607"/>
      <c r="E45" s="607"/>
      <c r="F45" s="607"/>
      <c r="G45" s="607"/>
      <c r="H45" s="607"/>
      <c r="I45" s="607"/>
      <c r="J45" s="607"/>
      <c r="K45" s="146"/>
      <c r="L45" s="606"/>
      <c r="M45" s="606"/>
      <c r="N45" s="10"/>
    </row>
    <row r="46" spans="1:14" ht="14.45" hidden="1" customHeight="1" x14ac:dyDescent="0.25">
      <c r="A46" s="146"/>
      <c r="C46" s="606"/>
      <c r="D46" s="607"/>
      <c r="E46" s="607"/>
      <c r="F46" s="607"/>
      <c r="G46" s="607"/>
      <c r="H46" s="607"/>
      <c r="I46" s="607"/>
      <c r="J46" s="607"/>
      <c r="K46" s="607"/>
      <c r="L46" s="606"/>
      <c r="M46" s="606"/>
      <c r="N46" s="10"/>
    </row>
    <row r="47" spans="1:14" ht="14.45" hidden="1" customHeight="1" x14ac:dyDescent="0.25">
      <c r="A47" s="146"/>
      <c r="B47" s="606"/>
      <c r="C47" s="607"/>
      <c r="D47" s="607"/>
      <c r="E47" s="607"/>
      <c r="F47" s="607"/>
      <c r="G47" s="607"/>
      <c r="H47" s="607"/>
      <c r="I47" s="607"/>
      <c r="J47" s="607"/>
      <c r="K47" s="146"/>
      <c r="L47" s="606"/>
      <c r="M47" s="606"/>
      <c r="N47" s="10"/>
    </row>
    <row r="48" spans="1:14" ht="3.95" hidden="1" customHeight="1" x14ac:dyDescent="0.25">
      <c r="B48" s="197"/>
      <c r="L48" s="606"/>
      <c r="M48" s="606"/>
      <c r="N48" s="10"/>
    </row>
    <row r="49" spans="1:14" x14ac:dyDescent="0.25">
      <c r="A49" s="146"/>
      <c r="B49" s="543"/>
      <c r="C49" s="543"/>
      <c r="D49" s="198"/>
      <c r="E49" s="543"/>
      <c r="F49" s="543"/>
      <c r="G49" s="543"/>
      <c r="H49" s="543"/>
      <c r="I49" s="543"/>
      <c r="J49" s="543"/>
      <c r="K49" s="146"/>
      <c r="L49" s="606"/>
      <c r="M49" s="606"/>
      <c r="N49" s="10"/>
    </row>
    <row r="50" spans="1:14" ht="14.45" customHeight="1" x14ac:dyDescent="0.25">
      <c r="A50" s="624" t="s">
        <v>6</v>
      </c>
      <c r="B50" s="624"/>
      <c r="C50" s="544"/>
      <c r="D50" s="544"/>
      <c r="E50" s="544"/>
      <c r="F50" s="544"/>
      <c r="G50" s="544"/>
      <c r="H50" s="544"/>
      <c r="I50" s="544"/>
      <c r="J50" s="544"/>
      <c r="K50" s="146"/>
      <c r="L50" s="606"/>
      <c r="M50" s="606"/>
      <c r="N50" s="10"/>
    </row>
    <row r="51" spans="1:14" x14ac:dyDescent="0.25">
      <c r="A51" s="149" t="s">
        <v>5</v>
      </c>
      <c r="B51" s="405" t="s">
        <v>861</v>
      </c>
      <c r="C51" s="410"/>
      <c r="D51" s="410"/>
      <c r="E51" s="410"/>
      <c r="F51" s="410"/>
      <c r="G51" s="410"/>
      <c r="H51" s="410"/>
      <c r="I51" s="410"/>
      <c r="J51" s="410"/>
      <c r="K51" s="402"/>
      <c r="L51" s="402"/>
      <c r="M51" s="402"/>
      <c r="N51" s="406"/>
    </row>
    <row r="52" spans="1:14" x14ac:dyDescent="0.25">
      <c r="A52" s="149" t="s">
        <v>4</v>
      </c>
      <c r="B52" s="405" t="s">
        <v>862</v>
      </c>
      <c r="C52" s="410"/>
      <c r="D52" s="410"/>
      <c r="E52" s="410"/>
      <c r="F52" s="410"/>
      <c r="G52" s="410"/>
      <c r="H52" s="410"/>
      <c r="I52" s="410"/>
      <c r="J52" s="410"/>
      <c r="K52" s="402"/>
      <c r="L52" s="402"/>
      <c r="M52" s="402"/>
      <c r="N52" s="407"/>
    </row>
    <row r="53" spans="1:14" ht="15" customHeight="1" x14ac:dyDescent="0.25">
      <c r="A53" s="149" t="s">
        <v>3</v>
      </c>
      <c r="B53" s="405" t="s">
        <v>863</v>
      </c>
      <c r="C53" s="404"/>
      <c r="D53" s="404"/>
      <c r="E53" s="404"/>
      <c r="F53" s="404"/>
      <c r="G53" s="404"/>
      <c r="H53" s="404"/>
      <c r="I53" s="404"/>
      <c r="J53" s="404"/>
      <c r="K53" s="404"/>
      <c r="L53" s="404"/>
      <c r="M53" s="404"/>
      <c r="N53" s="542"/>
    </row>
    <row r="54" spans="1:14" x14ac:dyDescent="0.25">
      <c r="A54" s="149" t="s">
        <v>2</v>
      </c>
      <c r="B54" s="405" t="s">
        <v>864</v>
      </c>
      <c r="D54" s="410"/>
      <c r="E54" s="410"/>
      <c r="F54" s="410"/>
      <c r="G54" s="410"/>
      <c r="H54" s="410"/>
      <c r="I54" s="410"/>
      <c r="J54" s="410"/>
      <c r="K54" s="410"/>
      <c r="L54" s="402"/>
      <c r="M54" s="402"/>
      <c r="N54" s="542"/>
    </row>
    <row r="55" spans="1:14" ht="15" customHeight="1" x14ac:dyDescent="0.25">
      <c r="A55" s="149" t="s">
        <v>1</v>
      </c>
      <c r="B55" s="405" t="s">
        <v>865</v>
      </c>
      <c r="C55" s="405"/>
      <c r="D55" s="405"/>
      <c r="E55" s="405"/>
      <c r="F55" s="405"/>
      <c r="G55" s="405"/>
      <c r="H55" s="405"/>
      <c r="I55" s="405"/>
      <c r="J55" s="405"/>
      <c r="K55" s="146"/>
      <c r="L55" s="91"/>
      <c r="M55" s="91"/>
      <c r="N55" s="542"/>
    </row>
    <row r="56" spans="1:14" ht="15" customHeight="1" x14ac:dyDescent="0.25">
      <c r="A56" s="149" t="s">
        <v>0</v>
      </c>
      <c r="B56" s="405" t="s">
        <v>866</v>
      </c>
      <c r="C56" s="405"/>
      <c r="D56" s="405"/>
      <c r="E56" s="405"/>
      <c r="F56" s="405"/>
      <c r="G56" s="405"/>
      <c r="H56" s="405"/>
      <c r="I56" s="405"/>
      <c r="J56" s="405"/>
      <c r="K56" s="405"/>
      <c r="L56" s="405"/>
      <c r="M56" s="405"/>
      <c r="N56" s="542"/>
    </row>
    <row r="57" spans="1:14" ht="15" customHeight="1" x14ac:dyDescent="0.25">
      <c r="A57" s="149" t="s">
        <v>40</v>
      </c>
      <c r="B57" s="91" t="s">
        <v>867</v>
      </c>
      <c r="C57" s="91"/>
      <c r="D57" s="91"/>
      <c r="E57" s="91"/>
      <c r="F57" s="91"/>
      <c r="G57" s="91"/>
      <c r="H57" s="91"/>
      <c r="I57" s="91"/>
      <c r="J57" s="91"/>
      <c r="K57" s="91"/>
      <c r="L57" s="91"/>
      <c r="M57" s="91"/>
      <c r="N57" s="542"/>
    </row>
    <row r="58" spans="1:14" ht="15" customHeight="1" x14ac:dyDescent="0.25">
      <c r="A58" s="149" t="s">
        <v>41</v>
      </c>
      <c r="B58" s="91" t="s">
        <v>868</v>
      </c>
      <c r="C58" s="91"/>
      <c r="D58" s="91"/>
      <c r="E58" s="91"/>
      <c r="F58" s="91"/>
      <c r="G58" s="91"/>
      <c r="H58" s="91"/>
      <c r="I58" s="91"/>
      <c r="J58" s="91"/>
      <c r="K58" s="91"/>
      <c r="L58" s="406"/>
      <c r="M58" s="406"/>
      <c r="N58" s="542"/>
    </row>
    <row r="59" spans="1:14" ht="15" customHeight="1" x14ac:dyDescent="0.25">
      <c r="A59" s="149" t="s">
        <v>127</v>
      </c>
      <c r="B59" s="91" t="s">
        <v>869</v>
      </c>
      <c r="C59" s="404"/>
      <c r="D59" s="404"/>
      <c r="E59" s="404"/>
      <c r="F59" s="404"/>
      <c r="G59" s="404"/>
      <c r="H59" s="404"/>
      <c r="I59" s="404"/>
      <c r="J59" s="404"/>
      <c r="K59" s="406"/>
      <c r="L59" s="406"/>
      <c r="M59" s="406"/>
      <c r="N59" s="542"/>
    </row>
    <row r="60" spans="1:14" ht="15" customHeight="1" x14ac:dyDescent="0.25">
      <c r="A60" s="149" t="s">
        <v>98</v>
      </c>
      <c r="B60" s="247" t="s">
        <v>870</v>
      </c>
      <c r="C60" s="247"/>
      <c r="D60" s="247"/>
      <c r="E60" s="247"/>
      <c r="F60" s="247"/>
      <c r="G60" s="247"/>
      <c r="H60" s="247"/>
      <c r="I60" s="247"/>
      <c r="J60" s="247"/>
      <c r="K60" s="247"/>
      <c r="L60" s="247"/>
      <c r="M60" s="247"/>
      <c r="N60" s="247"/>
    </row>
    <row r="61" spans="1:14" ht="15" customHeight="1" x14ac:dyDescent="0.25">
      <c r="A61" s="149" t="s">
        <v>110</v>
      </c>
      <c r="B61" s="247" t="s">
        <v>871</v>
      </c>
      <c r="C61" s="247"/>
      <c r="D61" s="247"/>
      <c r="E61" s="247"/>
      <c r="F61" s="247"/>
      <c r="G61" s="247"/>
      <c r="H61" s="247"/>
      <c r="I61" s="247"/>
      <c r="J61" s="247"/>
      <c r="K61" s="247"/>
      <c r="L61" s="247"/>
      <c r="M61" s="247"/>
      <c r="N61" s="247"/>
    </row>
    <row r="62" spans="1:14" x14ac:dyDescent="0.25">
      <c r="A62" s="149" t="s">
        <v>168</v>
      </c>
      <c r="B62" s="210" t="s">
        <v>872</v>
      </c>
      <c r="C62" s="408"/>
      <c r="D62" s="408"/>
      <c r="E62" s="408"/>
      <c r="F62" s="408"/>
      <c r="G62" s="408"/>
      <c r="H62" s="408"/>
      <c r="I62" s="408"/>
      <c r="J62" s="408"/>
      <c r="K62" s="408"/>
      <c r="L62" s="408"/>
      <c r="M62" s="408"/>
      <c r="N62" s="408"/>
    </row>
    <row r="63" spans="1:14" ht="15" customHeight="1" x14ac:dyDescent="0.25">
      <c r="A63" s="149" t="s">
        <v>692</v>
      </c>
      <c r="B63" s="247" t="s">
        <v>873</v>
      </c>
      <c r="C63" s="247"/>
      <c r="D63" s="247"/>
      <c r="E63" s="247"/>
      <c r="F63" s="247"/>
      <c r="G63" s="247"/>
      <c r="H63" s="247"/>
      <c r="I63" s="247"/>
      <c r="J63" s="247"/>
      <c r="K63" s="247"/>
      <c r="L63" s="247"/>
      <c r="M63" s="247"/>
      <c r="N63" s="247"/>
    </row>
    <row r="64" spans="1:14" x14ac:dyDescent="0.25">
      <c r="A64" s="149" t="s">
        <v>694</v>
      </c>
      <c r="B64" s="210" t="s">
        <v>874</v>
      </c>
      <c r="C64" s="408"/>
      <c r="D64" s="408"/>
      <c r="E64" s="408"/>
      <c r="F64" s="408"/>
      <c r="G64" s="408"/>
      <c r="H64" s="408"/>
      <c r="I64" s="408"/>
      <c r="J64" s="408"/>
      <c r="K64" s="408"/>
      <c r="L64" s="408"/>
      <c r="M64" s="408"/>
      <c r="N64" s="408"/>
    </row>
    <row r="65" spans="1:14" ht="15" customHeight="1" x14ac:dyDescent="0.25">
      <c r="A65" s="149" t="s">
        <v>875</v>
      </c>
      <c r="B65" s="247" t="s">
        <v>876</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42"/>
      <c r="K67" s="542"/>
      <c r="L67" s="542"/>
      <c r="M67" s="542"/>
      <c r="N67" s="542"/>
    </row>
    <row r="68" spans="1:14" x14ac:dyDescent="0.25">
      <c r="A68" s="1">
        <v>21</v>
      </c>
      <c r="B68" s="247" t="s">
        <v>877</v>
      </c>
      <c r="D68" s="541"/>
      <c r="E68" s="541"/>
      <c r="F68" s="541"/>
      <c r="G68" s="541"/>
      <c r="H68" s="541"/>
      <c r="I68" s="541"/>
      <c r="J68" s="541"/>
      <c r="K68" s="541"/>
      <c r="L68" s="542"/>
      <c r="M68" s="542"/>
      <c r="N68" s="542"/>
    </row>
    <row r="69" spans="1:14" x14ac:dyDescent="0.25">
      <c r="A69" s="1">
        <v>16</v>
      </c>
      <c r="B69" s="247" t="s">
        <v>918</v>
      </c>
      <c r="D69" s="541"/>
      <c r="E69" s="541"/>
      <c r="F69" s="541"/>
      <c r="G69" s="541"/>
      <c r="H69" s="541"/>
      <c r="I69" s="541"/>
      <c r="J69" s="542"/>
      <c r="K69" s="542"/>
      <c r="L69" s="542"/>
      <c r="M69" s="542"/>
      <c r="N69" s="542"/>
    </row>
    <row r="70" spans="1:14" x14ac:dyDescent="0.25">
      <c r="A70" s="1">
        <v>24</v>
      </c>
      <c r="B70" s="247" t="s">
        <v>878</v>
      </c>
      <c r="D70" s="541"/>
      <c r="E70" s="541"/>
      <c r="F70" s="541"/>
      <c r="G70" s="541"/>
      <c r="H70" s="541"/>
      <c r="I70" s="541"/>
      <c r="J70" s="541"/>
      <c r="K70" s="541"/>
      <c r="L70" s="542"/>
      <c r="M70" s="542"/>
      <c r="N70" s="542"/>
    </row>
    <row r="71" spans="1:14" x14ac:dyDescent="0.25">
      <c r="A71" s="1">
        <v>26</v>
      </c>
      <c r="B71" s="247" t="s">
        <v>879</v>
      </c>
      <c r="D71" s="541"/>
      <c r="E71" s="541"/>
      <c r="F71" s="541"/>
      <c r="G71" s="541"/>
      <c r="H71" s="541"/>
      <c r="I71" s="541"/>
      <c r="J71" s="541"/>
      <c r="K71" s="541"/>
      <c r="L71" s="542"/>
      <c r="M71" s="542"/>
      <c r="N71" s="542"/>
    </row>
    <row r="72" spans="1:14" x14ac:dyDescent="0.25">
      <c r="A72">
        <v>27</v>
      </c>
      <c r="B72" s="247" t="s">
        <v>919</v>
      </c>
      <c r="C72" s="542"/>
      <c r="D72" s="542"/>
      <c r="E72" s="542"/>
      <c r="F72" s="542"/>
      <c r="G72" s="542"/>
      <c r="H72" s="542"/>
      <c r="I72" s="542"/>
      <c r="J72" s="542"/>
      <c r="K72" s="542"/>
      <c r="L72" s="542"/>
      <c r="M72" s="542"/>
      <c r="N72" s="542"/>
    </row>
    <row r="73" spans="1:14" x14ac:dyDescent="0.25">
      <c r="B73" s="542"/>
      <c r="C73" s="542"/>
      <c r="D73" s="542"/>
      <c r="E73" s="542"/>
      <c r="F73" s="542"/>
      <c r="G73" s="542"/>
      <c r="H73" s="542"/>
      <c r="I73" s="542"/>
      <c r="J73" s="542"/>
      <c r="K73" s="542"/>
      <c r="L73" s="542"/>
      <c r="M73" s="542"/>
      <c r="N73" s="542"/>
    </row>
  </sheetData>
  <mergeCells count="17">
    <mergeCell ref="L46:M46"/>
    <mergeCell ref="B47:J47"/>
    <mergeCell ref="C44:K44"/>
    <mergeCell ref="B45:J45"/>
    <mergeCell ref="C46:K46"/>
    <mergeCell ref="L50:M50"/>
    <mergeCell ref="A50:B50"/>
    <mergeCell ref="L49:M49"/>
    <mergeCell ref="L48:M48"/>
    <mergeCell ref="L47:M47"/>
    <mergeCell ref="C3:L3"/>
    <mergeCell ref="G4:H4"/>
    <mergeCell ref="I4:J4"/>
    <mergeCell ref="L45:M45"/>
    <mergeCell ref="L44:M44"/>
    <mergeCell ref="L43:M43"/>
    <mergeCell ref="A43:I43"/>
  </mergeCells>
  <hyperlinks>
    <hyperlink ref="C3" location="INDEX" display="Biogas plant, additional straw input in the feedstock mix"/>
  </hyperlink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xcel Dokument" ma:contentTypeID="0x010100008600E184967748BFA4CA34F83773ED0040C72188BCF4A349906F4396917C1B32" ma:contentTypeVersion="" ma:contentTypeDescription="Opret et nyt tomt Excel dokument" ma:contentTypeScope="" ma:versionID="8d8d17a0eae0feb20786ca554487ca8f">
  <xsd:schema xmlns:xsd="http://www.w3.org/2001/XMLSchema" xmlns:xs="http://www.w3.org/2001/XMLSchema" xmlns:p="http://schemas.microsoft.com/office/2006/metadata/properties" targetNamespace="http://schemas.microsoft.com/office/2006/metadata/properties" ma:root="true" ma:fieldsID="ef06a95e37044c945ad81735293fa98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E7674E-762A-47EF-9926-47D40036A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F37F251-E261-4CFF-A43E-7C7B20614BAE}">
  <ds:schemaRefs>
    <ds:schemaRef ds:uri="http://schemas.microsoft.com/sharepoint/v3/contenttype/forms"/>
  </ds:schemaRefs>
</ds:datastoreItem>
</file>

<file path=customXml/itemProps3.xml><?xml version="1.0" encoding="utf-8"?>
<ds:datastoreItem xmlns:ds="http://schemas.openxmlformats.org/officeDocument/2006/customXml" ds:itemID="{492D1EAB-9772-42CC-9504-74CCBD45048C}">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33</vt:i4>
      </vt:variant>
      <vt:variant>
        <vt:lpstr>Navngivne områder</vt:lpstr>
      </vt:variant>
      <vt:variant>
        <vt:i4>46</vt:i4>
      </vt:variant>
    </vt:vector>
  </HeadingPairs>
  <TitlesOfParts>
    <vt:vector size="79" baseType="lpstr">
      <vt:lpstr>Index</vt:lpstr>
      <vt:lpstr>81 Biogas Plant, Basic conf.</vt:lpstr>
      <vt:lpstr>81 Biogas Plant, Add. Straw</vt:lpstr>
      <vt:lpstr>81 Biogas Plant, Add. Org Waste</vt:lpstr>
      <vt:lpstr>82 Biogas, upgrading</vt:lpstr>
      <vt:lpstr>83 Gasif. Fixed Bed, Producer </vt:lpstr>
      <vt:lpstr>84 Gasif. CFB, Bio-SNG</vt:lpstr>
      <vt:lpstr>85 Gasif. Ent. Flow FT, liq fu </vt:lpstr>
      <vt:lpstr>86 AEC 1MW</vt:lpstr>
      <vt:lpstr>86 AEC 100MW</vt:lpstr>
      <vt:lpstr>86 PEMEC 1MW</vt:lpstr>
      <vt:lpstr>86 PEMEC 100MW</vt:lpstr>
      <vt:lpstr>86 SOEC 1MW</vt:lpstr>
      <vt:lpstr>89 Vegetable oil FAME</vt:lpstr>
      <vt:lpstr>90 UCO &amp; animal fat FAME</vt:lpstr>
      <vt:lpstr>91 Hydrogenated veg oil</vt:lpstr>
      <vt:lpstr>92 HVO jet fuel</vt:lpstr>
      <vt:lpstr>93 1st generation ethanol</vt:lpstr>
      <vt:lpstr>94 Pyrolysis oils</vt:lpstr>
      <vt:lpstr>95 Cellulosic ethanol</vt:lpstr>
      <vt:lpstr>97 Methanol from biomass gasif.</vt:lpstr>
      <vt:lpstr>98 Methanol from power</vt:lpstr>
      <vt:lpstr>99 SNG from methan. of biogas</vt:lpstr>
      <vt:lpstr>100 Hydrothermal liquifaction</vt:lpstr>
      <vt:lpstr>101 Catalytic Hydropyrolysis 2</vt:lpstr>
      <vt:lpstr>101 Catalytic Hydropyrolysis 1</vt:lpstr>
      <vt:lpstr>102 Hydrogen to Jet</vt:lpstr>
      <vt:lpstr>102 Power to Jet</vt:lpstr>
      <vt:lpstr>103 Hydrogen to Ammonia</vt:lpstr>
      <vt:lpstr>104 Methane pyrolysis, MBR</vt:lpstr>
      <vt:lpstr>104 Methane pyrolysis, Plasma</vt:lpstr>
      <vt:lpstr>105 Slow pyrolysis, Straw</vt:lpstr>
      <vt:lpstr>105 Slow pyrolysis, Digestate</vt:lpstr>
      <vt:lpstr>'102 Hydrogen to Jet'!_Ref27922520</vt:lpstr>
      <vt:lpstr>'102 Hydrogen to Jet'!_Ref27922536</vt:lpstr>
      <vt:lpstr>'102 Hydrogen to Jet'!_Ref27922576</vt:lpstr>
      <vt:lpstr>'102 Hydrogen to Jet'!_Ref27922596</vt:lpstr>
      <vt:lpstr>'102 Hydrogen to Jet'!_Ref27922635</vt:lpstr>
      <vt:lpstr>'91 Hydrogenated veg oil'!_Toc520721076</vt:lpstr>
      <vt:lpstr>'92 HVO jet fuel'!_Toc520721099</vt:lpstr>
      <vt:lpstr>'93 1st generation ethanol'!_Toc520721122</vt:lpstr>
      <vt:lpstr>'94 Pyrolysis oils'!_Toc520721145</vt:lpstr>
      <vt:lpstr>'95 Cellulosic ethanol'!_Toc520721168</vt:lpstr>
      <vt:lpstr>'97 Methanol from biomass gasif.'!_Toc520721214</vt:lpstr>
      <vt:lpstr>'103 Hydrogen to Ammonia'!_Toc520721237</vt:lpstr>
      <vt:lpstr>'98 Methanol from power'!_Toc520721237</vt:lpstr>
      <vt:lpstr>'99 SNG from methan. of biogas'!_Toc520721259</vt:lpstr>
      <vt:lpstr>'100 Hydrothermal liquifaction'!_Toc520721282</vt:lpstr>
      <vt:lpstr>index</vt:lpstr>
      <vt:lpstr>Sheet</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'104 Methane pyrolysis, MBR'!sheet3</vt:lpstr>
      <vt:lpstr>'104 Methane pyrolysis, Plasma'!sheet3</vt:lpstr>
      <vt:lpstr>'86 AEC 100MW'!sheet3</vt:lpstr>
      <vt:lpstr>'86 AEC 1MW'!sheet3</vt:lpstr>
      <vt:lpstr>'86 PEMEC 100MW'!sheet3</vt:lpstr>
      <vt:lpstr>'86 PEMEC 1MW'!sheet3</vt:lpstr>
      <vt:lpstr>'86 SOEC 1MW'!sheet3</vt:lpstr>
      <vt:lpstr>sheet3</vt:lpstr>
      <vt:lpstr>sheet4</vt:lpstr>
      <vt:lpstr>sheet5</vt:lpstr>
      <vt:lpstr>sheet6</vt:lpstr>
      <vt:lpstr>sheet7</vt:lpstr>
      <vt:lpstr>sheet8</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Rikke Næraa</dc:creator>
  <cp:lastModifiedBy>Ane Fjord</cp:lastModifiedBy>
  <cp:lastPrinted>2016-08-12T08:57:26Z</cp:lastPrinted>
  <dcterms:created xsi:type="dcterms:W3CDTF">2014-12-02T13:12:45Z</dcterms:created>
  <dcterms:modified xsi:type="dcterms:W3CDTF">2022-04-19T09:29:28Z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0x010100008600E184967748BFA4CA34F83773ED0040C72188BCF4A349906F4396917C1B32</vt:lpwstr>
  </property>
  <property fmtid="{D5CDD505-2E9C-101B-9397-08002B2CF9AE}" pid="3" name="SaveCode">
    <vt:r8>208671033382415</vt:r8>
  </property>
</Properties>
</file>