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B046732\Documents\Filkassen\Teknologikatalog\8b. 2021\10. Ny CCS katalog\"/>
    </mc:Choice>
  </mc:AlternateContent>
  <bookViews>
    <workbookView xWindow="-120" yWindow="-120" windowWidth="23160" windowHeight="8880" tabRatio="830"/>
  </bookViews>
  <sheets>
    <sheet name="Index" sheetId="37" r:id="rId1"/>
    <sheet name="401.a Post comb - small CHP" sheetId="41" r:id="rId2"/>
    <sheet name="401.b Post comb - Large biomass" sheetId="42" r:id="rId3"/>
    <sheet name="401.c Post comb - Cement kiln" sheetId="43" r:id="rId4"/>
    <sheet name="402.a Oxy-fuel- Large Biomass" sheetId="44" r:id="rId5"/>
    <sheet name="402.b Oxy-fuel Cement" sheetId="45" r:id="rId6"/>
    <sheet name="403.a Direct air capture" sheetId="46" r:id="rId7"/>
    <sheet name="421 co2 pipeline" sheetId="47" r:id="rId8"/>
    <sheet name="422 co2 road transport" sheetId="48" r:id="rId9"/>
    <sheet name="423 co2 ship transport" sheetId="49" r:id="rId10"/>
    <sheet name="co2 terminals" sheetId="50" r:id="rId11"/>
    <sheet name="451.1a 1 MTA Onshore" sheetId="51" r:id="rId12"/>
    <sheet name="451.1b 3 MTA Onshore" sheetId="52" r:id="rId13"/>
    <sheet name="451.1c 5 MTA Onshore" sheetId="53" r:id="rId14"/>
    <sheet name="451.2a 1 MTA Near shore " sheetId="54" r:id="rId15"/>
    <sheet name="451.2b 3 MTA Near shore " sheetId="55" r:id="rId16"/>
    <sheet name="451.2c 5 MTA Near shore" sheetId="56" r:id="rId17"/>
    <sheet name="451.3a 1 MTA Offshore" sheetId="57" r:id="rId18"/>
    <sheet name="451.3b 3 MTA Offshore " sheetId="58" r:id="rId19"/>
    <sheet name="451.3c 5 MTA Offshore" sheetId="59" r:id="rId20"/>
    <sheet name="451.3d 5 MTA Offshore - Reuse" sheetId="60" r:id="rId21"/>
    <sheet name="Input 1 MTA Onshore" sheetId="61" r:id="rId22"/>
    <sheet name="Input 3 MTA Onshore" sheetId="62" r:id="rId23"/>
    <sheet name="Input 5 MTA Onshore" sheetId="63" r:id="rId24"/>
    <sheet name="Input 1 MTA  Near shore" sheetId="64" r:id="rId25"/>
    <sheet name="Input 3 MTA  Near shore" sheetId="65" r:id="rId26"/>
    <sheet name="Input 5 MTA  Near shore" sheetId="66" r:id="rId27"/>
    <sheet name="Input 1 MTA  Offshore" sheetId="67" r:id="rId28"/>
    <sheet name="Input 3MTA  Offshore" sheetId="68" r:id="rId29"/>
    <sheet name="Input 5 MTA  Offshore" sheetId="69" r:id="rId30"/>
    <sheet name="Input 5 MTA Offshore - Reuse" sheetId="70" r:id="rId31"/>
  </sheets>
  <externalReferences>
    <externalReference r:id="rId32"/>
    <externalReference r:id="rId33"/>
  </externalReferences>
  <definedNames>
    <definedName name="EUR__DKK">[1]KeyNH3!$D$34</definedName>
    <definedName name="EUR2DKK">#REF!</definedName>
    <definedName name="eurusd_rate">[2]Input!$B$7</definedName>
    <definedName name="index">Index!$A$1</definedName>
    <definedName name="_xlnm.Print_Area" localSheetId="11">'451.1a 1 MTA Onshore'!$A$1:$M$51</definedName>
    <definedName name="_xlnm.Print_Area" localSheetId="12">'451.1b 3 MTA Onshore'!$A$1:$M$51</definedName>
    <definedName name="_xlnm.Print_Area" localSheetId="13">'451.1c 5 MTA Onshore'!$A$1:$M$51</definedName>
    <definedName name="_xlnm.Print_Area" localSheetId="14">'451.2a 1 MTA Near shore '!$A$1:$M$51</definedName>
    <definedName name="_xlnm.Print_Area" localSheetId="15">'451.2b 3 MTA Near shore '!$A$1:$M$51</definedName>
    <definedName name="_xlnm.Print_Area" localSheetId="16">'451.2c 5 MTA Near shore'!$A$1:$M$51</definedName>
    <definedName name="_xlnm.Print_Area" localSheetId="17">'451.3a 1 MTA Offshore'!$A$1:$M$51</definedName>
    <definedName name="_xlnm.Print_Area" localSheetId="18">'451.3b 3 MTA Offshore '!$A$1:$M$51</definedName>
    <definedName name="_xlnm.Print_Area" localSheetId="19">'451.3c 5 MTA Offshore'!$A$1:$M$51</definedName>
    <definedName name="_xlnm.Print_Area" localSheetId="20">'451.3d 5 MTA Offshore - Reuse'!$A$1:$M$52</definedName>
    <definedName name="sheet10">#REF!</definedName>
    <definedName name="sheet11">#REF!</definedName>
    <definedName name="sheet12">#REF!</definedName>
    <definedName name="sheet13">#REF!</definedName>
    <definedName name="sheet14">#REF!</definedName>
    <definedName name="sheet15">#REF!</definedName>
    <definedName name="sheet16">#REF!</definedName>
    <definedName name="sheet17">#REF!</definedName>
    <definedName name="sheet18">#REF!</definedName>
    <definedName name="sheet19">#REF!</definedName>
    <definedName name="sheet2">#REF!</definedName>
    <definedName name="sheet20">#REF!</definedName>
    <definedName name="sheet21">#REF!</definedName>
    <definedName name="sheet22">#REF!</definedName>
    <definedName name="sheet23">#REF!</definedName>
    <definedName name="sheet24">#REF!</definedName>
    <definedName name="sheet25">#REF!</definedName>
    <definedName name="sheet26">#REF!</definedName>
    <definedName name="sheet27">#REF!</definedName>
    <definedName name="sheet28">#REF!</definedName>
    <definedName name="sheet29">#REF!</definedName>
    <definedName name="sheet3">#REF!</definedName>
    <definedName name="sheet30">#REF!</definedName>
    <definedName name="sheet31">#REF!</definedName>
    <definedName name="sheet32">#REF!</definedName>
    <definedName name="sheet33">'401.a Post comb - small CHP'!$B$2</definedName>
    <definedName name="sheet34">'401.b Post comb - Large biomass'!$B$2</definedName>
    <definedName name="sheet35">'401.c Post comb - Cement kiln'!$B$2</definedName>
    <definedName name="sheet36">'402.a Oxy-fuel- Large Biomass'!$B$2</definedName>
    <definedName name="sheet37">'402.b Oxy-fuel Cement'!$B$2</definedName>
    <definedName name="sheet38">'403.a Direct air capture'!$B$2</definedName>
    <definedName name="sheet4">#REF!</definedName>
    <definedName name="sheet5">#REF!</definedName>
    <definedName name="sheet6">#REF!</definedName>
    <definedName name="sheet7">#REF!</definedName>
    <definedName name="sheet8">#REF!</definedName>
    <definedName name="sheet9">#REF!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9" i="70" l="1"/>
  <c r="R39" i="70"/>
  <c r="Q39" i="70"/>
  <c r="P39" i="70"/>
  <c r="O39" i="70"/>
  <c r="N39" i="70"/>
  <c r="M39" i="70"/>
  <c r="L39" i="70"/>
  <c r="F39" i="70"/>
  <c r="C37" i="70"/>
  <c r="C43" i="70" s="1"/>
  <c r="F43" i="70" s="1"/>
  <c r="K36" i="70"/>
  <c r="F36" i="70"/>
  <c r="J36" i="70" s="1"/>
  <c r="C33" i="70"/>
  <c r="F33" i="70" s="1"/>
  <c r="P32" i="70"/>
  <c r="F32" i="70"/>
  <c r="J32" i="70" s="1"/>
  <c r="K32" i="70" s="1"/>
  <c r="F31" i="70"/>
  <c r="L30" i="70"/>
  <c r="F30" i="70"/>
  <c r="F29" i="70"/>
  <c r="F28" i="70"/>
  <c r="F27" i="70"/>
  <c r="F26" i="70"/>
  <c r="F25" i="70"/>
  <c r="F24" i="70"/>
  <c r="J30" i="70" s="1"/>
  <c r="K30" i="70" s="1"/>
  <c r="M23" i="70"/>
  <c r="F23" i="70"/>
  <c r="J23" i="70" s="1"/>
  <c r="K23" i="70" s="1"/>
  <c r="P20" i="70"/>
  <c r="F20" i="70"/>
  <c r="J20" i="70" s="1"/>
  <c r="K20" i="70" s="1"/>
  <c r="K18" i="70"/>
  <c r="C18" i="70"/>
  <c r="F18" i="70" s="1"/>
  <c r="J18" i="70" s="1"/>
  <c r="J17" i="70"/>
  <c r="K17" i="70" s="1"/>
  <c r="F17" i="70"/>
  <c r="R16" i="70"/>
  <c r="J16" i="70"/>
  <c r="K16" i="70" s="1"/>
  <c r="F16" i="70"/>
  <c r="M15" i="70"/>
  <c r="F15" i="70"/>
  <c r="J15" i="70" s="1"/>
  <c r="K15" i="70" s="1"/>
  <c r="F14" i="70"/>
  <c r="J14" i="70" s="1"/>
  <c r="K14" i="70" s="1"/>
  <c r="K13" i="70"/>
  <c r="F13" i="70"/>
  <c r="J13" i="70" s="1"/>
  <c r="F12" i="70"/>
  <c r="J12" i="70" s="1"/>
  <c r="K12" i="70" s="1"/>
  <c r="F9" i="70"/>
  <c r="J9" i="70" s="1"/>
  <c r="C9" i="70"/>
  <c r="F8" i="70"/>
  <c r="F7" i="70"/>
  <c r="F6" i="70"/>
  <c r="F5" i="70"/>
  <c r="F4" i="70"/>
  <c r="S39" i="69"/>
  <c r="R39" i="69"/>
  <c r="Q39" i="69"/>
  <c r="P39" i="69"/>
  <c r="O39" i="69"/>
  <c r="N39" i="69"/>
  <c r="M39" i="69"/>
  <c r="L39" i="69"/>
  <c r="F39" i="69"/>
  <c r="C37" i="69"/>
  <c r="C43" i="69" s="1"/>
  <c r="F43" i="69" s="1"/>
  <c r="Q36" i="69"/>
  <c r="F36" i="69"/>
  <c r="J36" i="69" s="1"/>
  <c r="K36" i="69" s="1"/>
  <c r="C33" i="69"/>
  <c r="F33" i="69" s="1"/>
  <c r="N32" i="69"/>
  <c r="F32" i="69"/>
  <c r="J32" i="69" s="1"/>
  <c r="K32" i="69" s="1"/>
  <c r="F31" i="69"/>
  <c r="R30" i="69"/>
  <c r="J30" i="69"/>
  <c r="K30" i="69" s="1"/>
  <c r="F30" i="69"/>
  <c r="F29" i="69"/>
  <c r="F28" i="69"/>
  <c r="F27" i="69"/>
  <c r="F26" i="69"/>
  <c r="F25" i="69"/>
  <c r="F24" i="69"/>
  <c r="K23" i="69"/>
  <c r="F23" i="69"/>
  <c r="J23" i="69" s="1"/>
  <c r="F20" i="69"/>
  <c r="J20" i="69" s="1"/>
  <c r="K20" i="69" s="1"/>
  <c r="F18" i="69"/>
  <c r="J18" i="69" s="1"/>
  <c r="K18" i="69" s="1"/>
  <c r="C18" i="69"/>
  <c r="F17" i="69"/>
  <c r="J17" i="69" s="1"/>
  <c r="K17" i="69" s="1"/>
  <c r="P16" i="69"/>
  <c r="F16" i="69"/>
  <c r="J16" i="69" s="1"/>
  <c r="K16" i="69" s="1"/>
  <c r="F15" i="69"/>
  <c r="J15" i="69" s="1"/>
  <c r="K15" i="69" s="1"/>
  <c r="N14" i="69"/>
  <c r="F14" i="69"/>
  <c r="J14" i="69" s="1"/>
  <c r="K14" i="69" s="1"/>
  <c r="F13" i="69"/>
  <c r="J13" i="69" s="1"/>
  <c r="K13" i="69" s="1"/>
  <c r="F12" i="69"/>
  <c r="J12" i="69" s="1"/>
  <c r="K12" i="69" s="1"/>
  <c r="C9" i="69"/>
  <c r="F9" i="69" s="1"/>
  <c r="J9" i="69" s="1"/>
  <c r="K9" i="69" s="1"/>
  <c r="F8" i="69"/>
  <c r="F7" i="69"/>
  <c r="F6" i="69"/>
  <c r="F5" i="69"/>
  <c r="F4" i="69"/>
  <c r="S39" i="68"/>
  <c r="R39" i="68"/>
  <c r="Q39" i="68"/>
  <c r="P39" i="68"/>
  <c r="O39" i="68"/>
  <c r="N39" i="68"/>
  <c r="M39" i="68"/>
  <c r="L39" i="68"/>
  <c r="F39" i="68"/>
  <c r="C37" i="68"/>
  <c r="F37" i="68" s="1"/>
  <c r="F36" i="68"/>
  <c r="J36" i="68" s="1"/>
  <c r="K36" i="68" s="1"/>
  <c r="C33" i="68"/>
  <c r="F33" i="68" s="1"/>
  <c r="F32" i="68"/>
  <c r="J32" i="68" s="1"/>
  <c r="K32" i="68" s="1"/>
  <c r="F31" i="68"/>
  <c r="F30" i="68"/>
  <c r="F29" i="68"/>
  <c r="F28" i="68"/>
  <c r="F27" i="68"/>
  <c r="F26" i="68"/>
  <c r="F25" i="68"/>
  <c r="F24" i="68"/>
  <c r="F23" i="68"/>
  <c r="J23" i="68" s="1"/>
  <c r="K23" i="68" s="1"/>
  <c r="F20" i="68"/>
  <c r="J20" i="68" s="1"/>
  <c r="K20" i="68" s="1"/>
  <c r="C18" i="68"/>
  <c r="F18" i="68" s="1"/>
  <c r="J18" i="68" s="1"/>
  <c r="K18" i="68" s="1"/>
  <c r="F17" i="68"/>
  <c r="J17" i="68" s="1"/>
  <c r="K17" i="68" s="1"/>
  <c r="N16" i="68"/>
  <c r="F16" i="68"/>
  <c r="J16" i="68" s="1"/>
  <c r="K16" i="68" s="1"/>
  <c r="F15" i="68"/>
  <c r="J15" i="68" s="1"/>
  <c r="K15" i="68" s="1"/>
  <c r="F14" i="68"/>
  <c r="J14" i="68" s="1"/>
  <c r="K14" i="68" s="1"/>
  <c r="J13" i="68"/>
  <c r="K13" i="68" s="1"/>
  <c r="F13" i="68"/>
  <c r="J12" i="68"/>
  <c r="K12" i="68" s="1"/>
  <c r="F12" i="68"/>
  <c r="C9" i="68"/>
  <c r="F9" i="68" s="1"/>
  <c r="J9" i="68" s="1"/>
  <c r="F8" i="68"/>
  <c r="F7" i="68"/>
  <c r="F6" i="68"/>
  <c r="F5" i="68"/>
  <c r="F4" i="68"/>
  <c r="S39" i="67"/>
  <c r="R39" i="67"/>
  <c r="Q39" i="67"/>
  <c r="P39" i="67"/>
  <c r="O39" i="67"/>
  <c r="N39" i="67"/>
  <c r="M39" i="67"/>
  <c r="L39" i="67"/>
  <c r="F39" i="67"/>
  <c r="F37" i="67"/>
  <c r="C37" i="67"/>
  <c r="C43" i="67" s="1"/>
  <c r="F43" i="67" s="1"/>
  <c r="J36" i="67"/>
  <c r="K36" i="67" s="1"/>
  <c r="F36" i="67"/>
  <c r="C33" i="67"/>
  <c r="F33" i="67" s="1"/>
  <c r="R32" i="67"/>
  <c r="J32" i="67"/>
  <c r="K32" i="67" s="1"/>
  <c r="F32" i="67"/>
  <c r="F31" i="67"/>
  <c r="F30" i="67"/>
  <c r="F29" i="67"/>
  <c r="F28" i="67"/>
  <c r="F27" i="67"/>
  <c r="F26" i="67"/>
  <c r="F25" i="67"/>
  <c r="F24" i="67"/>
  <c r="F23" i="67"/>
  <c r="J23" i="67" s="1"/>
  <c r="K23" i="67" s="1"/>
  <c r="J20" i="67"/>
  <c r="K20" i="67" s="1"/>
  <c r="F20" i="67"/>
  <c r="C18" i="67"/>
  <c r="F18" i="67" s="1"/>
  <c r="J18" i="67" s="1"/>
  <c r="K18" i="67" s="1"/>
  <c r="Q17" i="67"/>
  <c r="F17" i="67"/>
  <c r="J17" i="67" s="1"/>
  <c r="K17" i="67" s="1"/>
  <c r="L16" i="67"/>
  <c r="F16" i="67"/>
  <c r="J16" i="67" s="1"/>
  <c r="K16" i="67" s="1"/>
  <c r="F15" i="67"/>
  <c r="J15" i="67" s="1"/>
  <c r="K15" i="67" s="1"/>
  <c r="J14" i="67"/>
  <c r="K14" i="67" s="1"/>
  <c r="F14" i="67"/>
  <c r="J13" i="67"/>
  <c r="K13" i="67" s="1"/>
  <c r="F13" i="67"/>
  <c r="F12" i="67"/>
  <c r="J12" i="67" s="1"/>
  <c r="K12" i="67" s="1"/>
  <c r="K9" i="67"/>
  <c r="C9" i="67"/>
  <c r="F9" i="67" s="1"/>
  <c r="J9" i="67" s="1"/>
  <c r="F8" i="67"/>
  <c r="F7" i="67"/>
  <c r="F6" i="67"/>
  <c r="F5" i="67"/>
  <c r="F4" i="67"/>
  <c r="S39" i="66"/>
  <c r="R39" i="66"/>
  <c r="Q39" i="66"/>
  <c r="P39" i="66"/>
  <c r="O39" i="66"/>
  <c r="N39" i="66"/>
  <c r="M39" i="66"/>
  <c r="L39" i="66"/>
  <c r="F39" i="66"/>
  <c r="F37" i="66"/>
  <c r="C37" i="66"/>
  <c r="F36" i="66"/>
  <c r="J36" i="66" s="1"/>
  <c r="K36" i="66" s="1"/>
  <c r="C33" i="66"/>
  <c r="F33" i="66" s="1"/>
  <c r="J32" i="66"/>
  <c r="K32" i="66" s="1"/>
  <c r="F32" i="66"/>
  <c r="F31" i="66"/>
  <c r="F30" i="66"/>
  <c r="F29" i="66"/>
  <c r="F28" i="66"/>
  <c r="F27" i="66"/>
  <c r="F26" i="66"/>
  <c r="F25" i="66"/>
  <c r="F24" i="66"/>
  <c r="M23" i="66"/>
  <c r="F23" i="66"/>
  <c r="J23" i="66" s="1"/>
  <c r="K23" i="66" s="1"/>
  <c r="F20" i="66"/>
  <c r="J20" i="66" s="1"/>
  <c r="K20" i="66" s="1"/>
  <c r="K18" i="66"/>
  <c r="C18" i="66"/>
  <c r="F18" i="66" s="1"/>
  <c r="J18" i="66" s="1"/>
  <c r="O17" i="66"/>
  <c r="K17" i="66"/>
  <c r="J17" i="66"/>
  <c r="F17" i="66"/>
  <c r="F16" i="66"/>
  <c r="J16" i="66" s="1"/>
  <c r="K16" i="66" s="1"/>
  <c r="F15" i="66"/>
  <c r="J15" i="66" s="1"/>
  <c r="K15" i="66" s="1"/>
  <c r="J14" i="66"/>
  <c r="K14" i="66" s="1"/>
  <c r="F14" i="66"/>
  <c r="M13" i="66"/>
  <c r="J13" i="66"/>
  <c r="K13" i="66" s="1"/>
  <c r="F13" i="66"/>
  <c r="J12" i="66"/>
  <c r="K12" i="66" s="1"/>
  <c r="F12" i="66"/>
  <c r="C9" i="66"/>
  <c r="F9" i="66" s="1"/>
  <c r="J9" i="66" s="1"/>
  <c r="F8" i="66"/>
  <c r="F7" i="66"/>
  <c r="F6" i="66"/>
  <c r="F5" i="66"/>
  <c r="F4" i="66"/>
  <c r="S39" i="65"/>
  <c r="R39" i="65"/>
  <c r="Q39" i="65"/>
  <c r="P39" i="65"/>
  <c r="O39" i="65"/>
  <c r="N39" i="65"/>
  <c r="M39" i="65"/>
  <c r="L39" i="65"/>
  <c r="F39" i="65"/>
  <c r="C37" i="65"/>
  <c r="C43" i="65" s="1"/>
  <c r="F43" i="65" s="1"/>
  <c r="K36" i="65"/>
  <c r="F36" i="65"/>
  <c r="J36" i="65" s="1"/>
  <c r="C33" i="65"/>
  <c r="F33" i="65" s="1"/>
  <c r="F32" i="65"/>
  <c r="J32" i="65" s="1"/>
  <c r="K32" i="65" s="1"/>
  <c r="F31" i="65"/>
  <c r="L30" i="65"/>
  <c r="F30" i="65"/>
  <c r="F29" i="65"/>
  <c r="F28" i="65"/>
  <c r="F27" i="65"/>
  <c r="F26" i="65"/>
  <c r="F25" i="65"/>
  <c r="J30" i="65" s="1"/>
  <c r="K30" i="65" s="1"/>
  <c r="F24" i="65"/>
  <c r="M23" i="65"/>
  <c r="F23" i="65"/>
  <c r="J23" i="65" s="1"/>
  <c r="K23" i="65" s="1"/>
  <c r="P20" i="65"/>
  <c r="F20" i="65"/>
  <c r="J20" i="65" s="1"/>
  <c r="K20" i="65" s="1"/>
  <c r="C18" i="65"/>
  <c r="F18" i="65" s="1"/>
  <c r="J18" i="65" s="1"/>
  <c r="K18" i="65" s="1"/>
  <c r="C15" i="55" s="1"/>
  <c r="O17" i="65"/>
  <c r="K17" i="65"/>
  <c r="N17" i="65" s="1"/>
  <c r="J17" i="65"/>
  <c r="F17" i="65"/>
  <c r="J16" i="65"/>
  <c r="K16" i="65" s="1"/>
  <c r="F16" i="65"/>
  <c r="M15" i="65"/>
  <c r="F15" i="65"/>
  <c r="J15" i="65" s="1"/>
  <c r="K15" i="65" s="1"/>
  <c r="P14" i="65"/>
  <c r="F14" i="65"/>
  <c r="J14" i="65" s="1"/>
  <c r="K14" i="65" s="1"/>
  <c r="F13" i="65"/>
  <c r="J13" i="65" s="1"/>
  <c r="K13" i="65" s="1"/>
  <c r="J12" i="65"/>
  <c r="K12" i="65" s="1"/>
  <c r="F12" i="65"/>
  <c r="F9" i="65"/>
  <c r="J9" i="65" s="1"/>
  <c r="C9" i="65"/>
  <c r="F8" i="65"/>
  <c r="F7" i="65"/>
  <c r="F6" i="65"/>
  <c r="F5" i="65"/>
  <c r="F4" i="65"/>
  <c r="S39" i="64"/>
  <c r="R39" i="64"/>
  <c r="Q39" i="64"/>
  <c r="P39" i="64"/>
  <c r="O39" i="64"/>
  <c r="N39" i="64"/>
  <c r="M39" i="64"/>
  <c r="L39" i="64"/>
  <c r="F39" i="64"/>
  <c r="F37" i="64"/>
  <c r="C37" i="64"/>
  <c r="C43" i="64" s="1"/>
  <c r="F43" i="64" s="1"/>
  <c r="F36" i="64"/>
  <c r="J36" i="64" s="1"/>
  <c r="K36" i="64" s="1"/>
  <c r="C33" i="64"/>
  <c r="F33" i="64" s="1"/>
  <c r="N32" i="64"/>
  <c r="J32" i="64"/>
  <c r="K32" i="64" s="1"/>
  <c r="F32" i="64"/>
  <c r="F31" i="64"/>
  <c r="R30" i="64"/>
  <c r="J30" i="64"/>
  <c r="K30" i="64" s="1"/>
  <c r="F30" i="64"/>
  <c r="F29" i="64"/>
  <c r="F28" i="64"/>
  <c r="F27" i="64"/>
  <c r="F26" i="64"/>
  <c r="F25" i="64"/>
  <c r="F24" i="64"/>
  <c r="K23" i="64"/>
  <c r="F23" i="64"/>
  <c r="J23" i="64" s="1"/>
  <c r="N20" i="64"/>
  <c r="J20" i="64"/>
  <c r="K20" i="64" s="1"/>
  <c r="F20" i="64"/>
  <c r="F18" i="64"/>
  <c r="J18" i="64" s="1"/>
  <c r="K18" i="64" s="1"/>
  <c r="C18" i="64"/>
  <c r="M17" i="64"/>
  <c r="F17" i="64"/>
  <c r="J17" i="64" s="1"/>
  <c r="K17" i="64" s="1"/>
  <c r="P16" i="64"/>
  <c r="F16" i="64"/>
  <c r="J16" i="64" s="1"/>
  <c r="K16" i="64" s="1"/>
  <c r="F15" i="64"/>
  <c r="J15" i="64" s="1"/>
  <c r="K15" i="64" s="1"/>
  <c r="J14" i="64"/>
  <c r="K14" i="64" s="1"/>
  <c r="F14" i="64"/>
  <c r="Q13" i="64"/>
  <c r="F13" i="64"/>
  <c r="J13" i="64" s="1"/>
  <c r="K13" i="64" s="1"/>
  <c r="J12" i="64"/>
  <c r="K12" i="64" s="1"/>
  <c r="F12" i="64"/>
  <c r="C9" i="64"/>
  <c r="F9" i="64" s="1"/>
  <c r="J9" i="64" s="1"/>
  <c r="K9" i="64" s="1"/>
  <c r="F8" i="64"/>
  <c r="F7" i="64"/>
  <c r="F6" i="64"/>
  <c r="F5" i="64"/>
  <c r="F4" i="64"/>
  <c r="S39" i="63"/>
  <c r="R39" i="63"/>
  <c r="Q39" i="63"/>
  <c r="P39" i="63"/>
  <c r="O39" i="63"/>
  <c r="N39" i="63"/>
  <c r="M39" i="63"/>
  <c r="L39" i="63"/>
  <c r="F39" i="63"/>
  <c r="F37" i="63"/>
  <c r="C37" i="63"/>
  <c r="O36" i="63"/>
  <c r="K36" i="63"/>
  <c r="N36" i="63" s="1"/>
  <c r="J36" i="63"/>
  <c r="F36" i="63"/>
  <c r="C33" i="63"/>
  <c r="F33" i="63" s="1"/>
  <c r="L32" i="63"/>
  <c r="J32" i="63"/>
  <c r="K32" i="63" s="1"/>
  <c r="F32" i="63"/>
  <c r="F31" i="63"/>
  <c r="F30" i="63"/>
  <c r="F29" i="63"/>
  <c r="F28" i="63"/>
  <c r="F27" i="63"/>
  <c r="F26" i="63"/>
  <c r="F25" i="63"/>
  <c r="F24" i="63"/>
  <c r="F23" i="63"/>
  <c r="J23" i="63" s="1"/>
  <c r="K23" i="63" s="1"/>
  <c r="L20" i="63"/>
  <c r="J20" i="63"/>
  <c r="K20" i="63" s="1"/>
  <c r="F20" i="63"/>
  <c r="C18" i="63"/>
  <c r="F18" i="63" s="1"/>
  <c r="J18" i="63" s="1"/>
  <c r="K18" i="63" s="1"/>
  <c r="F17" i="63"/>
  <c r="J17" i="63" s="1"/>
  <c r="K17" i="63" s="1"/>
  <c r="N16" i="63"/>
  <c r="J16" i="63"/>
  <c r="K16" i="63" s="1"/>
  <c r="F16" i="63"/>
  <c r="F15" i="63"/>
  <c r="J15" i="63" s="1"/>
  <c r="K15" i="63" s="1"/>
  <c r="L14" i="63"/>
  <c r="J14" i="63"/>
  <c r="K14" i="63" s="1"/>
  <c r="F14" i="63"/>
  <c r="O13" i="63"/>
  <c r="K13" i="63"/>
  <c r="N13" i="63" s="1"/>
  <c r="J13" i="63"/>
  <c r="F13" i="63"/>
  <c r="R12" i="63"/>
  <c r="J12" i="63"/>
  <c r="K12" i="63" s="1"/>
  <c r="F12" i="63"/>
  <c r="F9" i="63"/>
  <c r="J9" i="63" s="1"/>
  <c r="C9" i="63"/>
  <c r="F8" i="63"/>
  <c r="F7" i="63"/>
  <c r="F6" i="63"/>
  <c r="F5" i="63"/>
  <c r="F4" i="63"/>
  <c r="S39" i="62"/>
  <c r="R39" i="62"/>
  <c r="Q39" i="62"/>
  <c r="P39" i="62"/>
  <c r="O39" i="62"/>
  <c r="N39" i="62"/>
  <c r="M39" i="62"/>
  <c r="L39" i="62"/>
  <c r="F39" i="62"/>
  <c r="F37" i="62"/>
  <c r="C37" i="62"/>
  <c r="J36" i="62"/>
  <c r="K36" i="62" s="1"/>
  <c r="F36" i="62"/>
  <c r="F33" i="62"/>
  <c r="C33" i="62"/>
  <c r="R32" i="62"/>
  <c r="Q32" i="62"/>
  <c r="N32" i="62"/>
  <c r="J32" i="62"/>
  <c r="K32" i="62" s="1"/>
  <c r="P32" i="62" s="1"/>
  <c r="F32" i="62"/>
  <c r="F31" i="62"/>
  <c r="J23" i="62" s="1"/>
  <c r="K23" i="62" s="1"/>
  <c r="F30" i="62"/>
  <c r="F29" i="62"/>
  <c r="F28" i="62"/>
  <c r="F27" i="62"/>
  <c r="J30" i="62" s="1"/>
  <c r="K30" i="62" s="1"/>
  <c r="F26" i="62"/>
  <c r="F25" i="62"/>
  <c r="F24" i="62"/>
  <c r="F23" i="62"/>
  <c r="O20" i="62"/>
  <c r="F20" i="62"/>
  <c r="J20" i="62" s="1"/>
  <c r="K20" i="62" s="1"/>
  <c r="J18" i="62"/>
  <c r="K18" i="62" s="1"/>
  <c r="F18" i="62"/>
  <c r="C18" i="62"/>
  <c r="P17" i="62"/>
  <c r="L17" i="62"/>
  <c r="J17" i="62"/>
  <c r="K17" i="62" s="1"/>
  <c r="Q17" i="62" s="1"/>
  <c r="F17" i="62"/>
  <c r="R16" i="62"/>
  <c r="J16" i="62"/>
  <c r="K16" i="62" s="1"/>
  <c r="F16" i="62"/>
  <c r="M15" i="62"/>
  <c r="F15" i="62"/>
  <c r="J15" i="62" s="1"/>
  <c r="K15" i="62" s="1"/>
  <c r="F14" i="62"/>
  <c r="J14" i="62" s="1"/>
  <c r="K14" i="62" s="1"/>
  <c r="K13" i="62"/>
  <c r="F13" i="62"/>
  <c r="J13" i="62" s="1"/>
  <c r="J12" i="62"/>
  <c r="K12" i="62" s="1"/>
  <c r="F12" i="62"/>
  <c r="F9" i="62"/>
  <c r="J9" i="62" s="1"/>
  <c r="K9" i="62" s="1"/>
  <c r="C9" i="62"/>
  <c r="F8" i="62"/>
  <c r="F7" i="62"/>
  <c r="F6" i="62"/>
  <c r="F5" i="62"/>
  <c r="F4" i="62"/>
  <c r="S39" i="61"/>
  <c r="R39" i="61"/>
  <c r="Q39" i="61"/>
  <c r="P39" i="61"/>
  <c r="O39" i="61"/>
  <c r="N39" i="61"/>
  <c r="M39" i="61"/>
  <c r="L39" i="61"/>
  <c r="F39" i="61"/>
  <c r="C37" i="61"/>
  <c r="C43" i="61" s="1"/>
  <c r="F43" i="61" s="1"/>
  <c r="Q36" i="61"/>
  <c r="F36" i="61"/>
  <c r="J36" i="61" s="1"/>
  <c r="K36" i="61" s="1"/>
  <c r="C33" i="61"/>
  <c r="F33" i="61" s="1"/>
  <c r="F32" i="61"/>
  <c r="J32" i="61" s="1"/>
  <c r="K32" i="61" s="1"/>
  <c r="F31" i="61"/>
  <c r="J30" i="61"/>
  <c r="K30" i="61" s="1"/>
  <c r="F30" i="61"/>
  <c r="F29" i="61"/>
  <c r="F28" i="61"/>
  <c r="F27" i="61"/>
  <c r="F26" i="61"/>
  <c r="F25" i="61"/>
  <c r="F24" i="61"/>
  <c r="S23" i="61"/>
  <c r="K23" i="61"/>
  <c r="F23" i="61"/>
  <c r="J23" i="61" s="1"/>
  <c r="N20" i="61"/>
  <c r="F20" i="61"/>
  <c r="J20" i="61" s="1"/>
  <c r="K20" i="61" s="1"/>
  <c r="F18" i="61"/>
  <c r="J18" i="61" s="1"/>
  <c r="K18" i="61" s="1"/>
  <c r="C18" i="61"/>
  <c r="M17" i="61"/>
  <c r="F17" i="61"/>
  <c r="J17" i="61" s="1"/>
  <c r="K17" i="61" s="1"/>
  <c r="F16" i="61"/>
  <c r="J16" i="61" s="1"/>
  <c r="K16" i="61" s="1"/>
  <c r="F15" i="61"/>
  <c r="J15" i="61" s="1"/>
  <c r="K15" i="61" s="1"/>
  <c r="F14" i="61"/>
  <c r="J14" i="61" s="1"/>
  <c r="K14" i="61" s="1"/>
  <c r="F13" i="61"/>
  <c r="J13" i="61" s="1"/>
  <c r="K13" i="61" s="1"/>
  <c r="L12" i="61"/>
  <c r="J12" i="61"/>
  <c r="K12" i="61" s="1"/>
  <c r="F12" i="61"/>
  <c r="O9" i="61"/>
  <c r="C9" i="61"/>
  <c r="F9" i="61" s="1"/>
  <c r="J9" i="61" s="1"/>
  <c r="K9" i="61" s="1"/>
  <c r="F8" i="61"/>
  <c r="F7" i="61"/>
  <c r="F6" i="61"/>
  <c r="F5" i="61"/>
  <c r="F4" i="61"/>
  <c r="C25" i="60"/>
  <c r="H20" i="60"/>
  <c r="C20" i="60"/>
  <c r="D19" i="60"/>
  <c r="C19" i="60"/>
  <c r="E18" i="60"/>
  <c r="C18" i="60"/>
  <c r="H17" i="60"/>
  <c r="C17" i="60"/>
  <c r="C15" i="60"/>
  <c r="I25" i="59"/>
  <c r="C25" i="59"/>
  <c r="C24" i="59"/>
  <c r="F20" i="59"/>
  <c r="C20" i="59"/>
  <c r="J19" i="59"/>
  <c r="C19" i="59"/>
  <c r="C18" i="59"/>
  <c r="C17" i="59"/>
  <c r="C15" i="59"/>
  <c r="C25" i="58"/>
  <c r="C20" i="58"/>
  <c r="C18" i="58"/>
  <c r="C17" i="58"/>
  <c r="C15" i="58"/>
  <c r="C25" i="57"/>
  <c r="C24" i="57"/>
  <c r="J20" i="57"/>
  <c r="C20" i="57"/>
  <c r="C18" i="57"/>
  <c r="C17" i="57"/>
  <c r="C15" i="57"/>
  <c r="C20" i="56"/>
  <c r="E18" i="56"/>
  <c r="C18" i="56"/>
  <c r="C17" i="56"/>
  <c r="C15" i="56"/>
  <c r="C25" i="55"/>
  <c r="C20" i="55"/>
  <c r="D19" i="55"/>
  <c r="C19" i="55"/>
  <c r="E18" i="55"/>
  <c r="C18" i="55"/>
  <c r="H17" i="55"/>
  <c r="C17" i="55"/>
  <c r="C25" i="54"/>
  <c r="C24" i="54"/>
  <c r="F20" i="54"/>
  <c r="C20" i="54"/>
  <c r="J19" i="54"/>
  <c r="C19" i="54"/>
  <c r="C18" i="54"/>
  <c r="F17" i="54"/>
  <c r="C17" i="54"/>
  <c r="C15" i="54"/>
  <c r="G25" i="53"/>
  <c r="F25" i="53"/>
  <c r="C25" i="53"/>
  <c r="D20" i="53"/>
  <c r="C20" i="53"/>
  <c r="C18" i="53"/>
  <c r="D17" i="53"/>
  <c r="C17" i="53"/>
  <c r="C15" i="53"/>
  <c r="C25" i="52"/>
  <c r="C24" i="52"/>
  <c r="J20" i="52"/>
  <c r="I20" i="52"/>
  <c r="H20" i="52"/>
  <c r="F20" i="52"/>
  <c r="C20" i="52"/>
  <c r="C19" i="52"/>
  <c r="C18" i="52"/>
  <c r="G17" i="52"/>
  <c r="C17" i="52"/>
  <c r="C15" i="52"/>
  <c r="I25" i="51"/>
  <c r="C25" i="51"/>
  <c r="G24" i="51"/>
  <c r="C24" i="51"/>
  <c r="C20" i="51"/>
  <c r="C19" i="51"/>
  <c r="K18" i="51"/>
  <c r="C18" i="51"/>
  <c r="F17" i="51"/>
  <c r="C17" i="51"/>
  <c r="C15" i="51"/>
  <c r="R15" i="61" l="1"/>
  <c r="Q15" i="61"/>
  <c r="P15" i="61"/>
  <c r="O15" i="61"/>
  <c r="N15" i="61"/>
  <c r="M15" i="61"/>
  <c r="L15" i="61"/>
  <c r="S15" i="61"/>
  <c r="O16" i="61"/>
  <c r="N16" i="61"/>
  <c r="M16" i="61"/>
  <c r="L16" i="61"/>
  <c r="S16" i="61"/>
  <c r="R16" i="61"/>
  <c r="Q16" i="61"/>
  <c r="M12" i="62"/>
  <c r="L12" i="62"/>
  <c r="S12" i="62"/>
  <c r="R12" i="62"/>
  <c r="Q12" i="62"/>
  <c r="Q18" i="62" s="1"/>
  <c r="I15" i="52" s="1"/>
  <c r="P12" i="62"/>
  <c r="O12" i="62"/>
  <c r="Q23" i="62"/>
  <c r="I18" i="52" s="1"/>
  <c r="P23" i="62"/>
  <c r="H18" i="52" s="1"/>
  <c r="L23" i="62"/>
  <c r="D18" i="52" s="1"/>
  <c r="S23" i="62"/>
  <c r="K18" i="52" s="1"/>
  <c r="R23" i="62"/>
  <c r="J18" i="52" s="1"/>
  <c r="O23" i="62"/>
  <c r="G18" i="52" s="1"/>
  <c r="N23" i="62"/>
  <c r="F18" i="52" s="1"/>
  <c r="R13" i="65"/>
  <c r="Q13" i="65"/>
  <c r="P13" i="65"/>
  <c r="O13" i="65"/>
  <c r="N13" i="65"/>
  <c r="M13" i="65"/>
  <c r="L13" i="65"/>
  <c r="S13" i="65"/>
  <c r="P13" i="61"/>
  <c r="O13" i="61"/>
  <c r="N13" i="61"/>
  <c r="M13" i="61"/>
  <c r="L13" i="61"/>
  <c r="L18" i="61" s="1"/>
  <c r="D15" i="51" s="1"/>
  <c r="S13" i="61"/>
  <c r="R13" i="61"/>
  <c r="P16" i="61"/>
  <c r="P36" i="61"/>
  <c r="H25" i="51" s="1"/>
  <c r="O36" i="61"/>
  <c r="G25" i="51" s="1"/>
  <c r="N36" i="61"/>
  <c r="F25" i="51" s="1"/>
  <c r="M36" i="61"/>
  <c r="E25" i="51" s="1"/>
  <c r="L36" i="61"/>
  <c r="D25" i="51" s="1"/>
  <c r="S36" i="61"/>
  <c r="K25" i="51" s="1"/>
  <c r="R36" i="61"/>
  <c r="J25" i="51" s="1"/>
  <c r="N12" i="62"/>
  <c r="L36" i="62"/>
  <c r="D25" i="52" s="1"/>
  <c r="R36" i="62"/>
  <c r="J25" i="52" s="1"/>
  <c r="P36" i="62"/>
  <c r="H25" i="52" s="1"/>
  <c r="O36" i="62"/>
  <c r="G25" i="52" s="1"/>
  <c r="N36" i="62"/>
  <c r="F25" i="52" s="1"/>
  <c r="S36" i="62"/>
  <c r="K25" i="52" s="1"/>
  <c r="Q36" i="62"/>
  <c r="I25" i="52" s="1"/>
  <c r="M36" i="62"/>
  <c r="E25" i="52" s="1"/>
  <c r="R15" i="64"/>
  <c r="Q15" i="64"/>
  <c r="P15" i="64"/>
  <c r="O15" i="64"/>
  <c r="N15" i="64"/>
  <c r="M15" i="64"/>
  <c r="L15" i="64"/>
  <c r="S15" i="64"/>
  <c r="Q13" i="61"/>
  <c r="L17" i="61"/>
  <c r="S17" i="61"/>
  <c r="R17" i="61"/>
  <c r="Q17" i="61"/>
  <c r="P17" i="61"/>
  <c r="O17" i="61"/>
  <c r="N17" i="61"/>
  <c r="R23" i="61"/>
  <c r="J18" i="51" s="1"/>
  <c r="Q23" i="61"/>
  <c r="I18" i="51" s="1"/>
  <c r="P23" i="61"/>
  <c r="H18" i="51" s="1"/>
  <c r="O23" i="61"/>
  <c r="G18" i="51" s="1"/>
  <c r="N23" i="61"/>
  <c r="F18" i="51" s="1"/>
  <c r="M23" i="61"/>
  <c r="E18" i="51" s="1"/>
  <c r="L23" i="61"/>
  <c r="D18" i="51" s="1"/>
  <c r="Q16" i="62"/>
  <c r="P16" i="62"/>
  <c r="O16" i="62"/>
  <c r="N16" i="62"/>
  <c r="M16" i="62"/>
  <c r="L16" i="62"/>
  <c r="S16" i="62"/>
  <c r="M14" i="61"/>
  <c r="L14" i="61"/>
  <c r="S14" i="61"/>
  <c r="R14" i="61"/>
  <c r="Q14" i="61"/>
  <c r="P14" i="61"/>
  <c r="O14" i="61"/>
  <c r="Q30" i="61"/>
  <c r="I19" i="51" s="1"/>
  <c r="P30" i="61"/>
  <c r="H19" i="51" s="1"/>
  <c r="O30" i="61"/>
  <c r="G19" i="51" s="1"/>
  <c r="N30" i="61"/>
  <c r="F19" i="51" s="1"/>
  <c r="M30" i="61"/>
  <c r="E19" i="51" s="1"/>
  <c r="L30" i="61"/>
  <c r="D19" i="51" s="1"/>
  <c r="S30" i="61"/>
  <c r="K19" i="51" s="1"/>
  <c r="R13" i="62"/>
  <c r="Q13" i="62"/>
  <c r="P13" i="62"/>
  <c r="O13" i="62"/>
  <c r="N13" i="62"/>
  <c r="M13" i="62"/>
  <c r="L13" i="62"/>
  <c r="P30" i="62"/>
  <c r="H19" i="52" s="1"/>
  <c r="O30" i="62"/>
  <c r="G19" i="52" s="1"/>
  <c r="M30" i="62"/>
  <c r="E19" i="52" s="1"/>
  <c r="L30" i="62"/>
  <c r="D19" i="52" s="1"/>
  <c r="S30" i="62"/>
  <c r="K19" i="52" s="1"/>
  <c r="R30" i="62"/>
  <c r="J19" i="52" s="1"/>
  <c r="Q30" i="62"/>
  <c r="I19" i="52" s="1"/>
  <c r="R17" i="63"/>
  <c r="Q17" i="63"/>
  <c r="P17" i="63"/>
  <c r="O17" i="63"/>
  <c r="N17" i="63"/>
  <c r="M17" i="63"/>
  <c r="L17" i="63"/>
  <c r="S17" i="63"/>
  <c r="R36" i="66"/>
  <c r="J25" i="56" s="1"/>
  <c r="Q36" i="66"/>
  <c r="I25" i="56" s="1"/>
  <c r="P36" i="66"/>
  <c r="H25" i="56" s="1"/>
  <c r="O36" i="66"/>
  <c r="G25" i="56" s="1"/>
  <c r="N36" i="66"/>
  <c r="F25" i="56" s="1"/>
  <c r="M36" i="66"/>
  <c r="E25" i="56" s="1"/>
  <c r="L36" i="66"/>
  <c r="D25" i="56" s="1"/>
  <c r="S36" i="66"/>
  <c r="K25" i="56" s="1"/>
  <c r="C25" i="56"/>
  <c r="R17" i="68"/>
  <c r="Q17" i="68"/>
  <c r="P17" i="68"/>
  <c r="O17" i="68"/>
  <c r="N17" i="68"/>
  <c r="M17" i="68"/>
  <c r="L17" i="68"/>
  <c r="S17" i="68"/>
  <c r="N9" i="61"/>
  <c r="M9" i="61"/>
  <c r="L9" i="61"/>
  <c r="S9" i="61"/>
  <c r="R9" i="61"/>
  <c r="Q9" i="61"/>
  <c r="K43" i="61"/>
  <c r="P9" i="61"/>
  <c r="N14" i="61"/>
  <c r="R30" i="61"/>
  <c r="J19" i="51" s="1"/>
  <c r="S13" i="62"/>
  <c r="L20" i="62"/>
  <c r="D17" i="52" s="1"/>
  <c r="S20" i="62"/>
  <c r="K17" i="52" s="1"/>
  <c r="N20" i="62"/>
  <c r="F17" i="52" s="1"/>
  <c r="M20" i="62"/>
  <c r="E17" i="52" s="1"/>
  <c r="R20" i="62"/>
  <c r="J17" i="52" s="1"/>
  <c r="Q20" i="62"/>
  <c r="I17" i="52" s="1"/>
  <c r="P20" i="62"/>
  <c r="H17" i="52" s="1"/>
  <c r="K9" i="63"/>
  <c r="J43" i="61"/>
  <c r="K43" i="62"/>
  <c r="P9" i="62"/>
  <c r="O9" i="62"/>
  <c r="N9" i="62"/>
  <c r="M9" i="62"/>
  <c r="L9" i="62"/>
  <c r="S9" i="62"/>
  <c r="R9" i="62"/>
  <c r="O14" i="62"/>
  <c r="N14" i="62"/>
  <c r="M14" i="62"/>
  <c r="L14" i="62"/>
  <c r="S14" i="62"/>
  <c r="R14" i="62"/>
  <c r="Q14" i="62"/>
  <c r="J43" i="62"/>
  <c r="N15" i="66"/>
  <c r="M15" i="66"/>
  <c r="L15" i="66"/>
  <c r="S15" i="66"/>
  <c r="R15" i="66"/>
  <c r="Q15" i="66"/>
  <c r="P15" i="66"/>
  <c r="O15" i="66"/>
  <c r="M32" i="61"/>
  <c r="E20" i="51" s="1"/>
  <c r="L32" i="61"/>
  <c r="D20" i="51" s="1"/>
  <c r="S32" i="61"/>
  <c r="K20" i="51" s="1"/>
  <c r="R32" i="61"/>
  <c r="J20" i="51" s="1"/>
  <c r="Q32" i="61"/>
  <c r="I20" i="51" s="1"/>
  <c r="P32" i="61"/>
  <c r="H20" i="51" s="1"/>
  <c r="O32" i="61"/>
  <c r="G20" i="51" s="1"/>
  <c r="Q9" i="62"/>
  <c r="P14" i="62"/>
  <c r="Q16" i="65"/>
  <c r="P16" i="65"/>
  <c r="O16" i="65"/>
  <c r="N16" i="65"/>
  <c r="M16" i="65"/>
  <c r="L16" i="65"/>
  <c r="S16" i="65"/>
  <c r="R16" i="65"/>
  <c r="S12" i="61"/>
  <c r="R12" i="61"/>
  <c r="Q12" i="61"/>
  <c r="P12" i="61"/>
  <c r="P18" i="61" s="1"/>
  <c r="H15" i="51" s="1"/>
  <c r="O12" i="61"/>
  <c r="N12" i="61"/>
  <c r="M12" i="61"/>
  <c r="M20" i="61"/>
  <c r="E17" i="51" s="1"/>
  <c r="L20" i="61"/>
  <c r="D17" i="51" s="1"/>
  <c r="S20" i="61"/>
  <c r="K17" i="51" s="1"/>
  <c r="R20" i="61"/>
  <c r="J17" i="51" s="1"/>
  <c r="Q20" i="61"/>
  <c r="I17" i="51" s="1"/>
  <c r="P20" i="61"/>
  <c r="H17" i="51" s="1"/>
  <c r="O20" i="61"/>
  <c r="G17" i="51" s="1"/>
  <c r="N32" i="61"/>
  <c r="F20" i="51" s="1"/>
  <c r="L15" i="62"/>
  <c r="S15" i="62"/>
  <c r="R15" i="62"/>
  <c r="Q15" i="62"/>
  <c r="P15" i="62"/>
  <c r="O15" i="62"/>
  <c r="N15" i="62"/>
  <c r="M23" i="62"/>
  <c r="E18" i="52" s="1"/>
  <c r="N30" i="62"/>
  <c r="F19" i="52" s="1"/>
  <c r="O12" i="66"/>
  <c r="N12" i="66"/>
  <c r="M12" i="66"/>
  <c r="L12" i="66"/>
  <c r="S12" i="66"/>
  <c r="R12" i="66"/>
  <c r="Q12" i="66"/>
  <c r="P12" i="66"/>
  <c r="P18" i="66" s="1"/>
  <c r="H15" i="56" s="1"/>
  <c r="O32" i="62"/>
  <c r="G20" i="52" s="1"/>
  <c r="P23" i="63"/>
  <c r="H18" i="53" s="1"/>
  <c r="O23" i="63"/>
  <c r="G18" i="53" s="1"/>
  <c r="N23" i="63"/>
  <c r="F18" i="53" s="1"/>
  <c r="M23" i="63"/>
  <c r="E18" i="53" s="1"/>
  <c r="L23" i="63"/>
  <c r="D18" i="53" s="1"/>
  <c r="S23" i="63"/>
  <c r="K18" i="53" s="1"/>
  <c r="R23" i="63"/>
  <c r="J18" i="53" s="1"/>
  <c r="S12" i="64"/>
  <c r="R12" i="64"/>
  <c r="Q12" i="64"/>
  <c r="P12" i="64"/>
  <c r="O12" i="64"/>
  <c r="N12" i="64"/>
  <c r="M12" i="64"/>
  <c r="O20" i="65"/>
  <c r="G17" i="55" s="1"/>
  <c r="N20" i="65"/>
  <c r="F17" i="55" s="1"/>
  <c r="M20" i="65"/>
  <c r="E17" i="55" s="1"/>
  <c r="L20" i="65"/>
  <c r="D17" i="55" s="1"/>
  <c r="S20" i="65"/>
  <c r="K17" i="55" s="1"/>
  <c r="R20" i="65"/>
  <c r="J17" i="55" s="1"/>
  <c r="Q20" i="65"/>
  <c r="I17" i="55" s="1"/>
  <c r="S12" i="69"/>
  <c r="R12" i="69"/>
  <c r="R18" i="69" s="1"/>
  <c r="J15" i="59" s="1"/>
  <c r="Q12" i="69"/>
  <c r="P12" i="69"/>
  <c r="O12" i="69"/>
  <c r="N12" i="69"/>
  <c r="M12" i="69"/>
  <c r="L12" i="69"/>
  <c r="S14" i="63"/>
  <c r="R14" i="63"/>
  <c r="Q14" i="63"/>
  <c r="P14" i="63"/>
  <c r="O14" i="63"/>
  <c r="N14" i="63"/>
  <c r="M14" i="63"/>
  <c r="Q23" i="63"/>
  <c r="I18" i="53" s="1"/>
  <c r="L12" i="64"/>
  <c r="R36" i="65"/>
  <c r="J25" i="55" s="1"/>
  <c r="Q36" i="65"/>
  <c r="I25" i="55" s="1"/>
  <c r="P36" i="65"/>
  <c r="H25" i="55" s="1"/>
  <c r="O36" i="65"/>
  <c r="G25" i="55" s="1"/>
  <c r="N36" i="65"/>
  <c r="F25" i="55" s="1"/>
  <c r="M36" i="65"/>
  <c r="E25" i="55" s="1"/>
  <c r="L36" i="65"/>
  <c r="D25" i="55" s="1"/>
  <c r="S16" i="66"/>
  <c r="R16" i="66"/>
  <c r="Q16" i="66"/>
  <c r="P16" i="66"/>
  <c r="O16" i="66"/>
  <c r="N16" i="66"/>
  <c r="M16" i="66"/>
  <c r="R9" i="67"/>
  <c r="Q9" i="67"/>
  <c r="K43" i="67"/>
  <c r="P9" i="67"/>
  <c r="O9" i="67"/>
  <c r="N9" i="67"/>
  <c r="M9" i="67"/>
  <c r="L9" i="67"/>
  <c r="S9" i="67"/>
  <c r="S17" i="62"/>
  <c r="R17" i="62"/>
  <c r="Q12" i="63"/>
  <c r="P12" i="63"/>
  <c r="O12" i="63"/>
  <c r="N12" i="63"/>
  <c r="M12" i="63"/>
  <c r="L12" i="63"/>
  <c r="S12" i="63"/>
  <c r="J30" i="63"/>
  <c r="K30" i="63" s="1"/>
  <c r="P13" i="64"/>
  <c r="O13" i="64"/>
  <c r="N13" i="64"/>
  <c r="M13" i="64"/>
  <c r="L13" i="64"/>
  <c r="S13" i="64"/>
  <c r="R13" i="64"/>
  <c r="O16" i="64"/>
  <c r="N16" i="64"/>
  <c r="M16" i="64"/>
  <c r="L16" i="64"/>
  <c r="S16" i="64"/>
  <c r="R16" i="64"/>
  <c r="Q16" i="64"/>
  <c r="M20" i="64"/>
  <c r="E17" i="54" s="1"/>
  <c r="L20" i="64"/>
  <c r="D17" i="54" s="1"/>
  <c r="S20" i="64"/>
  <c r="K17" i="54" s="1"/>
  <c r="R20" i="64"/>
  <c r="J17" i="54" s="1"/>
  <c r="Q20" i="64"/>
  <c r="I17" i="54" s="1"/>
  <c r="P20" i="64"/>
  <c r="H17" i="54" s="1"/>
  <c r="O20" i="64"/>
  <c r="G17" i="54" s="1"/>
  <c r="M32" i="64"/>
  <c r="E20" i="54" s="1"/>
  <c r="L32" i="64"/>
  <c r="D20" i="54" s="1"/>
  <c r="S32" i="64"/>
  <c r="K20" i="54" s="1"/>
  <c r="R32" i="64"/>
  <c r="J20" i="54" s="1"/>
  <c r="Q32" i="64"/>
  <c r="I20" i="54" s="1"/>
  <c r="P32" i="64"/>
  <c r="H20" i="54" s="1"/>
  <c r="O32" i="64"/>
  <c r="G20" i="54" s="1"/>
  <c r="J43" i="64"/>
  <c r="J43" i="65"/>
  <c r="K9" i="65"/>
  <c r="O14" i="65"/>
  <c r="N14" i="65"/>
  <c r="M14" i="65"/>
  <c r="L14" i="65"/>
  <c r="S14" i="65"/>
  <c r="R14" i="65"/>
  <c r="Q14" i="65"/>
  <c r="L23" i="65"/>
  <c r="D18" i="55" s="1"/>
  <c r="S23" i="65"/>
  <c r="K18" i="55" s="1"/>
  <c r="R23" i="65"/>
  <c r="J18" i="55" s="1"/>
  <c r="Q23" i="65"/>
  <c r="I18" i="55" s="1"/>
  <c r="P23" i="65"/>
  <c r="H18" i="55" s="1"/>
  <c r="O23" i="65"/>
  <c r="G18" i="55" s="1"/>
  <c r="N23" i="65"/>
  <c r="F18" i="55" s="1"/>
  <c r="S36" i="65"/>
  <c r="K25" i="55" s="1"/>
  <c r="L13" i="66"/>
  <c r="S13" i="66"/>
  <c r="R13" i="66"/>
  <c r="Q13" i="66"/>
  <c r="P13" i="66"/>
  <c r="O13" i="66"/>
  <c r="N13" i="66"/>
  <c r="L16" i="66"/>
  <c r="F37" i="61"/>
  <c r="P15" i="63"/>
  <c r="O15" i="63"/>
  <c r="N15" i="63"/>
  <c r="M15" i="63"/>
  <c r="L15" i="63"/>
  <c r="S15" i="63"/>
  <c r="R15" i="63"/>
  <c r="S14" i="68"/>
  <c r="R14" i="68"/>
  <c r="Q14" i="68"/>
  <c r="P14" i="68"/>
  <c r="O14" i="68"/>
  <c r="N14" i="68"/>
  <c r="M14" i="68"/>
  <c r="L14" i="68"/>
  <c r="M20" i="69"/>
  <c r="E17" i="59" s="1"/>
  <c r="L20" i="69"/>
  <c r="D17" i="59" s="1"/>
  <c r="S20" i="69"/>
  <c r="K17" i="59" s="1"/>
  <c r="R20" i="69"/>
  <c r="J17" i="59" s="1"/>
  <c r="Q20" i="69"/>
  <c r="I17" i="59" s="1"/>
  <c r="P20" i="69"/>
  <c r="H17" i="59" s="1"/>
  <c r="O20" i="69"/>
  <c r="G17" i="59" s="1"/>
  <c r="N20" i="69"/>
  <c r="F17" i="59" s="1"/>
  <c r="M17" i="62"/>
  <c r="C43" i="62"/>
  <c r="F43" i="62" s="1"/>
  <c r="Q15" i="63"/>
  <c r="S32" i="63"/>
  <c r="K20" i="53" s="1"/>
  <c r="R32" i="63"/>
  <c r="J20" i="53" s="1"/>
  <c r="Q32" i="63"/>
  <c r="I20" i="53" s="1"/>
  <c r="P32" i="63"/>
  <c r="H20" i="53" s="1"/>
  <c r="O32" i="63"/>
  <c r="G20" i="53" s="1"/>
  <c r="N32" i="63"/>
  <c r="F20" i="53" s="1"/>
  <c r="M32" i="63"/>
  <c r="E20" i="53" s="1"/>
  <c r="L17" i="64"/>
  <c r="S17" i="64"/>
  <c r="R17" i="64"/>
  <c r="Q17" i="64"/>
  <c r="P17" i="64"/>
  <c r="O17" i="64"/>
  <c r="N17" i="64"/>
  <c r="L15" i="65"/>
  <c r="S15" i="65"/>
  <c r="R15" i="65"/>
  <c r="Q15" i="65"/>
  <c r="P15" i="65"/>
  <c r="O15" i="65"/>
  <c r="N15" i="65"/>
  <c r="K9" i="66"/>
  <c r="S32" i="68"/>
  <c r="K20" i="58" s="1"/>
  <c r="R32" i="68"/>
  <c r="J20" i="58" s="1"/>
  <c r="Q32" i="68"/>
  <c r="I20" i="58" s="1"/>
  <c r="P32" i="68"/>
  <c r="H20" i="58" s="1"/>
  <c r="O32" i="68"/>
  <c r="G20" i="58" s="1"/>
  <c r="N32" i="68"/>
  <c r="F20" i="58" s="1"/>
  <c r="M32" i="68"/>
  <c r="E20" i="58" s="1"/>
  <c r="L32" i="68"/>
  <c r="D20" i="58" s="1"/>
  <c r="R15" i="69"/>
  <c r="Q15" i="69"/>
  <c r="P15" i="69"/>
  <c r="O15" i="69"/>
  <c r="N15" i="69"/>
  <c r="M15" i="69"/>
  <c r="L15" i="69"/>
  <c r="N17" i="62"/>
  <c r="L32" i="62"/>
  <c r="D20" i="52" s="1"/>
  <c r="S32" i="62"/>
  <c r="K20" i="52" s="1"/>
  <c r="N9" i="64"/>
  <c r="M9" i="64"/>
  <c r="L9" i="64"/>
  <c r="S9" i="64"/>
  <c r="R9" i="64"/>
  <c r="Q9" i="64"/>
  <c r="K43" i="64"/>
  <c r="P9" i="64"/>
  <c r="M14" i="64"/>
  <c r="L14" i="64"/>
  <c r="S14" i="64"/>
  <c r="R14" i="64"/>
  <c r="Q14" i="64"/>
  <c r="P14" i="64"/>
  <c r="O14" i="64"/>
  <c r="R23" i="64"/>
  <c r="J18" i="54" s="1"/>
  <c r="Q23" i="64"/>
  <c r="I18" i="54" s="1"/>
  <c r="P23" i="64"/>
  <c r="H18" i="54" s="1"/>
  <c r="O23" i="64"/>
  <c r="G18" i="54" s="1"/>
  <c r="N23" i="64"/>
  <c r="F18" i="54" s="1"/>
  <c r="M23" i="64"/>
  <c r="E18" i="54" s="1"/>
  <c r="L23" i="64"/>
  <c r="D18" i="54" s="1"/>
  <c r="P36" i="64"/>
  <c r="H25" i="54" s="1"/>
  <c r="O36" i="64"/>
  <c r="G25" i="54" s="1"/>
  <c r="N36" i="64"/>
  <c r="F25" i="54" s="1"/>
  <c r="M36" i="64"/>
  <c r="E25" i="54" s="1"/>
  <c r="L36" i="64"/>
  <c r="D25" i="54" s="1"/>
  <c r="S36" i="64"/>
  <c r="K25" i="54" s="1"/>
  <c r="R36" i="64"/>
  <c r="J25" i="54" s="1"/>
  <c r="M12" i="65"/>
  <c r="L12" i="65"/>
  <c r="S12" i="65"/>
  <c r="R12" i="65"/>
  <c r="Q12" i="65"/>
  <c r="Q18" i="65" s="1"/>
  <c r="I15" i="55" s="1"/>
  <c r="P12" i="65"/>
  <c r="P18" i="65" s="1"/>
  <c r="H15" i="55" s="1"/>
  <c r="O12" i="65"/>
  <c r="S30" i="65"/>
  <c r="K19" i="55" s="1"/>
  <c r="R30" i="65"/>
  <c r="J19" i="55" s="1"/>
  <c r="Q30" i="65"/>
  <c r="I19" i="55" s="1"/>
  <c r="P30" i="65"/>
  <c r="H19" i="55" s="1"/>
  <c r="O30" i="65"/>
  <c r="G19" i="55" s="1"/>
  <c r="N30" i="65"/>
  <c r="F19" i="55" s="1"/>
  <c r="M30" i="65"/>
  <c r="E19" i="55" s="1"/>
  <c r="O32" i="65"/>
  <c r="G20" i="55" s="1"/>
  <c r="N32" i="65"/>
  <c r="F20" i="55" s="1"/>
  <c r="M32" i="65"/>
  <c r="E20" i="55" s="1"/>
  <c r="L32" i="65"/>
  <c r="D20" i="55" s="1"/>
  <c r="S32" i="65"/>
  <c r="K20" i="55" s="1"/>
  <c r="R32" i="65"/>
  <c r="J20" i="55" s="1"/>
  <c r="Q32" i="65"/>
  <c r="I20" i="55" s="1"/>
  <c r="Q14" i="66"/>
  <c r="P14" i="66"/>
  <c r="O14" i="66"/>
  <c r="N14" i="66"/>
  <c r="M14" i="66"/>
  <c r="L14" i="66"/>
  <c r="S14" i="66"/>
  <c r="O32" i="66"/>
  <c r="G20" i="56" s="1"/>
  <c r="N32" i="66"/>
  <c r="F20" i="56" s="1"/>
  <c r="M32" i="66"/>
  <c r="E20" i="56" s="1"/>
  <c r="L32" i="66"/>
  <c r="D20" i="56" s="1"/>
  <c r="S32" i="66"/>
  <c r="K20" i="56" s="1"/>
  <c r="R32" i="66"/>
  <c r="J20" i="56" s="1"/>
  <c r="Q32" i="66"/>
  <c r="I20" i="56" s="1"/>
  <c r="P32" i="66"/>
  <c r="H20" i="56" s="1"/>
  <c r="S15" i="69"/>
  <c r="O17" i="62"/>
  <c r="M32" i="62"/>
  <c r="E20" i="52" s="1"/>
  <c r="M16" i="63"/>
  <c r="L16" i="63"/>
  <c r="S16" i="63"/>
  <c r="R16" i="63"/>
  <c r="Q16" i="63"/>
  <c r="P16" i="63"/>
  <c r="O16" i="63"/>
  <c r="S20" i="63"/>
  <c r="K17" i="53" s="1"/>
  <c r="R20" i="63"/>
  <c r="J17" i="53" s="1"/>
  <c r="Q20" i="63"/>
  <c r="I17" i="53" s="1"/>
  <c r="P20" i="63"/>
  <c r="H17" i="53" s="1"/>
  <c r="O20" i="63"/>
  <c r="G17" i="53" s="1"/>
  <c r="N20" i="63"/>
  <c r="F17" i="53" s="1"/>
  <c r="M20" i="63"/>
  <c r="E17" i="53" s="1"/>
  <c r="C43" i="63"/>
  <c r="F43" i="63" s="1"/>
  <c r="O9" i="64"/>
  <c r="N14" i="64"/>
  <c r="S23" i="64"/>
  <c r="K18" i="54" s="1"/>
  <c r="Q30" i="64"/>
  <c r="I19" i="54" s="1"/>
  <c r="P30" i="64"/>
  <c r="H19" i="54" s="1"/>
  <c r="O30" i="64"/>
  <c r="G19" i="54" s="1"/>
  <c r="N30" i="64"/>
  <c r="F19" i="54" s="1"/>
  <c r="M30" i="64"/>
  <c r="E19" i="54" s="1"/>
  <c r="L30" i="64"/>
  <c r="D19" i="54" s="1"/>
  <c r="S30" i="64"/>
  <c r="K19" i="54" s="1"/>
  <c r="Q36" i="64"/>
  <c r="I25" i="54" s="1"/>
  <c r="N12" i="65"/>
  <c r="P32" i="65"/>
  <c r="H20" i="55" s="1"/>
  <c r="R14" i="66"/>
  <c r="Q14" i="67"/>
  <c r="P14" i="67"/>
  <c r="O14" i="67"/>
  <c r="N14" i="67"/>
  <c r="M14" i="67"/>
  <c r="L14" i="67"/>
  <c r="S14" i="67"/>
  <c r="R14" i="67"/>
  <c r="K9" i="68"/>
  <c r="M12" i="70"/>
  <c r="L12" i="70"/>
  <c r="L18" i="70" s="1"/>
  <c r="D15" i="60" s="1"/>
  <c r="S12" i="70"/>
  <c r="R12" i="70"/>
  <c r="Q12" i="70"/>
  <c r="P12" i="70"/>
  <c r="O12" i="70"/>
  <c r="N12" i="70"/>
  <c r="P13" i="63"/>
  <c r="P36" i="63"/>
  <c r="H25" i="53" s="1"/>
  <c r="P17" i="65"/>
  <c r="Q32" i="67"/>
  <c r="I20" i="57" s="1"/>
  <c r="P32" i="67"/>
  <c r="H20" i="57" s="1"/>
  <c r="O32" i="67"/>
  <c r="G20" i="57" s="1"/>
  <c r="N32" i="67"/>
  <c r="F20" i="57" s="1"/>
  <c r="M32" i="67"/>
  <c r="E20" i="57" s="1"/>
  <c r="L32" i="67"/>
  <c r="D20" i="57" s="1"/>
  <c r="S32" i="67"/>
  <c r="K20" i="57" s="1"/>
  <c r="O16" i="69"/>
  <c r="N16" i="69"/>
  <c r="M16" i="69"/>
  <c r="L16" i="69"/>
  <c r="S16" i="69"/>
  <c r="R16" i="69"/>
  <c r="Q16" i="69"/>
  <c r="Q13" i="63"/>
  <c r="Q36" i="63"/>
  <c r="I25" i="53" s="1"/>
  <c r="Q17" i="65"/>
  <c r="F37" i="65"/>
  <c r="N17" i="66"/>
  <c r="R17" i="66"/>
  <c r="Q17" i="66"/>
  <c r="P17" i="66"/>
  <c r="O20" i="66"/>
  <c r="G17" i="56" s="1"/>
  <c r="N20" i="66"/>
  <c r="F17" i="56" s="1"/>
  <c r="M20" i="66"/>
  <c r="E17" i="56" s="1"/>
  <c r="L20" i="66"/>
  <c r="D17" i="56" s="1"/>
  <c r="S20" i="66"/>
  <c r="K17" i="56" s="1"/>
  <c r="R20" i="66"/>
  <c r="J17" i="56" s="1"/>
  <c r="Q20" i="66"/>
  <c r="I17" i="56" s="1"/>
  <c r="O12" i="67"/>
  <c r="N12" i="67"/>
  <c r="M12" i="67"/>
  <c r="L12" i="67"/>
  <c r="S12" i="67"/>
  <c r="R12" i="67"/>
  <c r="Q12" i="67"/>
  <c r="N15" i="67"/>
  <c r="M15" i="67"/>
  <c r="L15" i="67"/>
  <c r="S15" i="67"/>
  <c r="R15" i="67"/>
  <c r="Q15" i="67"/>
  <c r="P15" i="67"/>
  <c r="P15" i="68"/>
  <c r="O15" i="68"/>
  <c r="N15" i="68"/>
  <c r="M15" i="68"/>
  <c r="L15" i="68"/>
  <c r="S15" i="68"/>
  <c r="R15" i="68"/>
  <c r="P13" i="69"/>
  <c r="O13" i="69"/>
  <c r="N13" i="69"/>
  <c r="M13" i="69"/>
  <c r="L13" i="69"/>
  <c r="S13" i="69"/>
  <c r="R13" i="69"/>
  <c r="P36" i="69"/>
  <c r="H25" i="59" s="1"/>
  <c r="O36" i="69"/>
  <c r="G25" i="59" s="1"/>
  <c r="N36" i="69"/>
  <c r="F25" i="59" s="1"/>
  <c r="M36" i="69"/>
  <c r="E25" i="59" s="1"/>
  <c r="L36" i="69"/>
  <c r="D25" i="59" s="1"/>
  <c r="S36" i="69"/>
  <c r="K25" i="59" s="1"/>
  <c r="R36" i="69"/>
  <c r="J25" i="59" s="1"/>
  <c r="Q16" i="70"/>
  <c r="P16" i="70"/>
  <c r="O16" i="70"/>
  <c r="N16" i="70"/>
  <c r="M16" i="70"/>
  <c r="L16" i="70"/>
  <c r="S16" i="70"/>
  <c r="O20" i="70"/>
  <c r="G17" i="60" s="1"/>
  <c r="N20" i="70"/>
  <c r="F17" i="60" s="1"/>
  <c r="M20" i="70"/>
  <c r="E17" i="60" s="1"/>
  <c r="L20" i="70"/>
  <c r="D17" i="60" s="1"/>
  <c r="S20" i="70"/>
  <c r="K17" i="60" s="1"/>
  <c r="R20" i="70"/>
  <c r="J17" i="60" s="1"/>
  <c r="Q20" i="70"/>
  <c r="I17" i="60" s="1"/>
  <c r="R13" i="63"/>
  <c r="R18" i="63" s="1"/>
  <c r="J15" i="53" s="1"/>
  <c r="R36" i="63"/>
  <c r="J25" i="53" s="1"/>
  <c r="R17" i="65"/>
  <c r="L17" i="66"/>
  <c r="P20" i="66"/>
  <c r="H17" i="56" s="1"/>
  <c r="P12" i="67"/>
  <c r="P18" i="67" s="1"/>
  <c r="H15" i="57" s="1"/>
  <c r="O15" i="67"/>
  <c r="Q20" i="67"/>
  <c r="I17" i="57" s="1"/>
  <c r="P20" i="67"/>
  <c r="H17" i="57" s="1"/>
  <c r="O20" i="67"/>
  <c r="G17" i="57" s="1"/>
  <c r="N20" i="67"/>
  <c r="F17" i="57" s="1"/>
  <c r="M20" i="67"/>
  <c r="E17" i="57" s="1"/>
  <c r="L20" i="67"/>
  <c r="D17" i="57" s="1"/>
  <c r="S20" i="67"/>
  <c r="K17" i="57" s="1"/>
  <c r="Q12" i="68"/>
  <c r="P12" i="68"/>
  <c r="O12" i="68"/>
  <c r="O18" i="68" s="1"/>
  <c r="G15" i="58" s="1"/>
  <c r="N12" i="68"/>
  <c r="M12" i="68"/>
  <c r="L12" i="68"/>
  <c r="S12" i="68"/>
  <c r="Q15" i="68"/>
  <c r="S20" i="68"/>
  <c r="K17" i="58" s="1"/>
  <c r="R20" i="68"/>
  <c r="J17" i="58" s="1"/>
  <c r="Q20" i="68"/>
  <c r="I17" i="58" s="1"/>
  <c r="P20" i="68"/>
  <c r="H17" i="58" s="1"/>
  <c r="O20" i="68"/>
  <c r="G17" i="58" s="1"/>
  <c r="N20" i="68"/>
  <c r="F17" i="58" s="1"/>
  <c r="M20" i="68"/>
  <c r="E17" i="58" s="1"/>
  <c r="N36" i="68"/>
  <c r="F25" i="58" s="1"/>
  <c r="M36" i="68"/>
  <c r="E25" i="58" s="1"/>
  <c r="L36" i="68"/>
  <c r="D25" i="58" s="1"/>
  <c r="S36" i="68"/>
  <c r="K25" i="58" s="1"/>
  <c r="R36" i="68"/>
  <c r="J25" i="58" s="1"/>
  <c r="Q36" i="68"/>
  <c r="I25" i="58" s="1"/>
  <c r="P36" i="68"/>
  <c r="H25" i="58" s="1"/>
  <c r="Q13" i="69"/>
  <c r="L17" i="69"/>
  <c r="S17" i="69"/>
  <c r="R17" i="69"/>
  <c r="Q17" i="69"/>
  <c r="P17" i="69"/>
  <c r="O17" i="69"/>
  <c r="N17" i="69"/>
  <c r="R23" i="69"/>
  <c r="J18" i="59" s="1"/>
  <c r="Q23" i="69"/>
  <c r="I18" i="59" s="1"/>
  <c r="P23" i="69"/>
  <c r="H18" i="59" s="1"/>
  <c r="O23" i="69"/>
  <c r="G18" i="59" s="1"/>
  <c r="N23" i="69"/>
  <c r="F18" i="59" s="1"/>
  <c r="M23" i="69"/>
  <c r="E18" i="59" s="1"/>
  <c r="L23" i="69"/>
  <c r="D18" i="59" s="1"/>
  <c r="R13" i="70"/>
  <c r="Q13" i="70"/>
  <c r="P13" i="70"/>
  <c r="O13" i="70"/>
  <c r="N13" i="70"/>
  <c r="M13" i="70"/>
  <c r="L13" i="70"/>
  <c r="R36" i="70"/>
  <c r="J25" i="60" s="1"/>
  <c r="Q36" i="70"/>
  <c r="I25" i="60" s="1"/>
  <c r="P36" i="70"/>
  <c r="H25" i="60" s="1"/>
  <c r="O36" i="70"/>
  <c r="G25" i="60" s="1"/>
  <c r="N36" i="70"/>
  <c r="F25" i="60" s="1"/>
  <c r="M36" i="70"/>
  <c r="E25" i="60" s="1"/>
  <c r="L36" i="70"/>
  <c r="D25" i="60" s="1"/>
  <c r="S13" i="63"/>
  <c r="S36" i="63"/>
  <c r="K25" i="53" s="1"/>
  <c r="S17" i="65"/>
  <c r="M17" i="66"/>
  <c r="L23" i="66"/>
  <c r="D18" i="56" s="1"/>
  <c r="S23" i="66"/>
  <c r="K18" i="56" s="1"/>
  <c r="R23" i="66"/>
  <c r="J18" i="56" s="1"/>
  <c r="Q23" i="66"/>
  <c r="I18" i="56" s="1"/>
  <c r="P23" i="66"/>
  <c r="H18" i="56" s="1"/>
  <c r="O23" i="66"/>
  <c r="G18" i="56" s="1"/>
  <c r="N23" i="66"/>
  <c r="F18" i="56" s="1"/>
  <c r="S16" i="67"/>
  <c r="R16" i="67"/>
  <c r="Q16" i="67"/>
  <c r="P16" i="67"/>
  <c r="O16" i="67"/>
  <c r="N16" i="67"/>
  <c r="M16" i="67"/>
  <c r="R20" i="67"/>
  <c r="J17" i="57" s="1"/>
  <c r="R12" i="68"/>
  <c r="M16" i="68"/>
  <c r="L16" i="68"/>
  <c r="S16" i="68"/>
  <c r="R16" i="68"/>
  <c r="Q16" i="68"/>
  <c r="P16" i="68"/>
  <c r="O16" i="68"/>
  <c r="L20" i="68"/>
  <c r="D17" i="58" s="1"/>
  <c r="O36" i="68"/>
  <c r="G25" i="58" s="1"/>
  <c r="M14" i="69"/>
  <c r="L14" i="69"/>
  <c r="S14" i="69"/>
  <c r="R14" i="69"/>
  <c r="Q14" i="69"/>
  <c r="P14" i="69"/>
  <c r="O14" i="69"/>
  <c r="M17" i="69"/>
  <c r="S23" i="69"/>
  <c r="K18" i="59" s="1"/>
  <c r="Q30" i="69"/>
  <c r="I19" i="59" s="1"/>
  <c r="P30" i="69"/>
  <c r="H19" i="59" s="1"/>
  <c r="O30" i="69"/>
  <c r="G19" i="59" s="1"/>
  <c r="N30" i="69"/>
  <c r="F19" i="59" s="1"/>
  <c r="M30" i="69"/>
  <c r="E19" i="59" s="1"/>
  <c r="L30" i="69"/>
  <c r="D19" i="59" s="1"/>
  <c r="S30" i="69"/>
  <c r="K19" i="59" s="1"/>
  <c r="S13" i="70"/>
  <c r="L23" i="70"/>
  <c r="D18" i="60" s="1"/>
  <c r="S23" i="70"/>
  <c r="K18" i="60" s="1"/>
  <c r="R23" i="70"/>
  <c r="J18" i="60" s="1"/>
  <c r="Q23" i="70"/>
  <c r="I18" i="60" s="1"/>
  <c r="P23" i="70"/>
  <c r="H18" i="60" s="1"/>
  <c r="O23" i="70"/>
  <c r="G18" i="60" s="1"/>
  <c r="N23" i="70"/>
  <c r="F18" i="60" s="1"/>
  <c r="S36" i="70"/>
  <c r="K25" i="60" s="1"/>
  <c r="L13" i="63"/>
  <c r="L36" i="63"/>
  <c r="D25" i="53" s="1"/>
  <c r="L17" i="65"/>
  <c r="L13" i="67"/>
  <c r="S13" i="67"/>
  <c r="R13" i="67"/>
  <c r="Q13" i="67"/>
  <c r="P13" i="67"/>
  <c r="O13" i="67"/>
  <c r="N13" i="67"/>
  <c r="N23" i="67"/>
  <c r="F18" i="57" s="1"/>
  <c r="M23" i="67"/>
  <c r="E18" i="57" s="1"/>
  <c r="L23" i="67"/>
  <c r="D18" i="57" s="1"/>
  <c r="S23" i="67"/>
  <c r="K18" i="57" s="1"/>
  <c r="R23" i="67"/>
  <c r="J18" i="57" s="1"/>
  <c r="Q23" i="67"/>
  <c r="I18" i="57" s="1"/>
  <c r="P23" i="67"/>
  <c r="H18" i="57" s="1"/>
  <c r="L36" i="67"/>
  <c r="D25" i="57" s="1"/>
  <c r="S36" i="67"/>
  <c r="K25" i="57" s="1"/>
  <c r="R36" i="67"/>
  <c r="J25" i="57" s="1"/>
  <c r="Q36" i="67"/>
  <c r="I25" i="57" s="1"/>
  <c r="P36" i="67"/>
  <c r="H25" i="57" s="1"/>
  <c r="O36" i="67"/>
  <c r="G25" i="57" s="1"/>
  <c r="N36" i="67"/>
  <c r="F25" i="57" s="1"/>
  <c r="P23" i="68"/>
  <c r="H18" i="58" s="1"/>
  <c r="O23" i="68"/>
  <c r="G18" i="58" s="1"/>
  <c r="N23" i="68"/>
  <c r="F18" i="58" s="1"/>
  <c r="M23" i="68"/>
  <c r="E18" i="58" s="1"/>
  <c r="L23" i="68"/>
  <c r="D18" i="58" s="1"/>
  <c r="S23" i="68"/>
  <c r="K18" i="58" s="1"/>
  <c r="R23" i="68"/>
  <c r="J18" i="58" s="1"/>
  <c r="O14" i="70"/>
  <c r="N14" i="70"/>
  <c r="M14" i="70"/>
  <c r="L14" i="70"/>
  <c r="S14" i="70"/>
  <c r="R14" i="70"/>
  <c r="Q14" i="70"/>
  <c r="N17" i="70"/>
  <c r="M17" i="70"/>
  <c r="L17" i="70"/>
  <c r="S17" i="70"/>
  <c r="R17" i="70"/>
  <c r="Q17" i="70"/>
  <c r="P17" i="70"/>
  <c r="M13" i="63"/>
  <c r="M36" i="63"/>
  <c r="E25" i="53" s="1"/>
  <c r="M17" i="65"/>
  <c r="S17" i="66"/>
  <c r="J30" i="66"/>
  <c r="K30" i="66" s="1"/>
  <c r="C43" i="66"/>
  <c r="F43" i="66" s="1"/>
  <c r="M13" i="67"/>
  <c r="P17" i="67"/>
  <c r="O17" i="67"/>
  <c r="N17" i="67"/>
  <c r="M17" i="67"/>
  <c r="L17" i="67"/>
  <c r="S17" i="67"/>
  <c r="R17" i="67"/>
  <c r="O23" i="67"/>
  <c r="G18" i="57" s="1"/>
  <c r="M36" i="67"/>
  <c r="E25" i="57" s="1"/>
  <c r="N13" i="68"/>
  <c r="M13" i="68"/>
  <c r="L13" i="68"/>
  <c r="S13" i="68"/>
  <c r="R13" i="68"/>
  <c r="Q13" i="68"/>
  <c r="P13" i="68"/>
  <c r="Q23" i="68"/>
  <c r="I18" i="58" s="1"/>
  <c r="N9" i="69"/>
  <c r="M9" i="69"/>
  <c r="L9" i="69"/>
  <c r="S9" i="69"/>
  <c r="R9" i="69"/>
  <c r="Q9" i="69"/>
  <c r="K43" i="69"/>
  <c r="P9" i="69"/>
  <c r="J43" i="69"/>
  <c r="J43" i="70"/>
  <c r="K9" i="70"/>
  <c r="P14" i="70"/>
  <c r="O17" i="70"/>
  <c r="S30" i="70"/>
  <c r="K19" i="60" s="1"/>
  <c r="R30" i="70"/>
  <c r="J19" i="60" s="1"/>
  <c r="Q30" i="70"/>
  <c r="I19" i="60" s="1"/>
  <c r="P30" i="70"/>
  <c r="H19" i="60" s="1"/>
  <c r="O30" i="70"/>
  <c r="G19" i="60" s="1"/>
  <c r="N30" i="70"/>
  <c r="F19" i="60" s="1"/>
  <c r="M30" i="70"/>
  <c r="E19" i="60" s="1"/>
  <c r="J43" i="67"/>
  <c r="J30" i="67"/>
  <c r="K30" i="67" s="1"/>
  <c r="O13" i="68"/>
  <c r="J30" i="68"/>
  <c r="K30" i="68" s="1"/>
  <c r="C43" i="68"/>
  <c r="F43" i="68" s="1"/>
  <c r="O9" i="69"/>
  <c r="M32" i="69"/>
  <c r="E20" i="59" s="1"/>
  <c r="L32" i="69"/>
  <c r="D20" i="59" s="1"/>
  <c r="S32" i="69"/>
  <c r="K20" i="59" s="1"/>
  <c r="R32" i="69"/>
  <c r="J20" i="59" s="1"/>
  <c r="Q32" i="69"/>
  <c r="I20" i="59" s="1"/>
  <c r="P32" i="69"/>
  <c r="H20" i="59" s="1"/>
  <c r="O32" i="69"/>
  <c r="G20" i="59" s="1"/>
  <c r="L15" i="70"/>
  <c r="S15" i="70"/>
  <c r="R15" i="70"/>
  <c r="Q15" i="70"/>
  <c r="P15" i="70"/>
  <c r="O15" i="70"/>
  <c r="N15" i="70"/>
  <c r="O32" i="70"/>
  <c r="G20" i="60" s="1"/>
  <c r="N32" i="70"/>
  <c r="F20" i="60" s="1"/>
  <c r="M32" i="70"/>
  <c r="E20" i="60" s="1"/>
  <c r="L32" i="70"/>
  <c r="D20" i="60" s="1"/>
  <c r="S32" i="70"/>
  <c r="K20" i="60" s="1"/>
  <c r="R32" i="70"/>
  <c r="J20" i="60" s="1"/>
  <c r="Q32" i="70"/>
  <c r="I20" i="60" s="1"/>
  <c r="F37" i="70"/>
  <c r="F37" i="69"/>
  <c r="P18" i="68" l="1"/>
  <c r="H15" i="58" s="1"/>
  <c r="O18" i="67"/>
  <c r="G15" i="57" s="1"/>
  <c r="M18" i="70"/>
  <c r="E15" i="60" s="1"/>
  <c r="G24" i="54"/>
  <c r="O18" i="65"/>
  <c r="G15" i="55" s="1"/>
  <c r="K24" i="54"/>
  <c r="K43" i="65"/>
  <c r="P9" i="65"/>
  <c r="O9" i="65"/>
  <c r="N9" i="65"/>
  <c r="M9" i="65"/>
  <c r="L9" i="65"/>
  <c r="S9" i="65"/>
  <c r="R9" i="65"/>
  <c r="C24" i="55"/>
  <c r="Q9" i="65"/>
  <c r="S18" i="63"/>
  <c r="K15" i="53" s="1"/>
  <c r="Q43" i="67"/>
  <c r="I24" i="57"/>
  <c r="L18" i="64"/>
  <c r="D15" i="54" s="1"/>
  <c r="S18" i="69"/>
  <c r="K15" i="59" s="1"/>
  <c r="M18" i="64"/>
  <c r="E15" i="54" s="1"/>
  <c r="Q18" i="66"/>
  <c r="I15" i="56" s="1"/>
  <c r="M18" i="61"/>
  <c r="E15" i="51" s="1"/>
  <c r="Q43" i="62"/>
  <c r="I24" i="52"/>
  <c r="R43" i="62"/>
  <c r="J24" i="52"/>
  <c r="I24" i="51"/>
  <c r="O18" i="62"/>
  <c r="G15" i="52" s="1"/>
  <c r="S30" i="66"/>
  <c r="K19" i="56" s="1"/>
  <c r="R30" i="66"/>
  <c r="J19" i="56" s="1"/>
  <c r="Q30" i="66"/>
  <c r="I19" i="56" s="1"/>
  <c r="P30" i="66"/>
  <c r="H19" i="56" s="1"/>
  <c r="O30" i="66"/>
  <c r="G19" i="56" s="1"/>
  <c r="N30" i="66"/>
  <c r="F19" i="56" s="1"/>
  <c r="M30" i="66"/>
  <c r="E19" i="56" s="1"/>
  <c r="L30" i="66"/>
  <c r="D19" i="56" s="1"/>
  <c r="C19" i="56"/>
  <c r="J43" i="66"/>
  <c r="S43" i="69"/>
  <c r="K24" i="59"/>
  <c r="K43" i="70"/>
  <c r="P9" i="70"/>
  <c r="O9" i="70"/>
  <c r="N9" i="70"/>
  <c r="M9" i="70"/>
  <c r="L9" i="70"/>
  <c r="S9" i="70"/>
  <c r="R9" i="70"/>
  <c r="Q9" i="70"/>
  <c r="C24" i="60"/>
  <c r="L43" i="69"/>
  <c r="D24" i="59"/>
  <c r="Q18" i="68"/>
  <c r="I15" i="58" s="1"/>
  <c r="N18" i="70"/>
  <c r="F15" i="60" s="1"/>
  <c r="J43" i="68"/>
  <c r="L43" i="64"/>
  <c r="D24" i="54"/>
  <c r="L18" i="63"/>
  <c r="D15" i="53" s="1"/>
  <c r="K24" i="57"/>
  <c r="J24" i="57"/>
  <c r="L18" i="69"/>
  <c r="D15" i="59" s="1"/>
  <c r="N18" i="64"/>
  <c r="F15" i="54" s="1"/>
  <c r="R18" i="66"/>
  <c r="J15" i="56" s="1"/>
  <c r="N18" i="61"/>
  <c r="F15" i="51" s="1"/>
  <c r="S43" i="62"/>
  <c r="K24" i="52"/>
  <c r="J24" i="51"/>
  <c r="N18" i="62"/>
  <c r="F15" i="52" s="1"/>
  <c r="P18" i="62"/>
  <c r="H15" i="52" s="1"/>
  <c r="N43" i="69"/>
  <c r="F24" i="59"/>
  <c r="R18" i="68"/>
  <c r="J15" i="58" s="1"/>
  <c r="S18" i="68"/>
  <c r="K15" i="58" s="1"/>
  <c r="R18" i="67"/>
  <c r="J15" i="57" s="1"/>
  <c r="P18" i="70"/>
  <c r="H15" i="60" s="1"/>
  <c r="R18" i="65"/>
  <c r="J15" i="55" s="1"/>
  <c r="N43" i="64"/>
  <c r="F24" i="54"/>
  <c r="N18" i="63"/>
  <c r="F15" i="53" s="1"/>
  <c r="M43" i="67"/>
  <c r="E24" i="57"/>
  <c r="N18" i="69"/>
  <c r="F15" i="59" s="1"/>
  <c r="P18" i="64"/>
  <c r="H15" i="54" s="1"/>
  <c r="L18" i="66"/>
  <c r="D15" i="56" s="1"/>
  <c r="M43" i="62"/>
  <c r="E24" i="52"/>
  <c r="L9" i="63"/>
  <c r="S9" i="63"/>
  <c r="R9" i="63"/>
  <c r="Q9" i="63"/>
  <c r="K43" i="63"/>
  <c r="P9" i="63"/>
  <c r="O9" i="63"/>
  <c r="N9" i="63"/>
  <c r="M9" i="63"/>
  <c r="C24" i="53"/>
  <c r="L43" i="61"/>
  <c r="D24" i="51"/>
  <c r="R18" i="62"/>
  <c r="J15" i="52" s="1"/>
  <c r="M43" i="69"/>
  <c r="E24" i="59"/>
  <c r="Q18" i="67"/>
  <c r="I15" i="57" s="1"/>
  <c r="O18" i="70"/>
  <c r="G15" i="60" s="1"/>
  <c r="L43" i="67"/>
  <c r="D24" i="57"/>
  <c r="O18" i="61"/>
  <c r="K24" i="51"/>
  <c r="O30" i="68"/>
  <c r="G19" i="58" s="1"/>
  <c r="N30" i="68"/>
  <c r="F19" i="58" s="1"/>
  <c r="M30" i="68"/>
  <c r="E19" i="58" s="1"/>
  <c r="L30" i="68"/>
  <c r="D19" i="58" s="1"/>
  <c r="S30" i="68"/>
  <c r="K19" i="58" s="1"/>
  <c r="R30" i="68"/>
  <c r="J19" i="58" s="1"/>
  <c r="Q30" i="68"/>
  <c r="I19" i="58" s="1"/>
  <c r="P30" i="68"/>
  <c r="H19" i="58" s="1"/>
  <c r="C19" i="58"/>
  <c r="H24" i="59"/>
  <c r="L18" i="68"/>
  <c r="D15" i="58" s="1"/>
  <c r="S18" i="67"/>
  <c r="K15" i="57" s="1"/>
  <c r="Q18" i="70"/>
  <c r="I15" i="60" s="1"/>
  <c r="S18" i="65"/>
  <c r="K15" i="55" s="1"/>
  <c r="P43" i="64"/>
  <c r="H24" i="54"/>
  <c r="O18" i="63"/>
  <c r="G15" i="53" s="1"/>
  <c r="F24" i="57"/>
  <c r="O18" i="69"/>
  <c r="G15" i="59" s="1"/>
  <c r="Q18" i="64"/>
  <c r="I15" i="54" s="1"/>
  <c r="M18" i="66"/>
  <c r="E15" i="56" s="1"/>
  <c r="Q18" i="61"/>
  <c r="I15" i="51" s="1"/>
  <c r="N43" i="62"/>
  <c r="F24" i="52"/>
  <c r="M43" i="61"/>
  <c r="E24" i="51"/>
  <c r="S18" i="62"/>
  <c r="K15" i="52" s="1"/>
  <c r="O43" i="69"/>
  <c r="G24" i="59"/>
  <c r="O18" i="64"/>
  <c r="G15" i="54" s="1"/>
  <c r="J43" i="63"/>
  <c r="M18" i="68"/>
  <c r="E15" i="58" s="1"/>
  <c r="L18" i="67"/>
  <c r="D15" i="57" s="1"/>
  <c r="R18" i="70"/>
  <c r="J15" i="60" s="1"/>
  <c r="N18" i="65"/>
  <c r="F15" i="55" s="1"/>
  <c r="L18" i="65"/>
  <c r="D15" i="55" s="1"/>
  <c r="P18" i="63"/>
  <c r="H15" i="53" s="1"/>
  <c r="G24" i="57"/>
  <c r="P18" i="69"/>
  <c r="H15" i="59" s="1"/>
  <c r="R18" i="64"/>
  <c r="J15" i="54" s="1"/>
  <c r="N18" i="66"/>
  <c r="F15" i="56" s="1"/>
  <c r="R18" i="61"/>
  <c r="J15" i="51" s="1"/>
  <c r="O43" i="62"/>
  <c r="G24" i="52"/>
  <c r="N43" i="61"/>
  <c r="F24" i="51"/>
  <c r="L18" i="62"/>
  <c r="D15" i="52" s="1"/>
  <c r="R43" i="69"/>
  <c r="J24" i="59"/>
  <c r="N18" i="67"/>
  <c r="F15" i="57" s="1"/>
  <c r="J24" i="54"/>
  <c r="O30" i="63"/>
  <c r="G19" i="53" s="1"/>
  <c r="N30" i="63"/>
  <c r="F19" i="53" s="1"/>
  <c r="M30" i="63"/>
  <c r="E19" i="53" s="1"/>
  <c r="L30" i="63"/>
  <c r="D19" i="53" s="1"/>
  <c r="S30" i="63"/>
  <c r="K19" i="53" s="1"/>
  <c r="R30" i="63"/>
  <c r="J19" i="53" s="1"/>
  <c r="Q30" i="63"/>
  <c r="I19" i="53" s="1"/>
  <c r="P30" i="63"/>
  <c r="H19" i="53" s="1"/>
  <c r="C19" i="53"/>
  <c r="L9" i="68"/>
  <c r="S9" i="68"/>
  <c r="R9" i="68"/>
  <c r="Q9" i="68"/>
  <c r="K43" i="68"/>
  <c r="P9" i="68"/>
  <c r="O9" i="68"/>
  <c r="N9" i="68"/>
  <c r="M9" i="68"/>
  <c r="C24" i="58"/>
  <c r="E24" i="54"/>
  <c r="M18" i="63"/>
  <c r="E15" i="53" s="1"/>
  <c r="M18" i="69"/>
  <c r="E15" i="59" s="1"/>
  <c r="S18" i="66"/>
  <c r="K15" i="56" s="1"/>
  <c r="L43" i="62"/>
  <c r="D24" i="52"/>
  <c r="M30" i="67"/>
  <c r="E19" i="57" s="1"/>
  <c r="L30" i="67"/>
  <c r="D19" i="57" s="1"/>
  <c r="S30" i="67"/>
  <c r="K19" i="57" s="1"/>
  <c r="R30" i="67"/>
  <c r="J19" i="57" s="1"/>
  <c r="Q30" i="67"/>
  <c r="I19" i="57" s="1"/>
  <c r="P30" i="67"/>
  <c r="H19" i="57" s="1"/>
  <c r="O30" i="67"/>
  <c r="G19" i="57" s="1"/>
  <c r="N30" i="67"/>
  <c r="F19" i="57" s="1"/>
  <c r="C19" i="57"/>
  <c r="I24" i="59"/>
  <c r="N18" i="68"/>
  <c r="F15" i="58" s="1"/>
  <c r="M18" i="67"/>
  <c r="E15" i="57" s="1"/>
  <c r="S18" i="70"/>
  <c r="K15" i="60" s="1"/>
  <c r="M18" i="65"/>
  <c r="E15" i="55" s="1"/>
  <c r="Q43" i="64"/>
  <c r="I24" i="54"/>
  <c r="K43" i="66"/>
  <c r="R9" i="66"/>
  <c r="Q9" i="66"/>
  <c r="P9" i="66"/>
  <c r="O9" i="66"/>
  <c r="N9" i="66"/>
  <c r="M9" i="66"/>
  <c r="L9" i="66"/>
  <c r="S9" i="66"/>
  <c r="C24" i="56"/>
  <c r="Q18" i="63"/>
  <c r="I15" i="53" s="1"/>
  <c r="H24" i="57"/>
  <c r="Q18" i="69"/>
  <c r="I15" i="59" s="1"/>
  <c r="S18" i="64"/>
  <c r="K15" i="54" s="1"/>
  <c r="O18" i="66"/>
  <c r="G15" i="56" s="1"/>
  <c r="S18" i="61"/>
  <c r="K15" i="51" s="1"/>
  <c r="P43" i="62"/>
  <c r="H24" i="52"/>
  <c r="P43" i="61"/>
  <c r="H24" i="51"/>
  <c r="M18" i="62"/>
  <c r="E15" i="52" s="1"/>
  <c r="R43" i="66" l="1"/>
  <c r="J24" i="56"/>
  <c r="Q43" i="68"/>
  <c r="I24" i="58"/>
  <c r="S43" i="63"/>
  <c r="K24" i="53"/>
  <c r="S43" i="67"/>
  <c r="O43" i="70"/>
  <c r="G24" i="60"/>
  <c r="R43" i="65"/>
  <c r="J24" i="55"/>
  <c r="S43" i="66"/>
  <c r="K24" i="56"/>
  <c r="Q43" i="69"/>
  <c r="M43" i="64"/>
  <c r="R43" i="68"/>
  <c r="J24" i="58"/>
  <c r="N43" i="67"/>
  <c r="M43" i="63"/>
  <c r="E24" i="53"/>
  <c r="L43" i="63"/>
  <c r="D24" i="53"/>
  <c r="P43" i="70"/>
  <c r="H24" i="60"/>
  <c r="Q43" i="61"/>
  <c r="S43" i="65"/>
  <c r="K24" i="55"/>
  <c r="S43" i="64"/>
  <c r="S43" i="68"/>
  <c r="K24" i="58"/>
  <c r="P43" i="69"/>
  <c r="N43" i="63"/>
  <c r="F24" i="53"/>
  <c r="Q43" i="70"/>
  <c r="I24" i="60"/>
  <c r="L43" i="65"/>
  <c r="D24" i="55"/>
  <c r="L43" i="68"/>
  <c r="D24" i="58"/>
  <c r="H24" i="53"/>
  <c r="P43" i="63"/>
  <c r="S43" i="70"/>
  <c r="K24" i="60"/>
  <c r="N43" i="65"/>
  <c r="F24" i="55"/>
  <c r="O43" i="64"/>
  <c r="M43" i="65"/>
  <c r="E24" i="55"/>
  <c r="N43" i="66"/>
  <c r="F24" i="56"/>
  <c r="N43" i="68"/>
  <c r="F24" i="58"/>
  <c r="O43" i="67"/>
  <c r="O43" i="66"/>
  <c r="G24" i="56"/>
  <c r="O43" i="68"/>
  <c r="G24" i="58"/>
  <c r="S43" i="61"/>
  <c r="R43" i="61"/>
  <c r="L43" i="70"/>
  <c r="D24" i="60"/>
  <c r="O43" i="65"/>
  <c r="G24" i="55"/>
  <c r="O43" i="63"/>
  <c r="G24" i="53"/>
  <c r="R43" i="70"/>
  <c r="J24" i="60"/>
  <c r="P43" i="67"/>
  <c r="P43" i="66"/>
  <c r="H24" i="56"/>
  <c r="P43" i="68"/>
  <c r="H24" i="58"/>
  <c r="R43" i="64"/>
  <c r="G15" i="51"/>
  <c r="O43" i="61"/>
  <c r="Q43" i="63"/>
  <c r="I24" i="53"/>
  <c r="R43" i="67"/>
  <c r="M43" i="70"/>
  <c r="E24" i="60"/>
  <c r="Q43" i="65"/>
  <c r="I24" i="55"/>
  <c r="P43" i="65"/>
  <c r="H24" i="55"/>
  <c r="L43" i="66"/>
  <c r="D24" i="56"/>
  <c r="M43" i="66"/>
  <c r="E24" i="56"/>
  <c r="M43" i="68"/>
  <c r="E24" i="58"/>
  <c r="Q43" i="66"/>
  <c r="I24" i="56"/>
  <c r="R43" i="63"/>
  <c r="J24" i="53"/>
  <c r="N43" i="70"/>
  <c r="F24" i="60"/>
  <c r="C14" i="50" l="1"/>
  <c r="D14" i="50"/>
  <c r="E14" i="50"/>
  <c r="C15" i="50"/>
  <c r="D15" i="50"/>
  <c r="E15" i="50"/>
  <c r="C14" i="49"/>
  <c r="D14" i="49"/>
  <c r="E14" i="49"/>
  <c r="F14" i="49"/>
  <c r="G14" i="49"/>
  <c r="H14" i="49"/>
  <c r="I14" i="49"/>
  <c r="C15" i="49"/>
  <c r="D15" i="49"/>
  <c r="E15" i="49"/>
  <c r="F15" i="49"/>
  <c r="G15" i="49"/>
  <c r="H15" i="49"/>
  <c r="I15" i="49"/>
  <c r="J27" i="46" l="1"/>
  <c r="I27" i="46"/>
  <c r="H27" i="46"/>
  <c r="G27" i="46"/>
  <c r="F27" i="46"/>
  <c r="E27" i="46"/>
  <c r="D27" i="46"/>
  <c r="C27" i="46"/>
  <c r="B27" i="46"/>
  <c r="J30" i="45"/>
  <c r="I30" i="45"/>
  <c r="H30" i="45"/>
  <c r="G30" i="45"/>
  <c r="F30" i="45"/>
  <c r="E30" i="45"/>
  <c r="D30" i="45"/>
  <c r="C30" i="45"/>
  <c r="B30" i="45"/>
  <c r="F15" i="45"/>
  <c r="E15" i="45"/>
  <c r="D15" i="45"/>
  <c r="C15" i="45"/>
  <c r="B15" i="45"/>
  <c r="F30" i="44"/>
  <c r="E30" i="44"/>
  <c r="J27" i="44"/>
  <c r="J30" i="44" s="1"/>
  <c r="I27" i="44"/>
  <c r="I30" i="44" s="1"/>
  <c r="H27" i="44"/>
  <c r="H30" i="44" s="1"/>
  <c r="G27" i="44"/>
  <c r="G30" i="44" s="1"/>
  <c r="B27" i="44"/>
  <c r="C27" i="44" s="1"/>
  <c r="J17" i="44"/>
  <c r="I17" i="44"/>
  <c r="H17" i="44"/>
  <c r="G17" i="44"/>
  <c r="F17" i="44"/>
  <c r="E17" i="44"/>
  <c r="D17" i="44"/>
  <c r="C17" i="44"/>
  <c r="B17" i="44"/>
  <c r="J34" i="43"/>
  <c r="I34" i="43"/>
  <c r="H34" i="43"/>
  <c r="G34" i="43"/>
  <c r="F34" i="43"/>
  <c r="E34" i="43"/>
  <c r="D34" i="43"/>
  <c r="C34" i="43"/>
  <c r="B34" i="43"/>
  <c r="J34" i="42"/>
  <c r="I34" i="42"/>
  <c r="H34" i="42"/>
  <c r="G34" i="42"/>
  <c r="F34" i="42"/>
  <c r="E34" i="42"/>
  <c r="D34" i="42"/>
  <c r="C34" i="42"/>
  <c r="B34" i="42"/>
  <c r="J34" i="41"/>
  <c r="I34" i="41"/>
  <c r="H34" i="41"/>
  <c r="G34" i="41"/>
  <c r="F34" i="41"/>
  <c r="E34" i="41"/>
  <c r="D34" i="41"/>
  <c r="C34" i="41"/>
  <c r="B34" i="41"/>
  <c r="D27" i="44" l="1"/>
  <c r="D30" i="44" s="1"/>
  <c r="C30" i="44"/>
  <c r="B30" i="44"/>
</calcChain>
</file>

<file path=xl/sharedStrings.xml><?xml version="1.0" encoding="utf-8"?>
<sst xmlns="http://schemas.openxmlformats.org/spreadsheetml/2006/main" count="2919" uniqueCount="399">
  <si>
    <t>Technology</t>
  </si>
  <si>
    <t>Uncertainty (2050)</t>
  </si>
  <si>
    <t>Note</t>
  </si>
  <si>
    <t>Ref</t>
  </si>
  <si>
    <t>Lower</t>
  </si>
  <si>
    <t>Upper</t>
  </si>
  <si>
    <t>Energy/technical data</t>
  </si>
  <si>
    <t>A</t>
  </si>
  <si>
    <t>Forced outage (%)</t>
  </si>
  <si>
    <t>Planned outage (weeks per year)</t>
  </si>
  <si>
    <t>Technical lifetime (years)</t>
  </si>
  <si>
    <t>Construction time (years)</t>
  </si>
  <si>
    <t>C</t>
  </si>
  <si>
    <t>D</t>
  </si>
  <si>
    <t>Technology specific data</t>
  </si>
  <si>
    <t>B</t>
  </si>
  <si>
    <t>E</t>
  </si>
  <si>
    <t>F</t>
  </si>
  <si>
    <t>G</t>
  </si>
  <si>
    <t>I</t>
  </si>
  <si>
    <t>H</t>
  </si>
  <si>
    <t>J</t>
  </si>
  <si>
    <t>K</t>
  </si>
  <si>
    <t>L</t>
  </si>
  <si>
    <t>References</t>
  </si>
  <si>
    <t>Notes</t>
  </si>
  <si>
    <t>M</t>
  </si>
  <si>
    <t>N</t>
  </si>
  <si>
    <t>INDEX</t>
  </si>
  <si>
    <t>Date</t>
  </si>
  <si>
    <t>Sheet</t>
  </si>
  <si>
    <t>Change</t>
  </si>
  <si>
    <t>Post-combustion carbon capture retrofit - 100 MW(th) WtE or biomass CHP plant</t>
  </si>
  <si>
    <t>Uncertainty (2025)</t>
  </si>
  <si>
    <r>
      <t>Typical total plant capacity (t CO2</t>
    </r>
    <r>
      <rPr>
        <vertAlign val="subscript"/>
        <sz val="8"/>
        <rFont val="Calibri"/>
        <family val="2"/>
        <scheme val="minor"/>
      </rPr>
      <t xml:space="preserve"> </t>
    </r>
    <r>
      <rPr>
        <sz val="8"/>
        <rFont val="Calibri"/>
        <family val="2"/>
        <scheme val="minor"/>
      </rPr>
      <t xml:space="preserve"> output / hour)</t>
    </r>
  </si>
  <si>
    <t>- Inputs at max capacity</t>
  </si>
  <si>
    <t xml:space="preserve">A) Mass of Fluegas (t/t CO2 output) </t>
  </si>
  <si>
    <r>
      <t>B1) CO</t>
    </r>
    <r>
      <rPr>
        <vertAlign val="subscript"/>
        <sz val="8"/>
        <rFont val="Calibri"/>
        <family val="2"/>
        <scheme val="minor"/>
      </rPr>
      <t>2</t>
    </r>
    <r>
      <rPr>
        <sz val="8"/>
        <rFont val="Calibri"/>
        <family val="2"/>
        <scheme val="minor"/>
      </rPr>
      <t xml:space="preserve"> share in fluegas input (%-vol, dry)</t>
    </r>
  </si>
  <si>
    <r>
      <t>B2) Flue gas temperature (0</t>
    </r>
    <r>
      <rPr>
        <sz val="8"/>
        <rFont val="Symbol"/>
        <family val="1"/>
        <charset val="2"/>
      </rPr>
      <t>°</t>
    </r>
    <r>
      <rPr>
        <sz val="8"/>
        <rFont val="Calibri"/>
        <family val="2"/>
        <scheme val="minor"/>
      </rPr>
      <t>C)</t>
    </r>
  </si>
  <si>
    <t xml:space="preserve">C1) Heat  input (MWh/t CO2-output) </t>
  </si>
  <si>
    <t xml:space="preserve">C2) Eletricity input (MWh/t CO2-output) </t>
  </si>
  <si>
    <t xml:space="preserve">C3)  Amine make-up (kg/t CO2-output) </t>
  </si>
  <si>
    <r>
      <t>Y)  Auxiliary products inputs (kg/t CO2-output</t>
    </r>
    <r>
      <rPr>
        <vertAlign val="subscript"/>
        <sz val="8"/>
        <rFont val="Calibri"/>
        <family val="2"/>
        <scheme val="minor"/>
      </rPr>
      <t xml:space="preserve"> </t>
    </r>
    <r>
      <rPr>
        <sz val="8"/>
        <rFont val="Calibri"/>
        <family val="2"/>
        <scheme val="minor"/>
      </rPr>
      <t xml:space="preserve">) </t>
    </r>
  </si>
  <si>
    <t>- Outputs at max capacity</t>
  </si>
  <si>
    <t>A2) CO2 purity prior to post cleaning (% vol)</t>
  </si>
  <si>
    <t>A3) Total pressure of CO2 gas (kPa(a))</t>
  </si>
  <si>
    <r>
      <t>Ax) CO</t>
    </r>
    <r>
      <rPr>
        <vertAlign val="subscript"/>
        <sz val="8"/>
        <rFont val="Calibri"/>
        <family val="2"/>
        <scheme val="minor"/>
      </rPr>
      <t>2</t>
    </r>
    <r>
      <rPr>
        <sz val="8"/>
        <rFont val="Calibri"/>
        <family val="2"/>
        <scheme val="minor"/>
      </rPr>
      <t xml:space="preserve"> capture rate, net (%)</t>
    </r>
  </si>
  <si>
    <t xml:space="preserve">C1) Heat out (MWh/t CO2-output) </t>
  </si>
  <si>
    <r>
      <t>C2) Temperature of heat out (</t>
    </r>
    <r>
      <rPr>
        <sz val="8"/>
        <rFont val="Symbol"/>
        <family val="1"/>
        <charset val="2"/>
      </rPr>
      <t>°</t>
    </r>
    <r>
      <rPr>
        <sz val="8"/>
        <rFont val="Calibri"/>
        <family val="2"/>
        <scheme val="minor"/>
      </rPr>
      <t>C)</t>
    </r>
  </si>
  <si>
    <t>X) Other Non-energy outputs (kg/t CO2-output)</t>
  </si>
  <si>
    <t>- other technical data</t>
  </si>
  <si>
    <t>Specific investment (mill € /[t CO2 output/hour])</t>
  </si>
  <si>
    <t xml:space="preserve"> - hereof capture plant (%)</t>
  </si>
  <si>
    <t xml:space="preserve"> - hereof CO₂ compression&amp;dehydration (%)</t>
  </si>
  <si>
    <t>- hereof utilities &amp; flue gas integration (%)</t>
  </si>
  <si>
    <t xml:space="preserve"> - hereof heat integration (%)</t>
  </si>
  <si>
    <t xml:space="preserve"> - hereof Owner's cost (%)</t>
  </si>
  <si>
    <t>Fixed O&amp;M (mill € /[t CO2 output/Hour])</t>
  </si>
  <si>
    <t>Variable O&amp;M (€ per t CO2 output)</t>
  </si>
  <si>
    <t>Startup cost (€ per startup/[t CO2/hour])</t>
  </si>
  <si>
    <t xml:space="preserve">Technology specific data                                 </t>
  </si>
  <si>
    <t>CO₂ compression and dehydration - Electricity input (MWh/t CO₂ output)</t>
  </si>
  <si>
    <t>CO₂ compression and dehydration - Heat out (MWh/t CO₂ output)</t>
  </si>
  <si>
    <t>CC capacity is chosen to match flue gas flow and CO₂ emission from a 100 MWth biomass boiler. Larger capacites available today if required.</t>
  </si>
  <si>
    <t>The biomass CHP is assumed to be equipped with flue gas condensation, hence flue gas is available at 35 deg. C</t>
  </si>
  <si>
    <t>Heat is supplied as low pressure steam 3-5 bara and (130-150 deg. C)</t>
  </si>
  <si>
    <t>Electricity consumption includes additional CC plant, flue gas fan work and cooling water pumps, but no ID cooling tower, other utilities. CO₂ compression and drying not included.</t>
  </si>
  <si>
    <t>Purity given on wet basis. On dry basis purity is &gt;99.95%vol</t>
  </si>
  <si>
    <t>CO₂ pressure at outlet flange. Future processes is expected to deliver CO₂ at higher pressure (save compression work)</t>
  </si>
  <si>
    <t>The CO₂ capture percentage from the flue gas is expected to increase from today's 90% to 95% in 2050.</t>
  </si>
  <si>
    <t>20% of heat is available at 80 deg. C, 80% is available at 50 deg C. The reported 60 deg C is an weighed average.</t>
  </si>
  <si>
    <t>Total cost including site integration and CO₂ compression. CAPEX is expected to decrease by 40% in 2050 as the market develops. Total capital investment is calculated as plant capacity (t CO₂ output/h) multiplied by the specific investment cost</t>
  </si>
  <si>
    <t>If the CHP is euipped with flue gas condensation to &lt;40 deg C the precooler of the CC plant may be omitted. The CC plant cost can in that case be reduced with 5% and the utility cost with 20% (because of less cooling requirement)</t>
  </si>
  <si>
    <t>If CO₂ should be delivered liquefied for truck or road transport, a liquefaction plant must be added hence increase this post with 50% + interim storage (specified in chapter on CO₂ transport of Technology Catalogue)</t>
  </si>
  <si>
    <t>Substantial cost have been included for heat integration which covers steam turbine modification, coupling to district heating net. Heat pump technology for upgrade of low temp waste heat not included.</t>
  </si>
  <si>
    <t>Fixed O&amp;M is taken as 3% of CAPEX</t>
  </si>
  <si>
    <t>Assume compression from CC plant outlet pressure to 150 bar and drying to &lt; 50 ppmv H₂O. Specific power consumption decrease with time as CO₂ is delivered at increasingly higher pressure from the CC plant</t>
  </si>
  <si>
    <t>Post-combustion carbon capture retrofit - 500 MW(th) biomass-fired boiler</t>
  </si>
  <si>
    <r>
      <t>B2) Flue gas temperature (</t>
    </r>
    <r>
      <rPr>
        <sz val="8"/>
        <rFont val="Symbol"/>
        <family val="1"/>
        <charset val="2"/>
      </rPr>
      <t>°</t>
    </r>
    <r>
      <rPr>
        <sz val="8"/>
        <rFont val="Calibri"/>
        <family val="2"/>
        <scheme val="minor"/>
      </rPr>
      <t>C)</t>
    </r>
  </si>
  <si>
    <t>A1) CO2 purity prior to post cleaning (% vol)</t>
  </si>
  <si>
    <t>A2) Total pressure of CO2 gas (kPa(a))</t>
  </si>
  <si>
    <r>
      <t>A3) CO</t>
    </r>
    <r>
      <rPr>
        <vertAlign val="subscript"/>
        <sz val="8"/>
        <rFont val="Calibri"/>
        <family val="2"/>
        <scheme val="minor"/>
      </rPr>
      <t>2</t>
    </r>
    <r>
      <rPr>
        <sz val="8"/>
        <rFont val="Calibri"/>
        <family val="2"/>
        <scheme val="minor"/>
      </rPr>
      <t xml:space="preserve"> capture rate, net (%)</t>
    </r>
  </si>
  <si>
    <t>CC capacity is chosen to match flue gas flow and CO₂ emission from a 500 MWth biomass boiler</t>
  </si>
  <si>
    <t>Total cost including CO₂ compression &amp; drying, heat and site integration. CAPEX is expected to decrease by 40% in 2050 as the market develops. Total capital investment is calculated as plant capacity (t CO₂ output/h) multiplied by the specific investment cost.</t>
  </si>
  <si>
    <t>Post-combustion carbon capture - Retrofit 4500 ton clinker per day cement kiln</t>
  </si>
  <si>
    <t>D) Flue gas condensate (t/t CO2-output)</t>
  </si>
  <si>
    <t xml:space="preserve"> - hereof heat integration and steam plant (%)</t>
  </si>
  <si>
    <t>O</t>
  </si>
  <si>
    <t>CC capacity is chosen to match a cement kiln with production of 4500 tonne clinker per day. CO₂ generated from combusiton of additional fuel to provide heat to CC plant is not captured. Part of the heat demand may be recovered from the cement kiln</t>
  </si>
  <si>
    <t>Cement kiln exhaust gas is assumed to be  125 deg C</t>
  </si>
  <si>
    <t>Heat is supplied as low pressure steam 3-5 bara and 130-150 deg C</t>
  </si>
  <si>
    <t>This is the water vapour contained in the CO₂ product. This is recovered during compression and may be returned to the CC process</t>
  </si>
  <si>
    <t>Flue gas condensate is produced from pre-cooling of flue gas</t>
  </si>
  <si>
    <t xml:space="preserve">Total retrofit cost including CC plant, steam plant/waste heat recovery units, utilities, cooling water, CO₂ compression and drying to pipeline specifications (150 bar) and integration costs. CAPEX is expected to decrease by 40% in 2050 as the market develops. </t>
  </si>
  <si>
    <t>Cement plants typically don't have steam available for CC. Investment cost of steam plant and/or waste heat recovery boilers are included</t>
  </si>
  <si>
    <t>Oxy-fuel carbon capture - Retrofit 500 MW biomass boiler excluding ASU</t>
  </si>
  <si>
    <t xml:space="preserve">A) Mass of Fluegas (t,/t CO2 output) </t>
  </si>
  <si>
    <r>
      <t>B1) CO</t>
    </r>
    <r>
      <rPr>
        <vertAlign val="subscript"/>
        <sz val="8"/>
        <rFont val="Calibri"/>
        <family val="2"/>
        <scheme val="minor"/>
      </rPr>
      <t>2</t>
    </r>
    <r>
      <rPr>
        <sz val="8"/>
        <rFont val="Calibri"/>
        <family val="2"/>
        <scheme val="minor"/>
      </rPr>
      <t xml:space="preserve"> share in fluegas input (% vol)</t>
    </r>
  </si>
  <si>
    <t>B2) H2O share in fluegas Input  (% vol)</t>
  </si>
  <si>
    <t>D) mass of O₂ input (ton O₂/ton CO₂ output)</t>
  </si>
  <si>
    <t>B1) Mass of H2O (t/t CO2-output)</t>
  </si>
  <si>
    <t xml:space="preserve">C1) Heat out (MW/t CO2-output/hour) </t>
  </si>
  <si>
    <t>C2) Temperature of heat out (C)</t>
  </si>
  <si>
    <t xml:space="preserve"> - hereof equipment (%)</t>
  </si>
  <si>
    <t xml:space="preserve"> - hereof installation (%)</t>
  </si>
  <si>
    <t>Variable O&amp;M (€ per t CO2  output)</t>
  </si>
  <si>
    <t>Specific investment optional O₂ plant (ASU) (mill € /[t CO2  output/ hour])</t>
  </si>
  <si>
    <t>Electricity input for optional  O₂ plant (ASU)  (MW/ton CO₂/h)</t>
  </si>
  <si>
    <t>Electricity input CO₂ post treatment (CPU) (MWh/t CO2-output)</t>
  </si>
  <si>
    <t>Heat output CO₂ post treatment (MWh/t CO₂ output)</t>
  </si>
  <si>
    <t xml:space="preserve">Chris Spero, Toshihiko Yamada. Callide Oxyfuel Project, Final Results, March 2018. https://www.globalccsinstitute.com/archive/hub/publications/202090/cop-finalresults-publicreport-march2018.pdf </t>
  </si>
  <si>
    <t>On wet basis, before flue gas condensation</t>
  </si>
  <si>
    <t xml:space="preserve">Electricity for oxy-fuel retrofit plant is assumed unchanged when excluding ASU and CPU. </t>
  </si>
  <si>
    <t>Some CO₂ is vented from CPU during purification. The capture rate provides the fraction of the CO₂ from the boiler which is captured</t>
  </si>
  <si>
    <t>The amount of flue gas condensate produced is depending on fuel composition (moisture). This value is based on wood chips (wet fuel)</t>
  </si>
  <si>
    <t>Cooling water for flue gas condensation. As mentioned in D) this depends on fuel composition.</t>
  </si>
  <si>
    <t>Cost includes boiler modification and CO₂ purification unit (CPU) and compression to 150 bar for pipeline transport, but excludes O₂ production plant (ASU). Cost assumed to decrease by 20% up to 2050 as market develops</t>
  </si>
  <si>
    <t>Fixed O&amp;M is estimated as 3% of CAPEX.</t>
  </si>
  <si>
    <t>Cost for make-up chemicals to CPU and disposal of acid waste. Power consumption for new flue gas recirculations fans assumed to equal reduced power at existing fans</t>
  </si>
  <si>
    <t>Estimated value excluding ASU for O₂ production</t>
  </si>
  <si>
    <t>An large O₂ source is required for an oxy-fuel plant. An ASU is therefore likely to be required.</t>
  </si>
  <si>
    <t>Oxy-fuel carbon caputre - Retrofit 3000 ton clinker per day cement kiln excluding ASU</t>
  </si>
  <si>
    <t>Startup cost (€ per startup/t CO2/hour)</t>
  </si>
  <si>
    <t>ECRA CCS Project – Report on Phase III. European Cement Research Academy. Technical Report TR-ECRA-119/2012.</t>
  </si>
  <si>
    <t>CC capacity is chosen to match a cement kiln with production of 3000 tonne clinker per day.</t>
  </si>
  <si>
    <t>On wet basis, after flue gas condensation unit</t>
  </si>
  <si>
    <t>Some CO₂ is vented from CPU during purification. The capture rate provides the fraction of the CO₂ from the klin exhaust gases which is captured</t>
  </si>
  <si>
    <t>The amount of flue gas condensate produced is depending on fuel composition (moisture) and is based on dry cement process. For wet process 1.1 t condensate/t CO₂ and 0.8 MWh/tonc CO₂ heat out can be used</t>
  </si>
  <si>
    <t>Cost includes cement kiln modifications and CO₂ purification unit (CPU) and compression to 150 bar for pipeline transport, but excludes O₂ production plant (ASU). Cost assumed to decrease by 20% up to 2050 as market develops</t>
  </si>
  <si>
    <t>Cost for make-up chemicals to CPU and disposal of acid waste. Power at flue gas recirculations fans equals reduced power at other fans</t>
  </si>
  <si>
    <t>Estimated value excluding ASU for O₂ generation.</t>
  </si>
  <si>
    <t>An large O₂ source is required for an oxy-fuel plant. An ASU is therefore likely to be required. For cement kilns significantly less O₂ required pr. t CO₂ compared to energy plants</t>
  </si>
  <si>
    <t xml:space="preserve">Direct Air Capture Plant </t>
  </si>
  <si>
    <t xml:space="preserve">A) Air flow rate (t/t CO2 output) </t>
  </si>
  <si>
    <t>1,2,3,4</t>
  </si>
  <si>
    <t>Fixed O&amp;M (mill € /[t CO2 output/hour])</t>
  </si>
  <si>
    <t>Variable O&amp;M (€ per Mt CO2 output)</t>
  </si>
  <si>
    <t>Land use for DAC unit (km^2/(Mt CO₂ output/year)</t>
  </si>
  <si>
    <t>P. Viebahn, A. Scholz and O. Zelt. The potential Role of Direct Air capture in the German energy research program. Energies 2019, 12, 3443</t>
  </si>
  <si>
    <t xml:space="preserve">M. Fasihi, O. Efimova, C. Breyer. Techno-economic assessment of CO₂ direct air capture plants. J. of Cleaner Prod. 224 (2019) 957-980. </t>
  </si>
  <si>
    <t>Evans, S. The Swiss Company Hoping to Capture 1% of Global CO2 Emissions by 2025; CarbonBrief. 22 June 2017.</t>
  </si>
  <si>
    <t xml:space="preserve">A.B. Vogel. CO2 – the Raw Material that Comes from AIR. Swiss Federal Office of Energy. 8643 Gasbefeurte kraftwerke. 05.05.2017. </t>
  </si>
  <si>
    <t>Largest facility in operation today is approx. 0.1 t/h by Climeworks consisting of 18 modules. The 2050 value is based on technology vendors expectations of +1 MTPA plant.</t>
  </si>
  <si>
    <t>Air flow to DAC unit up to year 2025 assumes 50% capture rate of 400 ppmv CO₂ in air. It is expected that capture rate may increase to 80% in 2050.</t>
  </si>
  <si>
    <t>Based on solid adsorption by Climeworks. Heat is required around 100 deg C to desorb CO₂. Inconsistency in reported heat requirement, 2.5 MWh/ton CO₂ is regarded as more realistic value. The 2050 value is Climeworks' target (undocumented)!</t>
  </si>
  <si>
    <t>Electrical consumption between 0.2 and 0.5 MWh/t CO₂ reported. The average value (0.35 MWh/t CO₂) is selected with 20% improvement to 2050.</t>
  </si>
  <si>
    <t>CO₂ purity is claimed to 99.9%, however this is undocumented. It is expected that this is on dry basis as the CO₂ will contain moisture as well.</t>
  </si>
  <si>
    <t>Moisture from the air is co-adsorbed on the filter and desorbed during regeneration. 1 m³/t CO₂ is reported but this will presumably vary with air humidity.</t>
  </si>
  <si>
    <t>Modules must be cooled to 15 deg C after regeneration. No data, hence it is assumed that 50% of heat input must be removed, rest is heat of desorption.</t>
  </si>
  <si>
    <t>Filter module to be cooled from approx. 100 to 15 deg C, hence 50 deg C is taken as an average. Heat only available intermittently as it is a batch process. Details unkonwn.</t>
  </si>
  <si>
    <t>Values assumed, no data available.</t>
  </si>
  <si>
    <t>The life expectancy of one module is reported to be 4 years according to Vogel et al. [4]. Overall plant is assumed to have 20 years lifetime Fashi et al. [2].</t>
  </si>
  <si>
    <t>Climeworks have currently capacity to produce 150 CO₂ collector modules per year, hence today's small scale plants can be produced in short time. The installation time is expected to increase with size of facility.</t>
  </si>
  <si>
    <t>No CAPEX value reported by Climeworks, however based on CAPEX estimate for 360 ktpa plant from Antecy (which has become part of Climeworks). 0.5 mill €/(t CO₂) added for CO₂ compression to 150 bar CAPEX assumed to decrease by 40% in 2050.</t>
  </si>
  <si>
    <t>Total O&amp;M is taken as 3.7% of CAPEX as in Fashi et al. [2].  CO₂ filter is reported to need replacement every 4 years [4]. The filter is assumed to make up 5% of CAPEX, hence additonal 1.25% of CAPEX is added to fixed O&amp;M</t>
  </si>
  <si>
    <t>O&amp;M is not split in fixed and variable. It is expected that O&amp;M is mainly fixed for the solid adsorption technology.</t>
  </si>
  <si>
    <t>Compression  of CO₂ from 0,2 to 150 bara inkl. dehydration to 50 ppmv</t>
  </si>
  <si>
    <t>401.a Post comb - small CHP</t>
  </si>
  <si>
    <t>401.b Post comb - Large biomass</t>
  </si>
  <si>
    <t>401.c Post comb - Cement kiln</t>
  </si>
  <si>
    <t>402.a Oxy-fuel- Large Biomass</t>
  </si>
  <si>
    <t>402.b Oxy-fuel Cement</t>
  </si>
  <si>
    <t>403.a Direct air capture</t>
  </si>
  <si>
    <t>Technology Data for Carbon Capture, Transport and Storage</t>
  </si>
  <si>
    <t>First published. Merger of chapters around carbon capture and transport from other Technology Catalogues together with the new chapter on storage of CO2</t>
  </si>
  <si>
    <t>Operating cost is assumed to be fixed for each pipeline. Estimate is based on cost of 12" pipeline in [2] and excludes pumping/compression cost.</t>
  </si>
  <si>
    <t>Pumping station for 2 MTPA CO₂ flow. CO₂ pressure increased from 80 to 150 bar with high-pressure CO₂ pump. Pump station every approx. 100 km. Cost estimate based on biogas compression station with CO₂ specific process equipment. Technical lifetime of pumping station is 25 years.</t>
  </si>
  <si>
    <r>
      <t>Offshore pipeline cost is based on ZEP's estimate in [2] for 180 km 12" pipeline transporting 2.5 MTPA CO₂ (approx. 300 t CO₂/h) but adjusted down from 4.7 to 4.0 EUR/[t CO</t>
    </r>
    <r>
      <rPr>
        <vertAlign val="subscript"/>
        <sz val="9"/>
        <rFont val="Arial"/>
        <family val="2"/>
      </rPr>
      <t>2</t>
    </r>
    <r>
      <rPr>
        <sz val="9"/>
        <rFont val="Arial"/>
        <family val="2"/>
      </rPr>
      <t>]/m to be more in line with expectations for Danish conditions as well as the estimate for onshore pipeline.</t>
    </r>
  </si>
  <si>
    <r>
      <t>Estimate includes cost for permitting, landowner compensation, cathodic protection and coating. Installation based on burried pipeline with 8% tunnelling. Operating pressure max 150 bar. Sectionalisation valve every 15 km. Installation costs are based om experienced cost for NG pipeline installation in Denmark. The 10-30 t CO</t>
    </r>
    <r>
      <rPr>
        <vertAlign val="subscript"/>
        <sz val="9"/>
        <rFont val="Arial"/>
        <family val="2"/>
      </rPr>
      <t>2</t>
    </r>
    <r>
      <rPr>
        <sz val="9"/>
        <rFont val="Arial"/>
        <family val="2"/>
      </rPr>
      <t>/h capacity interval is based on cost of a 4" pipeline, the 30-120 t CO</t>
    </r>
    <r>
      <rPr>
        <vertAlign val="subscript"/>
        <sz val="9"/>
        <rFont val="Arial"/>
        <family val="2"/>
      </rPr>
      <t>2</t>
    </r>
    <r>
      <rPr>
        <sz val="9"/>
        <rFont val="Arial"/>
        <family val="2"/>
      </rPr>
      <t>/h is based on weighed average of the cost of 4 and 8" pipelines. The 120-500 t CO</t>
    </r>
    <r>
      <rPr>
        <vertAlign val="subscript"/>
        <sz val="9"/>
        <rFont val="Arial"/>
        <family val="2"/>
      </rPr>
      <t>2</t>
    </r>
    <r>
      <rPr>
        <sz val="9"/>
        <rFont val="Arial"/>
        <family val="2"/>
      </rPr>
      <t>/h range is based on cost of a 12" pipeline.</t>
    </r>
  </si>
  <si>
    <t>Estimated as the energy required to overcome pipeline pressure drop (dP). Pipeline sized for dP of approx. 1.5, 1.0, 0.5 bar/km for small, medium and large capacity pipelines respectively (flow velocities of 1.2-2 m/s). It is expected that small bore pipelines will mainly be used for shorter distances, hence larger dP is acceptable.</t>
  </si>
  <si>
    <t>Notes:</t>
  </si>
  <si>
    <t>COWI estimate 2020</t>
  </si>
  <si>
    <t>The Costs of CO₂ transport, Zero Emission Platform (ZEP), Report 2010</t>
  </si>
  <si>
    <t>Technology Catalogue Natural gas Main Distribution Lines, Table 6</t>
  </si>
  <si>
    <t>References:</t>
  </si>
  <si>
    <t>Variable O&amp;M (EUR/[t CO₂/h]/km)</t>
  </si>
  <si>
    <t>Fixed O&amp;M (EUR/[t CO₂/h]/year/km)</t>
  </si>
  <si>
    <t>Investment costs compressor/pumping station (mill EUR)</t>
  </si>
  <si>
    <t>Investments, percentage materials (%)</t>
  </si>
  <si>
    <t>Investments, percentage installation (%)</t>
  </si>
  <si>
    <t>Investment costs; offhore single line, 120 - 500 t CO₂/h (EUR/[t CO2/h]/m)</t>
  </si>
  <si>
    <t>Investment costs; onshore single line, 120 - 500 t CO₂/h (EUR/[t CO2/h]/m)</t>
  </si>
  <si>
    <t>Investment costs; onshore single line, 30 - 120 t CO₂/h (EUR/[t CO2/h]/m)</t>
  </si>
  <si>
    <t>Investment costs; onshore single line, 10 - 30 t CO₂/h (EUR/[t CO2/h]/m)</t>
  </si>
  <si>
    <t>Investment costs</t>
  </si>
  <si>
    <t>Technical life time (years)</t>
  </si>
  <si>
    <t>Energy demand, lines above 120-500 t CO2/h (kW/[t CO₂/h]/km)</t>
  </si>
  <si>
    <t>Energy demand lines 30-120 t CO2/h (kW/[t CO₂/h]/km)</t>
  </si>
  <si>
    <t>Energy demand, lines 10-30 t CO2/h (kW/[t CO₂/h]/km)</t>
  </si>
  <si>
    <t>Uncertainty (2020)</t>
  </si>
  <si>
    <t xml:space="preserve">CO2 pipeline transport </t>
  </si>
  <si>
    <t xml:space="preserve"> </t>
  </si>
  <si>
    <t>Cost of truck transport is split into a fixed part related to the time spend on loading/unloading and variable cost based on the distance driven. Assumptions: 24/7 operation, 45 min loading and unloading time, 50 km/h average speed, Distance 50 km, fuel cost 1.2 €/kg, LHV 43 MJ/kg, CAPEX Truck + Tanker is 660 k€, 4% annual maintenance. CAPEX annualised with 8% over 4 years</t>
  </si>
  <si>
    <t>Technical lifetime of truck (puller) will depend on the distance driven, 4-10 years. Lifetime trailer 10 years or more.</t>
  </si>
  <si>
    <t>Energy demand based on 50 tonne truck with capacity of carrying 30 ton liquid CO₂. Tanker full one way and empty return. Energy included in variable transport cost.</t>
  </si>
  <si>
    <t>Network for Transport Measures (NTM) database, 2020</t>
  </si>
  <si>
    <t>Variable cost per km (EUR/t CO₂/km)</t>
  </si>
  <si>
    <t>Transport fixed cost (EUR/t CO₂)</t>
  </si>
  <si>
    <t>Energy demand truck (kWh/km/t CO₂)</t>
  </si>
  <si>
    <t>CO₂ road transport by tanker truck</t>
  </si>
  <si>
    <t xml:space="preserve">Variable O&amp;M exlcuding fuel costs is assumed to be insignificant. Tax on tonnage of CO₂ shipped is also excluded as this will be highly dependent on the specific port. </t>
  </si>
  <si>
    <t>Fixed O&amp;M of ships is taken as 5% of CAPEX incl. Pilot assistance and docking fee to harbor</t>
  </si>
  <si>
    <r>
      <t>Ship cost is based on CO₂ pressure conditions of 15 bara, -25</t>
    </r>
    <r>
      <rPr>
        <sz val="9"/>
        <rFont val="Symbol"/>
        <family val="1"/>
        <charset val="2"/>
      </rPr>
      <t>°</t>
    </r>
    <r>
      <rPr>
        <sz val="9"/>
        <rFont val="Arial"/>
        <family val="2"/>
      </rPr>
      <t>C. Significantly lower cost is reported in literature for low pressure 7 bara and -50°C, however no experience exists with transportation of CO₂ at these conditions.</t>
    </r>
  </si>
  <si>
    <t xml:space="preserve">Energy consumption based on fuel LHV at cruising speed 15 knots or 28 km/h and average of full and empty cargo. Typical LHV of Heavy Fuel Oil (HFO) is 40.4 MJ /kg. </t>
  </si>
  <si>
    <t>Shipping CO₂ - UK cost estimation study. ElementEnergy, Final report for Business, Energy &amp; Industrial Strategy Department, Nov 2018.</t>
  </si>
  <si>
    <t>The Cost of CO₂ Transport – Post-demonstration CCS in the EU. ZEP report 2010</t>
  </si>
  <si>
    <t>Based on input from Knutsen shipping</t>
  </si>
  <si>
    <t>Variable O&amp;M  14000 t CO₂ ship (EUR/[t CO₂/h]/)</t>
  </si>
  <si>
    <t>Variable O&amp;M  4000 t CO₂ ship (EUR/[t CO₂])</t>
  </si>
  <si>
    <t>Fixed O&amp;M 10000 t CO₂ Ship (EUR/t CO₂/year)</t>
  </si>
  <si>
    <t>Fixed O&amp;M 4000 t CO₂ Ship (EUR/t CO₂/year)</t>
  </si>
  <si>
    <r>
      <t>Investments,10,000 t CO</t>
    </r>
    <r>
      <rPr>
        <vertAlign val="subscript"/>
        <sz val="8"/>
        <rFont val="Arial"/>
        <family val="2"/>
      </rPr>
      <t>2</t>
    </r>
    <r>
      <rPr>
        <sz val="8"/>
        <rFont val="Arial"/>
        <family val="2"/>
      </rPr>
      <t xml:space="preserve"> ship (EUR/t CO₂) </t>
    </r>
  </si>
  <si>
    <t xml:space="preserve">Investments, 4000 t CO₂ ship (EUR/t CO₂) </t>
  </si>
  <si>
    <t>Technical life time CO₂ carrier (years)</t>
  </si>
  <si>
    <t>Energy demand, 10,000 t CO₂ ship (MWh/day)</t>
  </si>
  <si>
    <t>Energy demand, 4,000 t CO₂ ship (MWh/day)</t>
  </si>
  <si>
    <t>CO₂ ship transportation</t>
  </si>
  <si>
    <t>Assumed to be negligible</t>
  </si>
  <si>
    <r>
      <t>The CAPEX estimate assumes the CO</t>
    </r>
    <r>
      <rPr>
        <vertAlign val="subscript"/>
        <sz val="9"/>
        <rFont val="Arial"/>
        <family val="2"/>
      </rPr>
      <t>2</t>
    </r>
    <r>
      <rPr>
        <sz val="9"/>
        <rFont val="Arial"/>
        <family val="2"/>
      </rPr>
      <t xml:space="preserve"> terminal is established at an existing pier. The estimate includes insulated bullet tanks, CO₂ transfer piping, marine loading arm, loading pumps, metering and utilities. Estimated for CO₂ conditions of 15 bara and -27</t>
    </r>
    <r>
      <rPr>
        <vertAlign val="superscript"/>
        <sz val="9"/>
        <rFont val="Arial"/>
        <family val="2"/>
      </rPr>
      <t>o</t>
    </r>
    <r>
      <rPr>
        <sz val="9"/>
        <rFont val="Arial"/>
        <family val="2"/>
      </rPr>
      <t xml:space="preserve">C. </t>
    </r>
  </si>
  <si>
    <t>Electricity primarily for refrigeration/re-liquefaction of CO₂ vapours and operating of ship loading pumps.</t>
  </si>
  <si>
    <t>Variable O&amp;M  terminal (EUR/t CO₂)</t>
  </si>
  <si>
    <t>Fixed O&amp;M terminal, large terminal (EUR/t CO₂/year)</t>
  </si>
  <si>
    <t>Fixed O&amp;M terminal, small terminal (EUR/t CO₂/year)</t>
  </si>
  <si>
    <t>Investments, 14,000 t CO₂ terminal (EUR/t CO₂)</t>
  </si>
  <si>
    <t>Investments, 3,000 t CO₂ terminal (EUR/t CO₂)</t>
  </si>
  <si>
    <t>Technical life time land terminal (years)</t>
  </si>
  <si>
    <t>Energy demand, CO₂ terminal (kWh/t CO₂/day)</t>
  </si>
  <si>
    <t>CO₂ terminals</t>
  </si>
  <si>
    <t>421 co2 pipeline</t>
  </si>
  <si>
    <t>422 co2 road transport</t>
  </si>
  <si>
    <t>423 co2 ship transport</t>
  </si>
  <si>
    <t>co2 terminals</t>
  </si>
  <si>
    <t>Onshore Storage (1 Mt/y)</t>
  </si>
  <si>
    <t>year</t>
  </si>
  <si>
    <t>-</t>
  </si>
  <si>
    <t>est</t>
  </si>
  <si>
    <t>ctrl</t>
  </si>
  <si>
    <t>lower</t>
  </si>
  <si>
    <t>upper</t>
  </si>
  <si>
    <t>note</t>
  </si>
  <si>
    <t>ref</t>
  </si>
  <si>
    <t>cat</t>
  </si>
  <si>
    <t>par</t>
  </si>
  <si>
    <t>Technical data</t>
  </si>
  <si>
    <t>Storage capacity [mio. ton CO2]</t>
  </si>
  <si>
    <t>Input/injection capacity [mio. ton CO2/yr]</t>
  </si>
  <si>
    <t>Construction time [years]</t>
  </si>
  <si>
    <t>Technical lifetime [years]</t>
  </si>
  <si>
    <t>Environment</t>
  </si>
  <si>
    <t/>
  </si>
  <si>
    <t>Power consumption [MJ/ton CO2]</t>
  </si>
  <si>
    <t>Nominal investment (*total) [€/ton CO2, 2020]</t>
  </si>
  <si>
    <t>F, N</t>
  </si>
  <si>
    <t>Possible additional investment [€/ton CO2, 2020]</t>
  </si>
  <si>
    <t>Decommissioning costs [€/ton CO2, 2020]</t>
  </si>
  <si>
    <r>
      <t>Fixed O&amp;M [€/ton CO2</t>
    </r>
    <r>
      <rPr>
        <strike/>
        <sz val="8"/>
        <rFont val="Arial"/>
        <family val="2"/>
      </rPr>
      <t>,</t>
    </r>
    <r>
      <rPr>
        <sz val="8"/>
        <rFont val="Arial"/>
        <family val="2"/>
      </rPr>
      <t xml:space="preserve"> 2020]</t>
    </r>
  </si>
  <si>
    <t>Variable O&amp;M (*total variable excl. energy cost) [€/ton CO2, 2020]</t>
  </si>
  <si>
    <t>Variable O&amp;M (energy cost) [€/ton CO2, 2020]</t>
  </si>
  <si>
    <t>Variable O&amp;M (other O&amp;M) [€/ton CO2, 2020]</t>
  </si>
  <si>
    <r>
      <t xml:space="preserve">Pre-FID Cost </t>
    </r>
    <r>
      <rPr>
        <sz val="9"/>
        <rFont val="Arial"/>
        <family val="2"/>
      </rPr>
      <t>(</t>
    </r>
    <r>
      <rPr>
        <sz val="8"/>
        <rFont val="Arial"/>
        <family val="2"/>
      </rPr>
      <t>€/t CO2, 2020)</t>
    </r>
  </si>
  <si>
    <t>Post closure monitoring (20 years) (€/t CO2, 2020)</t>
  </si>
  <si>
    <t>Guarantees and financial liability  (€/t CO2, 2020)</t>
  </si>
  <si>
    <t>Storage capacity is set to be equivalent to injection rate times technical life time</t>
  </si>
  <si>
    <t>Nominal injection capacity</t>
  </si>
  <si>
    <t xml:space="preserve">Construction time is assumed to be from contract awarded after final investment decision until first injection </t>
  </si>
  <si>
    <t>Technical life time are for all scenarios set to 30 years for easy comparison. However if plants are proper maintained and continuously upgraded higher lifetime can be expected,</t>
  </si>
  <si>
    <t>as an example can be mentioned the Danish refineries which have until now have been in operation since the early 60ties.</t>
  </si>
  <si>
    <t xml:space="preserve">Power consumption includes pumping, CO2 recovery from the storage and a few degrees of heating during winter time when only cold sea water is available for heating </t>
  </si>
  <si>
    <t>Nominal investment includes intermediate storage, pipelines to injection site, injection facilities and wells</t>
  </si>
  <si>
    <t>Decommission cost includes intermediate storage, pipelines to injection site, injection facilities and wells</t>
  </si>
  <si>
    <t>Fixed O&amp;M includes Base organisational and monitoring cost, which are independent day  to day operation</t>
  </si>
  <si>
    <t>Variable O&amp;M cost covers day to day operational and maintenance cost for intermediate storage, injection plant, wells and pipeline</t>
  </si>
  <si>
    <t>Energy cost is based on an average electrical power price of 0.5 DKK/kWh</t>
  </si>
  <si>
    <t xml:space="preserve">Pre-FID cost  includes seismic, appraisal well, baseline studies, FEED and permitting </t>
  </si>
  <si>
    <t>Post closure monitoring cost includes the annual cost and a seismic survey every 5th year</t>
  </si>
  <si>
    <t>For the general development of cost over time an average decrease of 1% per year has been assumed. For the low case 2% and for the high case 0% have been used.</t>
  </si>
  <si>
    <t>Cost of wells are mainly depending on the day rate for drilling rigs, which historical have been fluctuation. For the high cases a additional  well cost of 50% have been used.</t>
  </si>
  <si>
    <t>Onshore Storage (3 Mt/y)</t>
  </si>
  <si>
    <t>Onshore Storage (5 Mt/y)</t>
  </si>
  <si>
    <t>Near shore Storage (1 Mt/y)</t>
  </si>
  <si>
    <t>Technical life time are for all scenarios set to 30 years for easy comparison. However if plants are proper maintained and continuously upgraded higher lifetime can be expected.</t>
  </si>
  <si>
    <t>Nominal investment includes intermediate storage, injection facilities, pipeline to injection platform and wells</t>
  </si>
  <si>
    <t>Decommission cost includes intermediate storage, injection facilities, pipeline to injection platform and wells</t>
  </si>
  <si>
    <t>Variable O&amp;M cost covers day to day operational and maintenance cost for intermediate storage, injection facilities, pipeline to injection platform and wells</t>
  </si>
  <si>
    <t>Near shore Storage (3 Mt/y)</t>
  </si>
  <si>
    <t>Near shore Storage (5 Mt/y)</t>
  </si>
  <si>
    <t>Offshore Storage in depleted oil/gas fields  (1 Mt/y)</t>
  </si>
  <si>
    <t xml:space="preserve">Technical life time are for all scenarios set to 30 years for easy comparison. Remaining life time of the existing offshore facilities varies from installation to installation and could be anything between say 15 and 40 years for the </t>
  </si>
  <si>
    <t>facilities in question. The oldest Danish platforms have now been in operation for 50 years and are still considered safe to operate and as some of the facilities in question are younger this assumption is not considered unrealistic.</t>
  </si>
  <si>
    <t>Nominal investment includes shuttle tanker with injection facilities, loading buoy, pipelines to injection platform, reconfiguration of the wellhead platform and wells</t>
  </si>
  <si>
    <t xml:space="preserve">Decommission cost includes loading buoy and pipelines to injection platform and wells. The decommissioning  of the existing wellhead platform is expected to be covered by the oil/gas production license </t>
  </si>
  <si>
    <t xml:space="preserve">Variable O&amp;M cost covers day to day operational and maintenance cost for injection facilities, loading buoy, pipelines to injection platform, wellhead platform and wells. O&amp;M cost for the shuttle tanker is assumed to  be part of </t>
  </si>
  <si>
    <t>the transportation cost.</t>
  </si>
  <si>
    <t>Energy cost is based on an average green ammonia cost of 450 €/ton.</t>
  </si>
  <si>
    <t>Offshore Storage in depleted oil/gas fields  (3 Mt/y)</t>
  </si>
  <si>
    <t>Nominal investment includes FSU with injection facilities, mooring turret, pipelines to injection platform, reconfiguration of the wellhead platform and wells</t>
  </si>
  <si>
    <t xml:space="preserve">Decommission cost includes mooring turret and pipelines to injection platform and wells. The decommissioning  of the existing wellhead platform is expected to be covered by the oil/gas production license </t>
  </si>
  <si>
    <t>Variable O&amp;M cost covers day to day operational and maintenance cost for FSU with injection facilities, mooring turret, pipelines to injection platform, wellhead platform and wells.</t>
  </si>
  <si>
    <t>Offshore Storage in depleted oil/gas fields  (5 Mt/y)</t>
  </si>
  <si>
    <t>Nominal investment includes FSU with injection facilities, mooring turret, pipelines to injection platform, reconfiguration of the wellhead platform and wells as weel as new wellhead platform and wells</t>
  </si>
  <si>
    <t xml:space="preserve">Decommission cost includes mooring turret and pipelines to injection platform and wells as new wellhead platfrom. The decommissioning  of the existing wellhead platform is expected to be covered by the oil/gas production license </t>
  </si>
  <si>
    <t>Offshore Storage in depleted oil/gas fields  (5 Mt/y) - Re-use existing gas pipeline</t>
  </si>
  <si>
    <t xml:space="preserve">Power consumption includes pumping to pipeline pressure, CO2 recovery from the storage and a few degrees of heating during winter time when only cold sea water is available for heating </t>
  </si>
  <si>
    <t>Nominal investment includes onshore intermediate storage and transfer plant, onshore pipeline, wind turbines, reconfiguration of the wellhead platform and wells</t>
  </si>
  <si>
    <t xml:space="preserve">Decommission cost includes  onshore storage and transfer plant, onshore pipeline, wind turbines, new wellhead platform and wells. </t>
  </si>
  <si>
    <t>The decommissioning  of the existing wellhead platform and offshore gas pipeline is expected to be covered by the oil/gas production license and pipeline operator</t>
  </si>
  <si>
    <t>Variable O&amp;M cost covers day to day operational and maintenance cost for  onshore and offshore pipelines, onshore intermediate storage, transfer plant, wellhead platform and wells.</t>
  </si>
  <si>
    <t>Pre-FID Cost</t>
  </si>
  <si>
    <t>Mill €</t>
  </si>
  <si>
    <t>€/ ton</t>
  </si>
  <si>
    <t>2025 Low</t>
  </si>
  <si>
    <t>2025 High</t>
  </si>
  <si>
    <t>2050 Low</t>
  </si>
  <si>
    <t>2050 High</t>
  </si>
  <si>
    <t xml:space="preserve">2/3D Seismic </t>
  </si>
  <si>
    <t>Mill DKK</t>
  </si>
  <si>
    <t>Baseline Surveys</t>
  </si>
  <si>
    <t xml:space="preserve">Appraisal wells </t>
  </si>
  <si>
    <t>FEED studies</t>
  </si>
  <si>
    <t>Permitting process</t>
  </si>
  <si>
    <t>Total Pre-FID Cost</t>
  </si>
  <si>
    <t>Pre FID (A)</t>
  </si>
  <si>
    <t>CAPEX</t>
  </si>
  <si>
    <t>B1</t>
  </si>
  <si>
    <t xml:space="preserve">Platform </t>
  </si>
  <si>
    <t>B2</t>
  </si>
  <si>
    <t>Intermidiate Storage</t>
  </si>
  <si>
    <t>B3</t>
  </si>
  <si>
    <t>Onshore injection plant</t>
  </si>
  <si>
    <t>B4</t>
  </si>
  <si>
    <t>Pipeline &amp; loading system</t>
  </si>
  <si>
    <t>B5</t>
  </si>
  <si>
    <t>Vessel (inj. Injection plant)</t>
  </si>
  <si>
    <t>B6</t>
  </si>
  <si>
    <t>Wells</t>
  </si>
  <si>
    <t>Total CAPEX</t>
  </si>
  <si>
    <t>Nominal Investment (B)</t>
  </si>
  <si>
    <t>ABEX</t>
  </si>
  <si>
    <t>Decom Cost (C)</t>
  </si>
  <si>
    <t>OPEX</t>
  </si>
  <si>
    <t>D1</t>
  </si>
  <si>
    <t>Base cost</t>
  </si>
  <si>
    <t>Fixed O&amp;M (D1+D9)</t>
  </si>
  <si>
    <t>D2</t>
  </si>
  <si>
    <t>D3</t>
  </si>
  <si>
    <t>D4</t>
  </si>
  <si>
    <t>D5</t>
  </si>
  <si>
    <t>D6</t>
  </si>
  <si>
    <t>D7</t>
  </si>
  <si>
    <t>Vessel &amp; injection plant</t>
  </si>
  <si>
    <t>D8</t>
  </si>
  <si>
    <t>Stanby Vessel</t>
  </si>
  <si>
    <t>Varaible O&amp; M Cost (D2+D3+D4+D5+D6+D7+D8)</t>
  </si>
  <si>
    <t>D9</t>
  </si>
  <si>
    <t>Monitoring</t>
  </si>
  <si>
    <t>D10</t>
  </si>
  <si>
    <t>E-Fuel / Power</t>
  </si>
  <si>
    <t>Variable O&amp;M - Energy (D10)</t>
  </si>
  <si>
    <t>Total OPEX</t>
  </si>
  <si>
    <t>Post Cease of Injection Cost</t>
  </si>
  <si>
    <t>Post-closure monitoring (up to 20 years)</t>
  </si>
  <si>
    <t>Post-closure monitoring (E)</t>
  </si>
  <si>
    <t>Total Post COI  Cost</t>
  </si>
  <si>
    <t xml:space="preserve">Guarantee and financial liability </t>
  </si>
  <si>
    <t>Guarantee and financial liability (F)</t>
  </si>
  <si>
    <t xml:space="preserve">Summary </t>
  </si>
  <si>
    <t xml:space="preserve">CO2 Injection </t>
  </si>
  <si>
    <t>MTon</t>
  </si>
  <si>
    <t>Total Cost</t>
  </si>
  <si>
    <t>Techical life time</t>
  </si>
  <si>
    <t>Years</t>
  </si>
  <si>
    <t>Cost escalation - Low</t>
  </si>
  <si>
    <t>Cost escalation - Nominal</t>
  </si>
  <si>
    <t>Cost escalation - High</t>
  </si>
  <si>
    <t>Offshore injection plant</t>
  </si>
  <si>
    <t>Injection and transfer plant</t>
  </si>
  <si>
    <t>Wind turbine</t>
  </si>
  <si>
    <t>451.2a 1 MTA Nearshore</t>
  </si>
  <si>
    <t>451.1a 1 MTA Onshore</t>
  </si>
  <si>
    <t>451.1b 3 MTA Onshore</t>
  </si>
  <si>
    <t>451.1c 5 MTA Onshore</t>
  </si>
  <si>
    <t>451.2c 5 MTA Nearshore</t>
  </si>
  <si>
    <t>451.2b 3 MTA Nearshore</t>
  </si>
  <si>
    <t>451.3a 1 MTA Offshore</t>
  </si>
  <si>
    <t>451.3b 3 MTA Offshore</t>
  </si>
  <si>
    <t>451.3c 5 MTA Offshore</t>
  </si>
  <si>
    <t>451.3d 5 MTA Offshore - Reuse existing pipeline</t>
  </si>
  <si>
    <t>Input 1 MTA Onshore</t>
  </si>
  <si>
    <t>Input 3 MTA Onshore</t>
  </si>
  <si>
    <t>Input 5 MTA Onshore</t>
  </si>
  <si>
    <t>Input 1 MTA Nearshore</t>
  </si>
  <si>
    <t>Input 3 MTA Nearshore</t>
  </si>
  <si>
    <t>Input 5 MTA Nearshore</t>
  </si>
  <si>
    <t>Input 1 MTA Offshore</t>
  </si>
  <si>
    <t>Input 3 MTA Offshore</t>
  </si>
  <si>
    <t>Input 5 MTA Offshore</t>
  </si>
  <si>
    <t>Input 5 MTA Offshore - Reuse existing pipeline</t>
  </si>
  <si>
    <t>Cost data is in 2020€</t>
  </si>
  <si>
    <t>Financial data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</si>
</sst>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0.00\ &quot;kr.&quot;;[Red]\-#,##0.00\ &quot;kr.&quot;"/>
    <numFmt numFmtId="164" formatCode="0.0"/>
    <numFmt numFmtId="165" formatCode="0.000"/>
    <numFmt numFmtId="166" formatCode="0.0E+00"/>
  </numFmts>
  <fonts count="38" x14ac:knownFonts="1">
    <font>
      <sz val="11"/>
      <color theme="1"/>
      <name val="Calibri"/>
      <family val="2"/>
      <scheme val="minor"/>
    </font>
    <font>
      <sz val="11"/>
      <color theme="1"/>
      <name val="Calibri"/>
      <family val="2"/>
      <scheme val="minor"/>
    </font>
    <font>
      <sz val="9"/>
      <name val="Arial"/>
      <family val="2"/>
    </font>
    <font>
      <sz val="11"/>
      <name val="Calibri"/>
      <family val="2"/>
      <scheme val="minor"/>
    </font>
    <font>
      <u/>
      <sz val="11"/>
      <color theme="10"/>
      <name val="Calibri"/>
      <family val="2"/>
      <scheme val="minor"/>
    </font>
    <font>
      <b/>
      <sz val="11"/>
      <color theme="1"/>
      <name val="Calibri"/>
      <family val="2"/>
      <scheme val="minor"/>
    </font>
    <font>
      <sz val="8"/>
      <name val="Arial"/>
      <family val="2"/>
    </font>
    <font>
      <b/>
      <sz val="11"/>
      <color theme="1"/>
      <name val="Arial"/>
      <family val="2"/>
    </font>
    <font>
      <sz val="10"/>
      <color rgb="FF000000"/>
      <name val="Calibri"/>
      <family val="2"/>
      <scheme val="minor"/>
    </font>
    <font>
      <b/>
      <sz val="15"/>
      <color rgb="FF000000"/>
      <name val="Calibri"/>
      <family val="2"/>
      <scheme val="minor"/>
    </font>
    <font>
      <b/>
      <sz val="10"/>
      <color rgb="FF000000"/>
      <name val="Calibri"/>
      <family val="2"/>
      <scheme val="minor"/>
    </font>
    <font>
      <b/>
      <sz val="10"/>
      <name val="Calibri"/>
      <family val="2"/>
      <scheme val="minor"/>
    </font>
    <font>
      <sz val="8"/>
      <name val="Calibri"/>
      <family val="2"/>
      <scheme val="minor"/>
    </font>
    <font>
      <b/>
      <sz val="8"/>
      <name val="Calibri"/>
      <family val="2"/>
      <scheme val="minor"/>
    </font>
    <font>
      <b/>
      <sz val="9"/>
      <name val="Calibri"/>
      <family val="2"/>
      <scheme val="minor"/>
    </font>
    <font>
      <vertAlign val="subscript"/>
      <sz val="8"/>
      <name val="Calibri"/>
      <family val="2"/>
      <scheme val="minor"/>
    </font>
    <font>
      <b/>
      <i/>
      <sz val="9"/>
      <name val="Calibri"/>
      <family val="2"/>
      <scheme val="minor"/>
    </font>
    <font>
      <sz val="8"/>
      <name val="Symbol"/>
      <family val="1"/>
      <charset val="2"/>
    </font>
    <font>
      <sz val="8"/>
      <color rgb="FFFF0000"/>
      <name val="Calibri"/>
      <family val="2"/>
      <scheme val="minor"/>
    </font>
    <font>
      <b/>
      <sz val="9"/>
      <color indexed="8"/>
      <name val="Calibri"/>
      <family val="2"/>
      <scheme val="minor"/>
    </font>
    <font>
      <b/>
      <sz val="9"/>
      <color theme="1"/>
      <name val="Calibri"/>
      <family val="2"/>
      <scheme val="minor"/>
    </font>
    <font>
      <vertAlign val="subscript"/>
      <sz val="9"/>
      <name val="Arial"/>
      <family val="2"/>
    </font>
    <font>
      <b/>
      <sz val="9"/>
      <name val="Arial"/>
      <family val="2"/>
    </font>
    <font>
      <sz val="8"/>
      <color rgb="FF000000"/>
      <name val="Arial"/>
      <family val="2"/>
    </font>
    <font>
      <sz val="8"/>
      <color theme="1"/>
      <name val="Arial"/>
      <family val="2"/>
    </font>
    <font>
      <b/>
      <sz val="8"/>
      <color rgb="FF000000"/>
      <name val="Arial"/>
      <family val="2"/>
    </font>
    <font>
      <b/>
      <sz val="8"/>
      <color theme="1"/>
      <name val="Arial"/>
      <family val="2"/>
    </font>
    <font>
      <u/>
      <sz val="11"/>
      <color theme="1"/>
      <name val="Calibri"/>
      <family val="2"/>
      <scheme val="minor"/>
    </font>
    <font>
      <b/>
      <sz val="11"/>
      <color rgb="FF0097A7"/>
      <name val="Calibri"/>
      <family val="2"/>
      <scheme val="minor"/>
    </font>
    <font>
      <sz val="9"/>
      <name val="Symbol"/>
      <family val="1"/>
      <charset val="2"/>
    </font>
    <font>
      <vertAlign val="subscript"/>
      <sz val="8"/>
      <name val="Arial"/>
      <family val="2"/>
    </font>
    <font>
      <vertAlign val="superscript"/>
      <sz val="9"/>
      <name val="Arial"/>
      <family val="2"/>
    </font>
    <font>
      <sz val="11"/>
      <color rgb="FF006100"/>
      <name val="Calibri"/>
      <family val="2"/>
      <scheme val="minor"/>
    </font>
    <font>
      <b/>
      <sz val="11"/>
      <color theme="0"/>
      <name val="Calibri"/>
      <family val="2"/>
      <scheme val="minor"/>
    </font>
    <font>
      <b/>
      <sz val="8"/>
      <name val="Arial"/>
      <family val="2"/>
    </font>
    <font>
      <strike/>
      <sz val="8"/>
      <name val="Arial"/>
      <family val="2"/>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00"/>
        <bgColor indexed="64"/>
      </patternFill>
    </fill>
    <fill>
      <patternFill patternType="solid">
        <fgColor rgb="FFC6EFCE"/>
      </patternFill>
    </fill>
    <fill>
      <patternFill patternType="solid">
        <fgColor rgb="FFA5A5A5"/>
      </patternFill>
    </fill>
    <fill>
      <patternFill patternType="solid">
        <fgColor theme="0" tint="-4.9989318521683403E-2"/>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5">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32" fillId="6" borderId="0" applyNumberFormat="0" applyBorder="0" applyAlignment="0" applyProtection="0"/>
    <xf numFmtId="0" fontId="33" fillId="7" borderId="26" applyNumberFormat="0" applyAlignment="0" applyProtection="0"/>
  </cellStyleXfs>
  <cellXfs count="201">
    <xf numFmtId="0" fontId="0" fillId="0" borderId="0" xfId="0"/>
    <xf numFmtId="0" fontId="2" fillId="2" borderId="0" xfId="0" applyFont="1" applyFill="1"/>
    <xf numFmtId="0" fontId="0" fillId="2" borderId="0" xfId="0" applyFill="1"/>
    <xf numFmtId="0" fontId="5" fillId="2" borderId="0" xfId="0" applyFont="1" applyFill="1"/>
    <xf numFmtId="0" fontId="8" fillId="0" borderId="0" xfId="0" applyFont="1"/>
    <xf numFmtId="0" fontId="8" fillId="0" borderId="0" xfId="2" applyFont="1"/>
    <xf numFmtId="0" fontId="9" fillId="0" borderId="0" xfId="0" applyFont="1"/>
    <xf numFmtId="0" fontId="10" fillId="0" borderId="0" xfId="0" applyFont="1"/>
    <xf numFmtId="0" fontId="0" fillId="0" borderId="12" xfId="0" applyBorder="1"/>
    <xf numFmtId="0" fontId="0" fillId="0" borderId="0" xfId="0" applyBorder="1"/>
    <xf numFmtId="0" fontId="0" fillId="0" borderId="13" xfId="0" applyBorder="1"/>
    <xf numFmtId="0" fontId="0" fillId="0" borderId="24" xfId="0" applyBorder="1"/>
    <xf numFmtId="0" fontId="0" fillId="0" borderId="21" xfId="0" applyBorder="1"/>
    <xf numFmtId="0" fontId="0" fillId="0" borderId="4" xfId="0" applyBorder="1"/>
    <xf numFmtId="0" fontId="5" fillId="4" borderId="9" xfId="0" applyFont="1" applyFill="1" applyBorder="1"/>
    <xf numFmtId="0" fontId="5" fillId="4" borderId="10" xfId="0" applyFont="1" applyFill="1" applyBorder="1"/>
    <xf numFmtId="0" fontId="5" fillId="4" borderId="11" xfId="0" applyFont="1" applyFill="1" applyBorder="1"/>
    <xf numFmtId="14" fontId="0" fillId="0" borderId="12" xfId="0" applyNumberFormat="1" applyBorder="1"/>
    <xf numFmtId="0" fontId="0" fillId="0" borderId="0" xfId="0" applyFont="1"/>
    <xf numFmtId="0" fontId="3" fillId="0" borderId="0" xfId="0" applyFont="1"/>
    <xf numFmtId="0" fontId="11" fillId="3" borderId="9" xfId="0" applyFont="1" applyFill="1" applyBorder="1" applyAlignment="1">
      <alignment vertical="center" wrapText="1"/>
    </xf>
    <xf numFmtId="0" fontId="12" fillId="3" borderId="8" xfId="0" applyFont="1" applyFill="1" applyBorder="1" applyAlignment="1">
      <alignment vertical="center" wrapText="1"/>
    </xf>
    <xf numFmtId="0" fontId="13" fillId="3" borderId="8"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8" xfId="0" applyFont="1" applyFill="1" applyBorder="1" applyAlignment="1">
      <alignment vertical="center" wrapText="1"/>
    </xf>
    <xf numFmtId="0" fontId="13" fillId="3" borderId="21" xfId="0" applyFont="1" applyFill="1" applyBorder="1" applyAlignment="1">
      <alignment vertical="center" wrapText="1"/>
    </xf>
    <xf numFmtId="0" fontId="13" fillId="3" borderId="16" xfId="0" applyFont="1" applyFill="1" applyBorder="1" applyAlignment="1">
      <alignment vertical="center" wrapText="1"/>
    </xf>
    <xf numFmtId="0" fontId="13" fillId="3" borderId="16" xfId="0" applyFont="1" applyFill="1" applyBorder="1" applyAlignment="1">
      <alignment horizontal="center" vertical="center" wrapText="1"/>
    </xf>
    <xf numFmtId="0" fontId="13" fillId="3" borderId="5" xfId="0" applyFont="1" applyFill="1" applyBorder="1" applyAlignment="1">
      <alignment vertical="center" wrapText="1"/>
    </xf>
    <xf numFmtId="0" fontId="14" fillId="3" borderId="8" xfId="0" applyFont="1" applyFill="1" applyBorder="1" applyAlignment="1">
      <alignment vertical="center" wrapText="1"/>
    </xf>
    <xf numFmtId="0" fontId="12" fillId="3" borderId="6" xfId="0" applyFont="1" applyFill="1" applyBorder="1" applyAlignment="1">
      <alignment vertical="center" wrapText="1"/>
    </xf>
    <xf numFmtId="0" fontId="12" fillId="3" borderId="6" xfId="0" applyFont="1" applyFill="1" applyBorder="1" applyAlignment="1">
      <alignment horizontal="center" vertical="center" wrapText="1"/>
    </xf>
    <xf numFmtId="49" fontId="16" fillId="3" borderId="25" xfId="0" applyNumberFormat="1" applyFont="1" applyFill="1" applyBorder="1" applyAlignment="1">
      <alignment vertical="center" wrapText="1"/>
    </xf>
    <xf numFmtId="0" fontId="14" fillId="3" borderId="25" xfId="0" applyFont="1" applyFill="1" applyBorder="1" applyAlignment="1">
      <alignment vertical="center" wrapText="1"/>
    </xf>
    <xf numFmtId="0" fontId="12" fillId="3" borderId="7" xfId="0" applyFont="1" applyFill="1" applyBorder="1" applyAlignment="1">
      <alignment vertical="center" wrapText="1"/>
    </xf>
    <xf numFmtId="0" fontId="12" fillId="3" borderId="7" xfId="0" applyFont="1" applyFill="1" applyBorder="1" applyAlignment="1">
      <alignment horizontal="center" vertical="center" wrapText="1"/>
    </xf>
    <xf numFmtId="0" fontId="12" fillId="3" borderId="25" xfId="0" applyFont="1" applyFill="1" applyBorder="1" applyAlignment="1">
      <alignment vertical="center" wrapText="1"/>
    </xf>
    <xf numFmtId="0" fontId="12" fillId="3" borderId="25" xfId="0" applyFont="1" applyFill="1" applyBorder="1" applyAlignment="1">
      <alignment horizontal="center" vertical="center" wrapText="1"/>
    </xf>
    <xf numFmtId="0" fontId="12" fillId="3" borderId="7" xfId="0" applyFont="1" applyFill="1" applyBorder="1" applyAlignment="1">
      <alignment horizontal="left" vertical="center" wrapText="1"/>
    </xf>
    <xf numFmtId="0" fontId="18" fillId="3" borderId="6" xfId="0" applyFont="1" applyFill="1" applyBorder="1" applyAlignment="1">
      <alignment horizontal="center" vertical="center" wrapText="1"/>
    </xf>
    <xf numFmtId="0" fontId="12" fillId="3" borderId="6" xfId="0" applyFont="1" applyFill="1" applyBorder="1" applyAlignment="1">
      <alignment horizontal="left" vertical="center" wrapText="1"/>
    </xf>
    <xf numFmtId="0" fontId="12" fillId="3" borderId="18" xfId="0" applyFont="1" applyFill="1" applyBorder="1" applyAlignment="1">
      <alignment vertical="center" wrapText="1"/>
    </xf>
    <xf numFmtId="0" fontId="14" fillId="3" borderId="6" xfId="0" applyFont="1" applyFill="1" applyBorder="1" applyAlignment="1">
      <alignment vertical="center" wrapText="1"/>
    </xf>
    <xf numFmtId="0" fontId="12" fillId="0" borderId="6" xfId="0" applyFont="1" applyBorder="1" applyAlignment="1">
      <alignment horizontal="center" vertical="center" wrapText="1"/>
    </xf>
    <xf numFmtId="0" fontId="12" fillId="3" borderId="7" xfId="0" quotePrefix="1" applyFont="1" applyFill="1" applyBorder="1" applyAlignment="1">
      <alignment vertical="center" wrapText="1"/>
    </xf>
    <xf numFmtId="0" fontId="3" fillId="0" borderId="6" xfId="0" applyFont="1" applyBorder="1"/>
    <xf numFmtId="0" fontId="14" fillId="3" borderId="16" xfId="0" applyFont="1" applyFill="1" applyBorder="1" applyAlignment="1">
      <alignment vertical="center" wrapText="1"/>
    </xf>
    <xf numFmtId="0" fontId="14" fillId="3" borderId="5" xfId="0" applyFont="1" applyFill="1" applyBorder="1" applyAlignment="1">
      <alignment vertical="center" wrapText="1"/>
    </xf>
    <xf numFmtId="2" fontId="12" fillId="3" borderId="6" xfId="0" applyNumberFormat="1" applyFont="1" applyFill="1" applyBorder="1" applyAlignment="1">
      <alignment horizontal="center" vertical="center" wrapText="1"/>
    </xf>
    <xf numFmtId="0" fontId="12" fillId="0" borderId="0" xfId="0" applyFont="1" applyAlignment="1">
      <alignment vertical="center"/>
    </xf>
    <xf numFmtId="0" fontId="19" fillId="2" borderId="0" xfId="0" applyFont="1" applyFill="1" applyAlignment="1"/>
    <xf numFmtId="0" fontId="12" fillId="0" borderId="0" xfId="0" applyFont="1" applyBorder="1" applyAlignment="1">
      <alignment horizontal="center" vertical="center" wrapText="1"/>
    </xf>
    <xf numFmtId="0" fontId="12" fillId="3" borderId="0" xfId="0" applyFont="1" applyFill="1" applyBorder="1" applyAlignment="1">
      <alignment horizontal="center" vertical="center" wrapText="1"/>
    </xf>
    <xf numFmtId="0" fontId="3" fillId="0" borderId="0" xfId="0" applyFont="1" applyBorder="1"/>
    <xf numFmtId="0" fontId="12" fillId="0" borderId="0" xfId="0" applyFont="1" applyFill="1" applyBorder="1" applyAlignment="1">
      <alignment vertical="center" wrapText="1"/>
    </xf>
    <xf numFmtId="0" fontId="3" fillId="0" borderId="0" xfId="0" applyFont="1" applyFill="1" applyBorder="1"/>
    <xf numFmtId="0" fontId="19" fillId="2" borderId="0" xfId="0" applyFont="1" applyFill="1" applyAlignment="1">
      <alignment vertical="center"/>
    </xf>
    <xf numFmtId="0" fontId="12" fillId="3" borderId="18" xfId="0" applyFont="1" applyFill="1" applyBorder="1" applyAlignment="1">
      <alignment horizontal="center" vertical="center" wrapText="1"/>
    </xf>
    <xf numFmtId="164" fontId="12" fillId="3" borderId="18" xfId="0" applyNumberFormat="1" applyFont="1" applyFill="1" applyBorder="1" applyAlignment="1">
      <alignment horizontal="center" vertical="center" wrapText="1"/>
    </xf>
    <xf numFmtId="8" fontId="3" fillId="0" borderId="0" xfId="0" applyNumberFormat="1" applyFont="1"/>
    <xf numFmtId="49" fontId="16" fillId="3" borderId="24" xfId="0" applyNumberFormat="1" applyFont="1" applyFill="1" applyBorder="1" applyAlignment="1">
      <alignment vertical="center" wrapText="1"/>
    </xf>
    <xf numFmtId="0" fontId="14" fillId="3" borderId="21" xfId="0" applyFont="1" applyFill="1" applyBorder="1" applyAlignment="1">
      <alignment vertical="center" wrapText="1"/>
    </xf>
    <xf numFmtId="0" fontId="14" fillId="3" borderId="4" xfId="0" applyFont="1" applyFill="1" applyBorder="1" applyAlignment="1">
      <alignment vertical="center" wrapText="1"/>
    </xf>
    <xf numFmtId="0" fontId="12" fillId="3" borderId="4" xfId="0" applyFont="1" applyFill="1" applyBorder="1" applyAlignment="1">
      <alignment horizontal="center" vertical="center" wrapText="1"/>
    </xf>
    <xf numFmtId="9" fontId="12" fillId="3" borderId="13" xfId="0" applyNumberFormat="1" applyFont="1" applyFill="1" applyBorder="1" applyAlignment="1">
      <alignment horizontal="center" vertical="center" wrapText="1"/>
    </xf>
    <xf numFmtId="9" fontId="12" fillId="3" borderId="18" xfId="0" applyNumberFormat="1" applyFont="1" applyFill="1" applyBorder="1" applyAlignment="1">
      <alignment horizontal="center" vertical="center" wrapText="1"/>
    </xf>
    <xf numFmtId="9" fontId="12" fillId="3" borderId="6" xfId="0" applyNumberFormat="1" applyFont="1" applyFill="1" applyBorder="1" applyAlignment="1">
      <alignment horizontal="center" vertical="center" wrapText="1"/>
    </xf>
    <xf numFmtId="0" fontId="12" fillId="3" borderId="18" xfId="0" applyFont="1" applyFill="1" applyBorder="1" applyAlignment="1">
      <alignment horizontal="left" vertical="center" wrapText="1"/>
    </xf>
    <xf numFmtId="9" fontId="12" fillId="3" borderId="4" xfId="0" applyNumberFormat="1" applyFont="1" applyFill="1" applyBorder="1" applyAlignment="1">
      <alignment horizontal="center" vertical="center" wrapText="1"/>
    </xf>
    <xf numFmtId="9" fontId="12" fillId="3" borderId="25" xfId="0" applyNumberFormat="1" applyFont="1" applyFill="1" applyBorder="1" applyAlignment="1">
      <alignment horizontal="center" vertical="center" wrapText="1"/>
    </xf>
    <xf numFmtId="9" fontId="12" fillId="3" borderId="4" xfId="1" applyFont="1" applyFill="1" applyBorder="1" applyAlignment="1">
      <alignment horizontal="center" vertical="center" wrapText="1"/>
    </xf>
    <xf numFmtId="2" fontId="12" fillId="3" borderId="5" xfId="0" applyNumberFormat="1" applyFont="1" applyFill="1" applyBorder="1" applyAlignment="1">
      <alignment horizontal="center" vertical="center" wrapText="1"/>
    </xf>
    <xf numFmtId="9" fontId="12" fillId="3" borderId="5" xfId="0" applyNumberFormat="1" applyFont="1" applyFill="1" applyBorder="1" applyAlignment="1">
      <alignment horizontal="center" vertical="center" wrapText="1"/>
    </xf>
    <xf numFmtId="0" fontId="12" fillId="3" borderId="5" xfId="0" applyFont="1" applyFill="1" applyBorder="1" applyAlignment="1">
      <alignment horizontal="center" vertical="center" wrapText="1"/>
    </xf>
    <xf numFmtId="164" fontId="12" fillId="3" borderId="25" xfId="0" applyNumberFormat="1" applyFont="1" applyFill="1" applyBorder="1" applyAlignment="1">
      <alignment horizontal="center" vertical="center" wrapText="1"/>
    </xf>
    <xf numFmtId="2" fontId="12" fillId="3" borderId="25" xfId="0" applyNumberFormat="1" applyFont="1" applyFill="1" applyBorder="1" applyAlignment="1">
      <alignment horizontal="center" vertical="center" wrapText="1"/>
    </xf>
    <xf numFmtId="165" fontId="12" fillId="3" borderId="25" xfId="0" applyNumberFormat="1" applyFont="1" applyFill="1" applyBorder="1" applyAlignment="1">
      <alignment horizontal="center" vertical="center" wrapText="1"/>
    </xf>
    <xf numFmtId="0" fontId="12" fillId="3" borderId="25" xfId="0" applyFont="1" applyFill="1" applyBorder="1" applyAlignment="1">
      <alignment horizontal="center" vertical="center"/>
    </xf>
    <xf numFmtId="0" fontId="3" fillId="0" borderId="7" xfId="0" applyFont="1" applyBorder="1"/>
    <xf numFmtId="0" fontId="18" fillId="3" borderId="18" xfId="0" applyFont="1" applyFill="1" applyBorder="1" applyAlignment="1">
      <alignment horizontal="left" vertical="center" wrapText="1"/>
    </xf>
    <xf numFmtId="0" fontId="13" fillId="3" borderId="0" xfId="0" applyFont="1" applyFill="1" applyAlignment="1">
      <alignment horizontal="center" vertical="center" wrapText="1"/>
    </xf>
    <xf numFmtId="0" fontId="14" fillId="3" borderId="16" xfId="0" applyFont="1" applyFill="1" applyBorder="1" applyAlignment="1">
      <alignment horizontal="center" vertical="center" wrapText="1"/>
    </xf>
    <xf numFmtId="0" fontId="12" fillId="3" borderId="8" xfId="0" applyFont="1" applyFill="1" applyBorder="1" applyAlignment="1">
      <alignment horizontal="left" vertical="center" wrapText="1"/>
    </xf>
    <xf numFmtId="0" fontId="19" fillId="2" borderId="0" xfId="0" applyFont="1" applyFill="1"/>
    <xf numFmtId="164" fontId="12" fillId="3" borderId="6" xfId="0" applyNumberFormat="1" applyFont="1" applyFill="1" applyBorder="1" applyAlignment="1">
      <alignment horizontal="center" vertical="center" wrapText="1"/>
    </xf>
    <xf numFmtId="2" fontId="3" fillId="0" borderId="0" xfId="0" applyNumberFormat="1" applyFont="1"/>
    <xf numFmtId="0" fontId="3" fillId="0" borderId="0" xfId="0" applyFont="1" applyAlignment="1">
      <alignment horizontal="right"/>
    </xf>
    <xf numFmtId="0" fontId="2" fillId="2" borderId="0" xfId="0" applyFont="1" applyFill="1" applyAlignment="1">
      <alignment horizontal="right" vertical="top"/>
    </xf>
    <xf numFmtId="0" fontId="0" fillId="2" borderId="0" xfId="0" applyFill="1" applyAlignment="1">
      <alignment wrapText="1"/>
    </xf>
    <xf numFmtId="0" fontId="2" fillId="2" borderId="0" xfId="0" applyFont="1" applyFill="1" applyAlignment="1">
      <alignment horizontal="right" vertical="top" wrapText="1"/>
    </xf>
    <xf numFmtId="0" fontId="22" fillId="2" borderId="0" xfId="0" applyFont="1" applyFill="1"/>
    <xf numFmtId="0" fontId="2" fillId="2" borderId="0" xfId="0" applyFont="1" applyFill="1" applyAlignment="1">
      <alignment vertical="top" wrapText="1"/>
    </xf>
    <xf numFmtId="0" fontId="23" fillId="2" borderId="23" xfId="0" applyFont="1" applyFill="1" applyBorder="1" applyAlignment="1">
      <alignment horizontal="center" vertical="center" wrapText="1"/>
    </xf>
    <xf numFmtId="0" fontId="24" fillId="2" borderId="19" xfId="0" applyFont="1" applyFill="1" applyBorder="1" applyAlignment="1">
      <alignment vertical="center" wrapText="1"/>
    </xf>
    <xf numFmtId="0" fontId="24" fillId="2" borderId="19" xfId="0" applyFont="1" applyFill="1" applyBorder="1" applyAlignment="1">
      <alignment horizontal="left" vertical="center" wrapText="1" indent="1"/>
    </xf>
    <xf numFmtId="0" fontId="7" fillId="2" borderId="20" xfId="0" applyFont="1" applyFill="1" applyBorder="1" applyAlignment="1">
      <alignment vertical="center" wrapText="1"/>
    </xf>
    <xf numFmtId="166" fontId="23" fillId="2" borderId="23" xfId="0" applyNumberFormat="1" applyFont="1" applyFill="1" applyBorder="1" applyAlignment="1">
      <alignment horizontal="center" vertical="center" wrapText="1"/>
    </xf>
    <xf numFmtId="1" fontId="23" fillId="2" borderId="23" xfId="0" applyNumberFormat="1" applyFont="1" applyFill="1" applyBorder="1" applyAlignment="1">
      <alignment horizontal="center" vertical="center" wrapText="1"/>
    </xf>
    <xf numFmtId="0" fontId="6" fillId="2" borderId="19" xfId="0" applyFont="1" applyFill="1" applyBorder="1" applyAlignment="1">
      <alignment vertical="center" wrapText="1"/>
    </xf>
    <xf numFmtId="0" fontId="6" fillId="2" borderId="23" xfId="0" quotePrefix="1" applyFont="1" applyFill="1" applyBorder="1" applyAlignment="1">
      <alignment horizontal="center" vertical="center" wrapText="1"/>
    </xf>
    <xf numFmtId="1" fontId="0" fillId="2" borderId="0" xfId="0" applyNumberFormat="1" applyFill="1"/>
    <xf numFmtId="164" fontId="23" fillId="2" borderId="23" xfId="0" applyNumberFormat="1"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14" xfId="0" applyFont="1" applyFill="1" applyBorder="1" applyAlignment="1">
      <alignment horizontal="center" vertical="center" wrapText="1"/>
    </xf>
    <xf numFmtId="0" fontId="26" fillId="2" borderId="20" xfId="0" applyFont="1" applyFill="1" applyBorder="1" applyAlignment="1">
      <alignment vertical="center" wrapText="1"/>
    </xf>
    <xf numFmtId="0" fontId="24" fillId="2" borderId="14" xfId="0" applyFont="1" applyFill="1" applyBorder="1" applyAlignment="1">
      <alignment horizontal="center" vertical="center" wrapText="1"/>
    </xf>
    <xf numFmtId="0" fontId="27" fillId="2" borderId="0" xfId="0" applyFont="1" applyFill="1"/>
    <xf numFmtId="0" fontId="7" fillId="2" borderId="1" xfId="0" applyFont="1" applyFill="1" applyBorder="1" applyAlignment="1">
      <alignment vertical="center" wrapText="1"/>
    </xf>
    <xf numFmtId="0" fontId="28" fillId="0" borderId="0" xfId="0" applyFont="1" applyAlignment="1">
      <alignment horizontal="justify" vertical="center"/>
    </xf>
    <xf numFmtId="0" fontId="6" fillId="2" borderId="19" xfId="0" quotePrefix="1" applyFont="1" applyFill="1" applyBorder="1" applyAlignment="1">
      <alignment vertical="center" wrapText="1"/>
    </xf>
    <xf numFmtId="0" fontId="24" fillId="2" borderId="19" xfId="0" quotePrefix="1" applyFont="1" applyFill="1" applyBorder="1" applyAlignment="1">
      <alignment vertical="center" wrapText="1"/>
    </xf>
    <xf numFmtId="0" fontId="0" fillId="2" borderId="0" xfId="0" applyFont="1" applyFill="1"/>
    <xf numFmtId="0" fontId="23" fillId="2" borderId="23" xfId="0" quotePrefix="1" applyFont="1" applyFill="1" applyBorder="1" applyAlignment="1">
      <alignment horizontal="center" vertical="center" wrapText="1"/>
    </xf>
    <xf numFmtId="2" fontId="23" fillId="2" borderId="23" xfId="0" applyNumberFormat="1" applyFont="1" applyFill="1" applyBorder="1" applyAlignment="1">
      <alignment horizontal="center" vertical="center" wrapText="1"/>
    </xf>
    <xf numFmtId="0" fontId="23" fillId="0" borderId="23" xfId="0" applyFont="1" applyFill="1" applyBorder="1" applyAlignment="1">
      <alignment horizontal="center" vertical="center" wrapText="1"/>
    </xf>
    <xf numFmtId="0" fontId="6" fillId="0" borderId="19" xfId="0" quotePrefix="1" applyFont="1" applyFill="1" applyBorder="1" applyAlignment="1">
      <alignment vertical="center" wrapText="1"/>
    </xf>
    <xf numFmtId="1" fontId="23" fillId="2" borderId="23" xfId="0" quotePrefix="1" applyNumberFormat="1" applyFont="1" applyFill="1" applyBorder="1" applyAlignment="1">
      <alignment horizontal="center" vertical="center" wrapText="1"/>
    </xf>
    <xf numFmtId="0" fontId="1" fillId="0" borderId="0" xfId="2" applyFont="1"/>
    <xf numFmtId="0" fontId="34" fillId="8" borderId="0" xfId="0" applyFont="1" applyFill="1" applyBorder="1" applyAlignment="1">
      <alignment vertical="center"/>
    </xf>
    <xf numFmtId="0" fontId="34" fillId="8" borderId="8" xfId="0" applyFont="1" applyFill="1" applyBorder="1" applyAlignment="1">
      <alignment horizontal="centerContinuous" vertical="center"/>
    </xf>
    <xf numFmtId="0" fontId="34" fillId="8" borderId="16" xfId="0" applyFont="1" applyFill="1" applyBorder="1" applyAlignment="1">
      <alignment horizontal="centerContinuous" vertical="center"/>
    </xf>
    <xf numFmtId="0" fontId="34" fillId="8" borderId="16" xfId="0" applyFont="1" applyFill="1" applyBorder="1" applyAlignment="1">
      <alignment horizontal="center" vertical="center"/>
    </xf>
    <xf numFmtId="0" fontId="34" fillId="8" borderId="5" xfId="0" applyFont="1" applyFill="1" applyBorder="1" applyAlignment="1">
      <alignment horizontal="centerContinuous" vertical="center"/>
    </xf>
    <xf numFmtId="0" fontId="6" fillId="8" borderId="0" xfId="0" applyFont="1" applyFill="1" applyBorder="1" applyAlignment="1">
      <alignment vertical="center"/>
    </xf>
    <xf numFmtId="0" fontId="34" fillId="8" borderId="6" xfId="0" applyFont="1" applyFill="1" applyBorder="1" applyAlignment="1">
      <alignment horizontal="center" vertical="center"/>
    </xf>
    <xf numFmtId="0" fontId="34" fillId="8" borderId="7" xfId="0" applyFont="1" applyFill="1" applyBorder="1" applyAlignment="1">
      <alignment horizontal="center" vertical="center"/>
    </xf>
    <xf numFmtId="0" fontId="34" fillId="8" borderId="21" xfId="0" applyFont="1" applyFill="1" applyBorder="1" applyAlignment="1">
      <alignment vertical="center"/>
    </xf>
    <xf numFmtId="0" fontId="6" fillId="8" borderId="21" xfId="0" applyFont="1" applyFill="1" applyBorder="1" applyAlignment="1">
      <alignment vertical="center"/>
    </xf>
    <xf numFmtId="0" fontId="34" fillId="8" borderId="0" xfId="0" applyFont="1" applyFill="1" applyBorder="1" applyAlignment="1">
      <alignment horizontal="center" vertical="center"/>
    </xf>
    <xf numFmtId="0" fontId="34" fillId="0" borderId="0" xfId="0" applyFont="1" applyFill="1" applyBorder="1" applyAlignment="1">
      <alignment vertical="center"/>
    </xf>
    <xf numFmtId="0" fontId="34" fillId="0" borderId="0"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quotePrefix="1" applyFont="1" applyFill="1" applyBorder="1" applyAlignment="1">
      <alignment horizontal="center" vertical="center"/>
    </xf>
    <xf numFmtId="2" fontId="6" fillId="0" borderId="0" xfId="0" applyNumberFormat="1" applyFont="1" applyFill="1" applyBorder="1" applyAlignment="1">
      <alignment vertical="center"/>
    </xf>
    <xf numFmtId="0" fontId="3" fillId="0" borderId="0" xfId="0" applyFont="1" applyAlignment="1"/>
    <xf numFmtId="0" fontId="3" fillId="0" borderId="0" xfId="0" applyFont="1" applyAlignment="1">
      <alignment horizontal="center"/>
    </xf>
    <xf numFmtId="0" fontId="34" fillId="0" borderId="0" xfId="0" applyFont="1" applyAlignment="1"/>
    <xf numFmtId="0" fontId="12" fillId="0" borderId="0" xfId="0" applyFont="1" applyAlignment="1"/>
    <xf numFmtId="0" fontId="36" fillId="0" borderId="0" xfId="0" applyFont="1"/>
    <xf numFmtId="0" fontId="34" fillId="0" borderId="0" xfId="0" applyFont="1" applyAlignment="1">
      <alignment horizontal="center"/>
    </xf>
    <xf numFmtId="0" fontId="6" fillId="0" borderId="0" xfId="0" applyFont="1" applyAlignment="1"/>
    <xf numFmtId="2" fontId="36" fillId="0" borderId="0" xfId="0" applyNumberFormat="1" applyFont="1"/>
    <xf numFmtId="0" fontId="5" fillId="0" borderId="15" xfId="0" applyFont="1" applyBorder="1"/>
    <xf numFmtId="0" fontId="0" fillId="0" borderId="27" xfId="0" applyBorder="1"/>
    <xf numFmtId="0" fontId="0" fillId="0" borderId="22" xfId="0" applyBorder="1"/>
    <xf numFmtId="0" fontId="0" fillId="0" borderId="15" xfId="0" applyBorder="1"/>
    <xf numFmtId="0" fontId="0" fillId="0" borderId="28" xfId="0" applyBorder="1" applyAlignment="1">
      <alignment horizontal="left" indent="3"/>
    </xf>
    <xf numFmtId="0" fontId="0" fillId="0" borderId="29" xfId="0" applyBorder="1"/>
    <xf numFmtId="164" fontId="0" fillId="0" borderId="28" xfId="0" applyNumberFormat="1" applyBorder="1"/>
    <xf numFmtId="0" fontId="37" fillId="0" borderId="28" xfId="0" applyFont="1" applyBorder="1" applyAlignment="1">
      <alignment horizontal="left"/>
    </xf>
    <xf numFmtId="0" fontId="37" fillId="0" borderId="0" xfId="0" applyFont="1" applyBorder="1"/>
    <xf numFmtId="0" fontId="37" fillId="0" borderId="29" xfId="0" applyFont="1" applyBorder="1"/>
    <xf numFmtId="164" fontId="37" fillId="0" borderId="28" xfId="0" applyNumberFormat="1" applyFont="1" applyBorder="1"/>
    <xf numFmtId="164" fontId="0" fillId="0" borderId="0" xfId="0" applyNumberFormat="1"/>
    <xf numFmtId="2" fontId="33" fillId="7" borderId="26" xfId="4" applyNumberFormat="1"/>
    <xf numFmtId="2" fontId="0" fillId="0" borderId="0" xfId="0" applyNumberFormat="1"/>
    <xf numFmtId="0" fontId="0" fillId="0" borderId="20" xfId="0" applyBorder="1"/>
    <xf numFmtId="0" fontId="0" fillId="0" borderId="14" xfId="0" applyBorder="1"/>
    <xf numFmtId="0" fontId="0" fillId="0" borderId="23" xfId="0" applyBorder="1"/>
    <xf numFmtId="164" fontId="0" fillId="0" borderId="20" xfId="0" applyNumberFormat="1" applyBorder="1"/>
    <xf numFmtId="164" fontId="0" fillId="0" borderId="15" xfId="0" applyNumberFormat="1" applyBorder="1"/>
    <xf numFmtId="2" fontId="0" fillId="5" borderId="0" xfId="0" applyNumberFormat="1" applyFill="1"/>
    <xf numFmtId="0" fontId="5" fillId="0" borderId="28" xfId="0" applyFont="1" applyBorder="1"/>
    <xf numFmtId="1" fontId="37" fillId="0" borderId="0" xfId="0" applyNumberFormat="1" applyFont="1" applyBorder="1"/>
    <xf numFmtId="0" fontId="0" fillId="0" borderId="28" xfId="0" applyBorder="1"/>
    <xf numFmtId="1" fontId="0" fillId="0" borderId="0" xfId="0" applyNumberFormat="1" applyBorder="1"/>
    <xf numFmtId="1" fontId="37" fillId="0" borderId="28" xfId="0" applyNumberFormat="1" applyFont="1" applyBorder="1"/>
    <xf numFmtId="0" fontId="33" fillId="7" borderId="26" xfId="4"/>
    <xf numFmtId="1" fontId="0" fillId="0" borderId="28" xfId="0" applyNumberFormat="1" applyBorder="1"/>
    <xf numFmtId="164" fontId="32" fillId="6" borderId="0" xfId="3" applyNumberFormat="1"/>
    <xf numFmtId="9" fontId="0" fillId="0" borderId="0" xfId="0" applyNumberFormat="1"/>
    <xf numFmtId="164" fontId="0" fillId="0" borderId="0" xfId="0" applyNumberFormat="1" applyBorder="1"/>
    <xf numFmtId="0" fontId="0" fillId="0" borderId="0" xfId="0" applyFill="1" applyBorder="1"/>
    <xf numFmtId="0" fontId="0" fillId="0" borderId="0" xfId="0" applyFill="1"/>
    <xf numFmtId="0" fontId="9" fillId="0" borderId="0" xfId="0" applyFont="1" applyAlignment="1">
      <alignment horizontal="left" vertical="top" wrapText="1"/>
    </xf>
    <xf numFmtId="0" fontId="20" fillId="3" borderId="8" xfId="2"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2" fillId="2" borderId="0" xfId="0" applyFont="1" applyFill="1" applyAlignment="1">
      <alignment vertical="top" wrapText="1"/>
    </xf>
    <xf numFmtId="0" fontId="20" fillId="2" borderId="2" xfId="2" applyFont="1" applyFill="1" applyBorder="1" applyAlignment="1">
      <alignment horizontal="center" vertical="center" wrapText="1"/>
    </xf>
    <xf numFmtId="0" fontId="26" fillId="2" borderId="2"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24" fillId="2" borderId="17" xfId="0" applyFont="1" applyFill="1" applyBorder="1" applyAlignment="1">
      <alignment vertical="center" wrapText="1"/>
    </xf>
    <xf numFmtId="0" fontId="24" fillId="2" borderId="19" xfId="0" applyFont="1" applyFill="1" applyBorder="1" applyAlignment="1">
      <alignment vertical="center" wrapText="1"/>
    </xf>
    <xf numFmtId="0" fontId="23" fillId="2" borderId="17" xfId="0" applyFont="1" applyFill="1" applyBorder="1" applyAlignment="1">
      <alignment horizontal="center" vertical="center" wrapText="1"/>
    </xf>
    <xf numFmtId="0" fontId="23" fillId="2" borderId="19"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22" xfId="0" applyFont="1" applyFill="1" applyBorder="1" applyAlignment="1">
      <alignment horizontal="center" vertical="center" wrapText="1"/>
    </xf>
    <xf numFmtId="0" fontId="23" fillId="2" borderId="20"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2" fillId="2" borderId="0" xfId="0" applyFont="1" applyFill="1" applyAlignment="1">
      <alignment vertical="center" wrapText="1"/>
    </xf>
  </cellXfs>
  <cellStyles count="5">
    <cellStyle name="Check Cell" xfId="4" builtinId="23"/>
    <cellStyle name="Good" xfId="3" builtinId="26"/>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552449</xdr:colOff>
      <xdr:row>1</xdr:row>
      <xdr:rowOff>171450</xdr:rowOff>
    </xdr:from>
    <xdr:to>
      <xdr:col>5</xdr:col>
      <xdr:colOff>3596640</xdr:colOff>
      <xdr:row>5</xdr:row>
      <xdr:rowOff>57149</xdr:rowOff>
    </xdr:to>
    <xdr:sp macro="" textlink="">
      <xdr:nvSpPr>
        <xdr:cNvPr id="2" name="Tekstboks 2"/>
        <xdr:cNvSpPr txBox="1"/>
      </xdr:nvSpPr>
      <xdr:spPr>
        <a:xfrm>
          <a:off x="3105149" y="422910"/>
          <a:ext cx="5955031" cy="617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row r="3">
          <cell r="D3" t="str">
            <v>Toluene</v>
          </cell>
        </row>
      </sheetData>
      <sheetData sheetId="4"/>
      <sheetData sheetId="5"/>
      <sheetData sheetId="6"/>
      <sheetData sheetId="7">
        <row r="34">
          <cell r="D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row r="7">
          <cell r="B7">
            <v>1.1599999999999999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K31"/>
  <sheetViews>
    <sheetView showGridLines="0" tabSelected="1" workbookViewId="0">
      <selection activeCell="A2" sqref="A2"/>
    </sheetView>
  </sheetViews>
  <sheetFormatPr defaultRowHeight="14.4" x14ac:dyDescent="0.3"/>
  <cols>
    <col min="1" max="1" width="28.33203125" style="4" bestFit="1" customWidth="1"/>
    <col min="4" max="4" width="10.44140625" customWidth="1"/>
    <col min="5" max="5" width="23.109375" customWidth="1"/>
    <col min="6" max="6" width="98.5546875" customWidth="1"/>
  </cols>
  <sheetData>
    <row r="1" spans="1:11" s="6" customFormat="1" ht="19.8" x14ac:dyDescent="0.4">
      <c r="A1" s="7" t="s">
        <v>28</v>
      </c>
      <c r="D1" s="177" t="s">
        <v>163</v>
      </c>
      <c r="E1" s="177"/>
      <c r="F1" s="177"/>
      <c r="G1" s="177"/>
      <c r="H1" s="177"/>
      <c r="I1" s="177"/>
      <c r="J1" s="177"/>
      <c r="K1" s="177"/>
    </row>
    <row r="2" spans="1:11" x14ac:dyDescent="0.3">
      <c r="A2" s="5" t="s">
        <v>157</v>
      </c>
      <c r="D2" s="176" t="s">
        <v>397</v>
      </c>
      <c r="E2" s="176"/>
    </row>
    <row r="3" spans="1:11" x14ac:dyDescent="0.3">
      <c r="A3" s="5" t="s">
        <v>158</v>
      </c>
    </row>
    <row r="4" spans="1:11" x14ac:dyDescent="0.3">
      <c r="A4" s="5" t="s">
        <v>159</v>
      </c>
    </row>
    <row r="5" spans="1:11" x14ac:dyDescent="0.3">
      <c r="A5" s="5" t="s">
        <v>160</v>
      </c>
    </row>
    <row r="6" spans="1:11" x14ac:dyDescent="0.3">
      <c r="A6" s="5" t="s">
        <v>161</v>
      </c>
    </row>
    <row r="7" spans="1:11" x14ac:dyDescent="0.3">
      <c r="A7" s="5" t="s">
        <v>162</v>
      </c>
      <c r="D7" s="14" t="s">
        <v>29</v>
      </c>
      <c r="E7" s="15" t="s">
        <v>30</v>
      </c>
      <c r="F7" s="15" t="s">
        <v>31</v>
      </c>
      <c r="G7" s="16" t="s">
        <v>25</v>
      </c>
    </row>
    <row r="8" spans="1:11" x14ac:dyDescent="0.3">
      <c r="A8" s="119" t="s">
        <v>228</v>
      </c>
      <c r="D8" s="17">
        <v>44501</v>
      </c>
      <c r="E8" s="9"/>
      <c r="F8" s="9" t="s">
        <v>164</v>
      </c>
      <c r="G8" s="10"/>
    </row>
    <row r="9" spans="1:11" x14ac:dyDescent="0.3">
      <c r="A9" s="119" t="s">
        <v>229</v>
      </c>
      <c r="D9" s="8"/>
      <c r="E9" s="9"/>
      <c r="F9" s="9"/>
      <c r="G9" s="10"/>
    </row>
    <row r="10" spans="1:11" x14ac:dyDescent="0.3">
      <c r="A10" s="119" t="s">
        <v>230</v>
      </c>
      <c r="D10" s="8"/>
      <c r="E10" s="9"/>
      <c r="F10" s="9"/>
      <c r="G10" s="10"/>
    </row>
    <row r="11" spans="1:11" x14ac:dyDescent="0.3">
      <c r="A11" s="119" t="s">
        <v>231</v>
      </c>
      <c r="D11" s="8"/>
      <c r="E11" s="9"/>
      <c r="F11" s="9"/>
      <c r="G11" s="10"/>
    </row>
    <row r="12" spans="1:11" x14ac:dyDescent="0.3">
      <c r="A12" s="119" t="s">
        <v>378</v>
      </c>
      <c r="D12" s="8"/>
      <c r="E12" s="9"/>
      <c r="F12" s="9"/>
      <c r="G12" s="10"/>
    </row>
    <row r="13" spans="1:11" x14ac:dyDescent="0.3">
      <c r="A13" s="119" t="s">
        <v>379</v>
      </c>
      <c r="D13" s="11"/>
      <c r="E13" s="12"/>
      <c r="F13" s="12"/>
      <c r="G13" s="13"/>
    </row>
    <row r="14" spans="1:11" x14ac:dyDescent="0.3">
      <c r="A14" s="119" t="s">
        <v>380</v>
      </c>
    </row>
    <row r="15" spans="1:11" x14ac:dyDescent="0.3">
      <c r="A15" s="119" t="s">
        <v>377</v>
      </c>
    </row>
    <row r="16" spans="1:11" x14ac:dyDescent="0.3">
      <c r="A16" s="119" t="s">
        <v>382</v>
      </c>
    </row>
    <row r="17" spans="1:1" x14ac:dyDescent="0.3">
      <c r="A17" s="119" t="s">
        <v>381</v>
      </c>
    </row>
    <row r="18" spans="1:1" x14ac:dyDescent="0.3">
      <c r="A18" s="119" t="s">
        <v>383</v>
      </c>
    </row>
    <row r="19" spans="1:1" x14ac:dyDescent="0.3">
      <c r="A19" s="119" t="s">
        <v>384</v>
      </c>
    </row>
    <row r="20" spans="1:1" x14ac:dyDescent="0.3">
      <c r="A20" s="119" t="s">
        <v>385</v>
      </c>
    </row>
    <row r="21" spans="1:1" x14ac:dyDescent="0.3">
      <c r="A21" s="119" t="s">
        <v>386</v>
      </c>
    </row>
    <row r="22" spans="1:1" x14ac:dyDescent="0.3">
      <c r="A22" s="119" t="s">
        <v>387</v>
      </c>
    </row>
    <row r="23" spans="1:1" x14ac:dyDescent="0.3">
      <c r="A23" s="119" t="s">
        <v>388</v>
      </c>
    </row>
    <row r="24" spans="1:1" x14ac:dyDescent="0.3">
      <c r="A24" s="119" t="s">
        <v>389</v>
      </c>
    </row>
    <row r="25" spans="1:1" x14ac:dyDescent="0.3">
      <c r="A25" s="119" t="s">
        <v>390</v>
      </c>
    </row>
    <row r="26" spans="1:1" x14ac:dyDescent="0.3">
      <c r="A26" s="119" t="s">
        <v>391</v>
      </c>
    </row>
    <row r="27" spans="1:1" x14ac:dyDescent="0.3">
      <c r="A27" s="119" t="s">
        <v>392</v>
      </c>
    </row>
    <row r="28" spans="1:1" x14ac:dyDescent="0.3">
      <c r="A28" s="119" t="s">
        <v>393</v>
      </c>
    </row>
    <row r="29" spans="1:1" x14ac:dyDescent="0.3">
      <c r="A29" s="119" t="s">
        <v>394</v>
      </c>
    </row>
    <row r="30" spans="1:1" x14ac:dyDescent="0.3">
      <c r="A30" s="119" t="s">
        <v>395</v>
      </c>
    </row>
    <row r="31" spans="1:1" x14ac:dyDescent="0.3">
      <c r="A31" s="119" t="s">
        <v>396</v>
      </c>
    </row>
  </sheetData>
  <mergeCells count="1">
    <mergeCell ref="D1:K1"/>
  </mergeCells>
  <hyperlinks>
    <hyperlink ref="A2" location="sheet33" display="401.a Post comb - small CHP"/>
    <hyperlink ref="A3" location="sheet34" display="401.b Post comb - Large biomass"/>
    <hyperlink ref="A4" location="sheet35" display="401.c Post comb - Cement kiln"/>
    <hyperlink ref="A5" location="sheet36" display="402.a Oxy-fuel- Large Biomass"/>
    <hyperlink ref="A6" location="sheet37" display="402.b Oxy-fuel Cement"/>
    <hyperlink ref="A7" location="sheet38" display="403.a Direct air capture"/>
    <hyperlink ref="A8" location="'421 co2 pipeline'!A1" display="421 co2 pipeline"/>
    <hyperlink ref="A9" location="'422 co2 road transport'!A1" display="422 co2 road transport"/>
    <hyperlink ref="A10" location="'423 co2 ship transport'!A1" display="423 co2 ship transport"/>
    <hyperlink ref="A11" location="'co2 terminals'!A1" display="co2 terminals"/>
    <hyperlink ref="A12" location="'451.1a 1 MTA Onshore'!Print_Area" display="451.1a 1 MTA Onshore"/>
    <hyperlink ref="A13" location="'451.1b 3 MTA Onshore'!Print_Area" display="451.1b 3 MTA Onshore"/>
    <hyperlink ref="A14" location="'451.1c 5 MTA Onshore'!Print_Area" display="451.1c 5 MTA Onshore"/>
    <hyperlink ref="A15" location="'451.2a 1 MTA Near shore '!Print_Area" display="451.2a 1 MTA Nearshore"/>
    <hyperlink ref="A16" location="'451.2b 3 MTA Near shore '!Print_Area" display="451.2b 3 MTA Nearshore"/>
    <hyperlink ref="A17" location="'451.2c MTA Near shore'!Print_Area" display="451.2c 5 MTA Nearshore"/>
    <hyperlink ref="A18" location="'451.3a 1 MTA Offshore'!Print_Area" display="451.3a 1 MTA Offshore"/>
    <hyperlink ref="A19" location="'451.3b 3 MTA Offshore '!Print_Area" display="451.3b 3 MTA Offshore"/>
    <hyperlink ref="A20" location="'451.3c 5 MTA Offshore'!Print_Area" display="451.3c 5 MTA Offshore"/>
    <hyperlink ref="A21" location="'451.3d 5 MTA Offshore - Reuse'!Print_Area" display="451.3d 5 MTA Offshore - Reuse existing pipeline"/>
    <hyperlink ref="A22" location="'Input 1 MTA Onshore'!A1" display="Input 1 MTA Onshore"/>
    <hyperlink ref="A23" location="'Input 3 MTA Onshore'!A1" display="Input 3 MTA Onshore"/>
    <hyperlink ref="A24" location="'Input 5 MTA Onshore'!A1" display="Input 5 MTA Onshore"/>
    <hyperlink ref="A25" location="'Input 1 MTA  Near shore'!A1" display="Input 1 MTA Nearshore"/>
    <hyperlink ref="A26" location="'Input 3 MTA  Near shore'!A1" display="Input 3 MTA Nearshore"/>
    <hyperlink ref="A27" location="'Input 5 MTA  Near shore'!A1" display="Input 5 MTA Nearshore"/>
    <hyperlink ref="A28" location="'Input 1 MTA  Offshore'!A1" display="Input 1 MTA Offshore"/>
    <hyperlink ref="A29" location="'Input 3MTA  Offshore'!A1" display="Input 3 MTA Offshore"/>
    <hyperlink ref="A30" location="'Input 5 MTA  Offshore'!A1" display="Input 5 MTA Offshore"/>
    <hyperlink ref="A31" location="'Input 5 MTA Offshore - Reuse'!A1" display="Input 5 MTA Offshore - Reuse existing pipeline"/>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Normal="100" workbookViewId="0">
      <selection activeCell="B1" sqref="B1"/>
    </sheetView>
  </sheetViews>
  <sheetFormatPr defaultColWidth="9.33203125" defaultRowHeight="14.4" x14ac:dyDescent="0.3"/>
  <cols>
    <col min="1" max="1" width="2.33203125" style="2" bestFit="1" customWidth="1"/>
    <col min="2" max="2" width="41" style="2" customWidth="1"/>
    <col min="3" max="5" width="9.33203125" style="2"/>
    <col min="6" max="7" width="10" style="2" bestFit="1" customWidth="1"/>
    <col min="8" max="9" width="9.33203125" style="2"/>
    <col min="10" max="10" width="12.5546875" style="2" customWidth="1"/>
    <col min="11" max="12" width="9.33203125" style="2"/>
    <col min="13" max="13" width="32.33203125" style="2" customWidth="1"/>
    <col min="14" max="14" width="29.33203125" style="2" customWidth="1"/>
    <col min="15" max="17" width="9.33203125" style="2"/>
    <col min="18" max="18" width="30.6640625" style="2" customWidth="1"/>
    <col min="19" max="19" width="29.33203125" style="2" customWidth="1"/>
    <col min="20" max="16384" width="9.33203125" style="2"/>
  </cols>
  <sheetData>
    <row r="1" spans="2:18" ht="15" thickBot="1" x14ac:dyDescent="0.35">
      <c r="B1" s="110"/>
    </row>
    <row r="2" spans="2:18" ht="15" thickBot="1" x14ac:dyDescent="0.35">
      <c r="B2" s="109" t="s">
        <v>0</v>
      </c>
      <c r="C2" s="187" t="s">
        <v>216</v>
      </c>
      <c r="D2" s="198"/>
      <c r="E2" s="198"/>
      <c r="F2" s="198"/>
      <c r="G2" s="198"/>
      <c r="H2" s="198"/>
      <c r="I2" s="198"/>
      <c r="J2" s="198"/>
      <c r="K2" s="199"/>
      <c r="M2" s="108"/>
      <c r="R2" s="113"/>
    </row>
    <row r="3" spans="2:18" x14ac:dyDescent="0.3">
      <c r="B3" s="190"/>
      <c r="C3" s="192">
        <v>2020</v>
      </c>
      <c r="D3" s="192">
        <v>2030</v>
      </c>
      <c r="E3" s="192">
        <v>2050</v>
      </c>
      <c r="F3" s="194" t="s">
        <v>189</v>
      </c>
      <c r="G3" s="195"/>
      <c r="H3" s="194" t="s">
        <v>1</v>
      </c>
      <c r="I3" s="195"/>
      <c r="J3" s="192" t="s">
        <v>2</v>
      </c>
      <c r="K3" s="192" t="s">
        <v>3</v>
      </c>
      <c r="R3" s="113"/>
    </row>
    <row r="4" spans="2:18" ht="15" thickBot="1" x14ac:dyDescent="0.35">
      <c r="B4" s="191"/>
      <c r="C4" s="193"/>
      <c r="D4" s="193"/>
      <c r="E4" s="193"/>
      <c r="F4" s="196"/>
      <c r="G4" s="197"/>
      <c r="H4" s="196"/>
      <c r="I4" s="197"/>
      <c r="J4" s="193"/>
      <c r="K4" s="193"/>
      <c r="R4" s="113"/>
    </row>
    <row r="5" spans="2:18" ht="15" thickBot="1" x14ac:dyDescent="0.35">
      <c r="B5" s="97" t="s">
        <v>6</v>
      </c>
      <c r="C5" s="105"/>
      <c r="D5" s="105"/>
      <c r="E5" s="105"/>
      <c r="F5" s="107" t="s">
        <v>4</v>
      </c>
      <c r="G5" s="107" t="s">
        <v>5</v>
      </c>
      <c r="H5" s="107" t="s">
        <v>4</v>
      </c>
      <c r="I5" s="107" t="s">
        <v>5</v>
      </c>
      <c r="J5" s="105"/>
      <c r="K5" s="104"/>
      <c r="P5" s="113"/>
    </row>
    <row r="6" spans="2:18" ht="15" thickBot="1" x14ac:dyDescent="0.35">
      <c r="B6" s="95" t="s">
        <v>215</v>
      </c>
      <c r="C6" s="99">
        <v>90</v>
      </c>
      <c r="D6" s="99">
        <v>90</v>
      </c>
      <c r="E6" s="99">
        <v>80</v>
      </c>
      <c r="F6" s="94">
        <v>80</v>
      </c>
      <c r="G6" s="94">
        <v>200</v>
      </c>
      <c r="H6" s="94">
        <v>60</v>
      </c>
      <c r="I6" s="94">
        <v>160</v>
      </c>
      <c r="J6" s="94" t="s">
        <v>7</v>
      </c>
      <c r="K6" s="94">
        <v>1</v>
      </c>
      <c r="P6" s="113"/>
    </row>
    <row r="7" spans="2:18" ht="15" thickBot="1" x14ac:dyDescent="0.35">
      <c r="B7" s="95" t="s">
        <v>214</v>
      </c>
      <c r="C7" s="114">
        <v>180</v>
      </c>
      <c r="D7" s="118">
        <v>180</v>
      </c>
      <c r="E7" s="118">
        <v>150</v>
      </c>
      <c r="F7" s="114">
        <v>160</v>
      </c>
      <c r="G7" s="114">
        <v>280</v>
      </c>
      <c r="H7" s="114">
        <v>140</v>
      </c>
      <c r="I7" s="114">
        <v>240</v>
      </c>
      <c r="J7" s="94" t="s">
        <v>7</v>
      </c>
      <c r="K7" s="94">
        <v>1</v>
      </c>
      <c r="P7" s="113"/>
    </row>
    <row r="8" spans="2:18" ht="15" thickBot="1" x14ac:dyDescent="0.35">
      <c r="B8" s="95" t="s">
        <v>213</v>
      </c>
      <c r="C8" s="94">
        <v>40</v>
      </c>
      <c r="D8" s="94">
        <v>40</v>
      </c>
      <c r="E8" s="94">
        <v>40</v>
      </c>
      <c r="F8" s="94"/>
      <c r="G8" s="94"/>
      <c r="H8" s="94"/>
      <c r="I8" s="94"/>
      <c r="J8" s="94"/>
      <c r="K8" s="94">
        <v>2</v>
      </c>
    </row>
    <row r="9" spans="2:18" ht="15" thickBot="1" x14ac:dyDescent="0.35">
      <c r="B9" s="112" t="s">
        <v>11</v>
      </c>
      <c r="C9" s="94">
        <v>2</v>
      </c>
      <c r="D9" s="94">
        <v>2</v>
      </c>
      <c r="E9" s="94">
        <v>2</v>
      </c>
      <c r="F9" s="94">
        <v>1.5</v>
      </c>
      <c r="G9" s="94">
        <v>2.5</v>
      </c>
      <c r="H9" s="94">
        <v>1.5</v>
      </c>
      <c r="I9" s="94">
        <v>2.5</v>
      </c>
      <c r="J9" s="94"/>
      <c r="K9" s="94"/>
    </row>
    <row r="10" spans="2:18" ht="15" thickBot="1" x14ac:dyDescent="0.35">
      <c r="B10" s="95"/>
      <c r="C10" s="94"/>
      <c r="D10" s="94"/>
      <c r="E10" s="94"/>
      <c r="F10" s="94"/>
      <c r="G10" s="94"/>
      <c r="H10" s="94"/>
      <c r="I10" s="94"/>
      <c r="J10" s="94"/>
      <c r="K10" s="94"/>
    </row>
    <row r="11" spans="2:18" ht="15" thickBot="1" x14ac:dyDescent="0.35">
      <c r="B11" s="97" t="s">
        <v>398</v>
      </c>
      <c r="C11" s="105"/>
      <c r="D11" s="105"/>
      <c r="E11" s="105"/>
      <c r="F11" s="105"/>
      <c r="G11" s="105"/>
      <c r="H11" s="105"/>
      <c r="I11" s="105"/>
      <c r="J11" s="105"/>
      <c r="K11" s="104"/>
    </row>
    <row r="12" spans="2:18" ht="15" thickBot="1" x14ac:dyDescent="0.35">
      <c r="B12" s="117" t="s">
        <v>212</v>
      </c>
      <c r="C12" s="116">
        <v>10000</v>
      </c>
      <c r="D12" s="116">
        <v>9500</v>
      </c>
      <c r="E12" s="116">
        <v>8000</v>
      </c>
      <c r="F12" s="116">
        <v>7000</v>
      </c>
      <c r="G12" s="116">
        <v>13000</v>
      </c>
      <c r="H12" s="116">
        <v>5000</v>
      </c>
      <c r="I12" s="116">
        <v>10000</v>
      </c>
      <c r="J12" s="116" t="s">
        <v>15</v>
      </c>
      <c r="K12" s="116">
        <v>3</v>
      </c>
    </row>
    <row r="13" spans="2:18" ht="15" customHeight="1" thickBot="1" x14ac:dyDescent="0.35">
      <c r="B13" s="117" t="s">
        <v>211</v>
      </c>
      <c r="C13" s="116">
        <v>6500</v>
      </c>
      <c r="D13" s="116">
        <v>6200</v>
      </c>
      <c r="E13" s="116">
        <v>5000</v>
      </c>
      <c r="F13" s="116">
        <v>5000</v>
      </c>
      <c r="G13" s="116">
        <v>6500</v>
      </c>
      <c r="H13" s="116">
        <v>3000</v>
      </c>
      <c r="I13" s="116">
        <v>6500</v>
      </c>
      <c r="J13" s="116" t="s">
        <v>15</v>
      </c>
      <c r="K13" s="116">
        <v>3</v>
      </c>
    </row>
    <row r="14" spans="2:18" ht="15" customHeight="1" thickBot="1" x14ac:dyDescent="0.35">
      <c r="B14" s="100" t="s">
        <v>210</v>
      </c>
      <c r="C14" s="99">
        <f t="shared" ref="C14:I15" si="0">0.05*C12</f>
        <v>500</v>
      </c>
      <c r="D14" s="99">
        <f t="shared" si="0"/>
        <v>475</v>
      </c>
      <c r="E14" s="99">
        <f t="shared" si="0"/>
        <v>400</v>
      </c>
      <c r="F14" s="99">
        <f t="shared" si="0"/>
        <v>350</v>
      </c>
      <c r="G14" s="99">
        <f t="shared" si="0"/>
        <v>650</v>
      </c>
      <c r="H14" s="99">
        <f t="shared" si="0"/>
        <v>250</v>
      </c>
      <c r="I14" s="99">
        <f t="shared" si="0"/>
        <v>500</v>
      </c>
      <c r="J14" s="94" t="s">
        <v>12</v>
      </c>
      <c r="K14" s="94">
        <v>3</v>
      </c>
    </row>
    <row r="15" spans="2:18" ht="15" thickBot="1" x14ac:dyDescent="0.35">
      <c r="B15" s="100" t="s">
        <v>209</v>
      </c>
      <c r="C15" s="99">
        <f t="shared" si="0"/>
        <v>325</v>
      </c>
      <c r="D15" s="99">
        <f t="shared" si="0"/>
        <v>310</v>
      </c>
      <c r="E15" s="99">
        <f t="shared" si="0"/>
        <v>250</v>
      </c>
      <c r="F15" s="99">
        <f t="shared" si="0"/>
        <v>250</v>
      </c>
      <c r="G15" s="99">
        <f t="shared" si="0"/>
        <v>325</v>
      </c>
      <c r="H15" s="99">
        <f t="shared" si="0"/>
        <v>150</v>
      </c>
      <c r="I15" s="99">
        <f t="shared" si="0"/>
        <v>325</v>
      </c>
      <c r="J15" s="94" t="s">
        <v>12</v>
      </c>
      <c r="K15" s="94">
        <v>3</v>
      </c>
    </row>
    <row r="16" spans="2:18" ht="15" thickBot="1" x14ac:dyDescent="0.35">
      <c r="B16" s="100" t="s">
        <v>208</v>
      </c>
      <c r="C16" s="94">
        <v>0</v>
      </c>
      <c r="D16" s="94">
        <v>0</v>
      </c>
      <c r="E16" s="94">
        <v>0</v>
      </c>
      <c r="F16" s="94"/>
      <c r="G16" s="94"/>
      <c r="H16" s="94"/>
      <c r="I16" s="94"/>
      <c r="J16" s="94" t="s">
        <v>13</v>
      </c>
      <c r="K16" s="94"/>
    </row>
    <row r="17" spans="1:12" ht="15" thickBot="1" x14ac:dyDescent="0.35">
      <c r="B17" s="100" t="s">
        <v>207</v>
      </c>
      <c r="C17" s="99">
        <v>0</v>
      </c>
      <c r="D17" s="99">
        <v>0</v>
      </c>
      <c r="E17" s="99">
        <v>0</v>
      </c>
      <c r="F17" s="94"/>
      <c r="G17" s="99"/>
      <c r="H17" s="94"/>
      <c r="I17" s="99"/>
      <c r="J17" s="94" t="s">
        <v>13</v>
      </c>
      <c r="K17" s="94"/>
    </row>
    <row r="18" spans="1:12" ht="15" thickBot="1" x14ac:dyDescent="0.35">
      <c r="B18" s="100"/>
      <c r="C18" s="99"/>
      <c r="D18" s="99"/>
      <c r="E18" s="99"/>
      <c r="F18" s="94"/>
      <c r="G18" s="99"/>
      <c r="H18" s="94"/>
      <c r="I18" s="99"/>
      <c r="J18" s="94"/>
      <c r="K18" s="94"/>
    </row>
    <row r="19" spans="1:12" ht="15" customHeight="1" thickBot="1" x14ac:dyDescent="0.35">
      <c r="B19" s="100"/>
      <c r="C19" s="99"/>
      <c r="D19" s="94"/>
      <c r="E19" s="94"/>
      <c r="F19" s="94"/>
      <c r="G19" s="94"/>
      <c r="H19" s="94"/>
      <c r="I19" s="94"/>
      <c r="J19" s="94"/>
      <c r="K19" s="94"/>
    </row>
    <row r="20" spans="1:12" ht="15" thickBot="1" x14ac:dyDescent="0.35">
      <c r="B20" s="100"/>
      <c r="C20" s="94"/>
      <c r="D20" s="94"/>
      <c r="E20" s="94"/>
      <c r="F20" s="94"/>
      <c r="G20" s="94"/>
      <c r="H20" s="94"/>
      <c r="I20" s="94"/>
      <c r="J20" s="94"/>
      <c r="K20" s="94"/>
    </row>
    <row r="21" spans="1:12" ht="15" thickBot="1" x14ac:dyDescent="0.35">
      <c r="B21" s="97" t="s">
        <v>14</v>
      </c>
      <c r="C21" s="94"/>
      <c r="D21" s="94"/>
      <c r="E21" s="94"/>
      <c r="F21" s="94"/>
      <c r="G21" s="94"/>
      <c r="H21" s="94"/>
      <c r="I21" s="94"/>
      <c r="J21" s="94"/>
      <c r="K21" s="94"/>
    </row>
    <row r="22" spans="1:12" ht="15" thickBot="1" x14ac:dyDescent="0.35">
      <c r="B22" s="96"/>
      <c r="C22" s="94"/>
      <c r="D22" s="94"/>
      <c r="E22" s="94"/>
      <c r="F22" s="94"/>
      <c r="G22" s="94"/>
      <c r="H22" s="94"/>
      <c r="I22" s="94"/>
      <c r="J22" s="94"/>
      <c r="K22" s="94"/>
    </row>
    <row r="23" spans="1:12" ht="15" thickBot="1" x14ac:dyDescent="0.35">
      <c r="B23" s="95"/>
      <c r="C23" s="94"/>
      <c r="D23" s="94"/>
      <c r="E23" s="94"/>
      <c r="F23" s="94"/>
      <c r="G23" s="94"/>
      <c r="H23" s="94"/>
      <c r="I23" s="94"/>
      <c r="J23" s="94"/>
      <c r="K23" s="94"/>
    </row>
    <row r="24" spans="1:12" x14ac:dyDescent="0.3">
      <c r="B24" s="92" t="s">
        <v>174</v>
      </c>
    </row>
    <row r="25" spans="1:12" ht="15" customHeight="1" x14ac:dyDescent="0.3">
      <c r="A25" s="89">
        <v>1</v>
      </c>
      <c r="B25" s="200" t="s">
        <v>206</v>
      </c>
      <c r="C25" s="200"/>
      <c r="D25" s="200"/>
      <c r="E25" s="200"/>
      <c r="F25" s="200"/>
      <c r="G25" s="200"/>
      <c r="H25" s="200"/>
      <c r="I25" s="200"/>
      <c r="J25" s="200"/>
      <c r="K25" s="200"/>
    </row>
    <row r="26" spans="1:12" ht="15" customHeight="1" x14ac:dyDescent="0.3">
      <c r="A26" s="89">
        <v>2</v>
      </c>
      <c r="B26" s="200" t="s">
        <v>205</v>
      </c>
      <c r="C26" s="200"/>
      <c r="D26" s="200"/>
      <c r="E26" s="200"/>
      <c r="F26" s="200"/>
      <c r="G26" s="200"/>
      <c r="H26" s="200"/>
      <c r="I26" s="200"/>
      <c r="J26" s="200"/>
      <c r="K26" s="200"/>
    </row>
    <row r="27" spans="1:12" ht="15" customHeight="1" x14ac:dyDescent="0.3">
      <c r="A27" s="89">
        <v>3</v>
      </c>
      <c r="B27" s="200" t="s">
        <v>204</v>
      </c>
      <c r="C27" s="200"/>
      <c r="D27" s="200"/>
      <c r="E27" s="200"/>
      <c r="F27" s="200"/>
      <c r="G27" s="200"/>
      <c r="H27" s="200"/>
      <c r="I27" s="200"/>
      <c r="J27" s="200"/>
      <c r="K27" s="200"/>
    </row>
    <row r="28" spans="1:12" ht="23.25" customHeight="1" x14ac:dyDescent="0.3">
      <c r="A28" s="89"/>
      <c r="B28" s="92" t="s">
        <v>170</v>
      </c>
      <c r="C28" s="1"/>
      <c r="D28" s="1"/>
      <c r="E28" s="1"/>
      <c r="F28" s="1"/>
      <c r="G28" s="1"/>
      <c r="H28" s="1"/>
      <c r="I28" s="1"/>
      <c r="J28" s="1"/>
      <c r="K28" s="1"/>
      <c r="L28" s="1"/>
    </row>
    <row r="29" spans="1:12" ht="13.2" customHeight="1" x14ac:dyDescent="0.3">
      <c r="A29" s="91" t="s">
        <v>7</v>
      </c>
      <c r="B29" s="186" t="s">
        <v>203</v>
      </c>
      <c r="C29" s="186"/>
      <c r="D29" s="186"/>
      <c r="E29" s="186"/>
      <c r="F29" s="186"/>
      <c r="G29" s="186"/>
      <c r="H29" s="186"/>
      <c r="I29" s="186"/>
      <c r="J29" s="186"/>
      <c r="K29" s="186"/>
      <c r="L29" s="93"/>
    </row>
    <row r="30" spans="1:12" ht="24.45" customHeight="1" x14ac:dyDescent="0.3">
      <c r="A30" s="91" t="s">
        <v>15</v>
      </c>
      <c r="B30" s="186" t="s">
        <v>202</v>
      </c>
      <c r="C30" s="186"/>
      <c r="D30" s="186"/>
      <c r="E30" s="186"/>
      <c r="F30" s="186"/>
      <c r="G30" s="186"/>
      <c r="H30" s="186"/>
      <c r="I30" s="186"/>
      <c r="J30" s="186"/>
      <c r="K30" s="186"/>
      <c r="L30" s="93"/>
    </row>
    <row r="31" spans="1:12" ht="15" customHeight="1" x14ac:dyDescent="0.3">
      <c r="A31" s="91" t="s">
        <v>12</v>
      </c>
      <c r="B31" s="186" t="s">
        <v>201</v>
      </c>
      <c r="C31" s="186"/>
      <c r="D31" s="186"/>
      <c r="E31" s="186"/>
      <c r="F31" s="186"/>
      <c r="G31" s="186"/>
      <c r="H31" s="186"/>
      <c r="I31" s="186"/>
      <c r="J31" s="186"/>
      <c r="K31" s="186"/>
      <c r="L31" s="93"/>
    </row>
    <row r="32" spans="1:12" ht="16.95" customHeight="1" x14ac:dyDescent="0.3">
      <c r="A32" s="91" t="s">
        <v>13</v>
      </c>
      <c r="B32" s="186" t="s">
        <v>200</v>
      </c>
      <c r="C32" s="186"/>
      <c r="D32" s="186"/>
      <c r="E32" s="186"/>
      <c r="F32" s="186"/>
      <c r="G32" s="186"/>
      <c r="H32" s="186"/>
      <c r="I32" s="186"/>
      <c r="J32" s="186"/>
      <c r="K32" s="186"/>
      <c r="L32" s="93"/>
    </row>
    <row r="33" spans="1:13" x14ac:dyDescent="0.3">
      <c r="A33" s="91" t="s">
        <v>16</v>
      </c>
      <c r="L33" s="93"/>
    </row>
    <row r="34" spans="1:13" ht="14.25" customHeight="1" x14ac:dyDescent="0.3">
      <c r="A34" s="91" t="s">
        <v>17</v>
      </c>
      <c r="B34" s="186"/>
      <c r="C34" s="186"/>
      <c r="D34" s="186"/>
      <c r="E34" s="186"/>
      <c r="F34" s="186"/>
      <c r="G34" s="186"/>
      <c r="H34" s="186"/>
      <c r="I34" s="186"/>
      <c r="J34" s="186"/>
      <c r="K34" s="186"/>
      <c r="L34" s="93"/>
    </row>
    <row r="35" spans="1:13" ht="15" customHeight="1" x14ac:dyDescent="0.3">
      <c r="A35" s="91" t="s">
        <v>18</v>
      </c>
      <c r="B35" s="186"/>
      <c r="C35" s="186"/>
      <c r="D35" s="186"/>
      <c r="E35" s="186"/>
      <c r="F35" s="186"/>
      <c r="G35" s="186"/>
      <c r="H35" s="186"/>
      <c r="I35" s="186"/>
      <c r="J35" s="186"/>
      <c r="K35" s="186"/>
      <c r="L35" s="93"/>
    </row>
    <row r="36" spans="1:13" x14ac:dyDescent="0.3">
      <c r="A36" s="91" t="s">
        <v>20</v>
      </c>
      <c r="B36" s="186"/>
      <c r="C36" s="186"/>
      <c r="D36" s="186"/>
      <c r="E36" s="186"/>
      <c r="F36" s="186"/>
      <c r="G36" s="186"/>
      <c r="H36" s="186"/>
      <c r="I36" s="186"/>
      <c r="J36" s="186"/>
      <c r="K36" s="186"/>
      <c r="L36" s="93"/>
      <c r="M36" s="2" t="s">
        <v>191</v>
      </c>
    </row>
    <row r="37" spans="1:13" ht="15" customHeight="1" x14ac:dyDescent="0.3">
      <c r="A37" s="91" t="s">
        <v>19</v>
      </c>
      <c r="B37" s="186"/>
      <c r="C37" s="186"/>
      <c r="D37" s="186"/>
      <c r="E37" s="186"/>
      <c r="F37" s="186"/>
      <c r="G37" s="186"/>
      <c r="H37" s="186"/>
      <c r="I37" s="186"/>
      <c r="J37" s="186"/>
      <c r="K37" s="186"/>
      <c r="L37" s="93"/>
    </row>
  </sheetData>
  <mergeCells count="20">
    <mergeCell ref="B35:K35"/>
    <mergeCell ref="B36:K36"/>
    <mergeCell ref="B37:K37"/>
    <mergeCell ref="B32:K32"/>
    <mergeCell ref="B26:K26"/>
    <mergeCell ref="B29:K29"/>
    <mergeCell ref="B25:K25"/>
    <mergeCell ref="B27:K27"/>
    <mergeCell ref="B31:K31"/>
    <mergeCell ref="B34:K34"/>
    <mergeCell ref="B30:K30"/>
    <mergeCell ref="C2:K2"/>
    <mergeCell ref="B3:B4"/>
    <mergeCell ref="C3:C4"/>
    <mergeCell ref="D3:D4"/>
    <mergeCell ref="E3:E4"/>
    <mergeCell ref="F3:G4"/>
    <mergeCell ref="H3:I4"/>
    <mergeCell ref="J3:J4"/>
    <mergeCell ref="K3:K4"/>
  </mergeCells>
  <hyperlinks>
    <hyperlink ref="C2" location="INDEX" display="CO₂ ship transportatio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zoomScaleNormal="100" workbookViewId="0">
      <selection activeCell="B1" sqref="B1"/>
    </sheetView>
  </sheetViews>
  <sheetFormatPr defaultColWidth="9.33203125" defaultRowHeight="14.4" x14ac:dyDescent="0.3"/>
  <cols>
    <col min="1" max="1" width="2.33203125" style="2" bestFit="1" customWidth="1"/>
    <col min="2" max="2" width="41" style="2" customWidth="1"/>
    <col min="3" max="5" width="9.33203125" style="2"/>
    <col min="6" max="7" width="10" style="2" bestFit="1" customWidth="1"/>
    <col min="8" max="9" width="9.33203125" style="2"/>
    <col min="10" max="10" width="12.5546875" style="2" customWidth="1"/>
    <col min="11" max="12" width="9.33203125" style="2"/>
    <col min="13" max="13" width="32.33203125" style="2" customWidth="1"/>
    <col min="14" max="14" width="29.33203125" style="2" customWidth="1"/>
    <col min="15" max="17" width="9.33203125" style="2"/>
    <col min="18" max="18" width="30.6640625" style="2" customWidth="1"/>
    <col min="19" max="19" width="29.33203125" style="2" customWidth="1"/>
    <col min="20" max="16384" width="9.33203125" style="2"/>
  </cols>
  <sheetData>
    <row r="1" spans="2:18" ht="15" thickBot="1" x14ac:dyDescent="0.35">
      <c r="B1" s="110"/>
    </row>
    <row r="2" spans="2:18" ht="15" thickBot="1" x14ac:dyDescent="0.35">
      <c r="B2" s="109" t="s">
        <v>0</v>
      </c>
      <c r="C2" s="187" t="s">
        <v>227</v>
      </c>
      <c r="D2" s="198"/>
      <c r="E2" s="198"/>
      <c r="F2" s="198"/>
      <c r="G2" s="198"/>
      <c r="H2" s="198"/>
      <c r="I2" s="198"/>
      <c r="J2" s="198"/>
      <c r="K2" s="199"/>
      <c r="M2" s="108"/>
      <c r="R2" s="113"/>
    </row>
    <row r="3" spans="2:18" x14ac:dyDescent="0.3">
      <c r="B3" s="190"/>
      <c r="C3" s="192">
        <v>2020</v>
      </c>
      <c r="D3" s="192">
        <v>2030</v>
      </c>
      <c r="E3" s="192">
        <v>2050</v>
      </c>
      <c r="F3" s="194" t="s">
        <v>189</v>
      </c>
      <c r="G3" s="195"/>
      <c r="H3" s="194" t="s">
        <v>1</v>
      </c>
      <c r="I3" s="195"/>
      <c r="J3" s="192" t="s">
        <v>2</v>
      </c>
      <c r="K3" s="192" t="s">
        <v>3</v>
      </c>
      <c r="R3" s="113"/>
    </row>
    <row r="4" spans="2:18" ht="15" thickBot="1" x14ac:dyDescent="0.35">
      <c r="B4" s="191"/>
      <c r="C4" s="193"/>
      <c r="D4" s="193"/>
      <c r="E4" s="193"/>
      <c r="F4" s="196"/>
      <c r="G4" s="197"/>
      <c r="H4" s="196"/>
      <c r="I4" s="197"/>
      <c r="J4" s="193"/>
      <c r="K4" s="193"/>
      <c r="R4" s="113"/>
    </row>
    <row r="5" spans="2:18" ht="15" thickBot="1" x14ac:dyDescent="0.35">
      <c r="B5" s="97" t="s">
        <v>6</v>
      </c>
      <c r="C5" s="105"/>
      <c r="D5" s="105"/>
      <c r="E5" s="105"/>
      <c r="F5" s="107" t="s">
        <v>4</v>
      </c>
      <c r="G5" s="107" t="s">
        <v>5</v>
      </c>
      <c r="H5" s="107" t="s">
        <v>4</v>
      </c>
      <c r="I5" s="107" t="s">
        <v>5</v>
      </c>
      <c r="J5" s="105"/>
      <c r="K5" s="104"/>
      <c r="P5" s="113"/>
    </row>
    <row r="6" spans="2:18" ht="15" thickBot="1" x14ac:dyDescent="0.35">
      <c r="B6" s="95" t="s">
        <v>226</v>
      </c>
      <c r="C6" s="115">
        <v>0.2</v>
      </c>
      <c r="D6" s="115">
        <v>0.2</v>
      </c>
      <c r="E6" s="115">
        <v>0.15</v>
      </c>
      <c r="F6" s="94">
        <v>0.1</v>
      </c>
      <c r="G6" s="94">
        <v>0.3</v>
      </c>
      <c r="H6" s="94">
        <v>0.1</v>
      </c>
      <c r="I6" s="94">
        <v>0.2</v>
      </c>
      <c r="J6" s="94" t="s">
        <v>7</v>
      </c>
      <c r="K6" s="94">
        <v>1</v>
      </c>
      <c r="P6" s="113"/>
    </row>
    <row r="7" spans="2:18" ht="15" thickBot="1" x14ac:dyDescent="0.35">
      <c r="B7" s="95" t="s">
        <v>225</v>
      </c>
      <c r="C7" s="94">
        <v>25</v>
      </c>
      <c r="D7" s="94">
        <v>25</v>
      </c>
      <c r="E7" s="94">
        <v>25</v>
      </c>
      <c r="F7" s="114"/>
      <c r="G7" s="114"/>
      <c r="H7" s="114"/>
      <c r="I7" s="114"/>
      <c r="J7" s="94"/>
      <c r="K7" s="94">
        <v>1</v>
      </c>
      <c r="P7" s="113"/>
    </row>
    <row r="8" spans="2:18" ht="15" thickBot="1" x14ac:dyDescent="0.35">
      <c r="B8" s="112" t="s">
        <v>11</v>
      </c>
      <c r="C8" s="94">
        <v>2</v>
      </c>
      <c r="D8" s="94">
        <v>2</v>
      </c>
      <c r="E8" s="94">
        <v>2</v>
      </c>
      <c r="F8" s="94"/>
      <c r="G8" s="94"/>
      <c r="H8" s="94"/>
      <c r="I8" s="94"/>
      <c r="J8" s="94"/>
      <c r="K8" s="94">
        <v>1</v>
      </c>
      <c r="P8" s="113"/>
    </row>
    <row r="9" spans="2:18" ht="15" thickBot="1" x14ac:dyDescent="0.35">
      <c r="B9" s="112"/>
      <c r="C9" s="94"/>
      <c r="D9" s="94"/>
      <c r="E9" s="94"/>
      <c r="F9" s="94"/>
      <c r="G9" s="94"/>
      <c r="H9" s="94"/>
      <c r="I9" s="94"/>
      <c r="J9" s="94"/>
      <c r="K9" s="94"/>
    </row>
    <row r="10" spans="2:18" ht="15" thickBot="1" x14ac:dyDescent="0.35">
      <c r="B10" s="97" t="s">
        <v>398</v>
      </c>
      <c r="C10" s="105"/>
      <c r="D10" s="105"/>
      <c r="E10" s="105"/>
      <c r="F10" s="105"/>
      <c r="G10" s="105"/>
      <c r="H10" s="105"/>
      <c r="I10" s="105"/>
      <c r="J10" s="105"/>
      <c r="K10" s="104"/>
    </row>
    <row r="11" spans="2:18" ht="15" thickBot="1" x14ac:dyDescent="0.35">
      <c r="B11" s="111"/>
      <c r="C11" s="94"/>
      <c r="D11" s="94"/>
      <c r="E11" s="94"/>
      <c r="F11" s="94"/>
      <c r="G11" s="94"/>
      <c r="H11" s="94"/>
      <c r="I11" s="94"/>
      <c r="J11" s="94"/>
      <c r="K11" s="94"/>
    </row>
    <row r="12" spans="2:18" ht="15" customHeight="1" thickBot="1" x14ac:dyDescent="0.35">
      <c r="B12" s="111" t="s">
        <v>224</v>
      </c>
      <c r="C12" s="94">
        <v>2500</v>
      </c>
      <c r="D12" s="94">
        <v>2300</v>
      </c>
      <c r="E12" s="94">
        <v>2000</v>
      </c>
      <c r="F12" s="94">
        <v>2000</v>
      </c>
      <c r="G12" s="94">
        <v>3000</v>
      </c>
      <c r="H12" s="94">
        <v>1400</v>
      </c>
      <c r="I12" s="94">
        <v>2400</v>
      </c>
      <c r="J12" s="94" t="s">
        <v>15</v>
      </c>
      <c r="K12" s="94">
        <v>1</v>
      </c>
    </row>
    <row r="13" spans="2:18" ht="15" customHeight="1" thickBot="1" x14ac:dyDescent="0.35">
      <c r="B13" s="111" t="s">
        <v>223</v>
      </c>
      <c r="C13" s="94">
        <v>1500</v>
      </c>
      <c r="D13" s="94">
        <v>1400</v>
      </c>
      <c r="E13" s="94">
        <v>1200</v>
      </c>
      <c r="F13" s="94">
        <v>1200</v>
      </c>
      <c r="G13" s="94">
        <v>1800</v>
      </c>
      <c r="H13" s="94">
        <v>1000</v>
      </c>
      <c r="I13" s="94">
        <v>1400</v>
      </c>
      <c r="J13" s="94" t="s">
        <v>15</v>
      </c>
      <c r="K13" s="94">
        <v>1</v>
      </c>
    </row>
    <row r="14" spans="2:18" ht="15" thickBot="1" x14ac:dyDescent="0.35">
      <c r="B14" s="100" t="s">
        <v>222</v>
      </c>
      <c r="C14" s="94">
        <f t="shared" ref="C14:E15" si="0">0.03*C12</f>
        <v>75</v>
      </c>
      <c r="D14" s="94">
        <f t="shared" si="0"/>
        <v>69</v>
      </c>
      <c r="E14" s="94">
        <f t="shared" si="0"/>
        <v>60</v>
      </c>
      <c r="F14" s="94"/>
      <c r="G14" s="94"/>
      <c r="H14" s="94"/>
      <c r="I14" s="94"/>
      <c r="J14" s="94" t="s">
        <v>12</v>
      </c>
      <c r="K14" s="94">
        <v>1</v>
      </c>
    </row>
    <row r="15" spans="2:18" ht="15" thickBot="1" x14ac:dyDescent="0.35">
      <c r="B15" s="100" t="s">
        <v>221</v>
      </c>
      <c r="C15" s="94">
        <f t="shared" si="0"/>
        <v>45</v>
      </c>
      <c r="D15" s="94">
        <f t="shared" si="0"/>
        <v>42</v>
      </c>
      <c r="E15" s="94">
        <f t="shared" si="0"/>
        <v>36</v>
      </c>
      <c r="F15" s="94"/>
      <c r="G15" s="94"/>
      <c r="H15" s="94"/>
      <c r="I15" s="94"/>
      <c r="J15" s="94" t="s">
        <v>12</v>
      </c>
      <c r="K15" s="94">
        <v>1</v>
      </c>
    </row>
    <row r="16" spans="2:18" ht="15" thickBot="1" x14ac:dyDescent="0.35">
      <c r="B16" s="100" t="s">
        <v>220</v>
      </c>
      <c r="C16" s="99">
        <v>0</v>
      </c>
      <c r="D16" s="99">
        <v>0</v>
      </c>
      <c r="E16" s="99">
        <v>0</v>
      </c>
      <c r="F16" s="94"/>
      <c r="G16" s="99"/>
      <c r="H16" s="94"/>
      <c r="I16" s="99"/>
      <c r="J16" s="94" t="s">
        <v>13</v>
      </c>
      <c r="K16" s="94">
        <v>1</v>
      </c>
    </row>
    <row r="17" spans="1:12" ht="15" thickBot="1" x14ac:dyDescent="0.35">
      <c r="B17" s="100"/>
      <c r="C17" s="99"/>
      <c r="D17" s="99"/>
      <c r="E17" s="99"/>
      <c r="F17" s="94"/>
      <c r="G17" s="99"/>
      <c r="H17" s="94"/>
      <c r="I17" s="99"/>
      <c r="J17" s="94"/>
      <c r="K17" s="94"/>
    </row>
    <row r="18" spans="1:12" ht="15" thickBot="1" x14ac:dyDescent="0.35">
      <c r="B18" s="100"/>
      <c r="C18" s="94"/>
      <c r="D18" s="94"/>
      <c r="E18" s="94"/>
      <c r="F18" s="94"/>
      <c r="G18" s="94"/>
      <c r="H18" s="94"/>
      <c r="I18" s="94"/>
      <c r="J18" s="94"/>
      <c r="K18" s="94"/>
    </row>
    <row r="19" spans="1:12" ht="15" thickBot="1" x14ac:dyDescent="0.35">
      <c r="B19" s="97" t="s">
        <v>14</v>
      </c>
      <c r="C19" s="94"/>
      <c r="D19" s="94"/>
      <c r="E19" s="94"/>
      <c r="F19" s="94"/>
      <c r="G19" s="94"/>
      <c r="H19" s="94"/>
      <c r="I19" s="94"/>
      <c r="J19" s="94"/>
      <c r="K19" s="94"/>
    </row>
    <row r="20" spans="1:12" ht="15" thickBot="1" x14ac:dyDescent="0.35">
      <c r="B20" s="96"/>
      <c r="C20" s="94"/>
      <c r="D20" s="94"/>
      <c r="E20" s="94"/>
      <c r="F20" s="94"/>
      <c r="G20" s="94"/>
      <c r="H20" s="94"/>
      <c r="I20" s="94"/>
      <c r="J20" s="94"/>
      <c r="K20" s="94"/>
    </row>
    <row r="21" spans="1:12" ht="15" thickBot="1" x14ac:dyDescent="0.35">
      <c r="B21" s="95"/>
      <c r="C21" s="94"/>
      <c r="D21" s="94"/>
      <c r="E21" s="94"/>
      <c r="F21" s="94"/>
      <c r="G21" s="94"/>
      <c r="H21" s="94"/>
      <c r="I21" s="94"/>
      <c r="J21" s="94"/>
      <c r="K21" s="94"/>
    </row>
    <row r="22" spans="1:12" x14ac:dyDescent="0.3">
      <c r="B22" s="92" t="s">
        <v>174</v>
      </c>
    </row>
    <row r="23" spans="1:12" ht="15" customHeight="1" x14ac:dyDescent="0.3">
      <c r="A23" s="89">
        <v>1</v>
      </c>
      <c r="B23" s="200" t="s">
        <v>171</v>
      </c>
      <c r="C23" s="200"/>
      <c r="D23" s="200"/>
      <c r="E23" s="200"/>
      <c r="F23" s="200"/>
      <c r="G23" s="200"/>
      <c r="H23" s="200"/>
      <c r="I23" s="200"/>
      <c r="J23" s="200"/>
      <c r="K23" s="200"/>
    </row>
    <row r="24" spans="1:12" x14ac:dyDescent="0.3">
      <c r="A24" s="89">
        <v>2</v>
      </c>
      <c r="B24" s="200"/>
      <c r="C24" s="200"/>
      <c r="D24" s="200"/>
      <c r="E24" s="200"/>
      <c r="F24" s="200"/>
      <c r="G24" s="200"/>
      <c r="H24" s="200"/>
      <c r="I24" s="200"/>
      <c r="J24" s="200"/>
      <c r="K24" s="200"/>
    </row>
    <row r="25" spans="1:12" ht="23.25" customHeight="1" x14ac:dyDescent="0.3">
      <c r="A25" s="89"/>
      <c r="B25" s="92" t="s">
        <v>170</v>
      </c>
      <c r="C25" s="1"/>
      <c r="D25" s="1"/>
      <c r="E25" s="1"/>
      <c r="F25" s="1"/>
      <c r="G25" s="1"/>
      <c r="H25" s="1"/>
      <c r="I25" s="1"/>
      <c r="J25" s="1"/>
      <c r="K25" s="1"/>
      <c r="L25" s="1"/>
    </row>
    <row r="26" spans="1:12" ht="18.45" customHeight="1" x14ac:dyDescent="0.3">
      <c r="A26" s="91" t="s">
        <v>7</v>
      </c>
      <c r="B26" s="186" t="s">
        <v>219</v>
      </c>
      <c r="C26" s="186"/>
      <c r="D26" s="186"/>
      <c r="E26" s="186"/>
      <c r="F26" s="186"/>
      <c r="G26" s="186"/>
      <c r="H26" s="186"/>
      <c r="I26" s="186"/>
      <c r="J26" s="186"/>
      <c r="K26" s="186"/>
      <c r="L26" s="93"/>
    </row>
    <row r="27" spans="1:12" ht="27.9" customHeight="1" x14ac:dyDescent="0.3">
      <c r="A27" s="91" t="s">
        <v>15</v>
      </c>
      <c r="B27" s="186" t="s">
        <v>218</v>
      </c>
      <c r="C27" s="186"/>
      <c r="D27" s="186"/>
      <c r="E27" s="186"/>
      <c r="F27" s="186"/>
      <c r="G27" s="186"/>
      <c r="H27" s="186"/>
      <c r="I27" s="186"/>
      <c r="J27" s="186"/>
      <c r="K27" s="186"/>
      <c r="L27" s="93"/>
    </row>
    <row r="28" spans="1:12" ht="15" customHeight="1" x14ac:dyDescent="0.3">
      <c r="A28" s="91" t="s">
        <v>12</v>
      </c>
      <c r="B28" s="186" t="s">
        <v>75</v>
      </c>
      <c r="C28" s="186"/>
      <c r="D28" s="186"/>
      <c r="E28" s="186"/>
      <c r="F28" s="186"/>
      <c r="G28" s="186"/>
      <c r="H28" s="186"/>
      <c r="I28" s="186"/>
      <c r="J28" s="186"/>
      <c r="K28" s="186"/>
      <c r="L28" s="93"/>
    </row>
    <row r="29" spans="1:12" x14ac:dyDescent="0.3">
      <c r="A29" s="91" t="s">
        <v>13</v>
      </c>
      <c r="B29" s="186" t="s">
        <v>217</v>
      </c>
      <c r="C29" s="186"/>
      <c r="D29" s="186"/>
      <c r="E29" s="186"/>
      <c r="F29" s="186"/>
      <c r="G29" s="186"/>
      <c r="H29" s="186"/>
      <c r="I29" s="186"/>
      <c r="J29" s="186"/>
      <c r="K29" s="186"/>
      <c r="L29" s="93"/>
    </row>
    <row r="30" spans="1:12" x14ac:dyDescent="0.3">
      <c r="A30" s="91"/>
      <c r="B30" s="186"/>
      <c r="C30" s="186"/>
      <c r="D30" s="186"/>
      <c r="E30" s="186"/>
      <c r="F30" s="186"/>
      <c r="G30" s="186"/>
      <c r="H30" s="186"/>
      <c r="I30" s="186"/>
      <c r="J30" s="186"/>
      <c r="K30" s="186"/>
      <c r="L30" s="93"/>
    </row>
    <row r="31" spans="1:12" ht="14.25" customHeight="1" x14ac:dyDescent="0.3">
      <c r="A31" s="91"/>
      <c r="B31" s="186"/>
      <c r="C31" s="186"/>
      <c r="D31" s="186"/>
      <c r="E31" s="186"/>
      <c r="F31" s="186"/>
      <c r="G31" s="186"/>
      <c r="H31" s="186"/>
      <c r="I31" s="186"/>
      <c r="J31" s="186"/>
      <c r="K31" s="186"/>
      <c r="L31" s="93"/>
    </row>
    <row r="32" spans="1:12" ht="15" customHeight="1" x14ac:dyDescent="0.3">
      <c r="A32" s="91"/>
      <c r="B32" s="186"/>
      <c r="C32" s="186"/>
      <c r="D32" s="186"/>
      <c r="E32" s="186"/>
      <c r="F32" s="186"/>
      <c r="G32" s="186"/>
      <c r="H32" s="186"/>
      <c r="I32" s="186"/>
      <c r="J32" s="186"/>
      <c r="K32" s="186"/>
      <c r="L32" s="93"/>
    </row>
    <row r="33" spans="1:13" x14ac:dyDescent="0.3">
      <c r="A33" s="91"/>
      <c r="B33" s="186"/>
      <c r="C33" s="186"/>
      <c r="D33" s="186"/>
      <c r="E33" s="186"/>
      <c r="F33" s="186"/>
      <c r="G33" s="186"/>
      <c r="H33" s="186"/>
      <c r="I33" s="186"/>
      <c r="J33" s="186"/>
      <c r="K33" s="186"/>
      <c r="L33" s="93"/>
      <c r="M33" s="2" t="s">
        <v>191</v>
      </c>
    </row>
    <row r="34" spans="1:13" ht="15" customHeight="1" x14ac:dyDescent="0.3">
      <c r="A34" s="91"/>
      <c r="B34" s="186"/>
      <c r="C34" s="186"/>
      <c r="D34" s="186"/>
      <c r="E34" s="186"/>
      <c r="F34" s="186"/>
      <c r="G34" s="186"/>
      <c r="H34" s="186"/>
      <c r="I34" s="186"/>
      <c r="J34" s="186"/>
      <c r="K34" s="186"/>
      <c r="L34" s="93"/>
    </row>
  </sheetData>
  <mergeCells count="20">
    <mergeCell ref="B30:K30"/>
    <mergeCell ref="B31:K31"/>
    <mergeCell ref="B32:K32"/>
    <mergeCell ref="B33:K33"/>
    <mergeCell ref="B34:K34"/>
    <mergeCell ref="C2:K2"/>
    <mergeCell ref="B3:B4"/>
    <mergeCell ref="C3:C4"/>
    <mergeCell ref="D3:D4"/>
    <mergeCell ref="E3:E4"/>
    <mergeCell ref="F3:G4"/>
    <mergeCell ref="H3:I4"/>
    <mergeCell ref="J3:J4"/>
    <mergeCell ref="K3:K4"/>
    <mergeCell ref="B29:K29"/>
    <mergeCell ref="B23:K23"/>
    <mergeCell ref="B24:K24"/>
    <mergeCell ref="B26:K26"/>
    <mergeCell ref="B27:K27"/>
    <mergeCell ref="B28:K28"/>
  </mergeCells>
  <hyperlinks>
    <hyperlink ref="C2" location="INDEX" display="CO₂ terminal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232</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30</v>
      </c>
      <c r="D6" s="133">
        <v>30</v>
      </c>
      <c r="E6" s="133">
        <v>30</v>
      </c>
      <c r="F6" s="133">
        <v>30</v>
      </c>
      <c r="G6" s="133">
        <v>30</v>
      </c>
      <c r="H6" s="133">
        <v>30</v>
      </c>
      <c r="I6" s="133">
        <v>30</v>
      </c>
      <c r="J6" s="133">
        <v>30</v>
      </c>
      <c r="K6" s="133">
        <v>30</v>
      </c>
      <c r="L6" s="134" t="s">
        <v>7</v>
      </c>
      <c r="M6" s="133"/>
    </row>
    <row r="7" spans="1:13" x14ac:dyDescent="0.3">
      <c r="A7" s="133"/>
      <c r="B7" s="133" t="s">
        <v>245</v>
      </c>
      <c r="C7" s="133">
        <v>1</v>
      </c>
      <c r="D7" s="133">
        <v>1</v>
      </c>
      <c r="E7" s="133">
        <v>1</v>
      </c>
      <c r="F7" s="133">
        <v>1</v>
      </c>
      <c r="G7" s="133">
        <v>1</v>
      </c>
      <c r="H7" s="133">
        <v>1</v>
      </c>
      <c r="I7" s="133">
        <v>1</v>
      </c>
      <c r="J7" s="133">
        <v>1</v>
      </c>
      <c r="K7" s="133">
        <v>1</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1 MTA Onshore'!K18</f>
        <v>2.9555555555555557</v>
      </c>
      <c r="D15" s="136">
        <f>'Input 1 MTA Onshore'!L18</f>
        <v>2.8107039252599999</v>
      </c>
      <c r="E15" s="136">
        <f>'Input 1 MTA Onshore'!M18</f>
        <v>2.6729514661371327</v>
      </c>
      <c r="F15" s="136">
        <f>'Input 1 MTA Onshore'!N18</f>
        <v>2.4173693933429261</v>
      </c>
      <c r="G15" s="136">
        <f>'Input 1 MTA Onshore'!O18</f>
        <v>2.4173693933429261</v>
      </c>
      <c r="H15" s="136">
        <f>'Input 1 MTA Onshore'!P18</f>
        <v>2.6715881327644442</v>
      </c>
      <c r="I15" s="136">
        <f>'Input 1 MTA Onshore'!Q18</f>
        <v>3.8222222222222224</v>
      </c>
      <c r="J15" s="136">
        <f>'Input 1 MTA Onshore'!R18</f>
        <v>1.6122092106192016</v>
      </c>
      <c r="K15" s="136">
        <f>'Input 1 MTA Onshore'!S18</f>
        <v>3.8222222222222224</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1 MTA Onshore'!K20</f>
        <v>0.50444444444444447</v>
      </c>
      <c r="D17" s="136">
        <f>'Input 1 MTA Onshore'!L20</f>
        <v>0.47972164739399997</v>
      </c>
      <c r="E17" s="136">
        <f>'Input 1 MTA Onshore'!M20</f>
        <v>0.45621051339333019</v>
      </c>
      <c r="F17" s="136">
        <f>'Input 1 MTA Onshore'!N20</f>
        <v>0.41258861074349196</v>
      </c>
      <c r="G17" s="136">
        <f>'Input 1 MTA Onshore'!O20</f>
        <v>0.41258861074349196</v>
      </c>
      <c r="H17" s="136">
        <f>'Input 1 MTA Onshore'!P20</f>
        <v>0.45597782416355548</v>
      </c>
      <c r="I17" s="136">
        <f>'Input 1 MTA Onshore'!Q20</f>
        <v>0.50444444444444447</v>
      </c>
      <c r="J17" s="136">
        <f>'Input 1 MTA Onshore'!R20</f>
        <v>0.27516653444402916</v>
      </c>
      <c r="K17" s="136">
        <f>'Input 1 MTA Onshore'!S20</f>
        <v>0.50444444444444447</v>
      </c>
      <c r="L17" s="134" t="s">
        <v>18</v>
      </c>
      <c r="M17" s="133"/>
    </row>
    <row r="18" spans="1:13" x14ac:dyDescent="0.3">
      <c r="A18" s="133"/>
      <c r="B18" s="133" t="s">
        <v>255</v>
      </c>
      <c r="C18" s="136">
        <f>'Input 1 MTA Onshore'!K23</f>
        <v>3.7555555555555551</v>
      </c>
      <c r="D18" s="136">
        <f>'Input 1 MTA Onshore'!L23</f>
        <v>3.5714959651799991</v>
      </c>
      <c r="E18" s="136">
        <f>'Input 1 MTA Onshore'!M23</f>
        <v>3.3964571261441758</v>
      </c>
      <c r="F18" s="136">
        <f>'Input 1 MTA Onshore'!N23</f>
        <v>3.0716949434207104</v>
      </c>
      <c r="G18" s="136">
        <f>'Input 1 MTA Onshore'!O23</f>
        <v>3.0716949434207104</v>
      </c>
      <c r="H18" s="136">
        <f>'Input 1 MTA Onshore'!P23</f>
        <v>3.3947247702044434</v>
      </c>
      <c r="I18" s="136">
        <f>'Input 1 MTA Onshore'!Q23</f>
        <v>3.7555555555555551</v>
      </c>
      <c r="J18" s="136">
        <f>'Input 1 MTA Onshore'!R23</f>
        <v>2.0485966661251509</v>
      </c>
      <c r="K18" s="136">
        <f>'Input 1 MTA Onshore'!S23</f>
        <v>3.7555555555555551</v>
      </c>
      <c r="L18" s="134" t="s">
        <v>20</v>
      </c>
      <c r="M18" s="133"/>
    </row>
    <row r="19" spans="1:13" ht="15" customHeight="1" x14ac:dyDescent="0.3">
      <c r="A19" s="133"/>
      <c r="B19" s="133" t="s">
        <v>256</v>
      </c>
      <c r="C19" s="136">
        <f>'Input 1 MTA Onshore'!K30</f>
        <v>1.6386666666666669</v>
      </c>
      <c r="D19" s="136">
        <f>'Input 1 MTA Onshore'!L30</f>
        <v>1.5583556951028001</v>
      </c>
      <c r="E19" s="136">
        <f>'Input 1 MTA Onshore'!M30</f>
        <v>1.4819807602477608</v>
      </c>
      <c r="F19" s="136">
        <f>'Input 1 MTA Onshore'!N30</f>
        <v>1.3402768350759955</v>
      </c>
      <c r="G19" s="136">
        <f>'Input 1 MTA Onshore'!O30</f>
        <v>1.3402768350759955</v>
      </c>
      <c r="H19" s="136">
        <f>'Input 1 MTA Onshore'!P30</f>
        <v>1.4812248790229332</v>
      </c>
      <c r="I19" s="136">
        <f>'Input 1 MTA Onshore'!Q30</f>
        <v>1.6386666666666669</v>
      </c>
      <c r="J19" s="136">
        <f>'Input 1 MTA Onshore'!R30</f>
        <v>0.89386697136135307</v>
      </c>
      <c r="K19" s="136">
        <f>'Input 1 MTA Onshore'!S30</f>
        <v>1.6386666666666669</v>
      </c>
      <c r="L19" s="134" t="s">
        <v>19</v>
      </c>
      <c r="M19" s="133"/>
    </row>
    <row r="20" spans="1:13" ht="15" customHeight="1" x14ac:dyDescent="0.3">
      <c r="A20" s="133"/>
      <c r="B20" s="133" t="s">
        <v>257</v>
      </c>
      <c r="C20" s="136">
        <f>'Input 1 MTA Onshore'!K32</f>
        <v>0.90666666666666695</v>
      </c>
      <c r="D20" s="136">
        <f>'Input 1 MTA Onshore'!L32</f>
        <v>0.86223097857600017</v>
      </c>
      <c r="E20" s="136">
        <f>'Input 1 MTA Onshore'!M32</f>
        <v>0.81997308134131619</v>
      </c>
      <c r="F20" s="136">
        <f>'Input 1 MTA Onshore'!N32</f>
        <v>0.74156895675482271</v>
      </c>
      <c r="G20" s="136">
        <f>'Input 1 MTA Onshore'!O32</f>
        <v>0.74156895675482271</v>
      </c>
      <c r="H20" s="136">
        <f>'Input 1 MTA Onshore'!P32</f>
        <v>0.81955485576533338</v>
      </c>
      <c r="I20" s="136">
        <f>'Input 1 MTA Onshore'!Q32</f>
        <v>0.90666666666666695</v>
      </c>
      <c r="J20" s="136">
        <f>'Input 1 MTA Onshore'!R32</f>
        <v>0.4945724495734094</v>
      </c>
      <c r="K20" s="136">
        <f>'Input 1 MTA Onshore'!S32</f>
        <v>0.90666666666666695</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1 MTA Onshore'!K9</f>
        <v>0.8666666666666667</v>
      </c>
      <c r="D24" s="136">
        <f>'Input 1 MTA Onshore'!L9</f>
        <v>0.82419137657999997</v>
      </c>
      <c r="E24" s="136">
        <f>'Input 1 MTA Onshore'!M9</f>
        <v>0.78379779834096375</v>
      </c>
      <c r="F24" s="136">
        <f>'Input 1 MTA Onshore'!N9</f>
        <v>0.7088526792509332</v>
      </c>
      <c r="G24" s="136">
        <f>'Input 1 MTA Onshore'!O9</f>
        <v>0.7088526792509332</v>
      </c>
      <c r="H24" s="136">
        <f>'Input 1 MTA Onshore'!P9</f>
        <v>0.78339802389333324</v>
      </c>
      <c r="I24" s="136">
        <f>'Input 1 MTA Onshore'!Q9</f>
        <v>0.8666666666666667</v>
      </c>
      <c r="J24" s="136">
        <f>'Input 1 MTA Onshore'!R9</f>
        <v>0.47275307679811179</v>
      </c>
      <c r="K24" s="136">
        <f>'Input 1 MTA Onshore'!S9</f>
        <v>0.8666666666666667</v>
      </c>
      <c r="L24" s="134" t="s">
        <v>22</v>
      </c>
      <c r="M24" s="133"/>
    </row>
    <row r="25" spans="1:13" ht="15" customHeight="1" x14ac:dyDescent="0.3">
      <c r="A25" s="131"/>
      <c r="B25" s="133" t="s">
        <v>260</v>
      </c>
      <c r="C25" s="136">
        <f>'Input 1 MTA Onshore'!K36</f>
        <v>1.7777777777777779</v>
      </c>
      <c r="D25" s="136">
        <f>'Input 1 MTA Onshore'!L36</f>
        <v>1.6906489776</v>
      </c>
      <c r="E25" s="136">
        <f>'Input 1 MTA Onshore'!M36</f>
        <v>1.6077903555712079</v>
      </c>
      <c r="F25" s="136">
        <f>'Input 1 MTA Onshore'!N36</f>
        <v>1.4540567779506324</v>
      </c>
      <c r="G25" s="136">
        <f>'Input 1 MTA Onshore'!O36</f>
        <v>1.4540567779506324</v>
      </c>
      <c r="H25" s="136">
        <f>'Input 1 MTA Onshore'!P36</f>
        <v>1.606970305422222</v>
      </c>
      <c r="I25" s="136">
        <f>'Input 1 MTA Onshore'!Q36</f>
        <v>1.7777777777777779</v>
      </c>
      <c r="J25" s="136">
        <f>'Input 1 MTA Onshore'!R36</f>
        <v>0.9697499011243319</v>
      </c>
      <c r="K25" s="136">
        <f>'Input 1 MTA Onshore'!S36</f>
        <v>1.7777777777777779</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265</v>
      </c>
      <c r="C32" s="141"/>
      <c r="D32" s="141"/>
    </row>
    <row r="33" spans="1:11" x14ac:dyDescent="0.3">
      <c r="A33" s="142"/>
      <c r="B33" s="133" t="s">
        <v>266</v>
      </c>
      <c r="C33" s="141"/>
      <c r="D33" s="141"/>
    </row>
    <row r="34" spans="1:11" x14ac:dyDescent="0.3">
      <c r="A34" s="142" t="s">
        <v>16</v>
      </c>
      <c r="B34" s="133" t="s">
        <v>267</v>
      </c>
      <c r="C34" s="141"/>
      <c r="D34" s="141"/>
    </row>
    <row r="35" spans="1:11" x14ac:dyDescent="0.3">
      <c r="A35" s="142" t="s">
        <v>17</v>
      </c>
      <c r="B35" s="133" t="s">
        <v>268</v>
      </c>
      <c r="C35" s="141"/>
      <c r="D35" s="141"/>
    </row>
    <row r="36" spans="1:11" x14ac:dyDescent="0.3">
      <c r="A36" s="142" t="s">
        <v>18</v>
      </c>
      <c r="B36" s="133" t="s">
        <v>269</v>
      </c>
      <c r="C36" s="141"/>
      <c r="D36" s="141"/>
    </row>
    <row r="37" spans="1:11" x14ac:dyDescent="0.3">
      <c r="A37" s="142" t="s">
        <v>20</v>
      </c>
      <c r="B37" s="133" t="s">
        <v>270</v>
      </c>
      <c r="C37" s="141"/>
      <c r="D37" s="141"/>
    </row>
    <row r="38" spans="1:11" x14ac:dyDescent="0.3">
      <c r="A38" s="142" t="s">
        <v>19</v>
      </c>
      <c r="B38" s="133" t="s">
        <v>271</v>
      </c>
      <c r="C38" s="141"/>
      <c r="D38" s="141"/>
    </row>
    <row r="39" spans="1:11" x14ac:dyDescent="0.3">
      <c r="A39" s="142" t="s">
        <v>21</v>
      </c>
      <c r="B39" s="133" t="s">
        <v>272</v>
      </c>
    </row>
    <row r="40" spans="1:11" x14ac:dyDescent="0.3">
      <c r="A40" s="142" t="s">
        <v>22</v>
      </c>
      <c r="B40" s="133" t="s">
        <v>273</v>
      </c>
    </row>
    <row r="41" spans="1:11" x14ac:dyDescent="0.3">
      <c r="A41" s="142" t="s">
        <v>23</v>
      </c>
      <c r="B41" s="133" t="s">
        <v>274</v>
      </c>
    </row>
    <row r="42" spans="1:11" x14ac:dyDescent="0.3">
      <c r="A42" s="142" t="s">
        <v>26</v>
      </c>
      <c r="B42" s="133" t="s">
        <v>275</v>
      </c>
    </row>
    <row r="43" spans="1:11" x14ac:dyDescent="0.3">
      <c r="A43" s="142" t="s">
        <v>27</v>
      </c>
      <c r="B43" s="133" t="s">
        <v>276</v>
      </c>
    </row>
    <row r="44" spans="1:11" x14ac:dyDescent="0.3">
      <c r="A44" s="142"/>
      <c r="B44" s="133"/>
    </row>
    <row r="45" spans="1:11" x14ac:dyDescent="0.3">
      <c r="A45" s="142"/>
      <c r="B45" s="133"/>
    </row>
    <row r="46" spans="1:11" x14ac:dyDescent="0.3">
      <c r="A46" s="142"/>
      <c r="B46" s="143"/>
    </row>
    <row r="47" spans="1:11" x14ac:dyDescent="0.3">
      <c r="A47" s="139" t="s">
        <v>24</v>
      </c>
      <c r="B47" s="140"/>
      <c r="C47" s="144"/>
      <c r="D47" s="144"/>
      <c r="E47" s="144"/>
      <c r="F47" s="144"/>
      <c r="G47" s="144"/>
      <c r="H47" s="144"/>
      <c r="I47" s="144"/>
      <c r="J47" s="144"/>
      <c r="K47" s="144"/>
    </row>
    <row r="48" spans="1:11" x14ac:dyDescent="0.3">
      <c r="A48" s="143">
        <v>1</v>
      </c>
      <c r="B48" s="143"/>
    </row>
    <row r="49" spans="1:2" x14ac:dyDescent="0.3">
      <c r="A49" s="143">
        <v>2</v>
      </c>
      <c r="B49" s="143"/>
    </row>
    <row r="50" spans="1:2" x14ac:dyDescent="0.3">
      <c r="A50" s="143"/>
      <c r="B50" s="143"/>
    </row>
    <row r="51" spans="1:2" x14ac:dyDescent="0.3">
      <c r="A51" s="143"/>
      <c r="B51" s="143"/>
    </row>
  </sheetData>
  <pageMargins left="0.7" right="0.7" top="0.75" bottom="0.75" header="0.3" footer="0.3"/>
  <pageSetup paperSize="9" scale="6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277</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90</v>
      </c>
      <c r="D6" s="133">
        <v>90</v>
      </c>
      <c r="E6" s="133">
        <v>90</v>
      </c>
      <c r="F6" s="133">
        <v>90</v>
      </c>
      <c r="G6" s="133">
        <v>90</v>
      </c>
      <c r="H6" s="133">
        <v>90</v>
      </c>
      <c r="I6" s="133">
        <v>90</v>
      </c>
      <c r="J6" s="133">
        <v>90</v>
      </c>
      <c r="K6" s="133">
        <v>90</v>
      </c>
      <c r="L6" s="134" t="s">
        <v>7</v>
      </c>
      <c r="M6" s="133"/>
    </row>
    <row r="7" spans="1:13" x14ac:dyDescent="0.3">
      <c r="A7" s="133"/>
      <c r="B7" s="133" t="s">
        <v>245</v>
      </c>
      <c r="C7" s="133">
        <v>3</v>
      </c>
      <c r="D7" s="133">
        <v>3</v>
      </c>
      <c r="E7" s="133">
        <v>3</v>
      </c>
      <c r="F7" s="133">
        <v>3</v>
      </c>
      <c r="G7" s="133">
        <v>3</v>
      </c>
      <c r="H7" s="133">
        <v>3</v>
      </c>
      <c r="I7" s="133">
        <v>3</v>
      </c>
      <c r="J7" s="133">
        <v>3</v>
      </c>
      <c r="K7" s="133">
        <v>3</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3 MTA Onshore'!K18</f>
        <v>2.2619047619047619</v>
      </c>
      <c r="D15" s="136">
        <f>'Input 3 MTA Onshore'!L18</f>
        <v>2.1510489223928571</v>
      </c>
      <c r="E15" s="136">
        <f>'Input 3 MTA Onshore'!M18</f>
        <v>2.045626122043724</v>
      </c>
      <c r="F15" s="136">
        <f>'Input 3 MTA Onshore'!N18</f>
        <v>1.8500275969461168</v>
      </c>
      <c r="G15" s="136">
        <f>'Input 3 MTA Onshore'!O18</f>
        <v>1.8500275969461168</v>
      </c>
      <c r="H15" s="136">
        <f>'Input 3 MTA Onshore'!P18</f>
        <v>2.0445827546666662</v>
      </c>
      <c r="I15" s="136">
        <f>'Input 3 MTA Onshore'!Q18</f>
        <v>3.0119047619047619</v>
      </c>
      <c r="J15" s="136">
        <f>'Input 3 MTA Onshore'!R18</f>
        <v>1.2338335795555115</v>
      </c>
      <c r="K15" s="136">
        <f>'Input 3 MTA Onshore'!S18</f>
        <v>3.0119047619047619</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3 MTA Onshore'!K20</f>
        <v>0.40476190476190477</v>
      </c>
      <c r="D17" s="136">
        <f>'Input 3 MTA Onshore'!L20</f>
        <v>0.38492454400714282</v>
      </c>
      <c r="E17" s="136">
        <f>'Input 3 MTA Onshore'!M20</f>
        <v>0.36605941131308745</v>
      </c>
      <c r="F17" s="136">
        <f>'Input 3 MTA Onshore'!N20</f>
        <v>0.33105756997983143</v>
      </c>
      <c r="G17" s="136">
        <f>'Input 3 MTA Onshore'!O20</f>
        <v>0.33105756997983143</v>
      </c>
      <c r="H17" s="136">
        <f>'Input 3 MTA Onshore'!P20</f>
        <v>0.36587270346666662</v>
      </c>
      <c r="I17" s="136">
        <f>'Input 3 MTA Onshore'!Q20</f>
        <v>0.40476190476190477</v>
      </c>
      <c r="J17" s="136">
        <f>'Input 3 MTA Onshore'!R20</f>
        <v>0.22079127213098629</v>
      </c>
      <c r="K17" s="136">
        <f>'Input 3 MTA Onshore'!S20</f>
        <v>0.40476190476190477</v>
      </c>
      <c r="L17" s="134" t="s">
        <v>18</v>
      </c>
      <c r="M17" s="133"/>
    </row>
    <row r="18" spans="1:13" x14ac:dyDescent="0.3">
      <c r="A18" s="133"/>
      <c r="B18" s="133" t="s">
        <v>255</v>
      </c>
      <c r="C18" s="136">
        <f>'Input 3 MTA Onshore'!K23</f>
        <v>1.3414285714285714</v>
      </c>
      <c r="D18" s="136">
        <f>'Input 3 MTA Onshore'!L23</f>
        <v>1.2756852240801426</v>
      </c>
      <c r="E18" s="136">
        <f>'Input 3 MTA Onshore'!M23</f>
        <v>1.2131639549046676</v>
      </c>
      <c r="F18" s="136">
        <f>'Input 3 MTA Onshore'!N23</f>
        <v>1.0971637348625709</v>
      </c>
      <c r="G18" s="136">
        <f>'Input 3 MTA Onshore'!O23</f>
        <v>1.0971637348625709</v>
      </c>
      <c r="H18" s="136">
        <f>'Input 3 MTA Onshore'!P23</f>
        <v>1.2125451831359997</v>
      </c>
      <c r="I18" s="136">
        <f>'Input 3 MTA Onshore'!Q23</f>
        <v>1.3414285714285714</v>
      </c>
      <c r="J18" s="136">
        <f>'Input 3 MTA Onshore'!R23</f>
        <v>0.7317282512858686</v>
      </c>
      <c r="K18" s="136">
        <f>'Input 3 MTA Onshore'!S23</f>
        <v>1.3414285714285714</v>
      </c>
      <c r="L18" s="134" t="s">
        <v>20</v>
      </c>
      <c r="M18" s="133"/>
    </row>
    <row r="19" spans="1:13" ht="15" customHeight="1" x14ac:dyDescent="0.3">
      <c r="A19" s="133"/>
      <c r="B19" s="133" t="s">
        <v>256</v>
      </c>
      <c r="C19" s="136">
        <f>'Input 3 MTA Onshore'!K30</f>
        <v>1.2115079365079364</v>
      </c>
      <c r="D19" s="136">
        <f>'Input 3 MTA Onshore'!L30</f>
        <v>1.1521319929939284</v>
      </c>
      <c r="E19" s="136">
        <f>'Input 3 MTA Onshore'!M30</f>
        <v>1.0956660615086822</v>
      </c>
      <c r="F19" s="136">
        <f>'Input 3 MTA Onshore'!N30</f>
        <v>0.99090074622394642</v>
      </c>
      <c r="G19" s="136">
        <f>'Input 3 MTA Onshore'!O30</f>
        <v>0.99090074622394642</v>
      </c>
      <c r="H19" s="136">
        <f>'Input 3 MTA Onshore'!P30</f>
        <v>1.0951072192977775</v>
      </c>
      <c r="I19" s="136">
        <f>'Input 3 MTA Onshore'!Q30</f>
        <v>1.2115079365079364</v>
      </c>
      <c r="J19" s="136">
        <f>'Input 3 MTA Onshore'!R30</f>
        <v>0.66085858217245197</v>
      </c>
      <c r="K19" s="136">
        <f>'Input 3 MTA Onshore'!S30</f>
        <v>1.2115079365079364</v>
      </c>
      <c r="L19" s="134" t="s">
        <v>19</v>
      </c>
      <c r="M19" s="133"/>
    </row>
    <row r="20" spans="1:13" ht="15" customHeight="1" x14ac:dyDescent="0.3">
      <c r="A20" s="133"/>
      <c r="B20" s="133" t="s">
        <v>257</v>
      </c>
      <c r="C20" s="136">
        <f>'Input 3 MTA Onshore'!K32</f>
        <v>0.90666666666666684</v>
      </c>
      <c r="D20" s="136">
        <f>'Input 3 MTA Onshore'!L32</f>
        <v>0.86223097857600006</v>
      </c>
      <c r="E20" s="136">
        <f>'Input 3 MTA Onshore'!M32</f>
        <v>0.81997308134131608</v>
      </c>
      <c r="F20" s="136">
        <f>'Input 3 MTA Onshore'!N32</f>
        <v>0.74156895675482259</v>
      </c>
      <c r="G20" s="136">
        <f>'Input 3 MTA Onshore'!O32</f>
        <v>0.74156895675482259</v>
      </c>
      <c r="H20" s="136">
        <f>'Input 3 MTA Onshore'!P32</f>
        <v>0.81955485576533338</v>
      </c>
      <c r="I20" s="136">
        <f>'Input 3 MTA Onshore'!Q32</f>
        <v>0.90666666666666684</v>
      </c>
      <c r="J20" s="136">
        <f>'Input 3 MTA Onshore'!R32</f>
        <v>0.49457244957340935</v>
      </c>
      <c r="K20" s="136">
        <f>'Input 3 MTA Onshore'!S32</f>
        <v>0.90666666666666684</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3 MTA Onshore'!K9</f>
        <v>0.30952380952380953</v>
      </c>
      <c r="D24" s="136">
        <f>'Input 3 MTA Onshore'!L9</f>
        <v>0.29435406306428569</v>
      </c>
      <c r="E24" s="136">
        <f>'Input 3 MTA Onshore'!M9</f>
        <v>0.27992778512177274</v>
      </c>
      <c r="F24" s="136">
        <f>'Input 3 MTA Onshore'!N9</f>
        <v>0.2531616711610476</v>
      </c>
      <c r="G24" s="136">
        <f>'Input 3 MTA Onshore'!O9</f>
        <v>0.2531616711610476</v>
      </c>
      <c r="H24" s="136">
        <f>'Input 3 MTA Onshore'!P9</f>
        <v>0.27978500853333327</v>
      </c>
      <c r="I24" s="136">
        <f>'Input 3 MTA Onshore'!Q9</f>
        <v>0.30952380952380953</v>
      </c>
      <c r="J24" s="136">
        <f>'Input 3 MTA Onshore'!R9</f>
        <v>0.16884038457075423</v>
      </c>
      <c r="K24" s="136">
        <f>'Input 3 MTA Onshore'!S9</f>
        <v>0.30952380952380953</v>
      </c>
      <c r="L24" s="134" t="s">
        <v>22</v>
      </c>
      <c r="M24" s="133"/>
    </row>
    <row r="25" spans="1:13" ht="15" customHeight="1" x14ac:dyDescent="0.3">
      <c r="A25" s="131"/>
      <c r="B25" s="133" t="s">
        <v>260</v>
      </c>
      <c r="C25" s="136">
        <f>'Input 3 MTA Onshore'!K36</f>
        <v>0.634920634920635</v>
      </c>
      <c r="D25" s="136">
        <f>'Input 3 MTA Onshore'!L36</f>
        <v>0.60380320628571427</v>
      </c>
      <c r="E25" s="136">
        <f>'Input 3 MTA Onshore'!M36</f>
        <v>0.57421084127543132</v>
      </c>
      <c r="F25" s="136">
        <f>'Input 3 MTA Onshore'!N36</f>
        <v>0.51930599212522588</v>
      </c>
      <c r="G25" s="136">
        <f>'Input 3 MTA Onshore'!O36</f>
        <v>0.51930599212522588</v>
      </c>
      <c r="H25" s="136">
        <f>'Input 3 MTA Onshore'!P36</f>
        <v>0.57391796622222213</v>
      </c>
      <c r="I25" s="136">
        <f>'Input 3 MTA Onshore'!Q36</f>
        <v>0.634920634920635</v>
      </c>
      <c r="J25" s="136">
        <f>'Input 3 MTA Onshore'!R36</f>
        <v>0.34633925040154717</v>
      </c>
      <c r="K25" s="136">
        <f>'Input 3 MTA Onshore'!S36</f>
        <v>0.634920634920635</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265</v>
      </c>
      <c r="C32" s="141"/>
      <c r="D32" s="141"/>
    </row>
    <row r="33" spans="1:11" x14ac:dyDescent="0.3">
      <c r="A33" s="142"/>
      <c r="B33" s="133" t="s">
        <v>266</v>
      </c>
      <c r="C33" s="141"/>
      <c r="D33" s="141"/>
    </row>
    <row r="34" spans="1:11" x14ac:dyDescent="0.3">
      <c r="A34" s="142" t="s">
        <v>16</v>
      </c>
      <c r="B34" s="133" t="s">
        <v>267</v>
      </c>
      <c r="C34" s="141"/>
      <c r="D34" s="141"/>
    </row>
    <row r="35" spans="1:11" x14ac:dyDescent="0.3">
      <c r="A35" s="142" t="s">
        <v>17</v>
      </c>
      <c r="B35" s="133" t="s">
        <v>268</v>
      </c>
      <c r="C35" s="141"/>
      <c r="D35" s="141"/>
    </row>
    <row r="36" spans="1:11" x14ac:dyDescent="0.3">
      <c r="A36" s="142" t="s">
        <v>18</v>
      </c>
      <c r="B36" s="133" t="s">
        <v>269</v>
      </c>
      <c r="C36" s="141"/>
      <c r="D36" s="141"/>
    </row>
    <row r="37" spans="1:11" x14ac:dyDescent="0.3">
      <c r="A37" s="142" t="s">
        <v>20</v>
      </c>
      <c r="B37" s="133" t="s">
        <v>270</v>
      </c>
      <c r="C37" s="141"/>
      <c r="D37" s="141"/>
    </row>
    <row r="38" spans="1:11" x14ac:dyDescent="0.3">
      <c r="A38" s="142" t="s">
        <v>19</v>
      </c>
      <c r="B38" s="133" t="s">
        <v>271</v>
      </c>
      <c r="C38" s="141"/>
      <c r="D38" s="141"/>
    </row>
    <row r="39" spans="1:11" x14ac:dyDescent="0.3">
      <c r="A39" s="142" t="s">
        <v>21</v>
      </c>
      <c r="B39" s="133" t="s">
        <v>272</v>
      </c>
    </row>
    <row r="40" spans="1:11" x14ac:dyDescent="0.3">
      <c r="A40" s="142" t="s">
        <v>22</v>
      </c>
      <c r="B40" s="133" t="s">
        <v>273</v>
      </c>
    </row>
    <row r="41" spans="1:11" x14ac:dyDescent="0.3">
      <c r="A41" s="142" t="s">
        <v>23</v>
      </c>
      <c r="B41" s="133" t="s">
        <v>274</v>
      </c>
    </row>
    <row r="42" spans="1:11" x14ac:dyDescent="0.3">
      <c r="A42" s="142" t="s">
        <v>26</v>
      </c>
      <c r="B42" s="133" t="s">
        <v>275</v>
      </c>
    </row>
    <row r="43" spans="1:11" x14ac:dyDescent="0.3">
      <c r="A43" s="142" t="s">
        <v>27</v>
      </c>
      <c r="B43" s="133" t="s">
        <v>276</v>
      </c>
    </row>
    <row r="44" spans="1:11" x14ac:dyDescent="0.3">
      <c r="A44" s="142"/>
      <c r="B44" s="133"/>
    </row>
    <row r="45" spans="1:11" x14ac:dyDescent="0.3">
      <c r="A45" s="142"/>
      <c r="B45" s="133"/>
    </row>
    <row r="46" spans="1:11" x14ac:dyDescent="0.3">
      <c r="A46" s="142"/>
      <c r="B46" s="143"/>
    </row>
    <row r="47" spans="1:11" x14ac:dyDescent="0.3">
      <c r="A47" s="139" t="s">
        <v>24</v>
      </c>
      <c r="B47" s="140"/>
      <c r="C47" s="144"/>
      <c r="D47" s="144"/>
      <c r="E47" s="144"/>
      <c r="F47" s="144"/>
      <c r="G47" s="144"/>
      <c r="H47" s="144"/>
      <c r="I47" s="144"/>
      <c r="J47" s="144"/>
      <c r="K47" s="144"/>
    </row>
    <row r="48" spans="1:11" x14ac:dyDescent="0.3">
      <c r="A48" s="143">
        <v>1</v>
      </c>
      <c r="B48" s="143"/>
    </row>
    <row r="49" spans="1:2" x14ac:dyDescent="0.3">
      <c r="A49" s="143">
        <v>2</v>
      </c>
      <c r="B49" s="143"/>
    </row>
    <row r="50" spans="1:2" x14ac:dyDescent="0.3">
      <c r="A50" s="143"/>
      <c r="B50" s="143"/>
    </row>
    <row r="51" spans="1:2" x14ac:dyDescent="0.3">
      <c r="A51" s="143"/>
      <c r="B51" s="143"/>
    </row>
  </sheetData>
  <pageMargins left="0.7" right="0.7" top="0.75" bottom="0.75" header="0.3" footer="0.3"/>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278</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150</v>
      </c>
      <c r="D6" s="133">
        <v>150</v>
      </c>
      <c r="E6" s="133">
        <v>150</v>
      </c>
      <c r="F6" s="133">
        <v>150</v>
      </c>
      <c r="G6" s="133">
        <v>150</v>
      </c>
      <c r="H6" s="133">
        <v>150</v>
      </c>
      <c r="I6" s="133">
        <v>150</v>
      </c>
      <c r="J6" s="133">
        <v>150</v>
      </c>
      <c r="K6" s="133">
        <v>150</v>
      </c>
      <c r="L6" s="134" t="s">
        <v>7</v>
      </c>
      <c r="M6" s="133"/>
    </row>
    <row r="7" spans="1:13" x14ac:dyDescent="0.3">
      <c r="A7" s="133"/>
      <c r="B7" s="133" t="s">
        <v>245</v>
      </c>
      <c r="C7" s="133">
        <v>5</v>
      </c>
      <c r="D7" s="133">
        <v>5</v>
      </c>
      <c r="E7" s="133">
        <v>5</v>
      </c>
      <c r="F7" s="133">
        <v>5</v>
      </c>
      <c r="G7" s="133">
        <v>5</v>
      </c>
      <c r="H7" s="133">
        <v>5</v>
      </c>
      <c r="I7" s="133">
        <v>5</v>
      </c>
      <c r="J7" s="133">
        <v>5</v>
      </c>
      <c r="K7" s="133">
        <v>5</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5 MTA Onshore'!K18</f>
        <v>2.3641025641025641</v>
      </c>
      <c r="D15" s="136">
        <f>'Input 5 MTA Onshore'!L18</f>
        <v>2.2482380154046151</v>
      </c>
      <c r="E15" s="136">
        <f>'Input 5 MTA Onshore'!M18</f>
        <v>2.1380519824567115</v>
      </c>
      <c r="F15" s="136">
        <f>'Input 5 MTA Onshore'!N18</f>
        <v>1.9336158883708889</v>
      </c>
      <c r="G15" s="136">
        <f>'Input 5 MTA Onshore'!O18</f>
        <v>1.9336158883708889</v>
      </c>
      <c r="H15" s="136">
        <f>'Input 5 MTA Onshore'!P18</f>
        <v>2.1369614734605125</v>
      </c>
      <c r="I15" s="136">
        <f>'Input 5 MTA Onshore'!Q18</f>
        <v>3.1717948717948721</v>
      </c>
      <c r="J15" s="136">
        <f>'Input 5 MTA Onshore'!R18</f>
        <v>1.2895808781297606</v>
      </c>
      <c r="K15" s="136">
        <f>'Input 5 MTA Onshore'!S18</f>
        <v>3.1717948717948721</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5 MTA Onshore'!K20</f>
        <v>0.42871794871794872</v>
      </c>
      <c r="D17" s="136">
        <f>'Input 5 MTA Onshore'!L20</f>
        <v>0.40770650344430764</v>
      </c>
      <c r="E17" s="136">
        <f>'Input 5 MTA Onshore'!M20</f>
        <v>0.38772482805505659</v>
      </c>
      <c r="F17" s="136">
        <f>'Input 5 MTA Onshore'!N20</f>
        <v>0.35065138452886402</v>
      </c>
      <c r="G17" s="136">
        <f>'Input 5 MTA Onshore'!O20</f>
        <v>0.35065138452886402</v>
      </c>
      <c r="H17" s="136">
        <f>'Input 5 MTA Onshore'!P20</f>
        <v>0.38752706980758966</v>
      </c>
      <c r="I17" s="136">
        <f>'Input 5 MTA Onshore'!Q20</f>
        <v>0.42871794871794872</v>
      </c>
      <c r="J17" s="136">
        <f>'Input 5 MTA Onshore'!R20</f>
        <v>0.23385891846344464</v>
      </c>
      <c r="K17" s="136">
        <f>'Input 5 MTA Onshore'!S20</f>
        <v>0.42871794871794872</v>
      </c>
      <c r="L17" s="134" t="s">
        <v>18</v>
      </c>
      <c r="M17" s="133"/>
    </row>
    <row r="18" spans="1:13" x14ac:dyDescent="0.3">
      <c r="A18" s="133"/>
      <c r="B18" s="133" t="s">
        <v>255</v>
      </c>
      <c r="C18" s="136">
        <f>'Input 5 MTA Onshore'!K23</f>
        <v>0.86666666666666659</v>
      </c>
      <c r="D18" s="136">
        <f>'Input 5 MTA Onshore'!L23</f>
        <v>0.82419137657999986</v>
      </c>
      <c r="E18" s="136">
        <f>'Input 5 MTA Onshore'!M23</f>
        <v>0.78379779834096364</v>
      </c>
      <c r="F18" s="136">
        <f>'Input 5 MTA Onshore'!N23</f>
        <v>0.7088526792509332</v>
      </c>
      <c r="G18" s="136">
        <f>'Input 5 MTA Onshore'!O23</f>
        <v>0.7088526792509332</v>
      </c>
      <c r="H18" s="136">
        <f>'Input 5 MTA Onshore'!P23</f>
        <v>0.78339802389333313</v>
      </c>
      <c r="I18" s="136">
        <f>'Input 5 MTA Onshore'!Q23</f>
        <v>0.86666666666666659</v>
      </c>
      <c r="J18" s="136">
        <f>'Input 5 MTA Onshore'!R23</f>
        <v>0.47275307679811174</v>
      </c>
      <c r="K18" s="136">
        <f>'Input 5 MTA Onshore'!S23</f>
        <v>0.86666666666666659</v>
      </c>
      <c r="L18" s="134" t="s">
        <v>20</v>
      </c>
      <c r="M18" s="133"/>
    </row>
    <row r="19" spans="1:13" ht="15" customHeight="1" x14ac:dyDescent="0.3">
      <c r="A19" s="133"/>
      <c r="B19" s="133" t="s">
        <v>256</v>
      </c>
      <c r="C19" s="136">
        <f>'Input 5 MTA Onshore'!K30</f>
        <v>1.2423589743589742</v>
      </c>
      <c r="D19" s="136">
        <f>'Input 5 MTA Onshore'!L30</f>
        <v>1.1814710230193537</v>
      </c>
      <c r="E19" s="136">
        <f>'Input 5 MTA Onshore'!M30</f>
        <v>1.1235671871365791</v>
      </c>
      <c r="F19" s="136">
        <f>'Input 5 MTA Onshore'!N30</f>
        <v>1.016134024114385</v>
      </c>
      <c r="G19" s="136">
        <f>'Input 5 MTA Onshore'!O30</f>
        <v>1.016134024114385</v>
      </c>
      <c r="H19" s="136">
        <f>'Input 5 MTA Onshore'!P30</f>
        <v>1.1229941140141946</v>
      </c>
      <c r="I19" s="136">
        <f>'Input 5 MTA Onshore'!Q30</f>
        <v>1.2423589743589742</v>
      </c>
      <c r="J19" s="136">
        <f>'Input 5 MTA Onshore'!R30</f>
        <v>0.67768733955686722</v>
      </c>
      <c r="K19" s="136">
        <f>'Input 5 MTA Onshore'!S30</f>
        <v>1.2423589743589742</v>
      </c>
      <c r="L19" s="134" t="s">
        <v>19</v>
      </c>
      <c r="M19" s="133"/>
    </row>
    <row r="20" spans="1:13" ht="15" customHeight="1" x14ac:dyDescent="0.3">
      <c r="A20" s="133"/>
      <c r="B20" s="133" t="s">
        <v>257</v>
      </c>
      <c r="C20" s="136">
        <f>'Input 5 MTA Onshore'!K32</f>
        <v>0.90666666666666662</v>
      </c>
      <c r="D20" s="136">
        <f>'Input 5 MTA Onshore'!L32</f>
        <v>0.86223097857599984</v>
      </c>
      <c r="E20" s="136">
        <f>'Input 5 MTA Onshore'!M32</f>
        <v>0.81997308134131586</v>
      </c>
      <c r="F20" s="136">
        <f>'Input 5 MTA Onshore'!N32</f>
        <v>0.74156895675482237</v>
      </c>
      <c r="G20" s="136">
        <f>'Input 5 MTA Onshore'!O32</f>
        <v>0.74156895675482237</v>
      </c>
      <c r="H20" s="136">
        <f>'Input 5 MTA Onshore'!P32</f>
        <v>0.81955485576533316</v>
      </c>
      <c r="I20" s="136">
        <f>'Input 5 MTA Onshore'!Q32</f>
        <v>0.90666666666666662</v>
      </c>
      <c r="J20" s="136">
        <f>'Input 5 MTA Onshore'!R32</f>
        <v>0.49457244957340923</v>
      </c>
      <c r="K20" s="136">
        <f>'Input 5 MTA Onshore'!S32</f>
        <v>0.90666666666666662</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5 MTA Onshore'!K9</f>
        <v>0.2</v>
      </c>
      <c r="D24" s="136">
        <f>'Input 5 MTA Onshore'!L9</f>
        <v>0.19019800998</v>
      </c>
      <c r="E24" s="136">
        <f>'Input 5 MTA Onshore'!M9</f>
        <v>0.18087641500176088</v>
      </c>
      <c r="F24" s="136">
        <f>'Input 5 MTA Onshore'!N9</f>
        <v>0.16358138751944615</v>
      </c>
      <c r="G24" s="136">
        <f>'Input 5 MTA Onshore'!O9</f>
        <v>0.16358138751944615</v>
      </c>
      <c r="H24" s="136">
        <f>'Input 5 MTA Onshore'!P9</f>
        <v>0.18078415935999997</v>
      </c>
      <c r="I24" s="136">
        <f>'Input 5 MTA Onshore'!Q9</f>
        <v>0.2</v>
      </c>
      <c r="J24" s="136">
        <f>'Input 5 MTA Onshore'!R9</f>
        <v>0.10909686387648734</v>
      </c>
      <c r="K24" s="136">
        <f>'Input 5 MTA Onshore'!S9</f>
        <v>0.2</v>
      </c>
      <c r="L24" s="134" t="s">
        <v>22</v>
      </c>
      <c r="M24" s="133"/>
    </row>
    <row r="25" spans="1:13" ht="15" customHeight="1" x14ac:dyDescent="0.3">
      <c r="A25" s="131"/>
      <c r="B25" s="133" t="s">
        <v>260</v>
      </c>
      <c r="C25" s="136">
        <f>'Input 5 MTA Onshore'!K36</f>
        <v>0.4102564102564103</v>
      </c>
      <c r="D25" s="136">
        <f>'Input 5 MTA Onshore'!L36</f>
        <v>0.39014976406153845</v>
      </c>
      <c r="E25" s="136">
        <f>'Input 5 MTA Onshore'!M36</f>
        <v>0.37102854359335563</v>
      </c>
      <c r="F25" s="136">
        <f>'Input 5 MTA Onshore'!N36</f>
        <v>0.33555156414245363</v>
      </c>
      <c r="G25" s="136">
        <f>'Input 5 MTA Onshore'!O36</f>
        <v>0.33555156414245363</v>
      </c>
      <c r="H25" s="136">
        <f>'Input 5 MTA Onshore'!P36</f>
        <v>0.37083930125128201</v>
      </c>
      <c r="I25" s="136">
        <f>'Input 5 MTA Onshore'!Q36</f>
        <v>0.4102564102564103</v>
      </c>
      <c r="J25" s="136">
        <f>'Input 5 MTA Onshore'!R36</f>
        <v>0.22378843872099968</v>
      </c>
      <c r="K25" s="136">
        <f>'Input 5 MTA Onshore'!S36</f>
        <v>0.4102564102564103</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265</v>
      </c>
      <c r="C32" s="141"/>
      <c r="D32" s="141"/>
    </row>
    <row r="33" spans="1:11" x14ac:dyDescent="0.3">
      <c r="A33" s="142"/>
      <c r="B33" s="133" t="s">
        <v>266</v>
      </c>
      <c r="C33" s="141"/>
      <c r="D33" s="141"/>
    </row>
    <row r="34" spans="1:11" x14ac:dyDescent="0.3">
      <c r="A34" s="142" t="s">
        <v>16</v>
      </c>
      <c r="B34" s="133" t="s">
        <v>267</v>
      </c>
      <c r="C34" s="141"/>
      <c r="D34" s="141"/>
    </row>
    <row r="35" spans="1:11" x14ac:dyDescent="0.3">
      <c r="A35" s="142" t="s">
        <v>17</v>
      </c>
      <c r="B35" s="133" t="s">
        <v>268</v>
      </c>
      <c r="C35" s="141"/>
      <c r="D35" s="141"/>
    </row>
    <row r="36" spans="1:11" x14ac:dyDescent="0.3">
      <c r="A36" s="142" t="s">
        <v>18</v>
      </c>
      <c r="B36" s="133" t="s">
        <v>269</v>
      </c>
      <c r="C36" s="141"/>
      <c r="D36" s="141"/>
    </row>
    <row r="37" spans="1:11" x14ac:dyDescent="0.3">
      <c r="A37" s="142" t="s">
        <v>20</v>
      </c>
      <c r="B37" s="133" t="s">
        <v>270</v>
      </c>
      <c r="C37" s="141"/>
      <c r="D37" s="141"/>
    </row>
    <row r="38" spans="1:11" x14ac:dyDescent="0.3">
      <c r="A38" s="142" t="s">
        <v>19</v>
      </c>
      <c r="B38" s="133" t="s">
        <v>271</v>
      </c>
      <c r="C38" s="141"/>
      <c r="D38" s="141"/>
    </row>
    <row r="39" spans="1:11" x14ac:dyDescent="0.3">
      <c r="A39" s="142" t="s">
        <v>21</v>
      </c>
      <c r="B39" s="133" t="s">
        <v>272</v>
      </c>
    </row>
    <row r="40" spans="1:11" x14ac:dyDescent="0.3">
      <c r="A40" s="142" t="s">
        <v>22</v>
      </c>
      <c r="B40" s="133" t="s">
        <v>273</v>
      </c>
    </row>
    <row r="41" spans="1:11" x14ac:dyDescent="0.3">
      <c r="A41" s="142" t="s">
        <v>23</v>
      </c>
      <c r="B41" s="133" t="s">
        <v>274</v>
      </c>
    </row>
    <row r="42" spans="1:11" x14ac:dyDescent="0.3">
      <c r="A42" s="142" t="s">
        <v>26</v>
      </c>
      <c r="B42" s="133" t="s">
        <v>275</v>
      </c>
    </row>
    <row r="43" spans="1:11" x14ac:dyDescent="0.3">
      <c r="A43" s="142" t="s">
        <v>27</v>
      </c>
      <c r="B43" s="133" t="s">
        <v>276</v>
      </c>
    </row>
    <row r="44" spans="1:11" x14ac:dyDescent="0.3">
      <c r="A44" s="142"/>
      <c r="B44" s="133"/>
    </row>
    <row r="45" spans="1:11" x14ac:dyDescent="0.3">
      <c r="A45" s="142"/>
      <c r="B45" s="133"/>
    </row>
    <row r="46" spans="1:11" x14ac:dyDescent="0.3">
      <c r="A46" s="142"/>
      <c r="B46" s="143"/>
    </row>
    <row r="47" spans="1:11" x14ac:dyDescent="0.3">
      <c r="A47" s="139" t="s">
        <v>24</v>
      </c>
      <c r="B47" s="140"/>
      <c r="C47" s="144"/>
      <c r="D47" s="144"/>
      <c r="E47" s="144"/>
      <c r="F47" s="144"/>
      <c r="G47" s="144"/>
      <c r="H47" s="144"/>
      <c r="I47" s="144"/>
      <c r="J47" s="144"/>
      <c r="K47" s="144"/>
    </row>
    <row r="48" spans="1:11" x14ac:dyDescent="0.3">
      <c r="A48" s="143">
        <v>1</v>
      </c>
      <c r="B48" s="143"/>
    </row>
    <row r="49" spans="1:2" x14ac:dyDescent="0.3">
      <c r="A49" s="143">
        <v>2</v>
      </c>
      <c r="B49" s="143"/>
    </row>
    <row r="50" spans="1:2" x14ac:dyDescent="0.3">
      <c r="A50" s="143"/>
      <c r="B50" s="143"/>
    </row>
    <row r="51" spans="1:2" x14ac:dyDescent="0.3">
      <c r="A51" s="143"/>
      <c r="B51" s="143"/>
    </row>
  </sheetData>
  <pageMargins left="0.7" right="0.7" top="0.75" bottom="0.75" header="0.3" footer="0.3"/>
  <pageSetup paperSize="9" scale="6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279</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30</v>
      </c>
      <c r="D6" s="133">
        <v>30</v>
      </c>
      <c r="E6" s="133">
        <v>30</v>
      </c>
      <c r="F6" s="133">
        <v>30</v>
      </c>
      <c r="G6" s="133">
        <v>30</v>
      </c>
      <c r="H6" s="133">
        <v>30</v>
      </c>
      <c r="I6" s="133">
        <v>30</v>
      </c>
      <c r="J6" s="133">
        <v>30</v>
      </c>
      <c r="K6" s="133">
        <v>30</v>
      </c>
      <c r="L6" s="134" t="s">
        <v>7</v>
      </c>
      <c r="M6" s="133"/>
    </row>
    <row r="7" spans="1:13" x14ac:dyDescent="0.3">
      <c r="A7" s="133"/>
      <c r="B7" s="133" t="s">
        <v>245</v>
      </c>
      <c r="C7" s="133">
        <v>1</v>
      </c>
      <c r="D7" s="133">
        <v>1</v>
      </c>
      <c r="E7" s="133">
        <v>1</v>
      </c>
      <c r="F7" s="133">
        <v>1</v>
      </c>
      <c r="G7" s="133">
        <v>1</v>
      </c>
      <c r="H7" s="133">
        <v>1</v>
      </c>
      <c r="I7" s="133">
        <v>1</v>
      </c>
      <c r="J7" s="133">
        <v>1</v>
      </c>
      <c r="K7" s="133">
        <v>1</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1 MTA  Near shore'!K18</f>
        <v>7.5777777777777784</v>
      </c>
      <c r="D15" s="136">
        <f>'Input 1 MTA  Near shore'!L18</f>
        <v>7.206391267019999</v>
      </c>
      <c r="E15" s="136">
        <f>'Input 1 MTA  Near shore'!M18</f>
        <v>6.8532063906222724</v>
      </c>
      <c r="F15" s="136">
        <f>'Input 1 MTA  Near shore'!N18</f>
        <v>6.1979170160145696</v>
      </c>
      <c r="G15" s="136">
        <f>'Input 1 MTA  Near shore'!O18</f>
        <v>6.1979170160145696</v>
      </c>
      <c r="H15" s="136">
        <f>'Input 1 MTA  Near shore'!P18</f>
        <v>6.8497109268622207</v>
      </c>
      <c r="I15" s="136">
        <f>'Input 1 MTA  Near shore'!Q18</f>
        <v>9.6777777777777771</v>
      </c>
      <c r="J15" s="136">
        <f>'Input 1 MTA  Near shore'!R18</f>
        <v>4.1335589535424653</v>
      </c>
      <c r="K15" s="136">
        <f>'Input 1 MTA  Near shore'!S18</f>
        <v>9.6777777777777771</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1 MTA  Near shore'!K20</f>
        <v>1.3422222222222222</v>
      </c>
      <c r="D17" s="136">
        <f>'Input 1 MTA  Near shore'!L20</f>
        <v>1.2764399780879998</v>
      </c>
      <c r="E17" s="136">
        <f>'Input 1 MTA  Near shore'!M20</f>
        <v>1.2138817184562618</v>
      </c>
      <c r="F17" s="136">
        <f>'Input 1 MTA  Near shore'!N20</f>
        <v>1.0978128673527274</v>
      </c>
      <c r="G17" s="136">
        <f>'Input 1 MTA  Near shore'!O20</f>
        <v>1.0978128673527274</v>
      </c>
      <c r="H17" s="136">
        <f>'Input 1 MTA  Near shore'!P20</f>
        <v>1.2132625805937776</v>
      </c>
      <c r="I17" s="136">
        <f>'Input 1 MTA  Near shore'!Q20</f>
        <v>1.3422222222222222</v>
      </c>
      <c r="J17" s="136">
        <f>'Input 1 MTA  Near shore'!R20</f>
        <v>0.7321611753488706</v>
      </c>
      <c r="K17" s="136">
        <f>'Input 1 MTA  Near shore'!S20</f>
        <v>1.3422222222222222</v>
      </c>
      <c r="L17" s="134" t="s">
        <v>18</v>
      </c>
      <c r="M17" s="133"/>
    </row>
    <row r="18" spans="1:13" x14ac:dyDescent="0.3">
      <c r="A18" s="133"/>
      <c r="B18" s="133" t="s">
        <v>255</v>
      </c>
      <c r="C18" s="136">
        <f>'Input 1 MTA  Near shore'!K23</f>
        <v>5.6444444444444448</v>
      </c>
      <c r="D18" s="136">
        <f>'Input 1 MTA  Near shore'!L23</f>
        <v>5.3678105038799995</v>
      </c>
      <c r="E18" s="136">
        <f>'Input 1 MTA  Near shore'!M23</f>
        <v>5.1047343789385842</v>
      </c>
      <c r="F18" s="136">
        <f>'Input 1 MTA  Near shore'!N23</f>
        <v>4.6166302699932578</v>
      </c>
      <c r="G18" s="136">
        <f>'Input 1 MTA  Near shore'!O23</f>
        <v>4.6166302699932578</v>
      </c>
      <c r="H18" s="136">
        <f>'Input 1 MTA  Near shore'!P23</f>
        <v>5.1021307197155545</v>
      </c>
      <c r="I18" s="136">
        <f>'Input 1 MTA  Near shore'!Q23</f>
        <v>5.6444444444444448</v>
      </c>
      <c r="J18" s="136">
        <f>'Input 1 MTA  Near shore'!R23</f>
        <v>3.0789559360697538</v>
      </c>
      <c r="K18" s="136">
        <f>'Input 1 MTA  Near shore'!S23</f>
        <v>5.6444444444444448</v>
      </c>
      <c r="L18" s="134" t="s">
        <v>20</v>
      </c>
      <c r="M18" s="133"/>
    </row>
    <row r="19" spans="1:13" ht="15" customHeight="1" x14ac:dyDescent="0.3">
      <c r="A19" s="133"/>
      <c r="B19" s="133" t="s">
        <v>256</v>
      </c>
      <c r="C19" s="136">
        <f>'Input 1 MTA  Near shore'!K30</f>
        <v>5.772444444444444</v>
      </c>
      <c r="D19" s="136">
        <f>'Input 1 MTA  Near shore'!L30</f>
        <v>5.4895372302671994</v>
      </c>
      <c r="E19" s="136">
        <f>'Input 1 MTA  Near shore'!M30</f>
        <v>5.2204952845397106</v>
      </c>
      <c r="F19" s="136">
        <f>'Input 1 MTA  Near shore'!N30</f>
        <v>4.7213223580057031</v>
      </c>
      <c r="G19" s="136">
        <f>'Input 1 MTA  Near shore'!O30</f>
        <v>4.7213223580057031</v>
      </c>
      <c r="H19" s="136">
        <f>'Input 1 MTA  Near shore'!P30</f>
        <v>5.2178325817059541</v>
      </c>
      <c r="I19" s="136">
        <f>'Input 1 MTA  Near shore'!Q30</f>
        <v>5.772444444444444</v>
      </c>
      <c r="J19" s="136">
        <f>'Input 1 MTA  Near shore'!R30</f>
        <v>3.1487779289507056</v>
      </c>
      <c r="K19" s="136">
        <f>'Input 1 MTA  Near shore'!S30</f>
        <v>5.772444444444444</v>
      </c>
      <c r="L19" s="134" t="s">
        <v>19</v>
      </c>
      <c r="M19" s="133"/>
    </row>
    <row r="20" spans="1:13" ht="15" customHeight="1" x14ac:dyDescent="0.3">
      <c r="A20" s="133"/>
      <c r="B20" s="133" t="s">
        <v>257</v>
      </c>
      <c r="C20" s="136">
        <f>'Input 1 MTA  Near shore'!K32</f>
        <v>0.90666666666666695</v>
      </c>
      <c r="D20" s="136">
        <f>'Input 1 MTA  Near shore'!L32</f>
        <v>0.86223097857600017</v>
      </c>
      <c r="E20" s="136">
        <f>'Input 1 MTA  Near shore'!M32</f>
        <v>0.81997308134131619</v>
      </c>
      <c r="F20" s="136">
        <f>'Input 1 MTA  Near shore'!N32</f>
        <v>0.74156895675482271</v>
      </c>
      <c r="G20" s="136">
        <f>'Input 1 MTA  Near shore'!O32</f>
        <v>0.74156895675482271</v>
      </c>
      <c r="H20" s="136">
        <f>'Input 1 MTA  Near shore'!P32</f>
        <v>0.81955485576533338</v>
      </c>
      <c r="I20" s="136">
        <f>'Input 1 MTA  Near shore'!Q32</f>
        <v>0.90666666666666695</v>
      </c>
      <c r="J20" s="136">
        <f>'Input 1 MTA  Near shore'!R32</f>
        <v>0.4945724495734094</v>
      </c>
      <c r="K20" s="136">
        <f>'Input 1 MTA  Near shore'!S32</f>
        <v>0.90666666666666695</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1 MTA  Near shore'!K9</f>
        <v>1.6444444444444446</v>
      </c>
      <c r="D24" s="136">
        <f>'Input 1 MTA  Near shore'!L9</f>
        <v>1.56385030428</v>
      </c>
      <c r="E24" s="136">
        <f>'Input 1 MTA  Near shore'!M9</f>
        <v>1.4872060789033672</v>
      </c>
      <c r="F24" s="136">
        <f>'Input 1 MTA  Near shore'!N9</f>
        <v>1.3450025196043349</v>
      </c>
      <c r="G24" s="136">
        <f>'Input 1 MTA  Near shore'!O9</f>
        <v>1.3450025196043349</v>
      </c>
      <c r="H24" s="136">
        <f>'Input 1 MTA  Near shore'!P9</f>
        <v>1.4864475325155553</v>
      </c>
      <c r="I24" s="136">
        <f>'Input 1 MTA  Near shore'!Q9</f>
        <v>1.6444444444444446</v>
      </c>
      <c r="J24" s="136">
        <f>'Input 1 MTA  Near shore'!R9</f>
        <v>0.89701865854000706</v>
      </c>
      <c r="K24" s="136">
        <f>'Input 1 MTA  Near shore'!S9</f>
        <v>1.6444444444444446</v>
      </c>
      <c r="L24" s="134" t="s">
        <v>22</v>
      </c>
      <c r="M24" s="133"/>
    </row>
    <row r="25" spans="1:13" ht="15" customHeight="1" x14ac:dyDescent="0.3">
      <c r="A25" s="131"/>
      <c r="B25" s="133" t="s">
        <v>260</v>
      </c>
      <c r="C25" s="136">
        <f>'Input 1 MTA  Near shore'!K36</f>
        <v>2.6666666666666665</v>
      </c>
      <c r="D25" s="136">
        <f>'Input 1 MTA  Near shore'!L36</f>
        <v>2.5359734663999998</v>
      </c>
      <c r="E25" s="136">
        <f>'Input 1 MTA  Near shore'!M36</f>
        <v>2.4116855333568115</v>
      </c>
      <c r="F25" s="136">
        <f>'Input 1 MTA  Near shore'!N36</f>
        <v>2.1810851669259481</v>
      </c>
      <c r="G25" s="136">
        <f>'Input 1 MTA  Near shore'!O36</f>
        <v>2.1810851669259481</v>
      </c>
      <c r="H25" s="136">
        <f>'Input 1 MTA  Near shore'!P36</f>
        <v>2.4104554581333328</v>
      </c>
      <c r="I25" s="136">
        <f>'Input 1 MTA  Near shore'!Q36</f>
        <v>2.6666666666666665</v>
      </c>
      <c r="J25" s="136">
        <f>'Input 1 MTA  Near shore'!R36</f>
        <v>1.4546248516864977</v>
      </c>
      <c r="K25" s="136">
        <f>'Input 1 MTA  Near shore'!S36</f>
        <v>2.6666666666666665</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280</v>
      </c>
      <c r="C32" s="141"/>
      <c r="D32" s="141"/>
    </row>
    <row r="33" spans="1:11" x14ac:dyDescent="0.3">
      <c r="A33" s="142" t="s">
        <v>16</v>
      </c>
      <c r="B33" s="133" t="s">
        <v>267</v>
      </c>
      <c r="C33" s="141"/>
      <c r="D33" s="141"/>
    </row>
    <row r="34" spans="1:11" x14ac:dyDescent="0.3">
      <c r="A34" s="142" t="s">
        <v>17</v>
      </c>
      <c r="B34" s="133" t="s">
        <v>281</v>
      </c>
      <c r="C34" s="141"/>
      <c r="D34" s="141"/>
    </row>
    <row r="35" spans="1:11" x14ac:dyDescent="0.3">
      <c r="A35" s="142" t="s">
        <v>18</v>
      </c>
      <c r="B35" s="133" t="s">
        <v>282</v>
      </c>
      <c r="C35" s="141"/>
      <c r="D35" s="141"/>
    </row>
    <row r="36" spans="1:11" x14ac:dyDescent="0.3">
      <c r="A36" s="142" t="s">
        <v>20</v>
      </c>
      <c r="B36" s="133" t="s">
        <v>270</v>
      </c>
      <c r="C36" s="141"/>
      <c r="D36" s="141"/>
    </row>
    <row r="37" spans="1:11" x14ac:dyDescent="0.3">
      <c r="A37" s="142" t="s">
        <v>19</v>
      </c>
      <c r="B37" s="133" t="s">
        <v>283</v>
      </c>
      <c r="C37" s="141"/>
      <c r="D37" s="141"/>
    </row>
    <row r="38" spans="1:11" x14ac:dyDescent="0.3">
      <c r="A38" s="142" t="s">
        <v>21</v>
      </c>
      <c r="B38" s="133" t="s">
        <v>272</v>
      </c>
    </row>
    <row r="39" spans="1:11" x14ac:dyDescent="0.3">
      <c r="A39" s="142" t="s">
        <v>22</v>
      </c>
      <c r="B39" s="133" t="s">
        <v>273</v>
      </c>
    </row>
    <row r="40" spans="1:11" x14ac:dyDescent="0.3">
      <c r="A40" s="142" t="s">
        <v>23</v>
      </c>
      <c r="B40" s="133" t="s">
        <v>274</v>
      </c>
    </row>
    <row r="41" spans="1:11" x14ac:dyDescent="0.3">
      <c r="A41" s="142" t="s">
        <v>26</v>
      </c>
      <c r="B41" s="133" t="s">
        <v>275</v>
      </c>
    </row>
    <row r="42" spans="1:11" x14ac:dyDescent="0.3">
      <c r="A42" s="142" t="s">
        <v>27</v>
      </c>
      <c r="B42" s="133" t="s">
        <v>276</v>
      </c>
    </row>
    <row r="43" spans="1:11" x14ac:dyDescent="0.3">
      <c r="A43" s="142"/>
      <c r="B43" s="133"/>
    </row>
    <row r="44" spans="1:11" ht="15.75" customHeight="1" x14ac:dyDescent="0.3">
      <c r="A44" s="142"/>
      <c r="B44" s="133"/>
    </row>
    <row r="45" spans="1:11" ht="15.75" customHeight="1" x14ac:dyDescent="0.3">
      <c r="A45" s="142"/>
      <c r="B45" s="133"/>
    </row>
    <row r="46" spans="1:11" x14ac:dyDescent="0.3">
      <c r="A46" s="142"/>
      <c r="B46" s="143"/>
    </row>
    <row r="47" spans="1:11" x14ac:dyDescent="0.3">
      <c r="A47" s="139" t="s">
        <v>24</v>
      </c>
      <c r="B47" s="140"/>
      <c r="C47" s="144"/>
      <c r="D47" s="144"/>
      <c r="E47" s="144"/>
      <c r="F47" s="144"/>
      <c r="G47" s="144"/>
      <c r="H47" s="144"/>
      <c r="I47" s="144"/>
      <c r="J47" s="144"/>
      <c r="K47" s="144"/>
    </row>
    <row r="48" spans="1:11" x14ac:dyDescent="0.3">
      <c r="A48" s="143">
        <v>1</v>
      </c>
      <c r="B48" s="143"/>
    </row>
    <row r="49" spans="1:2" x14ac:dyDescent="0.3">
      <c r="A49" s="143">
        <v>2</v>
      </c>
      <c r="B49" s="143"/>
    </row>
    <row r="50" spans="1:2" x14ac:dyDescent="0.3">
      <c r="A50" s="143"/>
      <c r="B50" s="143"/>
    </row>
    <row r="51" spans="1:2" x14ac:dyDescent="0.3">
      <c r="A51" s="143"/>
      <c r="B51" s="143"/>
    </row>
  </sheetData>
  <pageMargins left="0.7" right="0.7" top="0.75" bottom="0.75" header="0.3" footer="0.3"/>
  <pageSetup paperSize="9" scale="6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284</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90</v>
      </c>
      <c r="D6" s="133">
        <v>90</v>
      </c>
      <c r="E6" s="133">
        <v>90</v>
      </c>
      <c r="F6" s="133">
        <v>90</v>
      </c>
      <c r="G6" s="133">
        <v>90</v>
      </c>
      <c r="H6" s="133">
        <v>90</v>
      </c>
      <c r="I6" s="133">
        <v>90</v>
      </c>
      <c r="J6" s="133">
        <v>90</v>
      </c>
      <c r="K6" s="133">
        <v>90</v>
      </c>
      <c r="L6" s="134" t="s">
        <v>7</v>
      </c>
      <c r="M6" s="133"/>
    </row>
    <row r="7" spans="1:13" x14ac:dyDescent="0.3">
      <c r="A7" s="133"/>
      <c r="B7" s="133" t="s">
        <v>245</v>
      </c>
      <c r="C7" s="133">
        <v>3</v>
      </c>
      <c r="D7" s="133">
        <v>3</v>
      </c>
      <c r="E7" s="133">
        <v>3</v>
      </c>
      <c r="F7" s="133">
        <v>3</v>
      </c>
      <c r="G7" s="133">
        <v>3</v>
      </c>
      <c r="H7" s="133">
        <v>3</v>
      </c>
      <c r="I7" s="133">
        <v>3</v>
      </c>
      <c r="J7" s="133">
        <v>3</v>
      </c>
      <c r="K7" s="133">
        <v>3</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3 MTA  Near shore'!K18</f>
        <v>4.4341085271317828</v>
      </c>
      <c r="D15" s="136">
        <f>'Input 3 MTA  Near shore'!L18</f>
        <v>4.2167930894790695</v>
      </c>
      <c r="E15" s="136">
        <f>'Input 3 MTA  Near shore'!M18</f>
        <v>4.0101282705816743</v>
      </c>
      <c r="F15" s="136">
        <f>'Input 3 MTA  Near shore'!N18</f>
        <v>3.6266881264001238</v>
      </c>
      <c r="G15" s="136">
        <f>'Input 3 MTA  Near shore'!O18</f>
        <v>3.6266881264001238</v>
      </c>
      <c r="H15" s="136">
        <f>'Input 3 MTA  Near shore'!P18</f>
        <v>4.0080829129426352</v>
      </c>
      <c r="I15" s="136">
        <f>'Input 3 MTA  Near shore'!Q18</f>
        <v>5.8992248062015502</v>
      </c>
      <c r="J15" s="136">
        <f>'Input 3 MTA  Near shore'!R18</f>
        <v>2.4187366719903394</v>
      </c>
      <c r="K15" s="136">
        <f>'Input 3 MTA  Near shore'!S18</f>
        <v>5.8992248062015502</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3 MTA  Near shore'!K20</f>
        <v>0.80775193798449618</v>
      </c>
      <c r="D17" s="136">
        <f>'Input 3 MTA  Near shore'!L20</f>
        <v>0.76816405581069769</v>
      </c>
      <c r="E17" s="136">
        <f>'Input 3 MTA  Near shore'!M20</f>
        <v>0.73051637376680167</v>
      </c>
      <c r="F17" s="136">
        <f>'Input 3 MTA  Near shore'!N20</f>
        <v>0.66066591393512741</v>
      </c>
      <c r="G17" s="136">
        <f>'Input 3 MTA  Near shore'!O20</f>
        <v>0.66066591393512741</v>
      </c>
      <c r="H17" s="136">
        <f>'Input 3 MTA  Near shore'!P20</f>
        <v>0.73014377539968978</v>
      </c>
      <c r="I17" s="136">
        <f>'Input 3 MTA  Near shore'!Q20</f>
        <v>0.80775193798449618</v>
      </c>
      <c r="J17" s="136">
        <f>'Input 3 MTA  Near shore'!R20</f>
        <v>0.44061601612131712</v>
      </c>
      <c r="K17" s="136">
        <f>'Input 3 MTA  Near shore'!S20</f>
        <v>0.80775193798449618</v>
      </c>
      <c r="L17" s="134" t="s">
        <v>18</v>
      </c>
      <c r="M17" s="133"/>
    </row>
    <row r="18" spans="1:13" x14ac:dyDescent="0.3">
      <c r="A18" s="133"/>
      <c r="B18" s="133" t="s">
        <v>255</v>
      </c>
      <c r="C18" s="136">
        <f>'Input 3 MTA  Near shore'!K23</f>
        <v>1.9689922480620157</v>
      </c>
      <c r="D18" s="136">
        <f>'Input 3 MTA  Near shore'!L23</f>
        <v>1.8724920362372093</v>
      </c>
      <c r="E18" s="136">
        <f>'Input 3 MTA  Near shore'!M23</f>
        <v>1.780721294978576</v>
      </c>
      <c r="F18" s="136">
        <f>'Input 3 MTA  Near shore'!N23</f>
        <v>1.61045241976509</v>
      </c>
      <c r="G18" s="136">
        <f>'Input 3 MTA  Near shore'!O23</f>
        <v>1.61045241976509</v>
      </c>
      <c r="H18" s="136">
        <f>'Input 3 MTA  Near shore'!P23</f>
        <v>1.7798130417612401</v>
      </c>
      <c r="I18" s="136">
        <f>'Input 3 MTA  Near shore'!Q23</f>
        <v>1.9689922480620157</v>
      </c>
      <c r="J18" s="136">
        <f>'Input 3 MTA  Near shore'!R23</f>
        <v>1.0740543963034026</v>
      </c>
      <c r="K18" s="136">
        <f>'Input 3 MTA  Near shore'!S23</f>
        <v>1.9689922480620157</v>
      </c>
      <c r="L18" s="134" t="s">
        <v>20</v>
      </c>
      <c r="M18" s="133"/>
    </row>
    <row r="19" spans="1:13" ht="15" customHeight="1" x14ac:dyDescent="0.3">
      <c r="A19" s="133"/>
      <c r="B19" s="133" t="s">
        <v>256</v>
      </c>
      <c r="C19" s="136">
        <f>'Input 3 MTA  Near shore'!K30</f>
        <v>2.8145736434108528</v>
      </c>
      <c r="D19" s="136">
        <f>'Input 3 MTA  Near shore'!L30</f>
        <v>2.6766315295945113</v>
      </c>
      <c r="E19" s="136">
        <f>'Input 3 MTA  Near shore'!M30</f>
        <v>2.5454499518929974</v>
      </c>
      <c r="F19" s="136">
        <f>'Input 3 MTA  Near shore'!N30</f>
        <v>2.3020593093240507</v>
      </c>
      <c r="G19" s="136">
        <f>'Input 3 MTA  Near shore'!O30</f>
        <v>2.3020593093240507</v>
      </c>
      <c r="H19" s="136">
        <f>'Input 3 MTA  Near shore'!P30</f>
        <v>2.5441516504042165</v>
      </c>
      <c r="I19" s="136">
        <f>'Input 3 MTA  Near shore'!Q30</f>
        <v>2.8145736434108528</v>
      </c>
      <c r="J19" s="136">
        <f>'Input 3 MTA  Near shore'!R30</f>
        <v>1.5353057882277141</v>
      </c>
      <c r="K19" s="136">
        <f>'Input 3 MTA  Near shore'!S30</f>
        <v>2.8145736434108528</v>
      </c>
      <c r="L19" s="134" t="s">
        <v>19</v>
      </c>
      <c r="M19" s="133"/>
    </row>
    <row r="20" spans="1:13" ht="15" customHeight="1" x14ac:dyDescent="0.3">
      <c r="A20" s="133"/>
      <c r="B20" s="133" t="s">
        <v>257</v>
      </c>
      <c r="C20" s="136">
        <f>'Input 3 MTA  Near shore'!K32</f>
        <v>0.90697674418604646</v>
      </c>
      <c r="D20" s="136">
        <f>'Input 3 MTA  Near shore'!L32</f>
        <v>0.86252585921162772</v>
      </c>
      <c r="E20" s="136">
        <f>'Input 3 MTA  Near shore'!M32</f>
        <v>0.8202535098917062</v>
      </c>
      <c r="F20" s="136">
        <f>'Input 3 MTA  Near shore'!N32</f>
        <v>0.74182257130911611</v>
      </c>
      <c r="G20" s="136">
        <f>'Input 3 MTA  Near shore'!O32</f>
        <v>0.74182257130911611</v>
      </c>
      <c r="H20" s="136">
        <f>'Input 3 MTA  Near shore'!P32</f>
        <v>0.8198351412837207</v>
      </c>
      <c r="I20" s="136">
        <f>'Input 3 MTA  Near shore'!Q32</f>
        <v>0.90697674418604646</v>
      </c>
      <c r="J20" s="136">
        <f>'Input 3 MTA  Near shore'!R32</f>
        <v>0.49474159199802392</v>
      </c>
      <c r="K20" s="136">
        <f>'Input 3 MTA  Near shore'!S32</f>
        <v>0.90697674418604646</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3 MTA  Near shore'!K9</f>
        <v>0.5736434108527132</v>
      </c>
      <c r="D24" s="136">
        <f>'Input 3 MTA  Near shore'!L9</f>
        <v>0.54552917591162786</v>
      </c>
      <c r="E24" s="136">
        <f>'Input 3 MTA  Near shore'!M9</f>
        <v>0.51879281822210477</v>
      </c>
      <c r="F24" s="136">
        <f>'Input 3 MTA  Near shore'!N9</f>
        <v>0.46918692544337265</v>
      </c>
      <c r="G24" s="136">
        <f>'Input 3 MTA  Near shore'!O9</f>
        <v>0.46918692544337265</v>
      </c>
      <c r="H24" s="136">
        <f>'Input 3 MTA  Near shore'!P9</f>
        <v>0.51852820901705421</v>
      </c>
      <c r="I24" s="136">
        <f>'Input 3 MTA  Near shore'!Q9</f>
        <v>0.5736434108527132</v>
      </c>
      <c r="J24" s="136">
        <f>'Input 3 MTA  Near shore'!R9</f>
        <v>0.31291348553721177</v>
      </c>
      <c r="K24" s="136">
        <f>'Input 3 MTA  Near shore'!S9</f>
        <v>0.5736434108527132</v>
      </c>
      <c r="L24" s="134" t="s">
        <v>22</v>
      </c>
      <c r="M24" s="133"/>
    </row>
    <row r="25" spans="1:13" ht="15" customHeight="1" x14ac:dyDescent="0.3">
      <c r="A25" s="131"/>
      <c r="B25" s="133" t="s">
        <v>260</v>
      </c>
      <c r="C25" s="136">
        <f>'Input 3 MTA  Near shore'!K36</f>
        <v>0.93023255813953487</v>
      </c>
      <c r="D25" s="136">
        <f>'Input 3 MTA  Near shore'!L36</f>
        <v>0.8846419068837208</v>
      </c>
      <c r="E25" s="136">
        <f>'Input 3 MTA  Near shore'!M36</f>
        <v>0.84128565117098075</v>
      </c>
      <c r="F25" s="136">
        <f>'Input 3 MTA  Near shore'!N36</f>
        <v>0.7608436628811448</v>
      </c>
      <c r="G25" s="136">
        <f>'Input 3 MTA  Near shore'!O36</f>
        <v>0.7608436628811448</v>
      </c>
      <c r="H25" s="136">
        <f>'Input 3 MTA  Near shore'!P36</f>
        <v>0.84085655516279056</v>
      </c>
      <c r="I25" s="136">
        <f>'Input 3 MTA  Near shore'!Q36</f>
        <v>0.93023255813953487</v>
      </c>
      <c r="J25" s="136">
        <f>'Input 3 MTA  Near shore'!R36</f>
        <v>0.50742727384412711</v>
      </c>
      <c r="K25" s="136">
        <f>'Input 3 MTA  Near shore'!S36</f>
        <v>0.93023255813953487</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280</v>
      </c>
      <c r="C32" s="141"/>
      <c r="D32" s="141"/>
    </row>
    <row r="33" spans="1:11" x14ac:dyDescent="0.3">
      <c r="A33" s="142" t="s">
        <v>16</v>
      </c>
      <c r="B33" s="133" t="s">
        <v>267</v>
      </c>
      <c r="C33" s="141"/>
      <c r="D33" s="141"/>
    </row>
    <row r="34" spans="1:11" x14ac:dyDescent="0.3">
      <c r="A34" s="142" t="s">
        <v>17</v>
      </c>
      <c r="B34" s="133" t="s">
        <v>281</v>
      </c>
      <c r="C34" s="141"/>
      <c r="D34" s="141"/>
    </row>
    <row r="35" spans="1:11" x14ac:dyDescent="0.3">
      <c r="A35" s="142" t="s">
        <v>18</v>
      </c>
      <c r="B35" s="133" t="s">
        <v>282</v>
      </c>
      <c r="C35" s="141"/>
      <c r="D35" s="141"/>
    </row>
    <row r="36" spans="1:11" x14ac:dyDescent="0.3">
      <c r="A36" s="142" t="s">
        <v>20</v>
      </c>
      <c r="B36" s="133" t="s">
        <v>270</v>
      </c>
      <c r="C36" s="141"/>
      <c r="D36" s="141"/>
    </row>
    <row r="37" spans="1:11" x14ac:dyDescent="0.3">
      <c r="A37" s="142" t="s">
        <v>19</v>
      </c>
      <c r="B37" s="133" t="s">
        <v>283</v>
      </c>
      <c r="C37" s="141"/>
      <c r="D37" s="141"/>
    </row>
    <row r="38" spans="1:11" x14ac:dyDescent="0.3">
      <c r="A38" s="142" t="s">
        <v>21</v>
      </c>
      <c r="B38" s="133" t="s">
        <v>272</v>
      </c>
    </row>
    <row r="39" spans="1:11" x14ac:dyDescent="0.3">
      <c r="A39" s="142" t="s">
        <v>22</v>
      </c>
      <c r="B39" s="133" t="s">
        <v>273</v>
      </c>
    </row>
    <row r="40" spans="1:11" x14ac:dyDescent="0.3">
      <c r="A40" s="142" t="s">
        <v>23</v>
      </c>
      <c r="B40" s="133" t="s">
        <v>274</v>
      </c>
    </row>
    <row r="41" spans="1:11" x14ac:dyDescent="0.3">
      <c r="A41" s="142" t="s">
        <v>26</v>
      </c>
      <c r="B41" s="133" t="s">
        <v>275</v>
      </c>
    </row>
    <row r="42" spans="1:11" x14ac:dyDescent="0.3">
      <c r="A42" s="142" t="s">
        <v>27</v>
      </c>
      <c r="B42" s="133" t="s">
        <v>276</v>
      </c>
    </row>
    <row r="43" spans="1:11" x14ac:dyDescent="0.3">
      <c r="A43" s="142"/>
      <c r="B43" s="133"/>
    </row>
    <row r="44" spans="1:11" ht="15.75" customHeight="1" x14ac:dyDescent="0.3">
      <c r="A44" s="142"/>
      <c r="B44" s="133"/>
    </row>
    <row r="45" spans="1:11" ht="15.75" customHeight="1" x14ac:dyDescent="0.3">
      <c r="A45" s="142"/>
      <c r="B45" s="133"/>
    </row>
    <row r="46" spans="1:11" x14ac:dyDescent="0.3">
      <c r="A46" s="142"/>
      <c r="B46" s="143"/>
    </row>
    <row r="47" spans="1:11" x14ac:dyDescent="0.3">
      <c r="A47" s="139" t="s">
        <v>24</v>
      </c>
      <c r="B47" s="140"/>
      <c r="C47" s="144"/>
      <c r="D47" s="144"/>
      <c r="E47" s="144"/>
      <c r="F47" s="144"/>
      <c r="G47" s="144"/>
      <c r="H47" s="144"/>
      <c r="I47" s="144"/>
      <c r="J47" s="144"/>
      <c r="K47" s="144"/>
    </row>
    <row r="48" spans="1:11" x14ac:dyDescent="0.3">
      <c r="A48" s="143">
        <v>1</v>
      </c>
      <c r="B48" s="143"/>
    </row>
    <row r="49" spans="1:2" x14ac:dyDescent="0.3">
      <c r="A49" s="143">
        <v>2</v>
      </c>
      <c r="B49" s="143"/>
    </row>
    <row r="50" spans="1:2" x14ac:dyDescent="0.3">
      <c r="A50" s="143"/>
      <c r="B50" s="143"/>
    </row>
    <row r="51" spans="1:2" x14ac:dyDescent="0.3">
      <c r="A51" s="143"/>
      <c r="B51" s="143"/>
    </row>
  </sheetData>
  <pageMargins left="0.7" right="0.7" top="0.75" bottom="0.75" header="0.3" footer="0.3"/>
  <pageSetup paperSize="9" scale="6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285</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150</v>
      </c>
      <c r="D6" s="133">
        <v>150</v>
      </c>
      <c r="E6" s="133">
        <v>150</v>
      </c>
      <c r="F6" s="133">
        <v>150</v>
      </c>
      <c r="G6" s="133">
        <v>150</v>
      </c>
      <c r="H6" s="133">
        <v>150</v>
      </c>
      <c r="I6" s="133">
        <v>150</v>
      </c>
      <c r="J6" s="133">
        <v>150</v>
      </c>
      <c r="K6" s="133">
        <v>150</v>
      </c>
      <c r="L6" s="134" t="s">
        <v>7</v>
      </c>
      <c r="M6" s="133"/>
    </row>
    <row r="7" spans="1:13" x14ac:dyDescent="0.3">
      <c r="A7" s="133"/>
      <c r="B7" s="133" t="s">
        <v>245</v>
      </c>
      <c r="C7" s="133">
        <v>5</v>
      </c>
      <c r="D7" s="133">
        <v>5</v>
      </c>
      <c r="E7" s="133">
        <v>5</v>
      </c>
      <c r="F7" s="133">
        <v>5</v>
      </c>
      <c r="G7" s="133">
        <v>5</v>
      </c>
      <c r="H7" s="133">
        <v>5</v>
      </c>
      <c r="I7" s="133">
        <v>5</v>
      </c>
      <c r="J7" s="133">
        <v>5</v>
      </c>
      <c r="K7" s="133">
        <v>5</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5 MTA  Near shore'!K18</f>
        <v>3.9178743961352653</v>
      </c>
      <c r="D15" s="136">
        <f>'Input 5 MTA  Near shore'!L18</f>
        <v>3.7258595674826087</v>
      </c>
      <c r="E15" s="136">
        <f>'Input 5 MTA  Near shore'!M18</f>
        <v>3.543255376000678</v>
      </c>
      <c r="F15" s="136">
        <f>'Input 5 MTA  Near shore'!N18</f>
        <v>3.2044566492335944</v>
      </c>
      <c r="G15" s="136">
        <f>'Input 5 MTA  Near shore'!O18</f>
        <v>3.2044566492335944</v>
      </c>
      <c r="H15" s="136">
        <f>'Input 5 MTA  Near shore'!P18</f>
        <v>3.5414481459169078</v>
      </c>
      <c r="I15" s="136">
        <f>'Input 5 MTA  Near shore'!Q18</f>
        <v>5.28743961352657</v>
      </c>
      <c r="J15" s="136">
        <f>'Input 5 MTA  Near shore'!R18</f>
        <v>2.1371390484017208</v>
      </c>
      <c r="K15" s="136">
        <f>'Input 5 MTA  Near shore'!S18</f>
        <v>5.28743961352657</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5 MTA  Near shore'!K20</f>
        <v>0.72173913043478255</v>
      </c>
      <c r="D17" s="136">
        <f>'Input 5 MTA  Near shore'!L20</f>
        <v>0.68636673166695639</v>
      </c>
      <c r="E17" s="136">
        <f>'Input 5 MTA  Near shore'!M20</f>
        <v>0.65272793239765869</v>
      </c>
      <c r="F17" s="136">
        <f>'Input 5 MTA  Near shore'!N20</f>
        <v>0.59031544191800123</v>
      </c>
      <c r="G17" s="136">
        <f>'Input 5 MTA  Near shore'!O20</f>
        <v>0.59031544191800123</v>
      </c>
      <c r="H17" s="136">
        <f>'Input 5 MTA  Near shore'!P20</f>
        <v>0.65239500986434762</v>
      </c>
      <c r="I17" s="136">
        <f>'Input 5 MTA  Near shore'!Q20</f>
        <v>0.72173913043478255</v>
      </c>
      <c r="J17" s="136">
        <f>'Input 5 MTA  Near shore'!R20</f>
        <v>0.39369737833688906</v>
      </c>
      <c r="K17" s="136">
        <f>'Input 5 MTA  Near shore'!S20</f>
        <v>0.72173913043478255</v>
      </c>
      <c r="L17" s="134" t="s">
        <v>18</v>
      </c>
      <c r="M17" s="133"/>
    </row>
    <row r="18" spans="1:13" x14ac:dyDescent="0.3">
      <c r="A18" s="133"/>
      <c r="B18" s="133" t="s">
        <v>255</v>
      </c>
      <c r="C18" s="136">
        <f>'Input 5 MTA  Near shore'!K23</f>
        <v>1.2270531400966185</v>
      </c>
      <c r="D18" s="136">
        <f>'Input 5 MTA  Near shore'!L23</f>
        <v>1.1669153269304349</v>
      </c>
      <c r="E18" s="136">
        <f>'Input 5 MTA  Near shore'!M23</f>
        <v>1.1097248649866489</v>
      </c>
      <c r="F18" s="136">
        <f>'Input 5 MTA  Near shore'!N23</f>
        <v>1.0036152760854908</v>
      </c>
      <c r="G18" s="136">
        <f>'Input 5 MTA  Near shore'!O23</f>
        <v>1.0036152760854908</v>
      </c>
      <c r="H18" s="136">
        <f>'Input 5 MTA  Near shore'!P23</f>
        <v>1.1091588521120772</v>
      </c>
      <c r="I18" s="136">
        <f>'Input 5 MTA  Near shore'!Q23</f>
        <v>1.2270531400966185</v>
      </c>
      <c r="J18" s="136">
        <f>'Input 5 MTA  Near shore'!R23</f>
        <v>0.66933824697168565</v>
      </c>
      <c r="K18" s="136">
        <f>'Input 5 MTA  Near shore'!S23</f>
        <v>1.2270531400966185</v>
      </c>
      <c r="L18" s="134" t="s">
        <v>20</v>
      </c>
      <c r="M18" s="133"/>
    </row>
    <row r="19" spans="1:13" ht="15" customHeight="1" x14ac:dyDescent="0.3">
      <c r="A19" s="133"/>
      <c r="B19" s="133" t="s">
        <v>256</v>
      </c>
      <c r="C19" s="136">
        <f>'Input 5 MTA  Near shore'!K30</f>
        <v>2.2881159420289854</v>
      </c>
      <c r="D19" s="136">
        <f>'Input 5 MTA  Near shore'!L30</f>
        <v>2.1759754938871301</v>
      </c>
      <c r="E19" s="136">
        <f>'Input 5 MTA  Near shore'!M30</f>
        <v>2.0693310435128986</v>
      </c>
      <c r="F19" s="136">
        <f>'Input 5 MTA  Near shore'!N30</f>
        <v>1.87146590301233</v>
      </c>
      <c r="G19" s="136">
        <f>'Input 5 MTA  Near shore'!O30</f>
        <v>1.87146590301233</v>
      </c>
      <c r="H19" s="136">
        <f>'Input 5 MTA  Near shore'!P30</f>
        <v>2.0682755854896229</v>
      </c>
      <c r="I19" s="136">
        <f>'Input 5 MTA  Near shore'!Q30</f>
        <v>2.2881159420289854</v>
      </c>
      <c r="J19" s="136">
        <f>'Input 5 MTA  Near shore'!R30</f>
        <v>1.2481313673057841</v>
      </c>
      <c r="K19" s="136">
        <f>'Input 5 MTA  Near shore'!S30</f>
        <v>2.2881159420289854</v>
      </c>
      <c r="L19" s="134" t="s">
        <v>19</v>
      </c>
      <c r="M19" s="133"/>
    </row>
    <row r="20" spans="1:13" ht="15" customHeight="1" x14ac:dyDescent="0.3">
      <c r="A20" s="133"/>
      <c r="B20" s="133" t="s">
        <v>257</v>
      </c>
      <c r="C20" s="136">
        <f>'Input 5 MTA  Near shore'!K32</f>
        <v>0.90628019323671494</v>
      </c>
      <c r="D20" s="136">
        <f>'Input 5 MTA  Near shore'!L32</f>
        <v>0.86186344618956512</v>
      </c>
      <c r="E20" s="136">
        <f>'Input 5 MTA  Near shore'!M32</f>
        <v>0.81962356169880035</v>
      </c>
      <c r="F20" s="136">
        <f>'Input 5 MTA  Near shore'!N32</f>
        <v>0.74125285745526792</v>
      </c>
      <c r="G20" s="136">
        <f>'Input 5 MTA  Near shore'!O32</f>
        <v>0.74125285745526792</v>
      </c>
      <c r="H20" s="136">
        <f>'Input 5 MTA  Near shore'!P32</f>
        <v>0.81920551439458922</v>
      </c>
      <c r="I20" s="136">
        <f>'Input 5 MTA  Near shore'!Q32</f>
        <v>0.90628019323671494</v>
      </c>
      <c r="J20" s="136">
        <f>'Input 5 MTA  Near shore'!R32</f>
        <v>0.49436163437751263</v>
      </c>
      <c r="K20" s="136">
        <f>'Input 5 MTA  Near shore'!S32</f>
        <v>0.90628019323671494</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5 MTA  Near shore'!K9</f>
        <v>0.35748792270531404</v>
      </c>
      <c r="D24" s="136">
        <f>'Input 5 MTA  Near shore'!L9</f>
        <v>0.33996745745217394</v>
      </c>
      <c r="E24" s="136">
        <f>'Input 5 MTA  Near shore'!M9</f>
        <v>0.32330566932681898</v>
      </c>
      <c r="F24" s="136">
        <f>'Input 5 MTA  Near shore'!N9</f>
        <v>0.29239185208789892</v>
      </c>
      <c r="G24" s="136">
        <f>'Input 5 MTA  Near shore'!O9</f>
        <v>0.29239185208789892</v>
      </c>
      <c r="H24" s="136">
        <f>'Input 5 MTA  Near shore'!P9</f>
        <v>0.32314076793816421</v>
      </c>
      <c r="I24" s="136">
        <f>'Input 5 MTA  Near shore'!Q9</f>
        <v>0.35748792270531404</v>
      </c>
      <c r="J24" s="136">
        <f>'Input 5 MTA  Near shore'!R9</f>
        <v>0.19500405620434935</v>
      </c>
      <c r="K24" s="136">
        <f>'Input 5 MTA  Near shore'!S9</f>
        <v>0.35748792270531404</v>
      </c>
      <c r="L24" s="134" t="s">
        <v>22</v>
      </c>
      <c r="M24" s="133"/>
    </row>
    <row r="25" spans="1:13" ht="15" customHeight="1" x14ac:dyDescent="0.3">
      <c r="A25" s="131"/>
      <c r="B25" s="133" t="s">
        <v>260</v>
      </c>
      <c r="C25" s="136">
        <f>'Input 5 MTA  Near shore'!K36</f>
        <v>0.57971014492753625</v>
      </c>
      <c r="D25" s="136">
        <f>'Input 5 MTA  Near shore'!L36</f>
        <v>0.55129857965217388</v>
      </c>
      <c r="E25" s="136">
        <f>'Input 5 MTA  Near shore'!M36</f>
        <v>0.52427946377321988</v>
      </c>
      <c r="F25" s="136">
        <f>'Input 5 MTA  Near shore'!N36</f>
        <v>0.47414894933172791</v>
      </c>
      <c r="G25" s="136">
        <f>'Input 5 MTA  Near shore'!O36</f>
        <v>0.47414894933172791</v>
      </c>
      <c r="H25" s="136">
        <f>'Input 5 MTA  Near shore'!P36</f>
        <v>0.52401205611594193</v>
      </c>
      <c r="I25" s="136">
        <f>'Input 5 MTA  Near shore'!Q36</f>
        <v>0.57971014492753625</v>
      </c>
      <c r="J25" s="136">
        <f>'Input 5 MTA  Near shore'!R36</f>
        <v>0.31622279384489083</v>
      </c>
      <c r="K25" s="136">
        <f>'Input 5 MTA  Near shore'!S36</f>
        <v>0.57971014492753625</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280</v>
      </c>
      <c r="C32" s="141"/>
      <c r="D32" s="141"/>
    </row>
    <row r="33" spans="1:11" x14ac:dyDescent="0.3">
      <c r="A33" s="142" t="s">
        <v>16</v>
      </c>
      <c r="B33" s="133" t="s">
        <v>267</v>
      </c>
      <c r="C33" s="141"/>
      <c r="D33" s="141"/>
    </row>
    <row r="34" spans="1:11" x14ac:dyDescent="0.3">
      <c r="A34" s="142" t="s">
        <v>17</v>
      </c>
      <c r="B34" s="133" t="s">
        <v>281</v>
      </c>
      <c r="C34" s="141"/>
      <c r="D34" s="141"/>
    </row>
    <row r="35" spans="1:11" x14ac:dyDescent="0.3">
      <c r="A35" s="142" t="s">
        <v>18</v>
      </c>
      <c r="B35" s="133" t="s">
        <v>282</v>
      </c>
      <c r="C35" s="141"/>
      <c r="D35" s="141"/>
    </row>
    <row r="36" spans="1:11" x14ac:dyDescent="0.3">
      <c r="A36" s="142" t="s">
        <v>20</v>
      </c>
      <c r="B36" s="133" t="s">
        <v>270</v>
      </c>
      <c r="C36" s="141"/>
      <c r="D36" s="141"/>
    </row>
    <row r="37" spans="1:11" x14ac:dyDescent="0.3">
      <c r="A37" s="142" t="s">
        <v>19</v>
      </c>
      <c r="B37" s="133" t="s">
        <v>283</v>
      </c>
      <c r="C37" s="141"/>
      <c r="D37" s="141"/>
    </row>
    <row r="38" spans="1:11" x14ac:dyDescent="0.3">
      <c r="A38" s="142" t="s">
        <v>21</v>
      </c>
      <c r="B38" s="133" t="s">
        <v>272</v>
      </c>
    </row>
    <row r="39" spans="1:11" x14ac:dyDescent="0.3">
      <c r="A39" s="142" t="s">
        <v>22</v>
      </c>
      <c r="B39" s="133" t="s">
        <v>273</v>
      </c>
    </row>
    <row r="40" spans="1:11" x14ac:dyDescent="0.3">
      <c r="A40" s="142" t="s">
        <v>23</v>
      </c>
      <c r="B40" s="133" t="s">
        <v>274</v>
      </c>
    </row>
    <row r="41" spans="1:11" x14ac:dyDescent="0.3">
      <c r="A41" s="142" t="s">
        <v>26</v>
      </c>
      <c r="B41" s="133" t="s">
        <v>275</v>
      </c>
    </row>
    <row r="42" spans="1:11" x14ac:dyDescent="0.3">
      <c r="A42" s="142" t="s">
        <v>27</v>
      </c>
      <c r="B42" s="133" t="s">
        <v>276</v>
      </c>
    </row>
    <row r="43" spans="1:11" x14ac:dyDescent="0.3">
      <c r="A43" s="142"/>
      <c r="B43" s="133"/>
    </row>
    <row r="44" spans="1:11" ht="15.75" customHeight="1" x14ac:dyDescent="0.3">
      <c r="A44" s="142"/>
      <c r="B44" s="133"/>
    </row>
    <row r="45" spans="1:11" ht="15.75" customHeight="1" x14ac:dyDescent="0.3">
      <c r="A45" s="142"/>
      <c r="B45" s="133"/>
    </row>
    <row r="46" spans="1:11" x14ac:dyDescent="0.3">
      <c r="A46" s="142"/>
      <c r="B46" s="143"/>
    </row>
    <row r="47" spans="1:11" x14ac:dyDescent="0.3">
      <c r="A47" s="139" t="s">
        <v>24</v>
      </c>
      <c r="B47" s="140"/>
      <c r="C47" s="144"/>
      <c r="D47" s="144"/>
      <c r="E47" s="144"/>
      <c r="F47" s="144"/>
      <c r="G47" s="144"/>
      <c r="H47" s="144"/>
      <c r="I47" s="144"/>
      <c r="J47" s="144"/>
      <c r="K47" s="144"/>
    </row>
    <row r="48" spans="1:11" x14ac:dyDescent="0.3">
      <c r="A48" s="143">
        <v>1</v>
      </c>
      <c r="B48" s="143"/>
    </row>
    <row r="49" spans="1:2" x14ac:dyDescent="0.3">
      <c r="A49" s="143">
        <v>2</v>
      </c>
      <c r="B49" s="143"/>
    </row>
    <row r="50" spans="1:2" x14ac:dyDescent="0.3">
      <c r="A50" s="143"/>
      <c r="B50" s="143"/>
    </row>
    <row r="51" spans="1:2" x14ac:dyDescent="0.3">
      <c r="A51" s="143"/>
      <c r="B51" s="143"/>
    </row>
  </sheetData>
  <pageMargins left="0.7" right="0.7" top="0.75" bottom="0.75" header="0.3" footer="0.3"/>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286</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30</v>
      </c>
      <c r="D6" s="133">
        <v>30</v>
      </c>
      <c r="E6" s="133">
        <v>30</v>
      </c>
      <c r="F6" s="133">
        <v>30</v>
      </c>
      <c r="G6" s="133">
        <v>30</v>
      </c>
      <c r="H6" s="133">
        <v>30</v>
      </c>
      <c r="I6" s="133">
        <v>30</v>
      </c>
      <c r="J6" s="133">
        <v>30</v>
      </c>
      <c r="K6" s="133">
        <v>30</v>
      </c>
      <c r="L6" s="134" t="s">
        <v>7</v>
      </c>
      <c r="M6" s="133"/>
    </row>
    <row r="7" spans="1:13" x14ac:dyDescent="0.3">
      <c r="A7" s="133"/>
      <c r="B7" s="133" t="s">
        <v>245</v>
      </c>
      <c r="C7" s="133">
        <v>1</v>
      </c>
      <c r="D7" s="133">
        <v>1</v>
      </c>
      <c r="E7" s="133">
        <v>1</v>
      </c>
      <c r="F7" s="133">
        <v>1</v>
      </c>
      <c r="G7" s="133">
        <v>1</v>
      </c>
      <c r="H7" s="133">
        <v>1</v>
      </c>
      <c r="I7" s="133">
        <v>1</v>
      </c>
      <c r="J7" s="133">
        <v>1</v>
      </c>
      <c r="K7" s="133">
        <v>1</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1 MTA  Offshore'!K18</f>
        <v>5.5111111111111111</v>
      </c>
      <c r="D15" s="136">
        <f>'Input 1 MTA  Offshore'!L18</f>
        <v>5.2410118305599998</v>
      </c>
      <c r="E15" s="136">
        <f>'Input 1 MTA  Offshore'!M18</f>
        <v>4.9841501022707435</v>
      </c>
      <c r="F15" s="136">
        <f>'Input 1 MTA  Offshore'!N18</f>
        <v>4.5075760116469601</v>
      </c>
      <c r="G15" s="136">
        <f>'Input 1 MTA  Offshore'!O18</f>
        <v>4.5075760116469601</v>
      </c>
      <c r="H15" s="136">
        <f>'Input 1 MTA  Offshore'!P18</f>
        <v>4.9816079468088876</v>
      </c>
      <c r="I15" s="136">
        <f>'Input 1 MTA  Offshore'!Q18</f>
        <v>6.6</v>
      </c>
      <c r="J15" s="136">
        <f>'Input 1 MTA  Offshore'!R18</f>
        <v>3.0062246934854286</v>
      </c>
      <c r="K15" s="136">
        <f>'Input 1 MTA  Offshore'!S18</f>
        <v>6.6</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1 MTA  Offshore'!K20</f>
        <v>0.90222222222222226</v>
      </c>
      <c r="D17" s="136">
        <f>'Input 1 MTA  Offshore'!L20</f>
        <v>0.85800435613199999</v>
      </c>
      <c r="E17" s="136">
        <f>'Input 1 MTA  Offshore'!M20</f>
        <v>0.81595360545238793</v>
      </c>
      <c r="F17" s="136">
        <f>'Input 1 MTA  Offshore'!N20</f>
        <v>0.73793381480994591</v>
      </c>
      <c r="G17" s="136">
        <f>'Input 1 MTA  Offshore'!O20</f>
        <v>0.73793381480994591</v>
      </c>
      <c r="H17" s="136">
        <f>'Input 1 MTA  Offshore'!P20</f>
        <v>0.8155374300017777</v>
      </c>
      <c r="I17" s="136">
        <f>'Input 1 MTA  Offshore'!Q20</f>
        <v>0.90222222222222226</v>
      </c>
      <c r="J17" s="136">
        <f>'Input 1 MTA  Offshore'!R20</f>
        <v>0.49214807482059847</v>
      </c>
      <c r="K17" s="136">
        <f>'Input 1 MTA  Offshore'!S20</f>
        <v>0.90222222222222226</v>
      </c>
      <c r="L17" s="134" t="s">
        <v>18</v>
      </c>
      <c r="M17" s="133"/>
    </row>
    <row r="18" spans="1:13" x14ac:dyDescent="0.3">
      <c r="A18" s="133"/>
      <c r="B18" s="133" t="s">
        <v>255</v>
      </c>
      <c r="C18" s="136">
        <f>'Input 1 MTA  Offshore'!K23</f>
        <v>6.4222222222222225</v>
      </c>
      <c r="D18" s="136">
        <f>'Input 1 MTA  Offshore'!L23</f>
        <v>6.1074694315799993</v>
      </c>
      <c r="E18" s="136">
        <f>'Input 1 MTA  Offshore'!M23</f>
        <v>5.8081426595009882</v>
      </c>
      <c r="F18" s="136">
        <f>'Input 1 MTA  Offshore'!N23</f>
        <v>5.2527801103466594</v>
      </c>
      <c r="G18" s="136">
        <f>'Input 1 MTA  Offshore'!O23</f>
        <v>5.2527801103466594</v>
      </c>
      <c r="H18" s="136">
        <f>'Input 1 MTA  Offshore'!P23</f>
        <v>5.8051802283377771</v>
      </c>
      <c r="I18" s="136">
        <f>'Input 1 MTA  Offshore'!Q23</f>
        <v>6.4222222222222225</v>
      </c>
      <c r="J18" s="136">
        <f>'Input 1 MTA  Offshore'!R23</f>
        <v>3.503221517811649</v>
      </c>
      <c r="K18" s="136">
        <f>'Input 1 MTA  Offshore'!S23</f>
        <v>6.4222222222222225</v>
      </c>
      <c r="L18" s="134" t="s">
        <v>20</v>
      </c>
      <c r="M18" s="133"/>
    </row>
    <row r="19" spans="1:13" ht="15" customHeight="1" x14ac:dyDescent="0.3">
      <c r="A19" s="133"/>
      <c r="B19" s="133" t="s">
        <v>256</v>
      </c>
      <c r="C19" s="136">
        <f>'Input 1 MTA  Offshore'!K30</f>
        <v>9.9911111111111115</v>
      </c>
      <c r="D19" s="136">
        <f>'Input 1 MTA  Offshore'!L30</f>
        <v>9.5014472541119996</v>
      </c>
      <c r="E19" s="136">
        <f>'Input 1 MTA  Offshore'!M30</f>
        <v>9.0357817983101878</v>
      </c>
      <c r="F19" s="136">
        <f>'Input 1 MTA  Offshore'!N30</f>
        <v>8.1717990920825532</v>
      </c>
      <c r="G19" s="136">
        <f>'Input 1 MTA  Offshore'!O30</f>
        <v>8.1717990920825532</v>
      </c>
      <c r="H19" s="136">
        <f>'Input 1 MTA  Offshore'!P30</f>
        <v>9.0311731164728872</v>
      </c>
      <c r="I19" s="136">
        <f>'Input 1 MTA  Offshore'!Q30</f>
        <v>9.9911111111111115</v>
      </c>
      <c r="J19" s="136">
        <f>'Input 1 MTA  Offshore'!R30</f>
        <v>5.4499944443187456</v>
      </c>
      <c r="K19" s="136">
        <f>'Input 1 MTA  Offshore'!S30</f>
        <v>9.9911111111111115</v>
      </c>
      <c r="L19" s="134" t="s">
        <v>19</v>
      </c>
      <c r="M19" s="133"/>
    </row>
    <row r="20" spans="1:13" ht="15" customHeight="1" x14ac:dyDescent="0.3">
      <c r="A20" s="133"/>
      <c r="B20" s="133" t="s">
        <v>257</v>
      </c>
      <c r="C20" s="136">
        <f>'Input 1 MTA  Offshore'!K32</f>
        <v>3.0666666666666669</v>
      </c>
      <c r="D20" s="136">
        <f>'Input 1 MTA  Offshore'!L32</f>
        <v>2.9163694863599998</v>
      </c>
      <c r="E20" s="136">
        <f>'Input 1 MTA  Offshore'!M32</f>
        <v>2.7734383633603334</v>
      </c>
      <c r="F20" s="136">
        <f>'Input 1 MTA  Offshore'!N32</f>
        <v>2.5082479419648407</v>
      </c>
      <c r="G20" s="136">
        <f>'Input 1 MTA  Offshore'!O32</f>
        <v>2.5082479419648407</v>
      </c>
      <c r="H20" s="136">
        <f>'Input 1 MTA  Offshore'!P32</f>
        <v>2.7720237768533331</v>
      </c>
      <c r="I20" s="136">
        <f>'Input 1 MTA  Offshore'!Q32</f>
        <v>3.0666666666666669</v>
      </c>
      <c r="J20" s="136">
        <f>'Input 1 MTA  Offshore'!R32</f>
        <v>1.6728185794394725</v>
      </c>
      <c r="K20" s="136">
        <f>'Input 1 MTA  Offshore'!S32</f>
        <v>3.0666666666666669</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1 MTA  Offshore'!K9</f>
        <v>0.44444444444444448</v>
      </c>
      <c r="D24" s="136">
        <f>'Input 1 MTA  Offshore'!L9</f>
        <v>0.4226622444</v>
      </c>
      <c r="E24" s="136">
        <f>'Input 1 MTA  Offshore'!M9</f>
        <v>0.40194758889280197</v>
      </c>
      <c r="F24" s="136">
        <f>'Input 1 MTA  Offshore'!N9</f>
        <v>0.36351419448765809</v>
      </c>
      <c r="G24" s="136">
        <f>'Input 1 MTA  Offshore'!O9</f>
        <v>0.36351419448765809</v>
      </c>
      <c r="H24" s="136">
        <f>'Input 1 MTA  Offshore'!P9</f>
        <v>0.40174257635555549</v>
      </c>
      <c r="I24" s="136">
        <f>'Input 1 MTA  Offshore'!Q9</f>
        <v>0.44444444444444448</v>
      </c>
      <c r="J24" s="136">
        <f>'Input 1 MTA  Offshore'!R9</f>
        <v>0.24243747528108298</v>
      </c>
      <c r="K24" s="136">
        <f>'Input 1 MTA  Offshore'!S9</f>
        <v>0.44444444444444448</v>
      </c>
      <c r="L24" s="134" t="s">
        <v>22</v>
      </c>
      <c r="M24" s="133"/>
    </row>
    <row r="25" spans="1:13" ht="15" customHeight="1" x14ac:dyDescent="0.3">
      <c r="A25" s="131"/>
      <c r="B25" s="133" t="s">
        <v>260</v>
      </c>
      <c r="C25" s="136">
        <f>'Input 1 MTA  Offshore'!K36</f>
        <v>2.6666666666666665</v>
      </c>
      <c r="D25" s="136">
        <f>'Input 1 MTA  Offshore'!L36</f>
        <v>2.5359734663999998</v>
      </c>
      <c r="E25" s="136">
        <f>'Input 1 MTA  Offshore'!M36</f>
        <v>2.4116855333568115</v>
      </c>
      <c r="F25" s="136">
        <f>'Input 1 MTA  Offshore'!N36</f>
        <v>2.1810851669259481</v>
      </c>
      <c r="G25" s="136">
        <f>'Input 1 MTA  Offshore'!O36</f>
        <v>2.1810851669259481</v>
      </c>
      <c r="H25" s="136">
        <f>'Input 1 MTA  Offshore'!P36</f>
        <v>2.4104554581333328</v>
      </c>
      <c r="I25" s="136">
        <f>'Input 1 MTA  Offshore'!Q36</f>
        <v>2.6666666666666665</v>
      </c>
      <c r="J25" s="136">
        <f>'Input 1 MTA  Offshore'!R36</f>
        <v>1.4546248516864977</v>
      </c>
      <c r="K25" s="136">
        <f>'Input 1 MTA  Offshore'!S36</f>
        <v>2.6666666666666665</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287</v>
      </c>
      <c r="C32" s="141"/>
      <c r="D32" s="141"/>
    </row>
    <row r="33" spans="1:13" x14ac:dyDescent="0.3">
      <c r="A33" s="142"/>
      <c r="B33" s="133" t="s">
        <v>288</v>
      </c>
      <c r="C33" s="141"/>
      <c r="D33" s="141"/>
    </row>
    <row r="34" spans="1:13" x14ac:dyDescent="0.3">
      <c r="A34" s="142" t="s">
        <v>16</v>
      </c>
      <c r="B34" s="133" t="s">
        <v>267</v>
      </c>
      <c r="C34" s="141"/>
      <c r="D34" s="141"/>
    </row>
    <row r="35" spans="1:13" x14ac:dyDescent="0.3">
      <c r="A35" s="142" t="s">
        <v>17</v>
      </c>
      <c r="B35" s="133" t="s">
        <v>289</v>
      </c>
      <c r="C35" s="141"/>
      <c r="D35" s="141"/>
    </row>
    <row r="36" spans="1:13" s="138" customFormat="1" x14ac:dyDescent="0.3">
      <c r="A36" s="142" t="s">
        <v>18</v>
      </c>
      <c r="B36" s="133" t="s">
        <v>290</v>
      </c>
      <c r="C36" s="141"/>
      <c r="D36" s="141"/>
      <c r="E36" s="19"/>
      <c r="F36" s="19"/>
      <c r="G36" s="19"/>
      <c r="H36" s="19"/>
      <c r="I36" s="19"/>
      <c r="J36" s="19"/>
      <c r="K36" s="19"/>
      <c r="M36" s="19"/>
    </row>
    <row r="37" spans="1:13" s="138" customFormat="1" x14ac:dyDescent="0.3">
      <c r="A37" s="142" t="s">
        <v>20</v>
      </c>
      <c r="B37" s="133" t="s">
        <v>270</v>
      </c>
      <c r="C37" s="141"/>
      <c r="D37" s="141"/>
      <c r="E37" s="19"/>
      <c r="F37" s="19"/>
      <c r="G37" s="19"/>
      <c r="H37" s="19"/>
      <c r="I37" s="19"/>
      <c r="J37" s="19"/>
      <c r="K37" s="19"/>
      <c r="M37" s="19"/>
    </row>
    <row r="38" spans="1:13" s="138" customFormat="1" x14ac:dyDescent="0.3">
      <c r="A38" s="142" t="s">
        <v>19</v>
      </c>
      <c r="B38" s="133" t="s">
        <v>291</v>
      </c>
      <c r="C38" s="141"/>
      <c r="D38" s="141"/>
      <c r="E38" s="19"/>
      <c r="F38" s="19"/>
      <c r="G38" s="19"/>
      <c r="H38" s="19"/>
      <c r="I38" s="19"/>
      <c r="J38" s="19"/>
      <c r="K38" s="19"/>
      <c r="M38" s="19"/>
    </row>
    <row r="39" spans="1:13" s="138" customFormat="1" x14ac:dyDescent="0.3">
      <c r="A39" s="142"/>
      <c r="B39" s="133" t="s">
        <v>292</v>
      </c>
      <c r="C39" s="141"/>
      <c r="D39" s="141"/>
      <c r="E39" s="19"/>
      <c r="F39" s="19"/>
      <c r="G39" s="19"/>
      <c r="H39" s="19"/>
      <c r="I39" s="19"/>
      <c r="J39" s="19"/>
      <c r="K39" s="19"/>
      <c r="M39" s="19"/>
    </row>
    <row r="40" spans="1:13" s="138" customFormat="1" x14ac:dyDescent="0.3">
      <c r="A40" s="142" t="s">
        <v>21</v>
      </c>
      <c r="B40" s="133" t="s">
        <v>293</v>
      </c>
      <c r="C40" s="19"/>
      <c r="D40" s="19"/>
      <c r="E40" s="19"/>
      <c r="F40" s="19"/>
      <c r="G40" s="19"/>
      <c r="H40" s="19"/>
      <c r="I40" s="19"/>
      <c r="J40" s="19"/>
      <c r="K40" s="19"/>
      <c r="M40" s="19"/>
    </row>
    <row r="41" spans="1:13" s="138" customFormat="1" x14ac:dyDescent="0.3">
      <c r="A41" s="142" t="s">
        <v>22</v>
      </c>
      <c r="B41" s="133" t="s">
        <v>273</v>
      </c>
      <c r="C41" s="19"/>
      <c r="D41" s="19"/>
      <c r="E41" s="19"/>
      <c r="F41" s="19"/>
      <c r="G41" s="19"/>
      <c r="H41" s="19"/>
      <c r="I41" s="19"/>
      <c r="J41" s="19"/>
      <c r="K41" s="19"/>
      <c r="M41" s="19"/>
    </row>
    <row r="42" spans="1:13" s="138" customFormat="1" x14ac:dyDescent="0.3">
      <c r="A42" s="142" t="s">
        <v>23</v>
      </c>
      <c r="B42" s="133" t="s">
        <v>274</v>
      </c>
      <c r="C42" s="19"/>
      <c r="D42" s="19"/>
      <c r="E42" s="19"/>
      <c r="F42" s="19"/>
      <c r="G42" s="19"/>
      <c r="H42" s="19"/>
      <c r="I42" s="19"/>
      <c r="J42" s="19"/>
      <c r="K42" s="19"/>
      <c r="M42" s="19"/>
    </row>
    <row r="43" spans="1:13" s="138" customFormat="1" x14ac:dyDescent="0.3">
      <c r="A43" s="142" t="s">
        <v>26</v>
      </c>
      <c r="B43" s="133" t="s">
        <v>275</v>
      </c>
      <c r="C43" s="19"/>
      <c r="D43" s="19"/>
      <c r="E43" s="19"/>
      <c r="F43" s="19"/>
      <c r="G43" s="19"/>
      <c r="H43" s="19"/>
      <c r="I43" s="19"/>
      <c r="J43" s="19"/>
      <c r="K43" s="19"/>
      <c r="M43" s="19"/>
    </row>
    <row r="44" spans="1:13" s="138" customFormat="1" x14ac:dyDescent="0.3">
      <c r="A44" s="142" t="s">
        <v>27</v>
      </c>
      <c r="B44" s="133" t="s">
        <v>276</v>
      </c>
      <c r="C44" s="19"/>
      <c r="D44" s="19"/>
      <c r="E44" s="19"/>
      <c r="F44" s="19"/>
      <c r="G44" s="19"/>
      <c r="H44" s="19"/>
      <c r="I44" s="19"/>
      <c r="J44" s="19"/>
      <c r="K44" s="19"/>
      <c r="M44" s="19"/>
    </row>
    <row r="45" spans="1:13" s="138" customFormat="1" x14ac:dyDescent="0.3">
      <c r="A45" s="142"/>
      <c r="B45" s="133"/>
      <c r="C45" s="19"/>
      <c r="D45" s="19"/>
      <c r="E45" s="19"/>
      <c r="F45" s="19"/>
      <c r="G45" s="19"/>
      <c r="H45" s="19"/>
      <c r="I45" s="19"/>
      <c r="J45" s="19"/>
      <c r="K45" s="19"/>
      <c r="M45" s="19"/>
    </row>
    <row r="46" spans="1:13" s="138" customFormat="1" x14ac:dyDescent="0.3">
      <c r="A46" s="142"/>
      <c r="B46" s="133"/>
      <c r="C46" s="19"/>
      <c r="D46" s="19"/>
      <c r="E46" s="19"/>
      <c r="F46" s="19"/>
      <c r="G46" s="19"/>
      <c r="H46" s="19"/>
      <c r="I46" s="19"/>
      <c r="J46" s="19"/>
      <c r="K46" s="19"/>
      <c r="M46" s="19"/>
    </row>
    <row r="47" spans="1:13" s="138" customFormat="1" x14ac:dyDescent="0.3">
      <c r="A47" s="139" t="s">
        <v>24</v>
      </c>
      <c r="B47" s="140"/>
      <c r="C47" s="144"/>
      <c r="D47" s="144"/>
      <c r="E47" s="144"/>
      <c r="F47" s="144"/>
      <c r="G47" s="144"/>
      <c r="H47" s="144"/>
      <c r="I47" s="144"/>
      <c r="J47" s="144"/>
      <c r="K47" s="144"/>
      <c r="M47" s="19"/>
    </row>
    <row r="48" spans="1:13" s="138" customFormat="1" x14ac:dyDescent="0.3">
      <c r="A48" s="143">
        <v>1</v>
      </c>
      <c r="B48" s="143"/>
      <c r="C48" s="19"/>
      <c r="D48" s="19"/>
      <c r="E48" s="19"/>
      <c r="F48" s="19"/>
      <c r="G48" s="19"/>
      <c r="H48" s="19"/>
      <c r="I48" s="19"/>
      <c r="J48" s="19"/>
      <c r="K48" s="19"/>
      <c r="M48" s="19"/>
    </row>
    <row r="49" spans="1:13" s="138" customFormat="1" x14ac:dyDescent="0.3">
      <c r="A49" s="143">
        <v>2</v>
      </c>
      <c r="B49" s="143"/>
      <c r="C49" s="19"/>
      <c r="D49" s="19"/>
      <c r="E49" s="19"/>
      <c r="F49" s="19"/>
      <c r="G49" s="19"/>
      <c r="H49" s="19"/>
      <c r="I49" s="19"/>
      <c r="J49" s="19"/>
      <c r="K49" s="19"/>
      <c r="M49" s="19"/>
    </row>
    <row r="50" spans="1:13" s="138" customFormat="1" ht="15.75" customHeight="1" x14ac:dyDescent="0.3">
      <c r="A50" s="143"/>
      <c r="B50" s="143"/>
      <c r="C50" s="19"/>
      <c r="D50" s="19"/>
      <c r="E50" s="19"/>
      <c r="F50" s="19"/>
      <c r="G50" s="19"/>
      <c r="H50" s="19"/>
      <c r="I50" s="19"/>
      <c r="J50" s="19"/>
      <c r="K50" s="19"/>
      <c r="M50" s="19"/>
    </row>
    <row r="51" spans="1:13" s="138" customFormat="1" ht="15.75" customHeight="1" x14ac:dyDescent="0.3">
      <c r="A51" s="143"/>
      <c r="B51" s="143"/>
      <c r="C51" s="19"/>
      <c r="D51" s="19"/>
      <c r="E51" s="19"/>
      <c r="F51" s="19"/>
      <c r="G51" s="19"/>
      <c r="H51" s="19"/>
      <c r="I51" s="19"/>
      <c r="J51" s="19"/>
      <c r="K51" s="19"/>
      <c r="M51" s="19"/>
    </row>
  </sheetData>
  <pageMargins left="0.7" right="0.7" top="0.75" bottom="0.75" header="0.3" footer="0.3"/>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294</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90</v>
      </c>
      <c r="D6" s="133">
        <v>90</v>
      </c>
      <c r="E6" s="133">
        <v>90</v>
      </c>
      <c r="F6" s="133">
        <v>90</v>
      </c>
      <c r="G6" s="133">
        <v>90</v>
      </c>
      <c r="H6" s="133">
        <v>90</v>
      </c>
      <c r="I6" s="133">
        <v>90</v>
      </c>
      <c r="J6" s="133">
        <v>90</v>
      </c>
      <c r="K6" s="133">
        <v>90</v>
      </c>
      <c r="L6" s="134" t="s">
        <v>7</v>
      </c>
      <c r="M6" s="133"/>
    </row>
    <row r="7" spans="1:13" x14ac:dyDescent="0.3">
      <c r="A7" s="133"/>
      <c r="B7" s="133" t="s">
        <v>245</v>
      </c>
      <c r="C7" s="133">
        <v>3</v>
      </c>
      <c r="D7" s="133">
        <v>3</v>
      </c>
      <c r="E7" s="133">
        <v>3</v>
      </c>
      <c r="F7" s="133">
        <v>3</v>
      </c>
      <c r="G7" s="133">
        <v>3</v>
      </c>
      <c r="H7" s="133">
        <v>3</v>
      </c>
      <c r="I7" s="133">
        <v>3</v>
      </c>
      <c r="J7" s="133">
        <v>3</v>
      </c>
      <c r="K7" s="133">
        <v>3</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3MTA  Offshore'!K18</f>
        <v>3.4603174603174605</v>
      </c>
      <c r="D15" s="136">
        <f>'Input 3MTA  Offshore'!L18</f>
        <v>3.2907274742571424</v>
      </c>
      <c r="E15" s="136">
        <f>'Input 3MTA  Offshore'!M18</f>
        <v>3.1294490849511005</v>
      </c>
      <c r="F15" s="136">
        <f>'Input 3MTA  Offshore'!N18</f>
        <v>2.8302176570824802</v>
      </c>
      <c r="G15" s="136">
        <f>'Input 3MTA  Offshore'!O18</f>
        <v>2.8302176570824802</v>
      </c>
      <c r="H15" s="136">
        <f>'Input 3MTA  Offshore'!P18</f>
        <v>3.1278529159111104</v>
      </c>
      <c r="I15" s="136">
        <f>'Input 3MTA  Offshore'!Q18</f>
        <v>4.2380952380952372</v>
      </c>
      <c r="J15" s="136">
        <f>'Input 3MTA  Offshore'!R18</f>
        <v>1.8875489146884319</v>
      </c>
      <c r="K15" s="136">
        <f>'Input 3MTA  Offshore'!S18</f>
        <v>4.2380952380952372</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3MTA  Offshore'!K20</f>
        <v>0.75396825396825395</v>
      </c>
      <c r="D17" s="136">
        <f>'Input 3MTA  Offshore'!L20</f>
        <v>0.71701630746428568</v>
      </c>
      <c r="E17" s="136">
        <f>'Input 3MTA  Offshore'!M20</f>
        <v>0.68187537401457465</v>
      </c>
      <c r="F17" s="136">
        <f>'Input 3MTA  Offshore'!N20</f>
        <v>0.61667586564870569</v>
      </c>
      <c r="G17" s="136">
        <f>'Input 3MTA  Offshore'!O20</f>
        <v>0.61667586564870569</v>
      </c>
      <c r="H17" s="136">
        <f>'Input 3MTA  Offshore'!P20</f>
        <v>0.68152758488888876</v>
      </c>
      <c r="I17" s="136">
        <f>'Input 3MTA  Offshore'!Q20</f>
        <v>0.75396825396825395</v>
      </c>
      <c r="J17" s="136">
        <f>'Input 3MTA  Offshore'!R20</f>
        <v>0.41127785985183718</v>
      </c>
      <c r="K17" s="136">
        <f>'Input 3MTA  Offshore'!S20</f>
        <v>0.75396825396825395</v>
      </c>
      <c r="L17" s="134" t="s">
        <v>18</v>
      </c>
      <c r="M17" s="133"/>
    </row>
    <row r="18" spans="1:13" x14ac:dyDescent="0.3">
      <c r="A18" s="133"/>
      <c r="B18" s="133" t="s">
        <v>255</v>
      </c>
      <c r="C18" s="136">
        <f>'Input 3MTA  Offshore'!K23</f>
        <v>2.2936507936507939</v>
      </c>
      <c r="D18" s="136">
        <f>'Input 3MTA  Offshore'!L23</f>
        <v>2.1812390827071431</v>
      </c>
      <c r="E18" s="136">
        <f>'Input 3MTA  Offshore'!M23</f>
        <v>2.0743366641074958</v>
      </c>
      <c r="F18" s="136">
        <f>'Input 3MTA  Offshore'!N23</f>
        <v>1.8759928965523784</v>
      </c>
      <c r="G18" s="136">
        <f>'Input 3MTA  Offshore'!O23</f>
        <v>1.8759928965523784</v>
      </c>
      <c r="H18" s="136">
        <f>'Input 3MTA  Offshore'!P23</f>
        <v>2.0732786529777778</v>
      </c>
      <c r="I18" s="136">
        <f>'Input 3MTA  Offshore'!Q23</f>
        <v>2.2936507936507939</v>
      </c>
      <c r="J18" s="136">
        <f>'Input 3MTA  Offshore'!R23</f>
        <v>1.2511505420755891</v>
      </c>
      <c r="K18" s="136">
        <f>'Input 3MTA  Offshore'!S23</f>
        <v>2.2936507936507939</v>
      </c>
      <c r="L18" s="134" t="s">
        <v>20</v>
      </c>
      <c r="M18" s="133"/>
    </row>
    <row r="19" spans="1:13" ht="15" customHeight="1" x14ac:dyDescent="0.3">
      <c r="A19" s="133"/>
      <c r="B19" s="133" t="s">
        <v>256</v>
      </c>
      <c r="C19" s="136">
        <f>'Input 3MTA  Offshore'!K30</f>
        <v>8.6158730158730155</v>
      </c>
      <c r="D19" s="136">
        <f>'Input 3MTA  Offshore'!L30</f>
        <v>8.1936095092971417</v>
      </c>
      <c r="E19" s="136">
        <f>'Input 3MTA  Offshore'!M30</f>
        <v>7.792041116107602</v>
      </c>
      <c r="F19" s="136">
        <f>'Input 3MTA  Offshore'!N30</f>
        <v>7.0469823131393143</v>
      </c>
      <c r="G19" s="136">
        <f>'Input 3MTA  Offshore'!O30</f>
        <v>7.0469823131393143</v>
      </c>
      <c r="H19" s="136">
        <f>'Input 3MTA  Offshore'!P30</f>
        <v>7.7880668016355532</v>
      </c>
      <c r="I19" s="136">
        <f>'Input 3MTA  Offshore'!Q30</f>
        <v>8.6158730158730155</v>
      </c>
      <c r="J19" s="136">
        <f>'Input 3MTA  Offshore'!R30</f>
        <v>4.6998236279489936</v>
      </c>
      <c r="K19" s="136">
        <f>'Input 3MTA  Offshore'!S30</f>
        <v>8.6158730158730155</v>
      </c>
      <c r="L19" s="134" t="s">
        <v>19</v>
      </c>
      <c r="M19" s="133"/>
    </row>
    <row r="20" spans="1:13" ht="15" customHeight="1" x14ac:dyDescent="0.3">
      <c r="A20" s="133"/>
      <c r="B20" s="133" t="s">
        <v>257</v>
      </c>
      <c r="C20" s="136">
        <f>'Input 3MTA  Offshore'!K32</f>
        <v>3.0666666666666669</v>
      </c>
      <c r="D20" s="136">
        <f>'Input 3MTA  Offshore'!L32</f>
        <v>2.9163694863599998</v>
      </c>
      <c r="E20" s="136">
        <f>'Input 3MTA  Offshore'!M32</f>
        <v>2.7734383633603334</v>
      </c>
      <c r="F20" s="136">
        <f>'Input 3MTA  Offshore'!N32</f>
        <v>2.5082479419648407</v>
      </c>
      <c r="G20" s="136">
        <f>'Input 3MTA  Offshore'!O32</f>
        <v>2.5082479419648407</v>
      </c>
      <c r="H20" s="136">
        <f>'Input 3MTA  Offshore'!P32</f>
        <v>2.7720237768533331</v>
      </c>
      <c r="I20" s="136">
        <f>'Input 3MTA  Offshore'!Q32</f>
        <v>3.0666666666666669</v>
      </c>
      <c r="J20" s="136">
        <f>'Input 3MTA  Offshore'!R32</f>
        <v>1.6728185794394725</v>
      </c>
      <c r="K20" s="136">
        <f>'Input 3MTA  Offshore'!S32</f>
        <v>3.0666666666666669</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3MTA  Offshore'!K9</f>
        <v>0.17460317460317459</v>
      </c>
      <c r="D24" s="136">
        <f>'Input 3MTA  Offshore'!L9</f>
        <v>0.1660458817285714</v>
      </c>
      <c r="E24" s="136">
        <f>'Input 3MTA  Offshore'!M9</f>
        <v>0.1579079813507436</v>
      </c>
      <c r="F24" s="136">
        <f>'Input 3MTA  Offshore'!N9</f>
        <v>0.1428091478344371</v>
      </c>
      <c r="G24" s="136">
        <f>'Input 3MTA  Offshore'!O9</f>
        <v>0.1428091478344371</v>
      </c>
      <c r="H24" s="136">
        <f>'Input 3MTA  Offshore'!P9</f>
        <v>0.15782744071111107</v>
      </c>
      <c r="I24" s="136">
        <f>'Input 3MTA  Offshore'!Q9</f>
        <v>0.17460317460317459</v>
      </c>
      <c r="J24" s="136">
        <f>'Input 3MTA  Offshore'!R9</f>
        <v>9.5243293860425446E-2</v>
      </c>
      <c r="K24" s="136">
        <f>'Input 3MTA  Offshore'!S9</f>
        <v>0.17460317460317459</v>
      </c>
      <c r="L24" s="134" t="s">
        <v>22</v>
      </c>
      <c r="M24" s="133"/>
    </row>
    <row r="25" spans="1:13" ht="15" customHeight="1" x14ac:dyDescent="0.3">
      <c r="A25" s="131"/>
      <c r="B25" s="133" t="s">
        <v>260</v>
      </c>
      <c r="C25" s="136">
        <f>'Input 3MTA  Offshore'!K36</f>
        <v>0.95238095238095233</v>
      </c>
      <c r="D25" s="136">
        <f>'Input 3MTA  Offshore'!L36</f>
        <v>0.90570480942857134</v>
      </c>
      <c r="E25" s="136">
        <f>'Input 3MTA  Offshore'!M36</f>
        <v>0.86131626191314692</v>
      </c>
      <c r="F25" s="136">
        <f>'Input 3MTA  Offshore'!N36</f>
        <v>0.77895898818783871</v>
      </c>
      <c r="G25" s="136">
        <f>'Input 3MTA  Offshore'!O36</f>
        <v>0.77895898818783871</v>
      </c>
      <c r="H25" s="136">
        <f>'Input 3MTA  Offshore'!P36</f>
        <v>0.86087694933333314</v>
      </c>
      <c r="I25" s="136">
        <f>'Input 3MTA  Offshore'!Q36</f>
        <v>0.95238095238095233</v>
      </c>
      <c r="J25" s="136">
        <f>'Input 3MTA  Offshore'!R36</f>
        <v>0.51950887560232062</v>
      </c>
      <c r="K25" s="136">
        <f>'Input 3MTA  Offshore'!S36</f>
        <v>0.95238095238095233</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287</v>
      </c>
      <c r="C32" s="141"/>
      <c r="D32" s="141"/>
    </row>
    <row r="33" spans="1:13" x14ac:dyDescent="0.3">
      <c r="A33" s="142"/>
      <c r="B33" s="133" t="s">
        <v>288</v>
      </c>
      <c r="C33" s="141"/>
      <c r="D33" s="141"/>
    </row>
    <row r="34" spans="1:13" x14ac:dyDescent="0.3">
      <c r="A34" s="142" t="s">
        <v>16</v>
      </c>
      <c r="B34" s="133" t="s">
        <v>267</v>
      </c>
      <c r="C34" s="141"/>
      <c r="D34" s="141"/>
    </row>
    <row r="35" spans="1:13" x14ac:dyDescent="0.3">
      <c r="A35" s="142" t="s">
        <v>17</v>
      </c>
      <c r="B35" s="133" t="s">
        <v>295</v>
      </c>
      <c r="C35" s="141"/>
      <c r="D35" s="141"/>
    </row>
    <row r="36" spans="1:13" s="138" customFormat="1" x14ac:dyDescent="0.3">
      <c r="A36" s="142" t="s">
        <v>18</v>
      </c>
      <c r="B36" s="133" t="s">
        <v>296</v>
      </c>
      <c r="C36" s="141"/>
      <c r="D36" s="141"/>
      <c r="E36" s="19"/>
      <c r="F36" s="19"/>
      <c r="G36" s="19"/>
      <c r="H36" s="19"/>
      <c r="I36" s="19"/>
      <c r="J36" s="19"/>
      <c r="K36" s="19"/>
      <c r="M36" s="19"/>
    </row>
    <row r="37" spans="1:13" s="138" customFormat="1" x14ac:dyDescent="0.3">
      <c r="A37" s="142" t="s">
        <v>20</v>
      </c>
      <c r="B37" s="133" t="s">
        <v>270</v>
      </c>
      <c r="C37" s="141"/>
      <c r="D37" s="141"/>
      <c r="E37" s="19"/>
      <c r="F37" s="19"/>
      <c r="G37" s="19"/>
      <c r="H37" s="19"/>
      <c r="I37" s="19"/>
      <c r="J37" s="19"/>
      <c r="K37" s="19"/>
      <c r="M37" s="19"/>
    </row>
    <row r="38" spans="1:13" s="138" customFormat="1" x14ac:dyDescent="0.3">
      <c r="A38" s="142" t="s">
        <v>19</v>
      </c>
      <c r="B38" s="133" t="s">
        <v>297</v>
      </c>
      <c r="C38" s="141"/>
      <c r="D38" s="141"/>
      <c r="E38" s="19"/>
      <c r="F38" s="19"/>
      <c r="G38" s="19"/>
      <c r="H38" s="19"/>
      <c r="I38" s="19"/>
      <c r="J38" s="19"/>
      <c r="K38" s="19"/>
      <c r="M38" s="19"/>
    </row>
    <row r="39" spans="1:13" s="138" customFormat="1" x14ac:dyDescent="0.3">
      <c r="A39" s="142" t="s">
        <v>21</v>
      </c>
      <c r="B39" s="133" t="s">
        <v>293</v>
      </c>
      <c r="C39" s="19"/>
      <c r="D39" s="19"/>
      <c r="E39" s="19"/>
      <c r="F39" s="19"/>
      <c r="G39" s="19"/>
      <c r="H39" s="19"/>
      <c r="I39" s="19"/>
      <c r="J39" s="19"/>
      <c r="K39" s="19"/>
      <c r="M39" s="19"/>
    </row>
    <row r="40" spans="1:13" s="138" customFormat="1" x14ac:dyDescent="0.3">
      <c r="A40" s="142" t="s">
        <v>22</v>
      </c>
      <c r="B40" s="133" t="s">
        <v>273</v>
      </c>
      <c r="C40" s="19"/>
      <c r="D40" s="19"/>
      <c r="E40" s="19"/>
      <c r="F40" s="19"/>
      <c r="G40" s="19"/>
      <c r="H40" s="19"/>
      <c r="I40" s="19"/>
      <c r="J40" s="19"/>
      <c r="K40" s="19"/>
      <c r="M40" s="19"/>
    </row>
    <row r="41" spans="1:13" s="138" customFormat="1" x14ac:dyDescent="0.3">
      <c r="A41" s="142" t="s">
        <v>23</v>
      </c>
      <c r="B41" s="133" t="s">
        <v>274</v>
      </c>
      <c r="C41" s="19"/>
      <c r="D41" s="19"/>
      <c r="E41" s="19"/>
      <c r="F41" s="19"/>
      <c r="G41" s="19"/>
      <c r="H41" s="19"/>
      <c r="I41" s="19"/>
      <c r="J41" s="19"/>
      <c r="K41" s="19"/>
      <c r="M41" s="19"/>
    </row>
    <row r="42" spans="1:13" s="138" customFormat="1" x14ac:dyDescent="0.3">
      <c r="A42" s="142" t="s">
        <v>26</v>
      </c>
      <c r="B42" s="133" t="s">
        <v>275</v>
      </c>
      <c r="C42" s="19"/>
      <c r="D42" s="19"/>
      <c r="E42" s="19"/>
      <c r="F42" s="19"/>
      <c r="G42" s="19"/>
      <c r="H42" s="19"/>
      <c r="I42" s="19"/>
      <c r="J42" s="19"/>
      <c r="K42" s="19"/>
      <c r="M42" s="19"/>
    </row>
    <row r="43" spans="1:13" s="138" customFormat="1" x14ac:dyDescent="0.3">
      <c r="A43" s="142" t="s">
        <v>27</v>
      </c>
      <c r="B43" s="133" t="s">
        <v>276</v>
      </c>
      <c r="C43" s="19"/>
      <c r="D43" s="19"/>
      <c r="E43" s="19"/>
      <c r="F43" s="19"/>
      <c r="G43" s="19"/>
      <c r="H43" s="19"/>
      <c r="I43" s="19"/>
      <c r="J43" s="19"/>
      <c r="K43" s="19"/>
      <c r="M43" s="19"/>
    </row>
    <row r="44" spans="1:13" s="138" customFormat="1" x14ac:dyDescent="0.3">
      <c r="A44" s="142"/>
      <c r="B44" s="133"/>
      <c r="C44" s="19"/>
      <c r="D44" s="19"/>
      <c r="E44" s="19"/>
      <c r="F44" s="19"/>
      <c r="G44" s="19"/>
      <c r="H44" s="19"/>
      <c r="I44" s="19"/>
      <c r="J44" s="19"/>
      <c r="K44" s="19"/>
      <c r="M44" s="19"/>
    </row>
    <row r="45" spans="1:13" s="138" customFormat="1" x14ac:dyDescent="0.3">
      <c r="A45" s="142"/>
      <c r="B45" s="133"/>
      <c r="C45" s="19"/>
      <c r="D45" s="19"/>
      <c r="E45" s="19"/>
      <c r="F45" s="19"/>
      <c r="G45" s="19"/>
      <c r="H45" s="19"/>
      <c r="I45" s="19"/>
      <c r="J45" s="19"/>
      <c r="K45" s="19"/>
      <c r="M45" s="19"/>
    </row>
    <row r="46" spans="1:13" s="138" customFormat="1" x14ac:dyDescent="0.3">
      <c r="A46" s="142"/>
      <c r="B46" s="133"/>
      <c r="C46" s="19"/>
      <c r="D46" s="19"/>
      <c r="E46" s="19"/>
      <c r="F46" s="19"/>
      <c r="G46" s="19"/>
      <c r="H46" s="19"/>
      <c r="I46" s="19"/>
      <c r="J46" s="19"/>
      <c r="K46" s="19"/>
      <c r="M46" s="19"/>
    </row>
    <row r="47" spans="1:13" s="138" customFormat="1" x14ac:dyDescent="0.3">
      <c r="A47" s="139" t="s">
        <v>24</v>
      </c>
      <c r="B47" s="140"/>
      <c r="C47" s="144"/>
      <c r="D47" s="144"/>
      <c r="E47" s="144"/>
      <c r="F47" s="144"/>
      <c r="G47" s="144"/>
      <c r="H47" s="144"/>
      <c r="I47" s="144"/>
      <c r="J47" s="144"/>
      <c r="K47" s="144"/>
      <c r="M47" s="19"/>
    </row>
    <row r="48" spans="1:13" s="138" customFormat="1" x14ac:dyDescent="0.3">
      <c r="A48" s="143">
        <v>1</v>
      </c>
      <c r="B48" s="143"/>
      <c r="C48" s="19"/>
      <c r="D48" s="19"/>
      <c r="E48" s="19"/>
      <c r="F48" s="19"/>
      <c r="G48" s="19"/>
      <c r="H48" s="19"/>
      <c r="I48" s="19"/>
      <c r="J48" s="19"/>
      <c r="K48" s="19"/>
      <c r="M48" s="19"/>
    </row>
    <row r="49" spans="1:13" s="138" customFormat="1" x14ac:dyDescent="0.3">
      <c r="A49" s="143">
        <v>2</v>
      </c>
      <c r="B49" s="143"/>
      <c r="C49" s="19"/>
      <c r="D49" s="19"/>
      <c r="E49" s="19"/>
      <c r="F49" s="19"/>
      <c r="G49" s="19"/>
      <c r="H49" s="19"/>
      <c r="I49" s="19"/>
      <c r="J49" s="19"/>
      <c r="K49" s="19"/>
      <c r="M49" s="19"/>
    </row>
    <row r="50" spans="1:13" s="138" customFormat="1" ht="15.75" customHeight="1" x14ac:dyDescent="0.3">
      <c r="A50" s="143"/>
      <c r="B50" s="143"/>
      <c r="C50" s="19"/>
      <c r="D50" s="19"/>
      <c r="E50" s="19"/>
      <c r="F50" s="19"/>
      <c r="G50" s="19"/>
      <c r="H50" s="19"/>
      <c r="I50" s="19"/>
      <c r="J50" s="19"/>
      <c r="K50" s="19"/>
      <c r="M50" s="19"/>
    </row>
    <row r="51" spans="1:13" s="138" customFormat="1" ht="15.75" customHeight="1" x14ac:dyDescent="0.3">
      <c r="A51" s="143"/>
      <c r="B51" s="143"/>
      <c r="C51" s="19"/>
      <c r="D51" s="19"/>
      <c r="E51" s="19"/>
      <c r="F51" s="19"/>
      <c r="G51" s="19"/>
      <c r="H51" s="19"/>
      <c r="I51" s="19"/>
      <c r="J51" s="19"/>
      <c r="K51" s="19"/>
      <c r="M51" s="19"/>
    </row>
  </sheetData>
  <pageMargins left="0.7" right="0.7" top="0.75" bottom="0.75" header="0.3" footer="0.3"/>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63"/>
  <sheetViews>
    <sheetView zoomScale="89" zoomScaleNormal="120" workbookViewId="0">
      <selection activeCell="A27" sqref="A27"/>
    </sheetView>
  </sheetViews>
  <sheetFormatPr defaultColWidth="8.6640625" defaultRowHeight="14.4" x14ac:dyDescent="0.3"/>
  <cols>
    <col min="1" max="1" width="40.6640625" style="19" customWidth="1"/>
    <col min="2" max="10" width="8.5546875" style="19" customWidth="1"/>
    <col min="11" max="12" width="6.33203125" style="19" customWidth="1"/>
    <col min="13" max="13" width="8.6640625" style="19"/>
    <col min="14" max="14" width="10" style="19" bestFit="1" customWidth="1"/>
    <col min="15" max="16384" width="8.6640625" style="19"/>
  </cols>
  <sheetData>
    <row r="1" spans="1:12" s="18" customFormat="1" x14ac:dyDescent="0.3"/>
    <row r="2" spans="1:12" ht="15.75" customHeight="1" x14ac:dyDescent="0.3">
      <c r="A2" s="20" t="s">
        <v>0</v>
      </c>
      <c r="B2" s="178" t="s">
        <v>32</v>
      </c>
      <c r="C2" s="179"/>
      <c r="D2" s="179"/>
      <c r="E2" s="179"/>
      <c r="F2" s="179"/>
      <c r="G2" s="179"/>
      <c r="H2" s="179"/>
      <c r="I2" s="179"/>
      <c r="J2" s="179"/>
      <c r="K2" s="179"/>
      <c r="L2" s="180"/>
    </row>
    <row r="3" spans="1:12" ht="15.75" customHeight="1" x14ac:dyDescent="0.3">
      <c r="A3" s="21"/>
      <c r="B3" s="22">
        <v>2020</v>
      </c>
      <c r="C3" s="22">
        <v>2025</v>
      </c>
      <c r="D3" s="23">
        <v>2030</v>
      </c>
      <c r="E3" s="23">
        <v>2040</v>
      </c>
      <c r="F3" s="24">
        <v>2050</v>
      </c>
      <c r="G3" s="181" t="s">
        <v>33</v>
      </c>
      <c r="H3" s="182"/>
      <c r="I3" s="181" t="s">
        <v>1</v>
      </c>
      <c r="J3" s="182"/>
      <c r="K3" s="23" t="s">
        <v>2</v>
      </c>
      <c r="L3" s="25" t="s">
        <v>3</v>
      </c>
    </row>
    <row r="4" spans="1:12" x14ac:dyDescent="0.3">
      <c r="A4" s="21"/>
      <c r="B4" s="26"/>
      <c r="C4" s="27"/>
      <c r="D4" s="28"/>
      <c r="E4" s="28"/>
      <c r="F4" s="28"/>
      <c r="G4" s="29" t="s">
        <v>4</v>
      </c>
      <c r="H4" s="29" t="s">
        <v>5</v>
      </c>
      <c r="I4" s="29" t="s">
        <v>4</v>
      </c>
      <c r="J4" s="29" t="s">
        <v>5</v>
      </c>
      <c r="K4" s="28"/>
      <c r="L4" s="30"/>
    </row>
    <row r="5" spans="1:12" x14ac:dyDescent="0.3">
      <c r="A5" s="31" t="s">
        <v>6</v>
      </c>
      <c r="B5" s="28"/>
      <c r="C5" s="28"/>
      <c r="D5" s="28"/>
      <c r="E5" s="28"/>
      <c r="F5" s="28"/>
      <c r="G5" s="28"/>
      <c r="H5" s="28"/>
      <c r="I5" s="28"/>
      <c r="J5" s="28"/>
      <c r="K5" s="28"/>
      <c r="L5" s="30"/>
    </row>
    <row r="6" spans="1:12" x14ac:dyDescent="0.3">
      <c r="A6" s="32" t="s">
        <v>34</v>
      </c>
      <c r="B6" s="33">
        <v>32</v>
      </c>
      <c r="C6" s="33">
        <v>32</v>
      </c>
      <c r="D6" s="33">
        <v>32</v>
      </c>
      <c r="E6" s="33">
        <v>34</v>
      </c>
      <c r="F6" s="33">
        <v>34</v>
      </c>
      <c r="G6" s="33">
        <v>30</v>
      </c>
      <c r="H6" s="33">
        <v>34</v>
      </c>
      <c r="I6" s="33">
        <v>33</v>
      </c>
      <c r="J6" s="33">
        <v>35</v>
      </c>
      <c r="K6" s="33" t="s">
        <v>7</v>
      </c>
      <c r="L6" s="33"/>
    </row>
    <row r="7" spans="1:12" x14ac:dyDescent="0.3">
      <c r="A7" s="34" t="s">
        <v>35</v>
      </c>
      <c r="B7" s="35"/>
      <c r="C7" s="35"/>
      <c r="D7" s="35"/>
      <c r="E7" s="35"/>
      <c r="F7" s="35"/>
      <c r="G7" s="35"/>
      <c r="H7" s="35"/>
      <c r="I7" s="35"/>
      <c r="J7" s="35"/>
      <c r="K7" s="35"/>
      <c r="L7" s="35"/>
    </row>
    <row r="8" spans="1:12" x14ac:dyDescent="0.3">
      <c r="A8" s="32" t="s">
        <v>36</v>
      </c>
      <c r="B8" s="33">
        <v>5.0999999999999996</v>
      </c>
      <c r="C8" s="33">
        <v>5.0999999999999996</v>
      </c>
      <c r="D8" s="33">
        <v>5.0999999999999996</v>
      </c>
      <c r="E8" s="33">
        <v>4.9000000000000004</v>
      </c>
      <c r="F8" s="33">
        <v>4.9000000000000004</v>
      </c>
      <c r="G8" s="33">
        <v>4.8</v>
      </c>
      <c r="H8" s="33">
        <v>6</v>
      </c>
      <c r="I8" s="33">
        <v>4.7</v>
      </c>
      <c r="J8" s="33">
        <v>6</v>
      </c>
      <c r="K8" s="33"/>
      <c r="L8" s="33"/>
    </row>
    <row r="9" spans="1:12" x14ac:dyDescent="0.3">
      <c r="A9" s="36" t="s">
        <v>37</v>
      </c>
      <c r="B9" s="37">
        <v>15</v>
      </c>
      <c r="C9" s="37">
        <v>15</v>
      </c>
      <c r="D9" s="37">
        <v>15</v>
      </c>
      <c r="E9" s="37">
        <v>15</v>
      </c>
      <c r="F9" s="37">
        <v>15</v>
      </c>
      <c r="G9" s="37">
        <v>12</v>
      </c>
      <c r="H9" s="37">
        <v>15</v>
      </c>
      <c r="I9" s="37">
        <v>12</v>
      </c>
      <c r="J9" s="37">
        <v>15</v>
      </c>
      <c r="K9" s="37"/>
      <c r="L9" s="37"/>
    </row>
    <row r="10" spans="1:12" x14ac:dyDescent="0.3">
      <c r="A10" s="36" t="s">
        <v>38</v>
      </c>
      <c r="B10" s="33">
        <v>35</v>
      </c>
      <c r="C10" s="33">
        <v>35</v>
      </c>
      <c r="D10" s="33">
        <v>35</v>
      </c>
      <c r="E10" s="33">
        <v>35</v>
      </c>
      <c r="F10" s="33">
        <v>35</v>
      </c>
      <c r="G10" s="33">
        <v>30</v>
      </c>
      <c r="H10" s="33">
        <v>40</v>
      </c>
      <c r="I10" s="33">
        <v>30</v>
      </c>
      <c r="J10" s="33">
        <v>40</v>
      </c>
      <c r="K10" s="33" t="s">
        <v>15</v>
      </c>
      <c r="L10" s="33"/>
    </row>
    <row r="11" spans="1:12" x14ac:dyDescent="0.3">
      <c r="A11" s="38" t="s">
        <v>39</v>
      </c>
      <c r="B11" s="33">
        <v>0.83299999999999996</v>
      </c>
      <c r="C11" s="33">
        <v>0.83299999999999996</v>
      </c>
      <c r="D11" s="33">
        <v>0.72</v>
      </c>
      <c r="E11" s="33">
        <v>0.66</v>
      </c>
      <c r="F11" s="33">
        <v>0.66</v>
      </c>
      <c r="G11" s="39">
        <v>0.66</v>
      </c>
      <c r="H11" s="39">
        <v>1</v>
      </c>
      <c r="I11" s="39">
        <v>0.55000000000000004</v>
      </c>
      <c r="J11" s="39">
        <v>0.72</v>
      </c>
      <c r="K11" s="39" t="s">
        <v>12</v>
      </c>
      <c r="L11" s="39"/>
    </row>
    <row r="12" spans="1:12" x14ac:dyDescent="0.3">
      <c r="A12" s="40" t="s">
        <v>40</v>
      </c>
      <c r="B12" s="37">
        <v>0.03</v>
      </c>
      <c r="C12" s="37">
        <v>0.03</v>
      </c>
      <c r="D12" s="37">
        <v>2.5000000000000001E-2</v>
      </c>
      <c r="E12" s="37">
        <v>2.3E-2</v>
      </c>
      <c r="F12" s="37">
        <v>0.02</v>
      </c>
      <c r="G12" s="37">
        <v>2.5000000000000001E-2</v>
      </c>
      <c r="H12" s="37">
        <v>3.5000000000000003E-2</v>
      </c>
      <c r="I12" s="37">
        <v>1.7000000000000001E-2</v>
      </c>
      <c r="J12" s="37">
        <v>2.5000000000000001E-2</v>
      </c>
      <c r="K12" s="37" t="s">
        <v>13</v>
      </c>
      <c r="L12" s="37"/>
    </row>
    <row r="13" spans="1:12" x14ac:dyDescent="0.3">
      <c r="A13" s="38" t="s">
        <v>41</v>
      </c>
      <c r="B13" s="39">
        <v>0.3</v>
      </c>
      <c r="C13" s="39">
        <v>0.3</v>
      </c>
      <c r="D13" s="39">
        <v>0.2</v>
      </c>
      <c r="E13" s="39">
        <v>0.15</v>
      </c>
      <c r="F13" s="39">
        <v>0.1</v>
      </c>
      <c r="G13" s="39">
        <v>0.15</v>
      </c>
      <c r="H13" s="39">
        <v>1.5</v>
      </c>
      <c r="I13" s="39">
        <v>0.05</v>
      </c>
      <c r="J13" s="39">
        <v>0.3</v>
      </c>
      <c r="K13" s="39"/>
      <c r="L13" s="39"/>
    </row>
    <row r="14" spans="1:12" x14ac:dyDescent="0.3">
      <c r="A14" s="32" t="s">
        <v>42</v>
      </c>
      <c r="B14" s="41"/>
      <c r="C14" s="33"/>
      <c r="D14" s="33"/>
      <c r="E14" s="33"/>
      <c r="F14" s="33"/>
      <c r="G14" s="33"/>
      <c r="H14" s="33"/>
      <c r="I14" s="33"/>
      <c r="J14" s="33"/>
      <c r="K14" s="33"/>
      <c r="L14" s="33"/>
    </row>
    <row r="15" spans="1:12" x14ac:dyDescent="0.3">
      <c r="A15" s="34" t="s">
        <v>43</v>
      </c>
      <c r="B15" s="35"/>
      <c r="C15" s="35"/>
      <c r="D15" s="35"/>
      <c r="E15" s="35"/>
      <c r="F15" s="35"/>
      <c r="G15" s="35"/>
      <c r="H15" s="35"/>
      <c r="I15" s="35"/>
      <c r="J15" s="35"/>
      <c r="K15" s="35"/>
      <c r="L15" s="35"/>
    </row>
    <row r="16" spans="1:12" x14ac:dyDescent="0.3">
      <c r="A16" s="42" t="s">
        <v>44</v>
      </c>
      <c r="B16" s="33">
        <v>97</v>
      </c>
      <c r="C16" s="33">
        <v>97</v>
      </c>
      <c r="D16" s="33">
        <v>98</v>
      </c>
      <c r="E16" s="33">
        <v>99</v>
      </c>
      <c r="F16" s="33">
        <v>99</v>
      </c>
      <c r="G16" s="33">
        <v>96</v>
      </c>
      <c r="H16" s="33">
        <v>98</v>
      </c>
      <c r="I16" s="33">
        <v>98</v>
      </c>
      <c r="J16" s="33">
        <v>99</v>
      </c>
      <c r="K16" s="33" t="s">
        <v>16</v>
      </c>
      <c r="L16" s="33"/>
    </row>
    <row r="17" spans="1:12" x14ac:dyDescent="0.3">
      <c r="A17" s="42" t="s">
        <v>45</v>
      </c>
      <c r="B17" s="33">
        <v>160</v>
      </c>
      <c r="C17" s="33">
        <v>160</v>
      </c>
      <c r="D17" s="33">
        <v>300</v>
      </c>
      <c r="E17" s="33">
        <v>400</v>
      </c>
      <c r="F17" s="33">
        <v>400</v>
      </c>
      <c r="G17" s="33">
        <v>120</v>
      </c>
      <c r="H17" s="33">
        <v>300</v>
      </c>
      <c r="I17" s="33">
        <v>300</v>
      </c>
      <c r="J17" s="33">
        <v>600</v>
      </c>
      <c r="K17" s="33" t="s">
        <v>17</v>
      </c>
      <c r="L17" s="33"/>
    </row>
    <row r="18" spans="1:12" x14ac:dyDescent="0.3">
      <c r="A18" s="32" t="s">
        <v>46</v>
      </c>
      <c r="B18" s="33">
        <v>90</v>
      </c>
      <c r="C18" s="33">
        <v>90</v>
      </c>
      <c r="D18" s="33">
        <v>90</v>
      </c>
      <c r="E18" s="33">
        <v>95</v>
      </c>
      <c r="F18" s="33">
        <v>95</v>
      </c>
      <c r="G18" s="33">
        <v>85</v>
      </c>
      <c r="H18" s="33">
        <v>95</v>
      </c>
      <c r="I18" s="33">
        <v>92</v>
      </c>
      <c r="J18" s="33">
        <v>99</v>
      </c>
      <c r="K18" s="33" t="s">
        <v>18</v>
      </c>
      <c r="L18" s="33"/>
    </row>
    <row r="19" spans="1:12" x14ac:dyDescent="0.3">
      <c r="A19" s="32" t="s">
        <v>47</v>
      </c>
      <c r="B19" s="33">
        <v>0.83299999999999996</v>
      </c>
      <c r="C19" s="33">
        <v>0.83299999999999996</v>
      </c>
      <c r="D19" s="33">
        <v>0.72</v>
      </c>
      <c r="E19" s="33">
        <v>0.66</v>
      </c>
      <c r="F19" s="33">
        <v>0.66</v>
      </c>
      <c r="G19" s="39">
        <v>0.66</v>
      </c>
      <c r="H19" s="39">
        <v>1</v>
      </c>
      <c r="I19" s="39">
        <v>0.55000000000000004</v>
      </c>
      <c r="J19" s="39">
        <v>0.72</v>
      </c>
      <c r="K19" s="33"/>
      <c r="L19" s="33"/>
    </row>
    <row r="20" spans="1:12" x14ac:dyDescent="0.3">
      <c r="A20" s="36" t="s">
        <v>48</v>
      </c>
      <c r="B20" s="33">
        <v>60</v>
      </c>
      <c r="C20" s="33">
        <v>60</v>
      </c>
      <c r="D20" s="33">
        <v>60</v>
      </c>
      <c r="E20" s="33">
        <v>70</v>
      </c>
      <c r="F20" s="33">
        <v>70</v>
      </c>
      <c r="G20" s="33">
        <v>50</v>
      </c>
      <c r="H20" s="33">
        <v>80</v>
      </c>
      <c r="I20" s="33">
        <v>50</v>
      </c>
      <c r="J20" s="33">
        <v>120</v>
      </c>
      <c r="K20" s="33" t="s">
        <v>20</v>
      </c>
      <c r="L20" s="33"/>
    </row>
    <row r="21" spans="1:12" x14ac:dyDescent="0.3">
      <c r="A21" s="43" t="s">
        <v>49</v>
      </c>
      <c r="B21" s="39"/>
      <c r="C21" s="39"/>
      <c r="D21" s="39"/>
      <c r="E21" s="39"/>
      <c r="F21" s="39"/>
      <c r="G21" s="39"/>
      <c r="H21" s="39"/>
      <c r="I21" s="39"/>
      <c r="J21" s="39"/>
      <c r="K21" s="39"/>
      <c r="L21" s="39"/>
    </row>
    <row r="22" spans="1:12" x14ac:dyDescent="0.3">
      <c r="A22" s="34" t="s">
        <v>50</v>
      </c>
      <c r="B22" s="39"/>
      <c r="C22" s="39"/>
      <c r="D22" s="39"/>
      <c r="E22" s="39"/>
      <c r="F22" s="39"/>
      <c r="G22" s="39"/>
      <c r="H22" s="39"/>
      <c r="I22" s="39"/>
      <c r="J22" s="39"/>
      <c r="K22" s="39"/>
      <c r="L22" s="39"/>
    </row>
    <row r="23" spans="1:12" x14ac:dyDescent="0.3">
      <c r="A23" s="32" t="s">
        <v>8</v>
      </c>
      <c r="B23" s="33">
        <v>5</v>
      </c>
      <c r="C23" s="33">
        <v>5</v>
      </c>
      <c r="D23" s="33">
        <v>3</v>
      </c>
      <c r="E23" s="33">
        <v>3</v>
      </c>
      <c r="F23" s="33">
        <v>3</v>
      </c>
      <c r="G23" s="33">
        <v>3</v>
      </c>
      <c r="H23" s="33">
        <v>3</v>
      </c>
      <c r="I23" s="33">
        <v>3</v>
      </c>
      <c r="J23" s="33">
        <v>3</v>
      </c>
      <c r="K23" s="33"/>
      <c r="L23" s="33"/>
    </row>
    <row r="24" spans="1:12" x14ac:dyDescent="0.3">
      <c r="A24" s="32" t="s">
        <v>9</v>
      </c>
      <c r="B24" s="33">
        <v>3</v>
      </c>
      <c r="C24" s="33">
        <v>3</v>
      </c>
      <c r="D24" s="33">
        <v>3</v>
      </c>
      <c r="E24" s="33">
        <v>2</v>
      </c>
      <c r="F24" s="33">
        <v>2</v>
      </c>
      <c r="G24" s="33">
        <v>2</v>
      </c>
      <c r="H24" s="33">
        <v>4</v>
      </c>
      <c r="I24" s="33">
        <v>2</v>
      </c>
      <c r="J24" s="33">
        <v>3</v>
      </c>
      <c r="K24" s="33"/>
      <c r="L24" s="33"/>
    </row>
    <row r="25" spans="1:12" x14ac:dyDescent="0.3">
      <c r="A25" s="32" t="s">
        <v>10</v>
      </c>
      <c r="B25" s="33">
        <v>25</v>
      </c>
      <c r="C25" s="33">
        <v>25</v>
      </c>
      <c r="D25" s="33">
        <v>25</v>
      </c>
      <c r="E25" s="33">
        <v>25</v>
      </c>
      <c r="F25" s="33">
        <v>25</v>
      </c>
      <c r="G25" s="33">
        <v>25</v>
      </c>
      <c r="H25" s="33">
        <v>25</v>
      </c>
      <c r="I25" s="33">
        <v>25</v>
      </c>
      <c r="J25" s="33">
        <v>25</v>
      </c>
      <c r="K25" s="33"/>
      <c r="L25" s="33"/>
    </row>
    <row r="26" spans="1:12" x14ac:dyDescent="0.3">
      <c r="A26" s="32" t="s">
        <v>11</v>
      </c>
      <c r="B26" s="33">
        <v>2.5</v>
      </c>
      <c r="C26" s="33">
        <v>2.5</v>
      </c>
      <c r="D26" s="33">
        <v>2.5</v>
      </c>
      <c r="E26" s="33">
        <v>2</v>
      </c>
      <c r="F26" s="33">
        <v>2</v>
      </c>
      <c r="G26" s="33">
        <v>2</v>
      </c>
      <c r="H26" s="33">
        <v>4</v>
      </c>
      <c r="I26" s="33">
        <v>2</v>
      </c>
      <c r="J26" s="33">
        <v>3</v>
      </c>
      <c r="K26" s="33"/>
      <c r="L26" s="33"/>
    </row>
    <row r="27" spans="1:12" ht="14.7" customHeight="1" x14ac:dyDescent="0.3">
      <c r="A27" s="44" t="s">
        <v>398</v>
      </c>
      <c r="B27" s="44"/>
      <c r="C27" s="44"/>
      <c r="D27" s="44"/>
      <c r="E27" s="44"/>
      <c r="F27" s="44"/>
      <c r="G27" s="44"/>
      <c r="H27" s="44"/>
      <c r="I27" s="44"/>
      <c r="J27" s="44"/>
      <c r="K27" s="44"/>
      <c r="L27" s="44"/>
    </row>
    <row r="28" spans="1:12" x14ac:dyDescent="0.3">
      <c r="A28" s="32" t="s">
        <v>51</v>
      </c>
      <c r="B28" s="45">
        <v>3.3</v>
      </c>
      <c r="C28" s="45">
        <v>3</v>
      </c>
      <c r="D28" s="45">
        <v>2.7</v>
      </c>
      <c r="E28" s="45">
        <v>2.4</v>
      </c>
      <c r="F28" s="45">
        <v>2</v>
      </c>
      <c r="G28" s="45">
        <v>2.5</v>
      </c>
      <c r="H28" s="45">
        <v>5</v>
      </c>
      <c r="I28" s="45">
        <v>1.6</v>
      </c>
      <c r="J28" s="33">
        <v>2.8</v>
      </c>
      <c r="K28" s="33" t="s">
        <v>19</v>
      </c>
      <c r="L28" s="33"/>
    </row>
    <row r="29" spans="1:12" x14ac:dyDescent="0.3">
      <c r="A29" s="36" t="s">
        <v>52</v>
      </c>
      <c r="B29" s="33">
        <v>50</v>
      </c>
      <c r="C29" s="33">
        <v>50</v>
      </c>
      <c r="D29" s="33">
        <v>50</v>
      </c>
      <c r="E29" s="33">
        <v>50</v>
      </c>
      <c r="F29" s="33">
        <v>50</v>
      </c>
      <c r="G29" s="33"/>
      <c r="H29" s="33"/>
      <c r="I29" s="33"/>
      <c r="J29" s="36"/>
      <c r="K29" s="33" t="s">
        <v>21</v>
      </c>
      <c r="L29" s="33"/>
    </row>
    <row r="30" spans="1:12" x14ac:dyDescent="0.3">
      <c r="A30" s="32" t="s">
        <v>53</v>
      </c>
      <c r="B30" s="33">
        <v>10</v>
      </c>
      <c r="C30" s="33">
        <v>10</v>
      </c>
      <c r="D30" s="33">
        <v>10</v>
      </c>
      <c r="E30" s="33">
        <v>10</v>
      </c>
      <c r="F30" s="33">
        <v>10</v>
      </c>
      <c r="G30" s="33"/>
      <c r="H30" s="33"/>
      <c r="I30" s="33"/>
      <c r="J30" s="36"/>
      <c r="K30" s="33" t="s">
        <v>22</v>
      </c>
      <c r="L30" s="33"/>
    </row>
    <row r="31" spans="1:12" x14ac:dyDescent="0.3">
      <c r="A31" s="46" t="s">
        <v>54</v>
      </c>
      <c r="B31" s="33">
        <v>10</v>
      </c>
      <c r="C31" s="33">
        <v>10</v>
      </c>
      <c r="D31" s="33">
        <v>10</v>
      </c>
      <c r="E31" s="33">
        <v>10</v>
      </c>
      <c r="F31" s="33">
        <v>10</v>
      </c>
      <c r="G31" s="33"/>
      <c r="H31" s="33"/>
      <c r="I31" s="33"/>
      <c r="J31" s="36"/>
      <c r="K31" s="47"/>
      <c r="L31" s="33"/>
    </row>
    <row r="32" spans="1:12" x14ac:dyDescent="0.3">
      <c r="A32" s="32" t="s">
        <v>55</v>
      </c>
      <c r="B32" s="33">
        <v>15</v>
      </c>
      <c r="C32" s="33">
        <v>15</v>
      </c>
      <c r="D32" s="33">
        <v>15</v>
      </c>
      <c r="E32" s="33">
        <v>15</v>
      </c>
      <c r="F32" s="33">
        <v>15</v>
      </c>
      <c r="G32" s="33"/>
      <c r="H32" s="33"/>
      <c r="I32" s="33"/>
      <c r="J32" s="36"/>
      <c r="K32" s="33" t="s">
        <v>23</v>
      </c>
      <c r="L32" s="33"/>
    </row>
    <row r="33" spans="1:12" x14ac:dyDescent="0.3">
      <c r="A33" s="32" t="s">
        <v>56</v>
      </c>
      <c r="B33" s="33">
        <v>15</v>
      </c>
      <c r="C33" s="33">
        <v>15</v>
      </c>
      <c r="D33" s="33">
        <v>15</v>
      </c>
      <c r="E33" s="33">
        <v>15</v>
      </c>
      <c r="F33" s="33">
        <v>15</v>
      </c>
      <c r="G33" s="33"/>
      <c r="H33" s="33"/>
      <c r="I33" s="33"/>
      <c r="J33" s="32"/>
      <c r="K33" s="47"/>
      <c r="L33" s="33"/>
    </row>
    <row r="34" spans="1:12" x14ac:dyDescent="0.3">
      <c r="A34" s="43" t="s">
        <v>57</v>
      </c>
      <c r="B34" s="39">
        <f>B28*0.03</f>
        <v>9.8999999999999991E-2</v>
      </c>
      <c r="C34" s="39">
        <f t="shared" ref="C34:J34" si="0">C28*0.03</f>
        <v>0.09</v>
      </c>
      <c r="D34" s="39">
        <f t="shared" si="0"/>
        <v>8.1000000000000003E-2</v>
      </c>
      <c r="E34" s="39">
        <f t="shared" si="0"/>
        <v>7.1999999999999995E-2</v>
      </c>
      <c r="F34" s="39">
        <f t="shared" si="0"/>
        <v>0.06</v>
      </c>
      <c r="G34" s="39">
        <f t="shared" si="0"/>
        <v>7.4999999999999997E-2</v>
      </c>
      <c r="H34" s="39">
        <f t="shared" si="0"/>
        <v>0.15</v>
      </c>
      <c r="I34" s="39">
        <f t="shared" si="0"/>
        <v>4.8000000000000001E-2</v>
      </c>
      <c r="J34" s="39">
        <f t="shared" si="0"/>
        <v>8.3999999999999991E-2</v>
      </c>
      <c r="K34" s="33" t="s">
        <v>26</v>
      </c>
      <c r="L34" s="39"/>
    </row>
    <row r="35" spans="1:12" x14ac:dyDescent="0.3">
      <c r="A35" s="36" t="s">
        <v>58</v>
      </c>
      <c r="B35" s="33">
        <v>2.5</v>
      </c>
      <c r="C35" s="33">
        <v>2.5</v>
      </c>
      <c r="D35" s="33">
        <v>2.5</v>
      </c>
      <c r="E35" s="33">
        <v>2.5</v>
      </c>
      <c r="F35" s="33">
        <v>2.5</v>
      </c>
      <c r="G35" s="39">
        <v>1.5</v>
      </c>
      <c r="H35" s="39">
        <v>3.5</v>
      </c>
      <c r="I35" s="39">
        <v>1.5</v>
      </c>
      <c r="J35" s="39">
        <v>3.5</v>
      </c>
      <c r="K35" s="47"/>
      <c r="L35" s="33"/>
    </row>
    <row r="36" spans="1:12" x14ac:dyDescent="0.3">
      <c r="A36" s="42" t="s">
        <v>59</v>
      </c>
      <c r="B36" s="33">
        <v>25</v>
      </c>
      <c r="C36" s="33">
        <v>25</v>
      </c>
      <c r="D36" s="33">
        <v>25</v>
      </c>
      <c r="E36" s="33">
        <v>25</v>
      </c>
      <c r="F36" s="33">
        <v>25</v>
      </c>
      <c r="G36" s="33"/>
      <c r="H36" s="33"/>
      <c r="I36" s="33"/>
      <c r="J36" s="36"/>
      <c r="K36" s="47"/>
      <c r="L36" s="33"/>
    </row>
    <row r="37" spans="1:12" x14ac:dyDescent="0.3">
      <c r="A37" s="31" t="s">
        <v>60</v>
      </c>
      <c r="B37" s="48"/>
      <c r="C37" s="48"/>
      <c r="D37" s="48"/>
      <c r="E37" s="48"/>
      <c r="F37" s="48"/>
      <c r="G37" s="48"/>
      <c r="H37" s="48"/>
      <c r="I37" s="48"/>
      <c r="J37" s="48"/>
      <c r="K37" s="48"/>
      <c r="L37" s="49"/>
    </row>
    <row r="38" spans="1:12" ht="20.399999999999999" x14ac:dyDescent="0.3">
      <c r="A38" s="36" t="s">
        <v>61</v>
      </c>
      <c r="B38" s="50">
        <v>0.1</v>
      </c>
      <c r="C38" s="50">
        <v>0.1</v>
      </c>
      <c r="D38" s="33">
        <v>8.5000000000000006E-2</v>
      </c>
      <c r="E38" s="33">
        <v>7.4999999999999997E-2</v>
      </c>
      <c r="F38" s="33">
        <v>7.4999999999999997E-2</v>
      </c>
      <c r="G38" s="33">
        <v>0.09</v>
      </c>
      <c r="H38" s="33">
        <v>0.11</v>
      </c>
      <c r="I38" s="33">
        <v>7.0000000000000007E-2</v>
      </c>
      <c r="J38" s="37">
        <v>0.09</v>
      </c>
      <c r="K38" s="33" t="s">
        <v>27</v>
      </c>
      <c r="L38" s="33"/>
    </row>
    <row r="39" spans="1:12" ht="20.399999999999999" x14ac:dyDescent="0.3">
      <c r="A39" s="36" t="s">
        <v>62</v>
      </c>
      <c r="B39" s="33">
        <v>0.16</v>
      </c>
      <c r="C39" s="33">
        <v>0.16</v>
      </c>
      <c r="D39" s="33">
        <v>0.14000000000000001</v>
      </c>
      <c r="E39" s="33">
        <v>0.13</v>
      </c>
      <c r="F39" s="33">
        <v>0.13</v>
      </c>
      <c r="G39" s="33">
        <v>0.14000000000000001</v>
      </c>
      <c r="H39" s="33">
        <v>0.18</v>
      </c>
      <c r="I39" s="33">
        <v>0.12</v>
      </c>
      <c r="J39" s="37">
        <v>0.15</v>
      </c>
      <c r="K39" s="33" t="s">
        <v>27</v>
      </c>
      <c r="L39" s="33"/>
    </row>
    <row r="40" spans="1:12" x14ac:dyDescent="0.3">
      <c r="A40" s="36"/>
      <c r="B40" s="33"/>
      <c r="C40" s="33"/>
      <c r="D40" s="33"/>
      <c r="E40" s="33"/>
      <c r="F40" s="33"/>
      <c r="G40" s="33"/>
      <c r="H40" s="33"/>
      <c r="I40" s="33"/>
      <c r="J40" s="36"/>
      <c r="K40" s="33"/>
      <c r="L40" s="33"/>
    </row>
    <row r="41" spans="1:12" x14ac:dyDescent="0.3">
      <c r="A41" s="32"/>
      <c r="B41" s="33"/>
      <c r="C41" s="33"/>
      <c r="D41" s="33"/>
      <c r="E41" s="33"/>
      <c r="F41" s="32"/>
      <c r="G41" s="33"/>
      <c r="H41" s="33"/>
      <c r="I41" s="33"/>
      <c r="J41" s="32"/>
      <c r="K41" s="33"/>
      <c r="L41" s="33"/>
    </row>
    <row r="42" spans="1:12" x14ac:dyDescent="0.3">
      <c r="A42" s="51"/>
    </row>
    <row r="43" spans="1:12" x14ac:dyDescent="0.3">
      <c r="A43" s="52" t="s">
        <v>24</v>
      </c>
      <c r="C43" s="53"/>
      <c r="D43" s="53"/>
      <c r="E43" s="53"/>
      <c r="F43" s="53"/>
      <c r="G43" s="53"/>
      <c r="H43" s="53"/>
      <c r="I43" s="53"/>
      <c r="J43" s="53"/>
      <c r="K43" s="54"/>
    </row>
    <row r="44" spans="1:12" x14ac:dyDescent="0.3">
      <c r="A44" s="19">
        <v>1</v>
      </c>
      <c r="C44" s="55"/>
      <c r="D44" s="56"/>
      <c r="E44" s="55"/>
    </row>
    <row r="45" spans="1:12" x14ac:dyDescent="0.3">
      <c r="A45" s="19">
        <v>2</v>
      </c>
      <c r="C45" s="55"/>
      <c r="D45" s="56"/>
      <c r="E45" s="55"/>
    </row>
    <row r="46" spans="1:12" x14ac:dyDescent="0.3">
      <c r="A46" s="19">
        <v>3</v>
      </c>
      <c r="C46" s="55"/>
      <c r="D46" s="56"/>
      <c r="E46" s="55"/>
    </row>
    <row r="47" spans="1:12" x14ac:dyDescent="0.3">
      <c r="C47" s="55"/>
      <c r="D47" s="57"/>
      <c r="E47" s="55"/>
    </row>
    <row r="48" spans="1:12" x14ac:dyDescent="0.3">
      <c r="C48" s="55"/>
      <c r="D48" s="55"/>
      <c r="E48" s="55"/>
    </row>
    <row r="49" spans="1:2" x14ac:dyDescent="0.3">
      <c r="A49" s="58" t="s">
        <v>25</v>
      </c>
    </row>
    <row r="50" spans="1:2" x14ac:dyDescent="0.3">
      <c r="A50" s="88" t="s">
        <v>7</v>
      </c>
      <c r="B50" s="19" t="s">
        <v>63</v>
      </c>
    </row>
    <row r="51" spans="1:2" x14ac:dyDescent="0.3">
      <c r="A51" s="88" t="s">
        <v>15</v>
      </c>
      <c r="B51" s="19" t="s">
        <v>64</v>
      </c>
    </row>
    <row r="52" spans="1:2" x14ac:dyDescent="0.3">
      <c r="A52" s="88" t="s">
        <v>12</v>
      </c>
      <c r="B52" s="19" t="s">
        <v>65</v>
      </c>
    </row>
    <row r="53" spans="1:2" x14ac:dyDescent="0.3">
      <c r="A53" s="88" t="s">
        <v>13</v>
      </c>
      <c r="B53" s="19" t="s">
        <v>66</v>
      </c>
    </row>
    <row r="54" spans="1:2" x14ac:dyDescent="0.3">
      <c r="A54" s="88" t="s">
        <v>16</v>
      </c>
      <c r="B54" s="19" t="s">
        <v>67</v>
      </c>
    </row>
    <row r="55" spans="1:2" x14ac:dyDescent="0.3">
      <c r="A55" s="88" t="s">
        <v>17</v>
      </c>
      <c r="B55" s="19" t="s">
        <v>68</v>
      </c>
    </row>
    <row r="56" spans="1:2" x14ac:dyDescent="0.3">
      <c r="A56" s="88" t="s">
        <v>18</v>
      </c>
      <c r="B56" s="19" t="s">
        <v>69</v>
      </c>
    </row>
    <row r="57" spans="1:2" x14ac:dyDescent="0.3">
      <c r="A57" s="88" t="s">
        <v>20</v>
      </c>
      <c r="B57" s="19" t="s">
        <v>70</v>
      </c>
    </row>
    <row r="58" spans="1:2" x14ac:dyDescent="0.3">
      <c r="A58" s="88" t="s">
        <v>19</v>
      </c>
      <c r="B58" s="19" t="s">
        <v>71</v>
      </c>
    </row>
    <row r="59" spans="1:2" x14ac:dyDescent="0.3">
      <c r="A59" s="88" t="s">
        <v>21</v>
      </c>
      <c r="B59" s="19" t="s">
        <v>72</v>
      </c>
    </row>
    <row r="60" spans="1:2" x14ac:dyDescent="0.3">
      <c r="A60" s="88" t="s">
        <v>22</v>
      </c>
      <c r="B60" s="19" t="s">
        <v>73</v>
      </c>
    </row>
    <row r="61" spans="1:2" x14ac:dyDescent="0.3">
      <c r="A61" s="88" t="s">
        <v>23</v>
      </c>
      <c r="B61" s="19" t="s">
        <v>74</v>
      </c>
    </row>
    <row r="62" spans="1:2" x14ac:dyDescent="0.3">
      <c r="A62" s="88" t="s">
        <v>26</v>
      </c>
      <c r="B62" s="19" t="s">
        <v>75</v>
      </c>
    </row>
    <row r="63" spans="1:2" x14ac:dyDescent="0.3">
      <c r="A63" s="88" t="s">
        <v>27</v>
      </c>
      <c r="B63" s="19" t="s">
        <v>76</v>
      </c>
    </row>
  </sheetData>
  <mergeCells count="3">
    <mergeCell ref="B2:L2"/>
    <mergeCell ref="G3:H3"/>
    <mergeCell ref="I3:J3"/>
  </mergeCells>
  <hyperlinks>
    <hyperlink ref="B2" location="INDEX" display="Post-combustion carbon capture retrofit - 100 MW(th) WtE or biomass CHP plant"/>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298</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150</v>
      </c>
      <c r="D6" s="133">
        <v>150</v>
      </c>
      <c r="E6" s="133">
        <v>150</v>
      </c>
      <c r="F6" s="133">
        <v>150</v>
      </c>
      <c r="G6" s="133">
        <v>150</v>
      </c>
      <c r="H6" s="133">
        <v>150</v>
      </c>
      <c r="I6" s="133">
        <v>150</v>
      </c>
      <c r="J6" s="133">
        <v>150</v>
      </c>
      <c r="K6" s="133">
        <v>150</v>
      </c>
      <c r="L6" s="134" t="s">
        <v>7</v>
      </c>
      <c r="M6" s="133"/>
    </row>
    <row r="7" spans="1:13" x14ac:dyDescent="0.3">
      <c r="A7" s="133"/>
      <c r="B7" s="133" t="s">
        <v>245</v>
      </c>
      <c r="C7" s="133">
        <v>5</v>
      </c>
      <c r="D7" s="133">
        <v>5</v>
      </c>
      <c r="E7" s="133">
        <v>5</v>
      </c>
      <c r="F7" s="133">
        <v>5</v>
      </c>
      <c r="G7" s="133">
        <v>5</v>
      </c>
      <c r="H7" s="133">
        <v>5</v>
      </c>
      <c r="I7" s="133">
        <v>5</v>
      </c>
      <c r="J7" s="133">
        <v>5</v>
      </c>
      <c r="K7" s="133">
        <v>5</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5 MTA  Offshore'!K18</f>
        <v>3.893939393939394</v>
      </c>
      <c r="D15" s="136">
        <f>'Input 5 MTA  Offshore'!L18</f>
        <v>3.7030976185499997</v>
      </c>
      <c r="E15" s="136">
        <f>'Input 5 MTA  Offshore'!M18</f>
        <v>3.5216089890494349</v>
      </c>
      <c r="F15" s="136">
        <f>'Input 5 MTA  Offshore'!N18</f>
        <v>3.184880044886186</v>
      </c>
      <c r="G15" s="136">
        <f>'Input 5 MTA  Offshore'!O18</f>
        <v>3.184880044886186</v>
      </c>
      <c r="H15" s="136">
        <f>'Input 5 MTA  Offshore'!P18</f>
        <v>3.5198127996606052</v>
      </c>
      <c r="I15" s="136">
        <f>'Input 5 MTA  Offshore'!Q18</f>
        <v>4.8661616161616159</v>
      </c>
      <c r="J15" s="136">
        <f>'Input 5 MTA  Offshore'!R18</f>
        <v>2.124082880019488</v>
      </c>
      <c r="K15" s="136">
        <f>'Input 5 MTA  Offshore'!S18</f>
        <v>4.8661616161616159</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5 MTA  Offshore'!K20</f>
        <v>0.84444444444444444</v>
      </c>
      <c r="D17" s="136">
        <f>'Input 5 MTA  Offshore'!L20</f>
        <v>0.80305826435999994</v>
      </c>
      <c r="E17" s="136">
        <f>'Input 5 MTA  Offshore'!M20</f>
        <v>0.76370041889632367</v>
      </c>
      <c r="F17" s="136">
        <f>'Input 5 MTA  Offshore'!N20</f>
        <v>0.69067696952655033</v>
      </c>
      <c r="G17" s="136">
        <f>'Input 5 MTA  Offshore'!O20</f>
        <v>0.69067696952655033</v>
      </c>
      <c r="H17" s="136">
        <f>'Input 5 MTA  Offshore'!P20</f>
        <v>0.76331089507555538</v>
      </c>
      <c r="I17" s="136">
        <f>'Input 5 MTA  Offshore'!Q20</f>
        <v>0.84444444444444444</v>
      </c>
      <c r="J17" s="136">
        <f>'Input 5 MTA  Offshore'!R20</f>
        <v>0.46063120303405763</v>
      </c>
      <c r="K17" s="136">
        <f>'Input 5 MTA  Offshore'!S20</f>
        <v>0.84444444444444444</v>
      </c>
      <c r="L17" s="134" t="s">
        <v>18</v>
      </c>
      <c r="M17" s="133"/>
    </row>
    <row r="18" spans="1:13" x14ac:dyDescent="0.3">
      <c r="A18" s="133"/>
      <c r="B18" s="133" t="s">
        <v>255</v>
      </c>
      <c r="C18" s="136">
        <f>'Input 5 MTA  Offshore'!K23</f>
        <v>1.4595959595959598</v>
      </c>
      <c r="D18" s="136">
        <f>'Input 5 MTA  Offshore'!L23</f>
        <v>1.3880612344500001</v>
      </c>
      <c r="E18" s="136">
        <f>'Input 5 MTA  Offshore'!M23</f>
        <v>1.3200324226138609</v>
      </c>
      <c r="F18" s="136">
        <f>'Input 5 MTA  Offshore'!N23</f>
        <v>1.1938136614424226</v>
      </c>
      <c r="G18" s="136">
        <f>'Input 5 MTA  Offshore'!O23</f>
        <v>1.1938136614424226</v>
      </c>
      <c r="H18" s="136">
        <f>'Input 5 MTA  Offshore'!P23</f>
        <v>1.3193591428040403</v>
      </c>
      <c r="I18" s="136">
        <f>'Input 5 MTA  Offshore'!Q23</f>
        <v>1.4595959595959598</v>
      </c>
      <c r="J18" s="136">
        <f>'Input 5 MTA  Offshore'!R23</f>
        <v>0.79618670859355667</v>
      </c>
      <c r="K18" s="136">
        <f>'Input 5 MTA  Offshore'!S23</f>
        <v>1.4595959595959598</v>
      </c>
      <c r="L18" s="134" t="s">
        <v>20</v>
      </c>
      <c r="M18" s="133"/>
    </row>
    <row r="19" spans="1:13" ht="15" customHeight="1" x14ac:dyDescent="0.3">
      <c r="A19" s="133"/>
      <c r="B19" s="133" t="s">
        <v>256</v>
      </c>
      <c r="C19" s="136">
        <f>'Input 5 MTA  Offshore'!K30</f>
        <v>7.113131313131313</v>
      </c>
      <c r="D19" s="136">
        <f>'Input 5 MTA  Offshore'!L30</f>
        <v>6.7645171024199993</v>
      </c>
      <c r="E19" s="136">
        <f>'Input 5 MTA  Offshore'!M30</f>
        <v>6.4329884567797979</v>
      </c>
      <c r="F19" s="136">
        <f>'Input 5 MTA  Offshore'!N30</f>
        <v>5.8178794490502002</v>
      </c>
      <c r="G19" s="136">
        <f>'Input 5 MTA  Offshore'!O30</f>
        <v>5.8178794490502002</v>
      </c>
      <c r="H19" s="136">
        <f>'Input 5 MTA  Offshore'!P30</f>
        <v>6.4297073243086853</v>
      </c>
      <c r="I19" s="136">
        <f>'Input 5 MTA  Offshore'!Q30</f>
        <v>7.113131313131313</v>
      </c>
      <c r="J19" s="136">
        <f>'Input 5 MTA  Offshore'!R30</f>
        <v>3.8801015930213323</v>
      </c>
      <c r="K19" s="136">
        <f>'Input 5 MTA  Offshore'!S30</f>
        <v>7.113131313131313</v>
      </c>
      <c r="L19" s="134" t="s">
        <v>19</v>
      </c>
      <c r="M19" s="133"/>
    </row>
    <row r="20" spans="1:13" ht="15" customHeight="1" x14ac:dyDescent="0.3">
      <c r="A20" s="133"/>
      <c r="B20" s="133" t="s">
        <v>257</v>
      </c>
      <c r="C20" s="136">
        <f>'Input 5 MTA  Offshore'!K32</f>
        <v>3.0666666666666669</v>
      </c>
      <c r="D20" s="136">
        <f>'Input 5 MTA  Offshore'!L32</f>
        <v>2.9163694863599998</v>
      </c>
      <c r="E20" s="136">
        <f>'Input 5 MTA  Offshore'!M32</f>
        <v>2.7734383633603334</v>
      </c>
      <c r="F20" s="136">
        <f>'Input 5 MTA  Offshore'!N32</f>
        <v>2.5082479419648407</v>
      </c>
      <c r="G20" s="136">
        <f>'Input 5 MTA  Offshore'!O32</f>
        <v>2.5082479419648407</v>
      </c>
      <c r="H20" s="136">
        <f>'Input 5 MTA  Offshore'!P32</f>
        <v>2.7720237768533331</v>
      </c>
      <c r="I20" s="136">
        <f>'Input 5 MTA  Offshore'!Q32</f>
        <v>3.0666666666666669</v>
      </c>
      <c r="J20" s="136">
        <f>'Input 5 MTA  Offshore'!R32</f>
        <v>1.6728185794394725</v>
      </c>
      <c r="K20" s="136">
        <f>'Input 5 MTA  Offshore'!S32</f>
        <v>3.0666666666666669</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5 MTA  Offshore'!K9</f>
        <v>0.12121212121212122</v>
      </c>
      <c r="D24" s="136">
        <f>'Input 5 MTA  Offshore'!L9</f>
        <v>0.11527152119999999</v>
      </c>
      <c r="E24" s="136">
        <f>'Input 5 MTA  Offshore'!M9</f>
        <v>0.10962206969803688</v>
      </c>
      <c r="F24" s="136">
        <f>'Input 5 MTA  Offshore'!N9</f>
        <v>9.914023486027039E-2</v>
      </c>
      <c r="G24" s="136">
        <f>'Input 5 MTA  Offshore'!O9</f>
        <v>9.914023486027039E-2</v>
      </c>
      <c r="H24" s="136">
        <f>'Input 5 MTA  Offshore'!P9</f>
        <v>0.10956615718787877</v>
      </c>
      <c r="I24" s="136">
        <f>'Input 5 MTA  Offshore'!Q9</f>
        <v>0.12121212121212122</v>
      </c>
      <c r="J24" s="136">
        <f>'Input 5 MTA  Offshore'!R9</f>
        <v>6.6119311440295356E-2</v>
      </c>
      <c r="K24" s="136">
        <f>'Input 5 MTA  Offshore'!S9</f>
        <v>0.12121212121212122</v>
      </c>
      <c r="L24" s="134" t="s">
        <v>22</v>
      </c>
      <c r="M24" s="133"/>
    </row>
    <row r="25" spans="1:13" ht="15" customHeight="1" x14ac:dyDescent="0.3">
      <c r="A25" s="131"/>
      <c r="B25" s="133" t="s">
        <v>260</v>
      </c>
      <c r="C25" s="136">
        <f>'Input 5 MTA  Offshore'!K36</f>
        <v>0.60606060606060608</v>
      </c>
      <c r="D25" s="136">
        <f>'Input 5 MTA  Offshore'!L36</f>
        <v>0.57635760599999997</v>
      </c>
      <c r="E25" s="136">
        <f>'Input 5 MTA  Offshore'!M36</f>
        <v>0.54811034849018447</v>
      </c>
      <c r="F25" s="136">
        <f>'Input 5 MTA  Offshore'!N36</f>
        <v>0.49570117430135191</v>
      </c>
      <c r="G25" s="136">
        <f>'Input 5 MTA  Offshore'!O36</f>
        <v>0.49570117430135191</v>
      </c>
      <c r="H25" s="136">
        <f>'Input 5 MTA  Offshore'!P36</f>
        <v>0.54783078593939383</v>
      </c>
      <c r="I25" s="136">
        <f>'Input 5 MTA  Offshore'!Q36</f>
        <v>0.60606060606060608</v>
      </c>
      <c r="J25" s="136">
        <f>'Input 5 MTA  Offshore'!R36</f>
        <v>0.33059655720147679</v>
      </c>
      <c r="K25" s="136">
        <f>'Input 5 MTA  Offshore'!S36</f>
        <v>0.60606060606060608</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287</v>
      </c>
      <c r="C32" s="141"/>
      <c r="D32" s="141"/>
    </row>
    <row r="33" spans="1:13" x14ac:dyDescent="0.3">
      <c r="A33" s="142"/>
      <c r="B33" s="133" t="s">
        <v>288</v>
      </c>
      <c r="C33" s="141"/>
      <c r="D33" s="141"/>
    </row>
    <row r="34" spans="1:13" x14ac:dyDescent="0.3">
      <c r="A34" s="142" t="s">
        <v>16</v>
      </c>
      <c r="B34" s="133" t="s">
        <v>267</v>
      </c>
      <c r="C34" s="141"/>
      <c r="D34" s="141"/>
    </row>
    <row r="35" spans="1:13" x14ac:dyDescent="0.3">
      <c r="A35" s="142" t="s">
        <v>17</v>
      </c>
      <c r="B35" s="133" t="s">
        <v>299</v>
      </c>
      <c r="C35" s="141"/>
      <c r="D35" s="141"/>
    </row>
    <row r="36" spans="1:13" s="138" customFormat="1" x14ac:dyDescent="0.3">
      <c r="A36" s="142" t="s">
        <v>18</v>
      </c>
      <c r="B36" s="133" t="s">
        <v>300</v>
      </c>
      <c r="C36" s="141"/>
      <c r="D36" s="141"/>
      <c r="E36" s="19"/>
      <c r="F36" s="19"/>
      <c r="G36" s="19"/>
      <c r="H36" s="19"/>
      <c r="I36" s="19"/>
      <c r="J36" s="19"/>
      <c r="K36" s="19"/>
      <c r="M36" s="19"/>
    </row>
    <row r="37" spans="1:13" s="138" customFormat="1" x14ac:dyDescent="0.3">
      <c r="A37" s="142" t="s">
        <v>20</v>
      </c>
      <c r="B37" s="133" t="s">
        <v>270</v>
      </c>
      <c r="C37" s="141"/>
      <c r="D37" s="141"/>
      <c r="E37" s="19"/>
      <c r="F37" s="19"/>
      <c r="G37" s="19"/>
      <c r="H37" s="19"/>
      <c r="I37" s="19"/>
      <c r="J37" s="19"/>
      <c r="K37" s="19"/>
      <c r="M37" s="19"/>
    </row>
    <row r="38" spans="1:13" s="138" customFormat="1" x14ac:dyDescent="0.3">
      <c r="A38" s="142" t="s">
        <v>19</v>
      </c>
      <c r="B38" s="133" t="s">
        <v>297</v>
      </c>
      <c r="C38" s="141"/>
      <c r="D38" s="141"/>
      <c r="E38" s="19"/>
      <c r="F38" s="19"/>
      <c r="G38" s="19"/>
      <c r="H38" s="19"/>
      <c r="I38" s="19"/>
      <c r="J38" s="19"/>
      <c r="K38" s="19"/>
      <c r="M38" s="19"/>
    </row>
    <row r="39" spans="1:13" s="138" customFormat="1" x14ac:dyDescent="0.3">
      <c r="A39" s="142" t="s">
        <v>21</v>
      </c>
      <c r="B39" s="133" t="s">
        <v>293</v>
      </c>
      <c r="C39" s="19"/>
      <c r="D39" s="19"/>
      <c r="E39" s="19"/>
      <c r="F39" s="19"/>
      <c r="G39" s="19"/>
      <c r="H39" s="19"/>
      <c r="I39" s="19"/>
      <c r="J39" s="19"/>
      <c r="K39" s="19"/>
      <c r="M39" s="19"/>
    </row>
    <row r="40" spans="1:13" s="138" customFormat="1" x14ac:dyDescent="0.3">
      <c r="A40" s="142" t="s">
        <v>22</v>
      </c>
      <c r="B40" s="133" t="s">
        <v>273</v>
      </c>
      <c r="C40" s="19"/>
      <c r="D40" s="19"/>
      <c r="E40" s="19"/>
      <c r="F40" s="19"/>
      <c r="G40" s="19"/>
      <c r="H40" s="19"/>
      <c r="I40" s="19"/>
      <c r="J40" s="19"/>
      <c r="K40" s="19"/>
      <c r="M40" s="19"/>
    </row>
    <row r="41" spans="1:13" s="138" customFormat="1" x14ac:dyDescent="0.3">
      <c r="A41" s="142" t="s">
        <v>23</v>
      </c>
      <c r="B41" s="133" t="s">
        <v>274</v>
      </c>
      <c r="C41" s="19"/>
      <c r="D41" s="19"/>
      <c r="E41" s="19"/>
      <c r="F41" s="19"/>
      <c r="G41" s="19"/>
      <c r="H41" s="19"/>
      <c r="I41" s="19"/>
      <c r="J41" s="19"/>
      <c r="K41" s="19"/>
      <c r="M41" s="19"/>
    </row>
    <row r="42" spans="1:13" s="138" customFormat="1" x14ac:dyDescent="0.3">
      <c r="A42" s="142" t="s">
        <v>26</v>
      </c>
      <c r="B42" s="133" t="s">
        <v>275</v>
      </c>
      <c r="C42" s="19"/>
      <c r="D42" s="19"/>
      <c r="E42" s="19"/>
      <c r="F42" s="19"/>
      <c r="G42" s="19"/>
      <c r="H42" s="19"/>
      <c r="I42" s="19"/>
      <c r="J42" s="19"/>
      <c r="K42" s="19"/>
      <c r="M42" s="19"/>
    </row>
    <row r="43" spans="1:13" s="138" customFormat="1" x14ac:dyDescent="0.3">
      <c r="A43" s="142" t="s">
        <v>27</v>
      </c>
      <c r="B43" s="133" t="s">
        <v>276</v>
      </c>
      <c r="C43" s="19"/>
      <c r="D43" s="19"/>
      <c r="E43" s="19"/>
      <c r="F43" s="19"/>
      <c r="G43" s="19"/>
      <c r="H43" s="19"/>
      <c r="I43" s="19"/>
      <c r="J43" s="19"/>
      <c r="K43" s="19"/>
      <c r="M43" s="19"/>
    </row>
    <row r="44" spans="1:13" s="138" customFormat="1" x14ac:dyDescent="0.3">
      <c r="A44" s="142"/>
      <c r="B44" s="133"/>
      <c r="C44" s="19"/>
      <c r="D44" s="19"/>
      <c r="E44" s="19"/>
      <c r="F44" s="19"/>
      <c r="G44" s="19"/>
      <c r="H44" s="19"/>
      <c r="I44" s="19"/>
      <c r="J44" s="19"/>
      <c r="K44" s="19"/>
      <c r="M44" s="19"/>
    </row>
    <row r="45" spans="1:13" s="138" customFormat="1" x14ac:dyDescent="0.3">
      <c r="A45" s="142"/>
      <c r="B45" s="133"/>
      <c r="C45" s="19"/>
      <c r="D45" s="19"/>
      <c r="E45" s="19"/>
      <c r="F45" s="19"/>
      <c r="G45" s="19"/>
      <c r="H45" s="19"/>
      <c r="I45" s="19"/>
      <c r="J45" s="19"/>
      <c r="K45" s="19"/>
      <c r="M45" s="19"/>
    </row>
    <row r="46" spans="1:13" s="138" customFormat="1" x14ac:dyDescent="0.3">
      <c r="A46" s="142"/>
      <c r="B46" s="133"/>
      <c r="C46" s="19"/>
      <c r="D46" s="19"/>
      <c r="E46" s="19"/>
      <c r="F46" s="19"/>
      <c r="G46" s="19"/>
      <c r="H46" s="19"/>
      <c r="I46" s="19"/>
      <c r="J46" s="19"/>
      <c r="K46" s="19"/>
      <c r="M46" s="19"/>
    </row>
    <row r="47" spans="1:13" s="138" customFormat="1" x14ac:dyDescent="0.3">
      <c r="A47" s="139" t="s">
        <v>24</v>
      </c>
      <c r="B47" s="140"/>
      <c r="C47" s="144"/>
      <c r="D47" s="144"/>
      <c r="E47" s="144"/>
      <c r="F47" s="144"/>
      <c r="G47" s="144"/>
      <c r="H47" s="144"/>
      <c r="I47" s="144"/>
      <c r="J47" s="144"/>
      <c r="K47" s="144"/>
      <c r="M47" s="19"/>
    </row>
    <row r="48" spans="1:13" s="138" customFormat="1" x14ac:dyDescent="0.3">
      <c r="A48" s="143">
        <v>1</v>
      </c>
      <c r="B48" s="143"/>
      <c r="C48" s="19"/>
      <c r="D48" s="19"/>
      <c r="E48" s="19"/>
      <c r="F48" s="19"/>
      <c r="G48" s="19"/>
      <c r="H48" s="19"/>
      <c r="I48" s="19"/>
      <c r="J48" s="19"/>
      <c r="K48" s="19"/>
      <c r="M48" s="19"/>
    </row>
    <row r="49" spans="1:13" s="138" customFormat="1" x14ac:dyDescent="0.3">
      <c r="A49" s="143">
        <v>2</v>
      </c>
      <c r="B49" s="143"/>
      <c r="C49" s="19"/>
      <c r="D49" s="19"/>
      <c r="E49" s="19"/>
      <c r="F49" s="19"/>
      <c r="G49" s="19"/>
      <c r="H49" s="19"/>
      <c r="I49" s="19"/>
      <c r="J49" s="19"/>
      <c r="K49" s="19"/>
      <c r="M49" s="19"/>
    </row>
    <row r="50" spans="1:13" s="138" customFormat="1" ht="15.75" customHeight="1" x14ac:dyDescent="0.3">
      <c r="A50" s="143"/>
      <c r="B50" s="143"/>
      <c r="C50" s="19"/>
      <c r="D50" s="19"/>
      <c r="E50" s="19"/>
      <c r="F50" s="19"/>
      <c r="G50" s="19"/>
      <c r="H50" s="19"/>
      <c r="I50" s="19"/>
      <c r="J50" s="19"/>
      <c r="K50" s="19"/>
      <c r="M50" s="19"/>
    </row>
    <row r="51" spans="1:13" s="138" customFormat="1" ht="15.75" customHeight="1" x14ac:dyDescent="0.3">
      <c r="A51" s="143"/>
      <c r="B51" s="143"/>
      <c r="C51" s="19"/>
      <c r="D51" s="19"/>
      <c r="E51" s="19"/>
      <c r="F51" s="19"/>
      <c r="G51" s="19"/>
      <c r="H51" s="19"/>
      <c r="I51" s="19"/>
      <c r="J51" s="19"/>
      <c r="K51" s="19"/>
      <c r="M51" s="19"/>
    </row>
  </sheetData>
  <pageMargins left="0.7" right="0.7" top="0.75" bottom="0.75" header="0.3" footer="0.3"/>
  <pageSetup paperSize="9" scale="6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2"/>
  <sheetViews>
    <sheetView workbookViewId="0">
      <selection activeCell="A14" sqref="A14"/>
    </sheetView>
  </sheetViews>
  <sheetFormatPr defaultColWidth="9.109375" defaultRowHeight="14.4" x14ac:dyDescent="0.3"/>
  <cols>
    <col min="1" max="1" width="2.109375" style="19" customWidth="1"/>
    <col min="2" max="2" width="46.33203125" style="19" customWidth="1"/>
    <col min="3" max="11" width="9.109375" style="19"/>
    <col min="12" max="12" width="9.109375" style="138"/>
    <col min="13" max="16384" width="9.109375" style="19"/>
  </cols>
  <sheetData>
    <row r="1" spans="1:13" x14ac:dyDescent="0.3">
      <c r="A1" s="120" t="s">
        <v>0</v>
      </c>
      <c r="B1" s="120"/>
      <c r="C1" s="121" t="s">
        <v>301</v>
      </c>
      <c r="D1" s="122"/>
      <c r="E1" s="122"/>
      <c r="F1" s="122"/>
      <c r="G1" s="122"/>
      <c r="H1" s="122"/>
      <c r="I1" s="122"/>
      <c r="J1" s="122"/>
      <c r="K1" s="122"/>
      <c r="L1" s="123"/>
      <c r="M1" s="124"/>
    </row>
    <row r="2" spans="1:13" x14ac:dyDescent="0.3">
      <c r="A2" s="125" t="s">
        <v>233</v>
      </c>
      <c r="B2" s="120"/>
      <c r="C2" s="126">
        <v>2020</v>
      </c>
      <c r="D2" s="126">
        <v>2025</v>
      </c>
      <c r="E2" s="126">
        <v>2030</v>
      </c>
      <c r="F2" s="126">
        <v>2040</v>
      </c>
      <c r="G2" s="126">
        <v>2050</v>
      </c>
      <c r="H2" s="126">
        <v>2025</v>
      </c>
      <c r="I2" s="126">
        <v>2025</v>
      </c>
      <c r="J2" s="126">
        <v>2050</v>
      </c>
      <c r="K2" s="126">
        <v>2050</v>
      </c>
      <c r="L2" s="127" t="s">
        <v>234</v>
      </c>
      <c r="M2" s="127" t="s">
        <v>234</v>
      </c>
    </row>
    <row r="3" spans="1:13" x14ac:dyDescent="0.3">
      <c r="A3" s="128" t="s">
        <v>235</v>
      </c>
      <c r="B3" s="129"/>
      <c r="C3" s="126" t="s">
        <v>236</v>
      </c>
      <c r="D3" s="126" t="s">
        <v>236</v>
      </c>
      <c r="E3" s="126" t="s">
        <v>236</v>
      </c>
      <c r="F3" s="126" t="s">
        <v>236</v>
      </c>
      <c r="G3" s="126" t="s">
        <v>236</v>
      </c>
      <c r="H3" s="126" t="s">
        <v>237</v>
      </c>
      <c r="I3" s="126" t="s">
        <v>238</v>
      </c>
      <c r="J3" s="126" t="s">
        <v>237</v>
      </c>
      <c r="K3" s="126" t="s">
        <v>238</v>
      </c>
      <c r="L3" s="126" t="s">
        <v>239</v>
      </c>
      <c r="M3" s="126" t="s">
        <v>240</v>
      </c>
    </row>
    <row r="4" spans="1:13" x14ac:dyDescent="0.3">
      <c r="A4" s="125" t="s">
        <v>241</v>
      </c>
      <c r="B4" s="125" t="s">
        <v>242</v>
      </c>
      <c r="C4" s="130"/>
      <c r="D4" s="130"/>
      <c r="E4" s="130"/>
      <c r="F4" s="130"/>
      <c r="G4" s="130"/>
      <c r="H4" s="130"/>
      <c r="I4" s="130"/>
      <c r="J4" s="130"/>
      <c r="K4" s="130"/>
      <c r="L4" s="130"/>
      <c r="M4" s="130"/>
    </row>
    <row r="5" spans="1:13" x14ac:dyDescent="0.3">
      <c r="A5" s="131" t="s">
        <v>243</v>
      </c>
      <c r="B5" s="131"/>
      <c r="C5" s="131"/>
      <c r="D5" s="131"/>
      <c r="E5" s="131"/>
      <c r="F5" s="131"/>
      <c r="G5" s="131"/>
      <c r="H5" s="131"/>
      <c r="I5" s="131"/>
      <c r="J5" s="131"/>
      <c r="K5" s="131"/>
      <c r="L5" s="132"/>
      <c r="M5" s="131"/>
    </row>
    <row r="6" spans="1:13" x14ac:dyDescent="0.3">
      <c r="A6" s="133"/>
      <c r="B6" s="133" t="s">
        <v>244</v>
      </c>
      <c r="C6" s="133">
        <v>150</v>
      </c>
      <c r="D6" s="133">
        <v>150</v>
      </c>
      <c r="E6" s="133">
        <v>150</v>
      </c>
      <c r="F6" s="133">
        <v>150</v>
      </c>
      <c r="G6" s="133">
        <v>150</v>
      </c>
      <c r="H6" s="133">
        <v>150</v>
      </c>
      <c r="I6" s="133">
        <v>150</v>
      </c>
      <c r="J6" s="133">
        <v>150</v>
      </c>
      <c r="K6" s="133">
        <v>150</v>
      </c>
      <c r="L6" s="134" t="s">
        <v>7</v>
      </c>
      <c r="M6" s="133"/>
    </row>
    <row r="7" spans="1:13" x14ac:dyDescent="0.3">
      <c r="A7" s="133"/>
      <c r="B7" s="133" t="s">
        <v>245</v>
      </c>
      <c r="C7" s="133">
        <v>5</v>
      </c>
      <c r="D7" s="133">
        <v>5</v>
      </c>
      <c r="E7" s="133">
        <v>5</v>
      </c>
      <c r="F7" s="133">
        <v>5</v>
      </c>
      <c r="G7" s="133">
        <v>5</v>
      </c>
      <c r="H7" s="133">
        <v>5</v>
      </c>
      <c r="I7" s="133">
        <v>5</v>
      </c>
      <c r="J7" s="133">
        <v>5</v>
      </c>
      <c r="K7" s="133">
        <v>5</v>
      </c>
      <c r="L7" s="135" t="s">
        <v>15</v>
      </c>
      <c r="M7" s="133"/>
    </row>
    <row r="8" spans="1:13" x14ac:dyDescent="0.3">
      <c r="A8" s="133"/>
      <c r="B8" s="133" t="s">
        <v>246</v>
      </c>
      <c r="C8" s="133">
        <v>3</v>
      </c>
      <c r="D8" s="133">
        <v>3</v>
      </c>
      <c r="E8" s="133">
        <v>3</v>
      </c>
      <c r="F8" s="133">
        <v>3</v>
      </c>
      <c r="G8" s="133">
        <v>3</v>
      </c>
      <c r="H8" s="133">
        <v>3</v>
      </c>
      <c r="I8" s="133">
        <v>3</v>
      </c>
      <c r="J8" s="133">
        <v>3</v>
      </c>
      <c r="K8" s="133">
        <v>3</v>
      </c>
      <c r="L8" s="134" t="s">
        <v>12</v>
      </c>
      <c r="M8" s="133"/>
    </row>
    <row r="9" spans="1:13" x14ac:dyDescent="0.3">
      <c r="A9" s="133"/>
      <c r="B9" s="133" t="s">
        <v>247</v>
      </c>
      <c r="C9" s="133">
        <v>30</v>
      </c>
      <c r="D9" s="133">
        <v>30</v>
      </c>
      <c r="E9" s="133">
        <v>30</v>
      </c>
      <c r="F9" s="133">
        <v>30</v>
      </c>
      <c r="G9" s="133">
        <v>30</v>
      </c>
      <c r="H9" s="133">
        <v>30</v>
      </c>
      <c r="I9" s="133">
        <v>30</v>
      </c>
      <c r="J9" s="133">
        <v>30</v>
      </c>
      <c r="K9" s="133">
        <v>30</v>
      </c>
      <c r="L9" s="134" t="s">
        <v>13</v>
      </c>
      <c r="M9" s="133"/>
    </row>
    <row r="10" spans="1:13" x14ac:dyDescent="0.3">
      <c r="A10" s="133"/>
      <c r="B10" s="133"/>
      <c r="C10" s="133"/>
      <c r="D10" s="133"/>
      <c r="E10" s="133"/>
      <c r="F10" s="133"/>
      <c r="G10" s="133"/>
      <c r="H10" s="133"/>
      <c r="I10" s="133"/>
      <c r="J10" s="133"/>
      <c r="K10" s="133"/>
      <c r="L10" s="134"/>
      <c r="M10" s="133"/>
    </row>
    <row r="11" spans="1:13" x14ac:dyDescent="0.3">
      <c r="A11" s="131" t="s">
        <v>248</v>
      </c>
      <c r="B11" s="131"/>
      <c r="C11" s="133"/>
      <c r="D11" s="133"/>
      <c r="E11" s="133"/>
      <c r="F11" s="133"/>
      <c r="G11" s="133"/>
      <c r="H11" s="133"/>
      <c r="I11" s="133"/>
      <c r="J11" s="133"/>
      <c r="K11" s="133"/>
      <c r="L11" s="135" t="s">
        <v>249</v>
      </c>
      <c r="M11" s="133"/>
    </row>
    <row r="12" spans="1:13" x14ac:dyDescent="0.3">
      <c r="A12" s="133"/>
      <c r="B12" s="133" t="s">
        <v>250</v>
      </c>
      <c r="C12" s="133">
        <v>50</v>
      </c>
      <c r="D12" s="133">
        <v>50</v>
      </c>
      <c r="E12" s="133">
        <v>50</v>
      </c>
      <c r="F12" s="133">
        <v>50</v>
      </c>
      <c r="G12" s="133">
        <v>50</v>
      </c>
      <c r="H12" s="133">
        <v>50</v>
      </c>
      <c r="I12" s="133">
        <v>50</v>
      </c>
      <c r="J12" s="133">
        <v>50</v>
      </c>
      <c r="K12" s="133">
        <v>50</v>
      </c>
      <c r="L12" s="134" t="s">
        <v>16</v>
      </c>
      <c r="M12" s="133"/>
    </row>
    <row r="13" spans="1:13" x14ac:dyDescent="0.3">
      <c r="A13" s="133"/>
      <c r="B13" s="133"/>
      <c r="C13" s="133"/>
      <c r="D13" s="133"/>
      <c r="E13" s="133"/>
      <c r="F13" s="133"/>
      <c r="G13" s="133"/>
      <c r="H13" s="133"/>
      <c r="I13" s="133"/>
      <c r="J13" s="133"/>
      <c r="K13" s="133"/>
      <c r="L13" s="134"/>
      <c r="M13" s="133"/>
    </row>
    <row r="14" spans="1:13" ht="15" customHeight="1" x14ac:dyDescent="0.3">
      <c r="A14" s="131" t="s">
        <v>398</v>
      </c>
      <c r="B14" s="131"/>
      <c r="C14" s="133"/>
      <c r="D14" s="133"/>
      <c r="E14" s="133"/>
      <c r="F14" s="133"/>
      <c r="G14" s="133"/>
      <c r="H14" s="133"/>
      <c r="I14" s="133"/>
      <c r="J14" s="133"/>
      <c r="K14" s="133"/>
      <c r="L14" s="134"/>
      <c r="M14" s="133"/>
    </row>
    <row r="15" spans="1:13" ht="15" customHeight="1" x14ac:dyDescent="0.3">
      <c r="A15" s="133"/>
      <c r="B15" s="133" t="s">
        <v>251</v>
      </c>
      <c r="C15" s="136">
        <f>'Input 5 MTA Offshore - Reuse'!K18</f>
        <v>4.0155038759689923</v>
      </c>
      <c r="D15" s="136">
        <f>'Input 5 MTA Offshore - Reuse'!L18</f>
        <v>3.8187042313813953</v>
      </c>
      <c r="E15" s="136">
        <f>'Input 5 MTA Offshore - Reuse'!M18</f>
        <v>3.6315497275547335</v>
      </c>
      <c r="F15" s="136">
        <f>'Input 5 MTA Offshore - Reuse'!N18</f>
        <v>3.2843084781036085</v>
      </c>
      <c r="G15" s="136">
        <f>'Input 5 MTA Offshore - Reuse'!O18</f>
        <v>3.2843084781036085</v>
      </c>
      <c r="H15" s="136">
        <f>'Input 5 MTA Offshore - Reuse'!P18</f>
        <v>3.6296974631193795</v>
      </c>
      <c r="I15" s="136">
        <f>'Input 5 MTA Offshore - Reuse'!Q18</f>
        <v>4.8656330749354009</v>
      </c>
      <c r="J15" s="136">
        <f>'Input 5 MTA Offshore - Reuse'!R18</f>
        <v>2.1903943987604824</v>
      </c>
      <c r="K15" s="136">
        <f>'Input 5 MTA Offshore - Reuse'!S18</f>
        <v>4.8656330749354009</v>
      </c>
      <c r="L15" s="134" t="s">
        <v>252</v>
      </c>
      <c r="M15" s="133"/>
    </row>
    <row r="16" spans="1:13" x14ac:dyDescent="0.3">
      <c r="A16" s="133"/>
      <c r="B16" s="133" t="s">
        <v>253</v>
      </c>
      <c r="C16" s="136"/>
      <c r="D16" s="133"/>
      <c r="E16" s="133"/>
      <c r="F16" s="133"/>
      <c r="G16" s="133"/>
      <c r="H16" s="133"/>
      <c r="I16" s="133"/>
      <c r="J16" s="133"/>
      <c r="K16" s="133"/>
      <c r="L16" s="134"/>
      <c r="M16" s="133"/>
    </row>
    <row r="17" spans="1:13" x14ac:dyDescent="0.3">
      <c r="A17" s="133"/>
      <c r="B17" s="133" t="s">
        <v>254</v>
      </c>
      <c r="C17" s="136">
        <f>'Input 5 MTA Offshore - Reuse'!K20</f>
        <v>0.70490956072351429</v>
      </c>
      <c r="D17" s="136">
        <f>'Input 5 MTA Offshore - Reuse'!L20</f>
        <v>0.67036197832744193</v>
      </c>
      <c r="E17" s="136">
        <f>'Input 5 MTA Offshore - Reuse'!M20</f>
        <v>0.63750757122067658</v>
      </c>
      <c r="F17" s="136">
        <f>'Input 5 MTA Offshore - Reuse'!N20</f>
        <v>0.57655042009437862</v>
      </c>
      <c r="G17" s="136">
        <f>'Input 5 MTA Offshore - Reuse'!O20</f>
        <v>0.57655042009437862</v>
      </c>
      <c r="H17" s="136">
        <f>'Input 5 MTA Offshore - Reuse'!P20</f>
        <v>0.63718241180113688</v>
      </c>
      <c r="I17" s="136">
        <f>'Input 5 MTA Offshore - Reuse'!Q20</f>
        <v>0.70490956072351429</v>
      </c>
      <c r="J17" s="136">
        <f>'Input 5 MTA Offshore - Reuse'!R20</f>
        <v>0.3845171119574386</v>
      </c>
      <c r="K17" s="136">
        <f>'Input 5 MTA Offshore - Reuse'!S20</f>
        <v>0.70490956072351429</v>
      </c>
      <c r="L17" s="134" t="s">
        <v>18</v>
      </c>
      <c r="M17" s="133"/>
    </row>
    <row r="18" spans="1:13" x14ac:dyDescent="0.3">
      <c r="A18" s="133"/>
      <c r="B18" s="133" t="s">
        <v>255</v>
      </c>
      <c r="C18" s="136">
        <f>'Input 5 MTA Offshore - Reuse'!K23</f>
        <v>1.4935400516795867</v>
      </c>
      <c r="D18" s="136">
        <f>'Input 5 MTA Offshore - Reuse'!L23</f>
        <v>1.4203417282744186</v>
      </c>
      <c r="E18" s="136">
        <f>'Input 5 MTA Offshore - Reuse'!M23</f>
        <v>1.3507308510467415</v>
      </c>
      <c r="F18" s="136">
        <f>'Input 5 MTA Offshore - Reuse'!N23</f>
        <v>1.2215767698480604</v>
      </c>
      <c r="G18" s="136">
        <f>'Input 5 MTA Offshore - Reuse'!O23</f>
        <v>1.2215767698480604</v>
      </c>
      <c r="H18" s="136">
        <f>'Input 5 MTA Offshore - Reuse'!P23</f>
        <v>1.3500419135669248</v>
      </c>
      <c r="I18" s="136">
        <f>'Input 5 MTA Offshore - Reuse'!Q23</f>
        <v>1.4935400516795867</v>
      </c>
      <c r="J18" s="136">
        <f>'Input 5 MTA Offshore - Reuse'!R23</f>
        <v>0.81470267856084866</v>
      </c>
      <c r="K18" s="136">
        <f>'Input 5 MTA Offshore - Reuse'!S23</f>
        <v>1.4935400516795867</v>
      </c>
      <c r="L18" s="134" t="s">
        <v>20</v>
      </c>
      <c r="M18" s="133"/>
    </row>
    <row r="19" spans="1:13" ht="15" customHeight="1" x14ac:dyDescent="0.3">
      <c r="A19" s="133"/>
      <c r="B19" s="133" t="s">
        <v>256</v>
      </c>
      <c r="C19" s="136">
        <f>'Input 5 MTA Offshore - Reuse'!K30</f>
        <v>5.5162790697674424</v>
      </c>
      <c r="D19" s="136">
        <f>'Input 5 MTA Offshore - Reuse'!L30</f>
        <v>5.2459265078204655</v>
      </c>
      <c r="E19" s="136">
        <f>'Input 5 MTA Offshore - Reuse'!M30</f>
        <v>4.9888239114439159</v>
      </c>
      <c r="F19" s="136">
        <f>'Input 5 MTA Offshore - Reuse'!N30</f>
        <v>4.5118029208851889</v>
      </c>
      <c r="G19" s="136">
        <f>'Input 5 MTA Offshore - Reuse'!O30</f>
        <v>4.5118029208851889</v>
      </c>
      <c r="H19" s="136">
        <f>'Input 5 MTA Offshore - Reuse'!P30</f>
        <v>4.986279372115348</v>
      </c>
      <c r="I19" s="136">
        <f>'Input 5 MTA Offshore - Reuse'!Q30</f>
        <v>5.5162790697674424</v>
      </c>
      <c r="J19" s="136">
        <f>'Input 5 MTA Offshore - Reuse'!R30</f>
        <v>3.0090437338956741</v>
      </c>
      <c r="K19" s="136">
        <f>'Input 5 MTA Offshore - Reuse'!S30</f>
        <v>5.5162790697674424</v>
      </c>
      <c r="L19" s="134" t="s">
        <v>19</v>
      </c>
      <c r="M19" s="133"/>
    </row>
    <row r="20" spans="1:13" ht="15" customHeight="1" x14ac:dyDescent="0.3">
      <c r="A20" s="133"/>
      <c r="B20" s="133" t="s">
        <v>257</v>
      </c>
      <c r="C20" s="136">
        <f>'Input 5 MTA Offshore - Reuse'!K32</f>
        <v>0.62532299741602071</v>
      </c>
      <c r="D20" s="136">
        <f>'Input 5 MTA Offshore - Reuse'!L32</f>
        <v>0.59467594851627903</v>
      </c>
      <c r="E20" s="136">
        <f>'Input 5 MTA Offshore - Reuse'!M32</f>
        <v>0.56553090995382593</v>
      </c>
      <c r="F20" s="136">
        <f>'Input 5 MTA Offshore - Reuse'!N32</f>
        <v>0.51145601782565853</v>
      </c>
      <c r="G20" s="136">
        <f>'Input 5 MTA Offshore - Reuse'!O32</f>
        <v>0.51145601782565853</v>
      </c>
      <c r="H20" s="136">
        <f>'Input 5 MTA Offshore - Reuse'!P32</f>
        <v>0.56524246208165363</v>
      </c>
      <c r="I20" s="136">
        <f>'Input 5 MTA Offshore - Reuse'!Q32</f>
        <v>0.62532299741602071</v>
      </c>
      <c r="J20" s="136">
        <f>'Input 5 MTA Offshore - Reuse'!R32</f>
        <v>0.34110388963966326</v>
      </c>
      <c r="K20" s="136">
        <f>'Input 5 MTA Offshore - Reuse'!S32</f>
        <v>0.62532299741602071</v>
      </c>
      <c r="L20" s="134" t="s">
        <v>21</v>
      </c>
      <c r="M20" s="133"/>
    </row>
    <row r="21" spans="1:13" ht="15" customHeight="1" x14ac:dyDescent="0.3">
      <c r="A21" s="133"/>
      <c r="B21" s="133" t="s">
        <v>258</v>
      </c>
      <c r="C21" s="136"/>
      <c r="D21" s="133"/>
      <c r="E21" s="133"/>
      <c r="F21" s="133"/>
      <c r="G21" s="133"/>
      <c r="H21" s="133"/>
      <c r="I21" s="133"/>
      <c r="J21" s="133"/>
      <c r="K21" s="133"/>
      <c r="L21" s="134"/>
      <c r="M21" s="133"/>
    </row>
    <row r="22" spans="1:13" ht="15" customHeight="1" x14ac:dyDescent="0.3">
      <c r="A22" s="133"/>
      <c r="B22" s="133"/>
      <c r="C22" s="136"/>
      <c r="D22" s="133"/>
      <c r="E22" s="133"/>
      <c r="F22" s="133"/>
      <c r="G22" s="133"/>
      <c r="H22" s="133"/>
      <c r="I22" s="133"/>
      <c r="J22" s="133"/>
      <c r="K22" s="133"/>
      <c r="L22" s="134"/>
      <c r="M22" s="133"/>
    </row>
    <row r="23" spans="1:13" ht="15" customHeight="1" x14ac:dyDescent="0.3">
      <c r="A23" s="131" t="s">
        <v>14</v>
      </c>
      <c r="B23" s="131"/>
      <c r="C23" s="136"/>
      <c r="D23" s="133"/>
      <c r="E23" s="133"/>
      <c r="F23" s="133"/>
      <c r="G23" s="133"/>
      <c r="H23" s="133"/>
      <c r="I23" s="133"/>
      <c r="J23" s="133"/>
      <c r="K23" s="133"/>
      <c r="L23" s="134"/>
      <c r="M23" s="133"/>
    </row>
    <row r="24" spans="1:13" ht="15" customHeight="1" x14ac:dyDescent="0.3">
      <c r="A24" s="131"/>
      <c r="B24" s="133" t="s">
        <v>259</v>
      </c>
      <c r="C24" s="136">
        <f>'Input 5 MTA Offshore - Reuse'!K9</f>
        <v>0.12403100775193798</v>
      </c>
      <c r="D24" s="136">
        <f>'Input 5 MTA Offshore - Reuse'!L9</f>
        <v>0.11795225425116278</v>
      </c>
      <c r="E24" s="136">
        <f>'Input 5 MTA Offshore - Reuse'!M9</f>
        <v>0.11217142015613077</v>
      </c>
      <c r="F24" s="136">
        <f>'Input 5 MTA Offshore - Reuse'!N9</f>
        <v>0.10144582171748596</v>
      </c>
      <c r="G24" s="136">
        <f>'Input 5 MTA Offshore - Reuse'!O9</f>
        <v>0.10144582171748596</v>
      </c>
      <c r="H24" s="136">
        <f>'Input 5 MTA Offshore - Reuse'!P9</f>
        <v>0.11211420735503874</v>
      </c>
      <c r="I24" s="136">
        <f>'Input 5 MTA Offshore - Reuse'!Q9</f>
        <v>0.12403100775193798</v>
      </c>
      <c r="J24" s="136">
        <f>'Input 5 MTA Offshore - Reuse'!R9</f>
        <v>6.7656969845883624E-2</v>
      </c>
      <c r="K24" s="136">
        <f>'Input 5 MTA Offshore - Reuse'!S9</f>
        <v>0.12403100775193798</v>
      </c>
      <c r="L24" s="134" t="s">
        <v>22</v>
      </c>
      <c r="M24" s="133"/>
    </row>
    <row r="25" spans="1:13" ht="15" customHeight="1" x14ac:dyDescent="0.3">
      <c r="A25" s="131"/>
      <c r="B25" s="133" t="s">
        <v>260</v>
      </c>
      <c r="C25" s="136">
        <f>'Input 5 MTA Offshore - Reuse'!K36</f>
        <v>0.62015503875968991</v>
      </c>
      <c r="D25" s="136">
        <f>'Input 5 MTA Offshore - Reuse'!L36</f>
        <v>0.5897612712558139</v>
      </c>
      <c r="E25" s="136">
        <f>'Input 5 MTA Offshore - Reuse'!M36</f>
        <v>0.56085710078065387</v>
      </c>
      <c r="F25" s="136">
        <f>'Input 5 MTA Offshore - Reuse'!N36</f>
        <v>0.50722910858742987</v>
      </c>
      <c r="G25" s="136">
        <f>'Input 5 MTA Offshore - Reuse'!O36</f>
        <v>0.50722910858742987</v>
      </c>
      <c r="H25" s="136">
        <f>'Input 5 MTA Offshore - Reuse'!P36</f>
        <v>0.56057103677519371</v>
      </c>
      <c r="I25" s="136">
        <f>'Input 5 MTA Offshore - Reuse'!Q36</f>
        <v>0.62015503875968991</v>
      </c>
      <c r="J25" s="136">
        <f>'Input 5 MTA Offshore - Reuse'!R36</f>
        <v>0.33828484922941809</v>
      </c>
      <c r="K25" s="136">
        <f>'Input 5 MTA Offshore - Reuse'!S36</f>
        <v>0.62015503875968991</v>
      </c>
      <c r="L25" s="134" t="s">
        <v>23</v>
      </c>
      <c r="M25" s="133"/>
    </row>
    <row r="26" spans="1:13" ht="15" customHeight="1" x14ac:dyDescent="0.3">
      <c r="A26" s="137"/>
      <c r="B26" s="133" t="s">
        <v>261</v>
      </c>
      <c r="C26" s="136"/>
      <c r="D26" s="136"/>
      <c r="E26" s="136"/>
      <c r="F26" s="136"/>
      <c r="G26" s="136"/>
      <c r="H26" s="136"/>
      <c r="I26" s="136"/>
      <c r="J26" s="136"/>
      <c r="K26" s="136"/>
    </row>
    <row r="27" spans="1:13" ht="15" customHeight="1" x14ac:dyDescent="0.3">
      <c r="A27" s="137"/>
      <c r="B27" s="133"/>
      <c r="C27" s="136"/>
      <c r="D27" s="136"/>
      <c r="E27" s="136"/>
      <c r="F27" s="136"/>
      <c r="G27" s="136"/>
      <c r="H27" s="136"/>
      <c r="I27" s="136"/>
      <c r="J27" s="136"/>
      <c r="K27" s="136"/>
    </row>
    <row r="28" spans="1:13" x14ac:dyDescent="0.3">
      <c r="A28" s="139" t="s">
        <v>25</v>
      </c>
      <c r="B28" s="140"/>
      <c r="C28" s="141"/>
      <c r="D28" s="141"/>
    </row>
    <row r="29" spans="1:13" x14ac:dyDescent="0.3">
      <c r="A29" s="142" t="s">
        <v>7</v>
      </c>
      <c r="B29" s="133" t="s">
        <v>262</v>
      </c>
      <c r="C29" s="141"/>
      <c r="D29" s="141"/>
    </row>
    <row r="30" spans="1:13" x14ac:dyDescent="0.3">
      <c r="A30" s="142" t="s">
        <v>15</v>
      </c>
      <c r="B30" s="133" t="s">
        <v>263</v>
      </c>
      <c r="C30" s="141"/>
      <c r="D30" s="141"/>
    </row>
    <row r="31" spans="1:13" x14ac:dyDescent="0.3">
      <c r="A31" s="142" t="s">
        <v>12</v>
      </c>
      <c r="B31" s="133" t="s">
        <v>264</v>
      </c>
      <c r="C31" s="141"/>
      <c r="D31" s="141"/>
    </row>
    <row r="32" spans="1:13" x14ac:dyDescent="0.3">
      <c r="A32" s="142" t="s">
        <v>13</v>
      </c>
      <c r="B32" s="133" t="s">
        <v>287</v>
      </c>
      <c r="C32" s="141"/>
      <c r="D32" s="141"/>
    </row>
    <row r="33" spans="1:13" x14ac:dyDescent="0.3">
      <c r="A33" s="142"/>
      <c r="B33" s="133" t="s">
        <v>288</v>
      </c>
      <c r="C33" s="141"/>
      <c r="D33" s="141"/>
    </row>
    <row r="34" spans="1:13" x14ac:dyDescent="0.3">
      <c r="A34" s="142" t="s">
        <v>16</v>
      </c>
      <c r="B34" s="133" t="s">
        <v>302</v>
      </c>
      <c r="C34" s="141"/>
      <c r="D34" s="141"/>
    </row>
    <row r="35" spans="1:13" x14ac:dyDescent="0.3">
      <c r="A35" s="142" t="s">
        <v>17</v>
      </c>
      <c r="B35" s="133" t="s">
        <v>303</v>
      </c>
      <c r="C35" s="141"/>
      <c r="D35" s="141"/>
    </row>
    <row r="36" spans="1:13" s="138" customFormat="1" x14ac:dyDescent="0.3">
      <c r="A36" s="142" t="s">
        <v>18</v>
      </c>
      <c r="B36" s="133" t="s">
        <v>304</v>
      </c>
      <c r="C36" s="141"/>
      <c r="D36" s="141"/>
      <c r="E36" s="19"/>
      <c r="F36" s="19"/>
      <c r="G36" s="19"/>
      <c r="H36" s="19"/>
      <c r="I36" s="19"/>
      <c r="J36" s="19"/>
      <c r="K36" s="19"/>
      <c r="M36" s="19"/>
    </row>
    <row r="37" spans="1:13" s="138" customFormat="1" x14ac:dyDescent="0.3">
      <c r="A37" s="142"/>
      <c r="B37" s="133" t="s">
        <v>305</v>
      </c>
      <c r="C37" s="141"/>
      <c r="D37" s="141"/>
      <c r="E37" s="19"/>
      <c r="F37" s="19"/>
      <c r="G37" s="19"/>
      <c r="H37" s="19"/>
      <c r="I37" s="19"/>
      <c r="J37" s="19"/>
      <c r="K37" s="19"/>
      <c r="M37" s="19"/>
    </row>
    <row r="38" spans="1:13" s="138" customFormat="1" x14ac:dyDescent="0.3">
      <c r="A38" s="142" t="s">
        <v>20</v>
      </c>
      <c r="B38" s="133" t="s">
        <v>270</v>
      </c>
      <c r="C38" s="141"/>
      <c r="D38" s="141"/>
      <c r="E38" s="19"/>
      <c r="F38" s="19"/>
      <c r="G38" s="19"/>
      <c r="H38" s="19"/>
      <c r="I38" s="19"/>
      <c r="J38" s="19"/>
      <c r="K38" s="19"/>
      <c r="M38" s="19"/>
    </row>
    <row r="39" spans="1:13" s="138" customFormat="1" x14ac:dyDescent="0.3">
      <c r="A39" s="142" t="s">
        <v>19</v>
      </c>
      <c r="B39" s="133" t="s">
        <v>306</v>
      </c>
      <c r="C39" s="141"/>
      <c r="D39" s="141"/>
      <c r="E39" s="19"/>
      <c r="F39" s="19"/>
      <c r="G39" s="19"/>
      <c r="H39" s="19"/>
      <c r="I39" s="19"/>
      <c r="J39" s="19"/>
      <c r="K39" s="19"/>
      <c r="M39" s="19"/>
    </row>
    <row r="40" spans="1:13" s="138" customFormat="1" x14ac:dyDescent="0.3">
      <c r="A40" s="142" t="s">
        <v>21</v>
      </c>
      <c r="B40" s="133" t="s">
        <v>293</v>
      </c>
      <c r="C40" s="19"/>
      <c r="D40" s="19"/>
      <c r="E40" s="19"/>
      <c r="F40" s="19"/>
      <c r="G40" s="19"/>
      <c r="H40" s="19"/>
      <c r="I40" s="19"/>
      <c r="J40" s="19"/>
      <c r="K40" s="19"/>
      <c r="M40" s="19"/>
    </row>
    <row r="41" spans="1:13" s="138" customFormat="1" x14ac:dyDescent="0.3">
      <c r="A41" s="142" t="s">
        <v>22</v>
      </c>
      <c r="B41" s="133" t="s">
        <v>273</v>
      </c>
      <c r="C41" s="19"/>
      <c r="D41" s="19"/>
      <c r="E41" s="19"/>
      <c r="F41" s="19"/>
      <c r="G41" s="19"/>
      <c r="H41" s="19"/>
      <c r="I41" s="19"/>
      <c r="J41" s="19"/>
      <c r="K41" s="19"/>
      <c r="M41" s="19"/>
    </row>
    <row r="42" spans="1:13" s="138" customFormat="1" x14ac:dyDescent="0.3">
      <c r="A42" s="142" t="s">
        <v>23</v>
      </c>
      <c r="B42" s="133" t="s">
        <v>274</v>
      </c>
      <c r="C42" s="19"/>
      <c r="D42" s="19"/>
      <c r="E42" s="19"/>
      <c r="F42" s="19"/>
      <c r="G42" s="19"/>
      <c r="H42" s="19"/>
      <c r="I42" s="19"/>
      <c r="J42" s="19"/>
      <c r="K42" s="19"/>
      <c r="M42" s="19"/>
    </row>
    <row r="43" spans="1:13" s="138" customFormat="1" x14ac:dyDescent="0.3">
      <c r="A43" s="142" t="s">
        <v>26</v>
      </c>
      <c r="B43" s="133" t="s">
        <v>275</v>
      </c>
      <c r="C43" s="19"/>
      <c r="D43" s="19"/>
      <c r="E43" s="19"/>
      <c r="F43" s="19"/>
      <c r="G43" s="19"/>
      <c r="H43" s="19"/>
      <c r="I43" s="19"/>
      <c r="J43" s="19"/>
      <c r="K43" s="19"/>
      <c r="M43" s="19"/>
    </row>
    <row r="44" spans="1:13" s="138" customFormat="1" x14ac:dyDescent="0.3">
      <c r="A44" s="142" t="s">
        <v>27</v>
      </c>
      <c r="B44" s="133" t="s">
        <v>276</v>
      </c>
      <c r="C44" s="19"/>
      <c r="D44" s="19"/>
      <c r="E44" s="19"/>
      <c r="F44" s="19"/>
      <c r="G44" s="19"/>
      <c r="H44" s="19"/>
      <c r="I44" s="19"/>
      <c r="J44" s="19"/>
      <c r="K44" s="19"/>
      <c r="M44" s="19"/>
    </row>
    <row r="45" spans="1:13" s="138" customFormat="1" x14ac:dyDescent="0.3">
      <c r="A45" s="142"/>
      <c r="B45" s="133"/>
      <c r="C45" s="19"/>
      <c r="D45" s="19"/>
      <c r="E45" s="19"/>
      <c r="F45" s="19"/>
      <c r="G45" s="19"/>
      <c r="H45" s="19"/>
      <c r="I45" s="19"/>
      <c r="J45" s="19"/>
      <c r="K45" s="19"/>
      <c r="M45" s="19"/>
    </row>
    <row r="46" spans="1:13" s="138" customFormat="1" x14ac:dyDescent="0.3">
      <c r="A46" s="142"/>
      <c r="B46" s="133"/>
      <c r="C46" s="19"/>
      <c r="D46" s="19"/>
      <c r="E46" s="19"/>
      <c r="F46" s="19"/>
      <c r="G46" s="19"/>
      <c r="H46" s="19"/>
      <c r="I46" s="19"/>
      <c r="J46" s="19"/>
      <c r="K46" s="19"/>
      <c r="M46" s="19"/>
    </row>
    <row r="47" spans="1:13" s="138" customFormat="1" x14ac:dyDescent="0.3">
      <c r="A47" s="142"/>
      <c r="B47" s="133"/>
      <c r="C47" s="19"/>
      <c r="D47" s="19"/>
      <c r="E47" s="19"/>
      <c r="F47" s="19"/>
      <c r="G47" s="19"/>
      <c r="H47" s="19"/>
      <c r="I47" s="19"/>
      <c r="J47" s="19"/>
      <c r="K47" s="19"/>
      <c r="M47" s="19"/>
    </row>
    <row r="48" spans="1:13" s="138" customFormat="1" x14ac:dyDescent="0.3">
      <c r="A48" s="139" t="s">
        <v>24</v>
      </c>
      <c r="B48" s="140"/>
      <c r="C48" s="144"/>
      <c r="D48" s="144"/>
      <c r="E48" s="144"/>
      <c r="F48" s="144"/>
      <c r="G48" s="144"/>
      <c r="H48" s="144"/>
      <c r="I48" s="144"/>
      <c r="J48" s="144"/>
      <c r="K48" s="144"/>
      <c r="M48" s="19"/>
    </row>
    <row r="49" spans="1:13" s="138" customFormat="1" x14ac:dyDescent="0.3">
      <c r="A49" s="143">
        <v>1</v>
      </c>
      <c r="B49" s="143"/>
      <c r="C49" s="19"/>
      <c r="D49" s="19"/>
      <c r="E49" s="19"/>
      <c r="F49" s="19"/>
      <c r="G49" s="19"/>
      <c r="H49" s="19"/>
      <c r="I49" s="19"/>
      <c r="J49" s="19"/>
      <c r="K49" s="19"/>
      <c r="M49" s="19"/>
    </row>
    <row r="50" spans="1:13" s="138" customFormat="1" x14ac:dyDescent="0.3">
      <c r="A50" s="143">
        <v>2</v>
      </c>
      <c r="B50" s="143"/>
      <c r="C50" s="19"/>
      <c r="D50" s="19"/>
      <c r="E50" s="19"/>
      <c r="F50" s="19"/>
      <c r="G50" s="19"/>
      <c r="H50" s="19"/>
      <c r="I50" s="19"/>
      <c r="J50" s="19"/>
      <c r="K50" s="19"/>
      <c r="M50" s="19"/>
    </row>
    <row r="51" spans="1:13" s="138" customFormat="1" ht="15.75" customHeight="1" x14ac:dyDescent="0.3">
      <c r="A51" s="143"/>
      <c r="B51" s="143"/>
      <c r="C51" s="19"/>
      <c r="D51" s="19"/>
      <c r="E51" s="19"/>
      <c r="F51" s="19"/>
      <c r="G51" s="19"/>
      <c r="H51" s="19"/>
      <c r="I51" s="19"/>
      <c r="J51" s="19"/>
      <c r="K51" s="19"/>
      <c r="M51" s="19"/>
    </row>
    <row r="52" spans="1:13" s="138" customFormat="1" ht="15.75" customHeight="1" x14ac:dyDescent="0.3">
      <c r="A52" s="143"/>
      <c r="B52" s="143"/>
      <c r="C52" s="19"/>
      <c r="D52" s="19"/>
      <c r="E52" s="19"/>
      <c r="F52" s="19"/>
      <c r="G52" s="19"/>
      <c r="H52" s="19"/>
      <c r="I52" s="19"/>
      <c r="J52" s="19"/>
      <c r="K52" s="19"/>
      <c r="M52" s="19"/>
    </row>
  </sheetData>
  <pageMargins left="0.7" right="0.7" top="0.75" bottom="0.75" header="0.3" footer="0.3"/>
  <pageSetup paperSize="9" scale="64"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workbookViewId="0"/>
  </sheetViews>
  <sheetFormatPr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90</v>
      </c>
      <c r="D4" s="150" t="s">
        <v>315</v>
      </c>
      <c r="F4" s="151">
        <f>C4/7.5</f>
        <v>12</v>
      </c>
      <c r="G4" s="150" t="s">
        <v>308</v>
      </c>
    </row>
    <row r="5" spans="1:19" x14ac:dyDescent="0.3">
      <c r="B5" s="149" t="s">
        <v>316</v>
      </c>
      <c r="C5" s="9">
        <v>20</v>
      </c>
      <c r="D5" s="150" t="s">
        <v>315</v>
      </c>
      <c r="F5" s="151">
        <f t="shared" ref="F5:F39" si="0">C5/7.5</f>
        <v>2.6666666666666665</v>
      </c>
      <c r="G5" s="150" t="s">
        <v>308</v>
      </c>
    </row>
    <row r="6" spans="1:19" x14ac:dyDescent="0.3">
      <c r="B6" s="149" t="s">
        <v>317</v>
      </c>
      <c r="C6" s="9">
        <v>55</v>
      </c>
      <c r="D6" s="150" t="s">
        <v>315</v>
      </c>
      <c r="F6" s="151">
        <f t="shared" si="0"/>
        <v>7.333333333333333</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195</v>
      </c>
      <c r="D9" s="154" t="s">
        <v>315</v>
      </c>
      <c r="F9" s="155">
        <f t="shared" si="0"/>
        <v>26</v>
      </c>
      <c r="G9" s="154" t="s">
        <v>308</v>
      </c>
      <c r="I9" t="s">
        <v>321</v>
      </c>
      <c r="J9" s="156">
        <f>F9</f>
        <v>26</v>
      </c>
      <c r="K9" s="157">
        <f>J9/$C$42</f>
        <v>0.8666666666666667</v>
      </c>
      <c r="L9" s="158">
        <f>K9*(1+$C$50)^5</f>
        <v>0.82419137657999997</v>
      </c>
      <c r="M9" s="158">
        <f>K9*(1+$C$50)^10</f>
        <v>0.78379779834096375</v>
      </c>
      <c r="N9" s="158">
        <f>K9*(1+$C$50)^20</f>
        <v>0.7088526792509332</v>
      </c>
      <c r="O9" s="158">
        <f>K9*(1+$C$50)^20</f>
        <v>0.7088526792509332</v>
      </c>
      <c r="P9" s="158">
        <f>K9*(1+$C$49)^5</f>
        <v>0.78339802389333324</v>
      </c>
      <c r="Q9" s="158">
        <f>K9*(1+$C$51)^5</f>
        <v>0.8666666666666667</v>
      </c>
      <c r="R9" s="158">
        <f>K9*(1+$C$49)^30</f>
        <v>0.47275307679811179</v>
      </c>
      <c r="S9" s="158">
        <f>K9*(1+$C$51)^30</f>
        <v>0.8666666666666667</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c r="D12" s="150" t="s">
        <v>315</v>
      </c>
      <c r="F12" s="151">
        <f t="shared" si="0"/>
        <v>0</v>
      </c>
      <c r="G12" s="150" t="s">
        <v>308</v>
      </c>
      <c r="J12" s="156">
        <f>F12</f>
        <v>0</v>
      </c>
      <c r="K12" s="158">
        <f>J12/$C$42</f>
        <v>0</v>
      </c>
      <c r="L12" s="158">
        <f>K12*(1+$C$50)^5</f>
        <v>0</v>
      </c>
      <c r="M12" s="158">
        <f t="shared" ref="M12:M17" si="1">K12*(1+$C$50)^10</f>
        <v>0</v>
      </c>
      <c r="N12" s="158">
        <f t="shared" ref="N12:N17" si="2">K12*(1+$C$50)^20</f>
        <v>0</v>
      </c>
      <c r="O12" s="158">
        <f t="shared" ref="O12:O17" si="3">K12*(1+$C$50)^20</f>
        <v>0</v>
      </c>
      <c r="P12" s="158">
        <f t="shared" ref="P12:P17" si="4">K12*(1+$C$49)^5</f>
        <v>0</v>
      </c>
      <c r="Q12" s="158">
        <f t="shared" ref="Q12:Q16" si="5">K12*(1+$C$51)^5</f>
        <v>0</v>
      </c>
      <c r="R12" s="158">
        <f t="shared" ref="R12:R17" si="6">K12*(1+$C$49)^30</f>
        <v>0</v>
      </c>
      <c r="S12" s="158">
        <f t="shared" ref="S12:S16" si="7">K12*(1+$C$51)^30</f>
        <v>0</v>
      </c>
    </row>
    <row r="13" spans="1:19" x14ac:dyDescent="0.3">
      <c r="A13" t="s">
        <v>325</v>
      </c>
      <c r="B13" s="149" t="s">
        <v>326</v>
      </c>
      <c r="C13" s="9">
        <v>70</v>
      </c>
      <c r="D13" s="150" t="s">
        <v>315</v>
      </c>
      <c r="F13" s="151">
        <f>C13/7.5</f>
        <v>9.3333333333333339</v>
      </c>
      <c r="G13" s="150" t="s">
        <v>308</v>
      </c>
      <c r="J13" s="156">
        <f t="shared" ref="J13:J17" si="8">F13</f>
        <v>9.3333333333333339</v>
      </c>
      <c r="K13" s="158">
        <f t="shared" ref="K13:K17" si="9">J13/$C$42</f>
        <v>0.31111111111111112</v>
      </c>
      <c r="L13" s="158">
        <f t="shared" ref="L13:L17" si="10">K13*(1+$C$50)^5</f>
        <v>0.29586357108</v>
      </c>
      <c r="M13" s="158">
        <f t="shared" si="1"/>
        <v>0.28136331222496136</v>
      </c>
      <c r="N13" s="158">
        <f t="shared" si="2"/>
        <v>0.25445993614136064</v>
      </c>
      <c r="O13" s="158">
        <f t="shared" si="3"/>
        <v>0.25445993614136064</v>
      </c>
      <c r="P13" s="158">
        <f t="shared" si="4"/>
        <v>0.28121980344888886</v>
      </c>
      <c r="Q13" s="158">
        <f t="shared" si="5"/>
        <v>0.31111111111111112</v>
      </c>
      <c r="R13" s="158">
        <f t="shared" si="6"/>
        <v>0.16970623269675808</v>
      </c>
      <c r="S13" s="158">
        <f t="shared" si="7"/>
        <v>0.31111111111111112</v>
      </c>
    </row>
    <row r="14" spans="1:19" x14ac:dyDescent="0.3">
      <c r="A14" t="s">
        <v>327</v>
      </c>
      <c r="B14" s="149" t="s">
        <v>328</v>
      </c>
      <c r="C14" s="9">
        <v>105</v>
      </c>
      <c r="D14" s="150" t="s">
        <v>315</v>
      </c>
      <c r="F14" s="151">
        <f>C14/7.5</f>
        <v>14</v>
      </c>
      <c r="G14" s="150" t="s">
        <v>308</v>
      </c>
      <c r="J14" s="156">
        <f t="shared" si="8"/>
        <v>14</v>
      </c>
      <c r="K14" s="158">
        <f t="shared" si="9"/>
        <v>0.46666666666666667</v>
      </c>
      <c r="L14" s="158">
        <f t="shared" si="10"/>
        <v>0.44379535661999997</v>
      </c>
      <c r="M14" s="158">
        <f t="shared" si="1"/>
        <v>0.42204496833744204</v>
      </c>
      <c r="N14" s="158">
        <f t="shared" si="2"/>
        <v>0.38168990421204096</v>
      </c>
      <c r="O14" s="158">
        <f t="shared" si="3"/>
        <v>0.38168990421204096</v>
      </c>
      <c r="P14" s="158">
        <f t="shared" si="4"/>
        <v>0.42182970517333324</v>
      </c>
      <c r="Q14" s="158">
        <f t="shared" si="5"/>
        <v>0.46666666666666667</v>
      </c>
      <c r="R14" s="158">
        <f t="shared" si="6"/>
        <v>0.25455934904513711</v>
      </c>
      <c r="S14" s="158">
        <f t="shared" si="7"/>
        <v>0.46666666666666667</v>
      </c>
    </row>
    <row r="15" spans="1:19" x14ac:dyDescent="0.3">
      <c r="A15" t="s">
        <v>329</v>
      </c>
      <c r="B15" s="149" t="s">
        <v>330</v>
      </c>
      <c r="C15" s="9">
        <v>100</v>
      </c>
      <c r="D15" s="150" t="s">
        <v>315</v>
      </c>
      <c r="F15" s="151">
        <f t="shared" si="0"/>
        <v>13.333333333333334</v>
      </c>
      <c r="G15" s="150" t="s">
        <v>308</v>
      </c>
      <c r="J15" s="156">
        <f t="shared" si="8"/>
        <v>13.333333333333334</v>
      </c>
      <c r="K15" s="158">
        <f t="shared" si="9"/>
        <v>0.44444444444444448</v>
      </c>
      <c r="L15" s="158">
        <f t="shared" si="10"/>
        <v>0.4226622444</v>
      </c>
      <c r="M15" s="158">
        <f t="shared" si="1"/>
        <v>0.40194758889280197</v>
      </c>
      <c r="N15" s="158">
        <f t="shared" si="2"/>
        <v>0.36351419448765809</v>
      </c>
      <c r="O15" s="158">
        <f t="shared" si="3"/>
        <v>0.36351419448765809</v>
      </c>
      <c r="P15" s="158">
        <f t="shared" si="4"/>
        <v>0.40174257635555549</v>
      </c>
      <c r="Q15" s="158">
        <f t="shared" si="5"/>
        <v>0.44444444444444448</v>
      </c>
      <c r="R15" s="158">
        <f t="shared" si="6"/>
        <v>0.24243747528108298</v>
      </c>
      <c r="S15" s="158">
        <f t="shared" si="7"/>
        <v>0.44444444444444448</v>
      </c>
    </row>
    <row r="16" spans="1:19" x14ac:dyDescent="0.3">
      <c r="A16" t="s">
        <v>331</v>
      </c>
      <c r="B16" s="149" t="s">
        <v>332</v>
      </c>
      <c r="C16" s="9"/>
      <c r="D16" s="150" t="s">
        <v>315</v>
      </c>
      <c r="F16" s="151">
        <f t="shared" si="0"/>
        <v>0</v>
      </c>
      <c r="G16" s="150" t="s">
        <v>308</v>
      </c>
      <c r="J16" s="156">
        <f t="shared" si="8"/>
        <v>0</v>
      </c>
      <c r="K16" s="158">
        <f t="shared" si="9"/>
        <v>0</v>
      </c>
      <c r="L16" s="158">
        <f t="shared" si="10"/>
        <v>0</v>
      </c>
      <c r="M16" s="158">
        <f t="shared" si="1"/>
        <v>0</v>
      </c>
      <c r="N16" s="158">
        <f t="shared" si="2"/>
        <v>0</v>
      </c>
      <c r="O16" s="158">
        <f t="shared" si="3"/>
        <v>0</v>
      </c>
      <c r="P16" s="158">
        <f t="shared" si="4"/>
        <v>0</v>
      </c>
      <c r="Q16" s="158">
        <f t="shared" si="5"/>
        <v>0</v>
      </c>
      <c r="R16" s="158">
        <f t="shared" si="6"/>
        <v>0</v>
      </c>
      <c r="S16" s="158">
        <f t="shared" si="7"/>
        <v>0</v>
      </c>
    </row>
    <row r="17" spans="1:19" ht="15" thickBot="1" x14ac:dyDescent="0.35">
      <c r="A17" t="s">
        <v>333</v>
      </c>
      <c r="B17" s="149" t="s">
        <v>334</v>
      </c>
      <c r="C17" s="9">
        <v>390</v>
      </c>
      <c r="D17" s="150" t="s">
        <v>315</v>
      </c>
      <c r="F17" s="151">
        <f t="shared" si="0"/>
        <v>52</v>
      </c>
      <c r="G17" s="150" t="s">
        <v>308</v>
      </c>
      <c r="J17" s="156">
        <f t="shared" si="8"/>
        <v>52</v>
      </c>
      <c r="K17" s="158">
        <f t="shared" si="9"/>
        <v>1.7333333333333334</v>
      </c>
      <c r="L17" s="158">
        <f t="shared" si="10"/>
        <v>1.6483827531599999</v>
      </c>
      <c r="M17" s="158">
        <f t="shared" si="1"/>
        <v>1.5675955966819275</v>
      </c>
      <c r="N17" s="158">
        <f t="shared" si="2"/>
        <v>1.4177053585018664</v>
      </c>
      <c r="O17" s="158">
        <f t="shared" si="3"/>
        <v>1.4177053585018664</v>
      </c>
      <c r="P17" s="158">
        <f t="shared" si="4"/>
        <v>1.5667960477866665</v>
      </c>
      <c r="Q17" s="164">
        <f>K17*(1+$C$51)^5*1.5</f>
        <v>2.6</v>
      </c>
      <c r="R17" s="158">
        <f t="shared" si="6"/>
        <v>0.94550615359622359</v>
      </c>
      <c r="S17" s="164">
        <f>K17*(1+$C$51)^30*1.5</f>
        <v>2.6</v>
      </c>
    </row>
    <row r="18" spans="1:19" ht="15.6" thickTop="1" thickBot="1" x14ac:dyDescent="0.35">
      <c r="A18" t="s">
        <v>15</v>
      </c>
      <c r="B18" s="152" t="s">
        <v>335</v>
      </c>
      <c r="C18" s="153">
        <f>SUM(C12:C17)</f>
        <v>665</v>
      </c>
      <c r="D18" s="154" t="s">
        <v>315</v>
      </c>
      <c r="F18" s="155">
        <f t="shared" si="0"/>
        <v>88.666666666666671</v>
      </c>
      <c r="G18" s="154" t="s">
        <v>308</v>
      </c>
      <c r="I18" t="s">
        <v>336</v>
      </c>
      <c r="J18" s="156">
        <f>F18</f>
        <v>88.666666666666671</v>
      </c>
      <c r="K18" s="157">
        <f>J18/$C$42</f>
        <v>2.9555555555555557</v>
      </c>
      <c r="L18" s="158">
        <f>SUM(L12:L17)</f>
        <v>2.8107039252599999</v>
      </c>
      <c r="M18" s="158">
        <f t="shared" ref="M18:P18" si="11">SUM(M12:M17)</f>
        <v>2.6729514661371327</v>
      </c>
      <c r="N18" s="158">
        <f t="shared" si="11"/>
        <v>2.4173693933429261</v>
      </c>
      <c r="O18" s="158">
        <f t="shared" si="11"/>
        <v>2.4173693933429261</v>
      </c>
      <c r="P18" s="158">
        <f t="shared" si="11"/>
        <v>2.6715881327644442</v>
      </c>
      <c r="Q18" s="158">
        <f>SUM(Q12:Q17)</f>
        <v>3.8222222222222224</v>
      </c>
      <c r="R18" s="158">
        <f>SUM(R12:R17)</f>
        <v>1.6122092106192016</v>
      </c>
      <c r="S18" s="158">
        <f>SUM(S12:S17)</f>
        <v>3.8222222222222224</v>
      </c>
    </row>
    <row r="19" spans="1:19" ht="15.6" thickTop="1" thickBot="1" x14ac:dyDescent="0.35">
      <c r="B19" s="159"/>
      <c r="C19" s="160"/>
      <c r="D19" s="161"/>
      <c r="F19" s="162"/>
      <c r="G19" s="161"/>
    </row>
    <row r="20" spans="1:19" ht="15.6" thickTop="1" thickBot="1" x14ac:dyDescent="0.35">
      <c r="A20" t="s">
        <v>12</v>
      </c>
      <c r="B20" s="165" t="s">
        <v>337</v>
      </c>
      <c r="C20" s="166">
        <v>113.5</v>
      </c>
      <c r="D20" s="154" t="s">
        <v>315</v>
      </c>
      <c r="F20" s="155">
        <f t="shared" si="0"/>
        <v>15.133333333333333</v>
      </c>
      <c r="G20" s="154" t="s">
        <v>308</v>
      </c>
      <c r="I20" t="s">
        <v>338</v>
      </c>
      <c r="J20" s="156">
        <f>F20</f>
        <v>15.133333333333333</v>
      </c>
      <c r="K20" s="157">
        <f>J20/$C$42</f>
        <v>0.50444444444444447</v>
      </c>
      <c r="L20" s="158">
        <f>K20*(1+$C$50)^5</f>
        <v>0.47972164739399997</v>
      </c>
      <c r="M20" s="158">
        <f>K20*(1+$C$50)^10</f>
        <v>0.45621051339333019</v>
      </c>
      <c r="N20" s="158">
        <f>K20*(1+$C$50)^20</f>
        <v>0.41258861074349196</v>
      </c>
      <c r="O20" s="158">
        <f>K20*(1+$C$50)^20</f>
        <v>0.41258861074349196</v>
      </c>
      <c r="P20" s="158">
        <f>K20*(1+$C$49)^5</f>
        <v>0.45597782416355548</v>
      </c>
      <c r="Q20" s="158">
        <f>K20*(1+$C$51)^5</f>
        <v>0.50444444444444447</v>
      </c>
      <c r="R20" s="158">
        <f>K20*(1+$C$49)^30</f>
        <v>0.27516653444402916</v>
      </c>
      <c r="S20" s="158">
        <f>K20*(1+$C$51)^30</f>
        <v>0.50444444444444447</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175</v>
      </c>
      <c r="D23" s="150" t="s">
        <v>315</v>
      </c>
      <c r="F23" s="151">
        <f t="shared" si="0"/>
        <v>23.333333333333332</v>
      </c>
      <c r="G23" s="150" t="s">
        <v>308</v>
      </c>
      <c r="I23" t="s">
        <v>342</v>
      </c>
      <c r="J23" s="156">
        <f>F23+F31</f>
        <v>112.66666666666666</v>
      </c>
      <c r="K23" s="157">
        <f>J23/$C$42</f>
        <v>3.7555555555555551</v>
      </c>
      <c r="L23" s="158">
        <f>K23*(1+$C$50)^5</f>
        <v>3.5714959651799991</v>
      </c>
      <c r="M23" s="158">
        <f>K23*(1+$C$50)^10</f>
        <v>3.3964571261441758</v>
      </c>
      <c r="N23" s="158">
        <f>K23*(1+$C$50)^20</f>
        <v>3.0716949434207104</v>
      </c>
      <c r="O23" s="158">
        <f>K23*(1+$C$50)^20</f>
        <v>3.0716949434207104</v>
      </c>
      <c r="P23" s="158">
        <f>K23*(1+$C$49)^5</f>
        <v>3.3947247702044434</v>
      </c>
      <c r="Q23" s="158">
        <f>K23*(1+$C$51)^5</f>
        <v>3.7555555555555551</v>
      </c>
      <c r="R23" s="158">
        <f>K23*(1+$C$49)^30</f>
        <v>2.0485966661251509</v>
      </c>
      <c r="S23" s="158">
        <f>K23*(1+$C$51)^30</f>
        <v>3.7555555555555551</v>
      </c>
    </row>
    <row r="24" spans="1:19" ht="15" thickTop="1" x14ac:dyDescent="0.3">
      <c r="A24" t="s">
        <v>343</v>
      </c>
      <c r="B24" s="149" t="s">
        <v>324</v>
      </c>
      <c r="C24" s="168"/>
      <c r="D24" s="150" t="s">
        <v>315</v>
      </c>
      <c r="F24" s="151">
        <f t="shared" si="0"/>
        <v>0</v>
      </c>
      <c r="G24" s="150" t="s">
        <v>308</v>
      </c>
    </row>
    <row r="25" spans="1:19" x14ac:dyDescent="0.3">
      <c r="A25" t="s">
        <v>344</v>
      </c>
      <c r="B25" s="149" t="s">
        <v>326</v>
      </c>
      <c r="C25" s="9">
        <v>86.6</v>
      </c>
      <c r="D25" s="150" t="s">
        <v>315</v>
      </c>
      <c r="F25" s="151">
        <f t="shared" si="0"/>
        <v>11.546666666666665</v>
      </c>
      <c r="G25" s="150" t="s">
        <v>308</v>
      </c>
    </row>
    <row r="26" spans="1:19" x14ac:dyDescent="0.3">
      <c r="A26" t="s">
        <v>345</v>
      </c>
      <c r="B26" s="149" t="s">
        <v>328</v>
      </c>
      <c r="C26" s="9">
        <v>130.19999999999999</v>
      </c>
      <c r="D26" s="150" t="s">
        <v>315</v>
      </c>
      <c r="F26" s="151">
        <f t="shared" si="0"/>
        <v>17.36</v>
      </c>
      <c r="G26" s="150" t="s">
        <v>308</v>
      </c>
    </row>
    <row r="27" spans="1:19" x14ac:dyDescent="0.3">
      <c r="A27" t="s">
        <v>346</v>
      </c>
      <c r="B27" s="149" t="s">
        <v>330</v>
      </c>
      <c r="C27" s="9">
        <v>31</v>
      </c>
      <c r="D27" s="150" t="s">
        <v>315</v>
      </c>
      <c r="F27" s="151">
        <f t="shared" si="0"/>
        <v>4.1333333333333337</v>
      </c>
      <c r="G27" s="150" t="s">
        <v>308</v>
      </c>
    </row>
    <row r="28" spans="1:19" x14ac:dyDescent="0.3">
      <c r="A28" t="s">
        <v>347</v>
      </c>
      <c r="B28" s="149" t="s">
        <v>334</v>
      </c>
      <c r="C28" s="9">
        <v>120.90000000000006</v>
      </c>
      <c r="D28" s="150" t="s">
        <v>315</v>
      </c>
      <c r="F28" s="151">
        <f t="shared" si="0"/>
        <v>16.120000000000008</v>
      </c>
      <c r="G28" s="150" t="s">
        <v>308</v>
      </c>
    </row>
    <row r="29" spans="1:19" ht="15" thickBot="1" x14ac:dyDescent="0.35">
      <c r="A29" t="s">
        <v>348</v>
      </c>
      <c r="B29" s="149" t="s">
        <v>349</v>
      </c>
      <c r="C29" s="9"/>
      <c r="D29" s="150" t="s">
        <v>315</v>
      </c>
      <c r="F29" s="151">
        <f t="shared" si="0"/>
        <v>0</v>
      </c>
      <c r="G29" s="150" t="s">
        <v>308</v>
      </c>
    </row>
    <row r="30" spans="1:19" ht="15.6" thickTop="1" thickBot="1" x14ac:dyDescent="0.35">
      <c r="A30" t="s">
        <v>350</v>
      </c>
      <c r="B30" s="149" t="s">
        <v>351</v>
      </c>
      <c r="C30" s="9"/>
      <c r="D30" s="150" t="s">
        <v>315</v>
      </c>
      <c r="F30" s="151">
        <f t="shared" si="0"/>
        <v>0</v>
      </c>
      <c r="G30" s="150" t="s">
        <v>308</v>
      </c>
      <c r="I30" t="s">
        <v>352</v>
      </c>
      <c r="J30" s="156">
        <f>F24+F25+F26+F27+F28+F29+F30</f>
        <v>49.160000000000011</v>
      </c>
      <c r="K30" s="157">
        <f>J30/$C$42</f>
        <v>1.6386666666666669</v>
      </c>
      <c r="L30" s="158">
        <f>K30*(1+$C$50)^5</f>
        <v>1.5583556951028001</v>
      </c>
      <c r="M30" s="158">
        <f>K30*(1+$C$50)^10</f>
        <v>1.4819807602477608</v>
      </c>
      <c r="N30" s="158">
        <f>K30*(1+$C$50)^20</f>
        <v>1.3402768350759955</v>
      </c>
      <c r="O30" s="158">
        <f>K30*(1+$C$50)^20</f>
        <v>1.3402768350759955</v>
      </c>
      <c r="P30" s="158">
        <f>K30*(1+$C$49)^5</f>
        <v>1.4812248790229332</v>
      </c>
      <c r="Q30" s="158">
        <f>K30*(1+$C$51)^5</f>
        <v>1.6386666666666669</v>
      </c>
      <c r="R30" s="158">
        <f>K30*(1+$C$49)^30</f>
        <v>0.89386697136135307</v>
      </c>
      <c r="S30" s="158">
        <f>K30*(1+$C$51)^30</f>
        <v>1.6386666666666669</v>
      </c>
    </row>
    <row r="31" spans="1:19" ht="15.6" thickTop="1" thickBot="1" x14ac:dyDescent="0.35">
      <c r="A31" t="s">
        <v>353</v>
      </c>
      <c r="B31" s="149" t="s">
        <v>354</v>
      </c>
      <c r="C31" s="9">
        <v>670</v>
      </c>
      <c r="D31" s="150" t="s">
        <v>315</v>
      </c>
      <c r="F31" s="151">
        <f t="shared" si="0"/>
        <v>89.333333333333329</v>
      </c>
      <c r="G31" s="150" t="s">
        <v>308</v>
      </c>
    </row>
    <row r="32" spans="1:19" ht="15.6" thickTop="1" thickBot="1" x14ac:dyDescent="0.35">
      <c r="A32" t="s">
        <v>355</v>
      </c>
      <c r="B32" s="149" t="s">
        <v>356</v>
      </c>
      <c r="C32" s="9">
        <v>204.00000000000009</v>
      </c>
      <c r="D32" s="150" t="s">
        <v>315</v>
      </c>
      <c r="F32" s="151">
        <f t="shared" si="0"/>
        <v>27.20000000000001</v>
      </c>
      <c r="G32" s="150" t="s">
        <v>308</v>
      </c>
      <c r="I32" t="s">
        <v>357</v>
      </c>
      <c r="J32" s="156">
        <f>F32</f>
        <v>27.20000000000001</v>
      </c>
      <c r="K32" s="157">
        <f>J32/$C$42</f>
        <v>0.90666666666666695</v>
      </c>
      <c r="L32" s="158">
        <f>K32*(1+$C$50)^5</f>
        <v>0.86223097857600017</v>
      </c>
      <c r="M32" s="158">
        <f>K32*(1+$C$50)^10</f>
        <v>0.81997308134131619</v>
      </c>
      <c r="N32" s="158">
        <f>K32*(1+$C$50)^20</f>
        <v>0.74156895675482271</v>
      </c>
      <c r="O32" s="158">
        <f>K32*(1+$C$50)^20</f>
        <v>0.74156895675482271</v>
      </c>
      <c r="P32" s="158">
        <f>K32*(1+$C$49)^5</f>
        <v>0.81955485576533338</v>
      </c>
      <c r="Q32" s="158">
        <f>K32*(1+$C$51)^5</f>
        <v>0.90666666666666695</v>
      </c>
      <c r="R32" s="158">
        <f>K32*(1+$C$49)^30</f>
        <v>0.4945724495734094</v>
      </c>
      <c r="S32" s="158">
        <f>K32*(1+$C$51)^30</f>
        <v>0.90666666666666695</v>
      </c>
    </row>
    <row r="33" spans="1:20" ht="15" thickTop="1" x14ac:dyDescent="0.3">
      <c r="A33" t="s">
        <v>13</v>
      </c>
      <c r="B33" s="152" t="s">
        <v>358</v>
      </c>
      <c r="C33" s="166">
        <f>SUM(C23:C32)</f>
        <v>1417.7</v>
      </c>
      <c r="D33" s="154" t="s">
        <v>315</v>
      </c>
      <c r="F33" s="155">
        <f t="shared" si="0"/>
        <v>189.02666666666667</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400</v>
      </c>
      <c r="D36" s="150" t="s">
        <v>315</v>
      </c>
      <c r="F36" s="151">
        <f t="shared" si="0"/>
        <v>53.333333333333336</v>
      </c>
      <c r="G36" s="150" t="s">
        <v>308</v>
      </c>
      <c r="I36" t="s">
        <v>361</v>
      </c>
      <c r="J36" s="156">
        <f>F36</f>
        <v>53.333333333333336</v>
      </c>
      <c r="K36" s="157">
        <f>J36/$C$42</f>
        <v>1.7777777777777779</v>
      </c>
      <c r="L36" s="158">
        <f>K36*(1+$C$50)^5</f>
        <v>1.6906489776</v>
      </c>
      <c r="M36" s="158">
        <f>K36*(1+$C$50)^10</f>
        <v>1.6077903555712079</v>
      </c>
      <c r="N36" s="158">
        <f>K36*(1+$C$50)^20</f>
        <v>1.4540567779506324</v>
      </c>
      <c r="O36" s="158">
        <f>K36*(1+$C$50)^20</f>
        <v>1.4540567779506324</v>
      </c>
      <c r="P36" s="158">
        <f>K36*(1+$C$49)^5</f>
        <v>1.606970305422222</v>
      </c>
      <c r="Q36" s="158">
        <f>K36*(1+$C$51)^5</f>
        <v>1.7777777777777779</v>
      </c>
      <c r="R36" s="158">
        <f>K36*(1+$C$49)^30</f>
        <v>0.9697499011243319</v>
      </c>
      <c r="S36" s="158">
        <f>K36*(1+$C$51)^30</f>
        <v>1.7777777777777779</v>
      </c>
    </row>
    <row r="37" spans="1:20" ht="15" thickTop="1" x14ac:dyDescent="0.3">
      <c r="A37" t="s">
        <v>16</v>
      </c>
      <c r="B37" s="152" t="s">
        <v>362</v>
      </c>
      <c r="C37" s="153">
        <f>SUM(C36)</f>
        <v>400</v>
      </c>
      <c r="D37" s="154" t="s">
        <v>315</v>
      </c>
      <c r="F37" s="155">
        <f t="shared" si="0"/>
        <v>53.333333333333336</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30</v>
      </c>
      <c r="D42" s="150" t="s">
        <v>367</v>
      </c>
      <c r="F42" s="171"/>
      <c r="G42" s="150"/>
    </row>
    <row r="43" spans="1:20" x14ac:dyDescent="0.3">
      <c r="B43" s="149" t="s">
        <v>368</v>
      </c>
      <c r="C43" s="168">
        <f>C39+C37+C33+C20+C18+C9</f>
        <v>2791.2</v>
      </c>
      <c r="D43" s="150" t="s">
        <v>315</v>
      </c>
      <c r="F43" s="151">
        <f>C43/7.5</f>
        <v>372.15999999999997</v>
      </c>
      <c r="G43" s="150" t="s">
        <v>308</v>
      </c>
      <c r="J43" s="172">
        <f>J9+J18+J20+J23+J30+J32+J36+J39</f>
        <v>372.15999999999997</v>
      </c>
      <c r="K43" s="172">
        <f t="shared" ref="K43:S43" si="12">K9+K18+K20+K23+K30+K32+K36+K39</f>
        <v>12.405333333333335</v>
      </c>
      <c r="L43" s="156">
        <f t="shared" si="12"/>
        <v>11.797348565692801</v>
      </c>
      <c r="M43" s="156">
        <f t="shared" si="12"/>
        <v>11.219161101175889</v>
      </c>
      <c r="N43" s="156">
        <f t="shared" si="12"/>
        <v>10.146408196539511</v>
      </c>
      <c r="O43" s="156">
        <f t="shared" si="12"/>
        <v>10.146408196539511</v>
      </c>
      <c r="P43" s="156">
        <f t="shared" si="12"/>
        <v>11.213438791236266</v>
      </c>
      <c r="Q43" s="156">
        <f t="shared" si="12"/>
        <v>13.272</v>
      </c>
      <c r="R43" s="156">
        <f t="shared" si="12"/>
        <v>6.7669148100455878</v>
      </c>
      <c r="S43" s="156">
        <f t="shared" si="12"/>
        <v>13.272</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topLeftCell="A9" workbookViewId="0">
      <selection activeCell="I46" sqref="I46"/>
    </sheetView>
  </sheetViews>
  <sheetFormatPr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90</v>
      </c>
      <c r="D4" s="150" t="s">
        <v>315</v>
      </c>
      <c r="F4" s="151">
        <f>C4/7.5</f>
        <v>12</v>
      </c>
      <c r="G4" s="150" t="s">
        <v>308</v>
      </c>
    </row>
    <row r="5" spans="1:19" x14ac:dyDescent="0.3">
      <c r="B5" s="149" t="s">
        <v>316</v>
      </c>
      <c r="C5" s="9">
        <v>20</v>
      </c>
      <c r="D5" s="150" t="s">
        <v>315</v>
      </c>
      <c r="F5" s="151">
        <f t="shared" ref="F5:F39" si="0">C5/7.5</f>
        <v>2.6666666666666665</v>
      </c>
      <c r="G5" s="150" t="s">
        <v>308</v>
      </c>
    </row>
    <row r="6" spans="1:19" x14ac:dyDescent="0.3">
      <c r="B6" s="149" t="s">
        <v>317</v>
      </c>
      <c r="C6" s="9">
        <v>55</v>
      </c>
      <c r="D6" s="150" t="s">
        <v>315</v>
      </c>
      <c r="F6" s="151">
        <f t="shared" si="0"/>
        <v>7.333333333333333</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195</v>
      </c>
      <c r="D9" s="154" t="s">
        <v>315</v>
      </c>
      <c r="F9" s="155">
        <f t="shared" si="0"/>
        <v>26</v>
      </c>
      <c r="G9" s="154" t="s">
        <v>308</v>
      </c>
      <c r="I9" t="s">
        <v>321</v>
      </c>
      <c r="J9" s="156">
        <f>F9</f>
        <v>26</v>
      </c>
      <c r="K9" s="157">
        <f>J9/$C$42</f>
        <v>0.30952380952380953</v>
      </c>
      <c r="L9" s="158">
        <f>K9*(1+$C$50)^5</f>
        <v>0.29435406306428569</v>
      </c>
      <c r="M9" s="158">
        <f>K9*(1+$C$50)^10</f>
        <v>0.27992778512177274</v>
      </c>
      <c r="N9" s="158">
        <f>K9*(1+$C$50)^20</f>
        <v>0.2531616711610476</v>
      </c>
      <c r="O9" s="158">
        <f>K9*(1+$C$50)^20</f>
        <v>0.2531616711610476</v>
      </c>
      <c r="P9" s="158">
        <f>K9*(1+$C$49)^5</f>
        <v>0.27978500853333327</v>
      </c>
      <c r="Q9" s="158">
        <f>K9*(1+$C$51)^5</f>
        <v>0.30952380952380953</v>
      </c>
      <c r="R9" s="158">
        <f>K9*(1+$C$49)^30</f>
        <v>0.16884038457075423</v>
      </c>
      <c r="S9" s="158">
        <f>K9*(1+$C$51)^30</f>
        <v>0.30952380952380953</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c r="D12" s="150" t="s">
        <v>315</v>
      </c>
      <c r="F12" s="151">
        <f t="shared" si="0"/>
        <v>0</v>
      </c>
      <c r="G12" s="150" t="s">
        <v>308</v>
      </c>
      <c r="J12" s="156">
        <f>F12</f>
        <v>0</v>
      </c>
      <c r="K12" s="158">
        <f>J12/$C$42</f>
        <v>0</v>
      </c>
      <c r="L12" s="158">
        <f>K12*(1+$C$50)^5</f>
        <v>0</v>
      </c>
      <c r="M12" s="158">
        <f t="shared" ref="M12:M17" si="1">K12*(1+$C$50)^10</f>
        <v>0</v>
      </c>
      <c r="N12" s="158">
        <f t="shared" ref="N12:N17" si="2">K12*(1+$C$50)^20</f>
        <v>0</v>
      </c>
      <c r="O12" s="158">
        <f t="shared" ref="O12:O17" si="3">K12*(1+$C$50)^20</f>
        <v>0</v>
      </c>
      <c r="P12" s="158">
        <f t="shared" ref="P12:P17" si="4">K12*(1+$C$49)^5</f>
        <v>0</v>
      </c>
      <c r="Q12" s="158">
        <f t="shared" ref="Q12:Q16" si="5">K12*(1+$C$51)^5</f>
        <v>0</v>
      </c>
      <c r="R12" s="158">
        <f t="shared" ref="R12:R17" si="6">K12*(1+$C$49)^30</f>
        <v>0</v>
      </c>
      <c r="S12" s="158">
        <f t="shared" ref="S12:S16" si="7">K12*(1+$C$51)^30</f>
        <v>0</v>
      </c>
    </row>
    <row r="13" spans="1:19" x14ac:dyDescent="0.3">
      <c r="A13" t="s">
        <v>325</v>
      </c>
      <c r="B13" s="149" t="s">
        <v>326</v>
      </c>
      <c r="C13" s="9">
        <v>110</v>
      </c>
      <c r="D13" s="150" t="s">
        <v>315</v>
      </c>
      <c r="F13" s="151">
        <f>C13/7.5</f>
        <v>14.666666666666666</v>
      </c>
      <c r="G13" s="150" t="s">
        <v>308</v>
      </c>
      <c r="J13" s="156">
        <f t="shared" ref="J13:J17" si="8">F13</f>
        <v>14.666666666666666</v>
      </c>
      <c r="K13" s="158">
        <f t="shared" ref="K13:K17" si="9">J13/$C$42</f>
        <v>0.17460317460317459</v>
      </c>
      <c r="L13" s="158">
        <f t="shared" ref="L13:L17" si="10">K13*(1+$C$50)^5</f>
        <v>0.1660458817285714</v>
      </c>
      <c r="M13" s="158">
        <f t="shared" si="1"/>
        <v>0.1579079813507436</v>
      </c>
      <c r="N13" s="158">
        <f t="shared" si="2"/>
        <v>0.1428091478344371</v>
      </c>
      <c r="O13" s="158">
        <f t="shared" si="3"/>
        <v>0.1428091478344371</v>
      </c>
      <c r="P13" s="158">
        <f t="shared" si="4"/>
        <v>0.15782744071111107</v>
      </c>
      <c r="Q13" s="158">
        <f t="shared" si="5"/>
        <v>0.17460317460317459</v>
      </c>
      <c r="R13" s="158">
        <f t="shared" si="6"/>
        <v>9.5243293860425446E-2</v>
      </c>
      <c r="S13" s="158">
        <f t="shared" si="7"/>
        <v>0.17460317460317459</v>
      </c>
    </row>
    <row r="14" spans="1:19" x14ac:dyDescent="0.3">
      <c r="A14" t="s">
        <v>327</v>
      </c>
      <c r="B14" s="149" t="s">
        <v>328</v>
      </c>
      <c r="C14" s="9">
        <v>255</v>
      </c>
      <c r="D14" s="150" t="s">
        <v>315</v>
      </c>
      <c r="F14" s="151">
        <f>C14/7.5</f>
        <v>34</v>
      </c>
      <c r="G14" s="150" t="s">
        <v>308</v>
      </c>
      <c r="J14" s="156">
        <f t="shared" si="8"/>
        <v>34</v>
      </c>
      <c r="K14" s="158">
        <f t="shared" si="9"/>
        <v>0.40476190476190477</v>
      </c>
      <c r="L14" s="158">
        <f t="shared" si="10"/>
        <v>0.38492454400714282</v>
      </c>
      <c r="M14" s="158">
        <f t="shared" si="1"/>
        <v>0.36605941131308745</v>
      </c>
      <c r="N14" s="158">
        <f t="shared" si="2"/>
        <v>0.33105756997983143</v>
      </c>
      <c r="O14" s="158">
        <f t="shared" si="3"/>
        <v>0.33105756997983143</v>
      </c>
      <c r="P14" s="158">
        <f t="shared" si="4"/>
        <v>0.36587270346666662</v>
      </c>
      <c r="Q14" s="158">
        <f t="shared" si="5"/>
        <v>0.40476190476190477</v>
      </c>
      <c r="R14" s="158">
        <f t="shared" si="6"/>
        <v>0.22079127213098629</v>
      </c>
      <c r="S14" s="158">
        <f t="shared" si="7"/>
        <v>0.40476190476190477</v>
      </c>
    </row>
    <row r="15" spans="1:19" x14ac:dyDescent="0.3">
      <c r="A15" t="s">
        <v>329</v>
      </c>
      <c r="B15" s="149" t="s">
        <v>330</v>
      </c>
      <c r="C15" s="9">
        <v>115</v>
      </c>
      <c r="D15" s="150" t="s">
        <v>315</v>
      </c>
      <c r="F15" s="151">
        <f t="shared" si="0"/>
        <v>15.333333333333334</v>
      </c>
      <c r="G15" s="150" t="s">
        <v>308</v>
      </c>
      <c r="J15" s="156">
        <f t="shared" si="8"/>
        <v>15.333333333333334</v>
      </c>
      <c r="K15" s="158">
        <f t="shared" si="9"/>
        <v>0.18253968253968256</v>
      </c>
      <c r="L15" s="158">
        <f t="shared" si="10"/>
        <v>0.17359342180714285</v>
      </c>
      <c r="M15" s="158">
        <f t="shared" si="1"/>
        <v>0.16508561686668652</v>
      </c>
      <c r="N15" s="158">
        <f t="shared" si="2"/>
        <v>0.14930047273600244</v>
      </c>
      <c r="O15" s="158">
        <f t="shared" si="3"/>
        <v>0.14930047273600244</v>
      </c>
      <c r="P15" s="158">
        <f t="shared" si="4"/>
        <v>0.16500141528888887</v>
      </c>
      <c r="Q15" s="158">
        <f t="shared" si="5"/>
        <v>0.18253968253968256</v>
      </c>
      <c r="R15" s="158">
        <f t="shared" si="6"/>
        <v>9.95725344904448E-2</v>
      </c>
      <c r="S15" s="158">
        <f t="shared" si="7"/>
        <v>0.18253968253968256</v>
      </c>
    </row>
    <row r="16" spans="1:19" x14ac:dyDescent="0.3">
      <c r="A16" t="s">
        <v>331</v>
      </c>
      <c r="B16" s="149" t="s">
        <v>332</v>
      </c>
      <c r="C16" s="9"/>
      <c r="D16" s="150" t="s">
        <v>315</v>
      </c>
      <c r="F16" s="151">
        <f t="shared" si="0"/>
        <v>0</v>
      </c>
      <c r="G16" s="150" t="s">
        <v>308</v>
      </c>
      <c r="J16" s="156">
        <f t="shared" si="8"/>
        <v>0</v>
      </c>
      <c r="K16" s="158">
        <f t="shared" si="9"/>
        <v>0</v>
      </c>
      <c r="L16" s="158">
        <f t="shared" si="10"/>
        <v>0</v>
      </c>
      <c r="M16" s="158">
        <f t="shared" si="1"/>
        <v>0</v>
      </c>
      <c r="N16" s="158">
        <f t="shared" si="2"/>
        <v>0</v>
      </c>
      <c r="O16" s="158">
        <f t="shared" si="3"/>
        <v>0</v>
      </c>
      <c r="P16" s="158">
        <f t="shared" si="4"/>
        <v>0</v>
      </c>
      <c r="Q16" s="158">
        <f t="shared" si="5"/>
        <v>0</v>
      </c>
      <c r="R16" s="158">
        <f t="shared" si="6"/>
        <v>0</v>
      </c>
      <c r="S16" s="158">
        <f t="shared" si="7"/>
        <v>0</v>
      </c>
    </row>
    <row r="17" spans="1:19" ht="15" thickBot="1" x14ac:dyDescent="0.35">
      <c r="A17" t="s">
        <v>333</v>
      </c>
      <c r="B17" s="149" t="s">
        <v>334</v>
      </c>
      <c r="C17" s="9">
        <v>945</v>
      </c>
      <c r="D17" s="150" t="s">
        <v>315</v>
      </c>
      <c r="F17" s="151">
        <f t="shared" si="0"/>
        <v>126</v>
      </c>
      <c r="G17" s="150" t="s">
        <v>308</v>
      </c>
      <c r="J17" s="156">
        <f t="shared" si="8"/>
        <v>126</v>
      </c>
      <c r="K17" s="158">
        <f t="shared" si="9"/>
        <v>1.5</v>
      </c>
      <c r="L17" s="158">
        <f t="shared" si="10"/>
        <v>1.42648507485</v>
      </c>
      <c r="M17" s="158">
        <f t="shared" si="1"/>
        <v>1.3565731125132063</v>
      </c>
      <c r="N17" s="158">
        <f t="shared" si="2"/>
        <v>1.2268604063958459</v>
      </c>
      <c r="O17" s="158">
        <f t="shared" si="3"/>
        <v>1.2268604063958459</v>
      </c>
      <c r="P17" s="158">
        <f t="shared" si="4"/>
        <v>1.3558811951999998</v>
      </c>
      <c r="Q17" s="164">
        <f>K17*(1+$C$51)^5*1.5</f>
        <v>2.25</v>
      </c>
      <c r="R17" s="158">
        <f t="shared" si="6"/>
        <v>0.81822647907365509</v>
      </c>
      <c r="S17" s="164">
        <f>K17*(1+$C$51)^30*1.5</f>
        <v>2.25</v>
      </c>
    </row>
    <row r="18" spans="1:19" ht="15.6" thickTop="1" thickBot="1" x14ac:dyDescent="0.35">
      <c r="A18" t="s">
        <v>15</v>
      </c>
      <c r="B18" s="152" t="s">
        <v>335</v>
      </c>
      <c r="C18" s="153">
        <f>SUM(C12:C17)</f>
        <v>1425</v>
      </c>
      <c r="D18" s="154" t="s">
        <v>315</v>
      </c>
      <c r="F18" s="155">
        <f t="shared" si="0"/>
        <v>190</v>
      </c>
      <c r="G18" s="154" t="s">
        <v>308</v>
      </c>
      <c r="I18" t="s">
        <v>336</v>
      </c>
      <c r="J18" s="156">
        <f>F18</f>
        <v>190</v>
      </c>
      <c r="K18" s="157">
        <f>J18/$C$42</f>
        <v>2.2619047619047619</v>
      </c>
      <c r="L18" s="158">
        <f>SUM(L12:L17)</f>
        <v>2.1510489223928571</v>
      </c>
      <c r="M18" s="158">
        <f t="shared" ref="M18:P18" si="11">SUM(M12:M17)</f>
        <v>2.045626122043724</v>
      </c>
      <c r="N18" s="158">
        <f t="shared" si="11"/>
        <v>1.8500275969461168</v>
      </c>
      <c r="O18" s="158">
        <f t="shared" si="11"/>
        <v>1.8500275969461168</v>
      </c>
      <c r="P18" s="158">
        <f t="shared" si="11"/>
        <v>2.0445827546666662</v>
      </c>
      <c r="Q18" s="158">
        <f>SUM(Q12:Q17)</f>
        <v>3.0119047619047619</v>
      </c>
      <c r="R18" s="158">
        <f>SUM(R12:R17)</f>
        <v>1.2338335795555115</v>
      </c>
      <c r="S18" s="158">
        <f>SUM(S12:S17)</f>
        <v>3.0119047619047619</v>
      </c>
    </row>
    <row r="19" spans="1:19" ht="15.6" thickTop="1" thickBot="1" x14ac:dyDescent="0.35">
      <c r="B19" s="159"/>
      <c r="C19" s="160"/>
      <c r="D19" s="161"/>
      <c r="F19" s="162"/>
      <c r="G19" s="161"/>
    </row>
    <row r="20" spans="1:19" ht="15.6" thickTop="1" thickBot="1" x14ac:dyDescent="0.35">
      <c r="A20" t="s">
        <v>12</v>
      </c>
      <c r="B20" s="165" t="s">
        <v>337</v>
      </c>
      <c r="C20" s="166">
        <v>255</v>
      </c>
      <c r="D20" s="154" t="s">
        <v>315</v>
      </c>
      <c r="F20" s="155">
        <f t="shared" si="0"/>
        <v>34</v>
      </c>
      <c r="G20" s="154" t="s">
        <v>308</v>
      </c>
      <c r="I20" t="s">
        <v>338</v>
      </c>
      <c r="J20" s="156">
        <f>F20</f>
        <v>34</v>
      </c>
      <c r="K20" s="157">
        <f>J20/$C$42</f>
        <v>0.40476190476190477</v>
      </c>
      <c r="L20" s="158">
        <f>K20*(1+$C$50)^5</f>
        <v>0.38492454400714282</v>
      </c>
      <c r="M20" s="158">
        <f>K20*(1+$C$50)^10</f>
        <v>0.36605941131308745</v>
      </c>
      <c r="N20" s="158">
        <f>K20*(1+$C$50)^20</f>
        <v>0.33105756997983143</v>
      </c>
      <c r="O20" s="158">
        <f>K20*(1+$C$50)^20</f>
        <v>0.33105756997983143</v>
      </c>
      <c r="P20" s="158">
        <f>K20*(1+$C$49)^5</f>
        <v>0.36587270346666662</v>
      </c>
      <c r="Q20" s="158">
        <f>K20*(1+$C$51)^5</f>
        <v>0.40476190476190477</v>
      </c>
      <c r="R20" s="158">
        <f>K20*(1+$C$49)^30</f>
        <v>0.22079127213098629</v>
      </c>
      <c r="S20" s="158">
        <f>K20*(1+$C$51)^30</f>
        <v>0.40476190476190477</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175.1</v>
      </c>
      <c r="D23" s="150" t="s">
        <v>315</v>
      </c>
      <c r="F23" s="151">
        <f t="shared" si="0"/>
        <v>23.346666666666668</v>
      </c>
      <c r="G23" s="150" t="s">
        <v>308</v>
      </c>
      <c r="I23" t="s">
        <v>342</v>
      </c>
      <c r="J23" s="156">
        <f>F23+F31</f>
        <v>112.67999999999999</v>
      </c>
      <c r="K23" s="157">
        <f>J23/$C$42</f>
        <v>1.3414285714285714</v>
      </c>
      <c r="L23" s="158">
        <f>K23*(1+$C$50)^5</f>
        <v>1.2756852240801426</v>
      </c>
      <c r="M23" s="158">
        <f>K23*(1+$C$50)^10</f>
        <v>1.2131639549046676</v>
      </c>
      <c r="N23" s="158">
        <f>K23*(1+$C$50)^20</f>
        <v>1.0971637348625709</v>
      </c>
      <c r="O23" s="158">
        <f>K23*(1+$C$50)^20</f>
        <v>1.0971637348625709</v>
      </c>
      <c r="P23" s="158">
        <f>K23*(1+$C$49)^5</f>
        <v>1.2125451831359997</v>
      </c>
      <c r="Q23" s="158">
        <f>K23*(1+$C$51)^5</f>
        <v>1.3414285714285714</v>
      </c>
      <c r="R23" s="158">
        <f>K23*(1+$C$49)^30</f>
        <v>0.7317282512858686</v>
      </c>
      <c r="S23" s="158">
        <f>K23*(1+$C$51)^30</f>
        <v>1.3414285714285714</v>
      </c>
    </row>
    <row r="24" spans="1:19" ht="15" thickTop="1" x14ac:dyDescent="0.3">
      <c r="A24" t="s">
        <v>343</v>
      </c>
      <c r="B24" s="149" t="s">
        <v>324</v>
      </c>
      <c r="C24" s="168"/>
      <c r="D24" s="150" t="s">
        <v>315</v>
      </c>
      <c r="F24" s="151">
        <f t="shared" si="0"/>
        <v>0</v>
      </c>
      <c r="G24" s="150" t="s">
        <v>308</v>
      </c>
    </row>
    <row r="25" spans="1:19" x14ac:dyDescent="0.3">
      <c r="A25" t="s">
        <v>344</v>
      </c>
      <c r="B25" s="149" t="s">
        <v>326</v>
      </c>
      <c r="C25" s="9">
        <v>136.4</v>
      </c>
      <c r="D25" s="150" t="s">
        <v>315</v>
      </c>
      <c r="F25" s="151">
        <f t="shared" si="0"/>
        <v>18.186666666666667</v>
      </c>
      <c r="G25" s="150" t="s">
        <v>308</v>
      </c>
    </row>
    <row r="26" spans="1:19" x14ac:dyDescent="0.3">
      <c r="A26" t="s">
        <v>345</v>
      </c>
      <c r="B26" s="149" t="s">
        <v>328</v>
      </c>
      <c r="C26" s="9">
        <v>316.2</v>
      </c>
      <c r="D26" s="150" t="s">
        <v>315</v>
      </c>
      <c r="F26" s="151">
        <f t="shared" si="0"/>
        <v>42.16</v>
      </c>
      <c r="G26" s="150" t="s">
        <v>308</v>
      </c>
    </row>
    <row r="27" spans="1:19" x14ac:dyDescent="0.3">
      <c r="A27" t="s">
        <v>346</v>
      </c>
      <c r="B27" s="149" t="s">
        <v>330</v>
      </c>
      <c r="C27" s="174">
        <v>35.65</v>
      </c>
      <c r="D27" s="150" t="s">
        <v>315</v>
      </c>
      <c r="F27" s="151">
        <f t="shared" si="0"/>
        <v>4.753333333333333</v>
      </c>
      <c r="G27" s="150" t="s">
        <v>308</v>
      </c>
    </row>
    <row r="28" spans="1:19" x14ac:dyDescent="0.3">
      <c r="A28" t="s">
        <v>347</v>
      </c>
      <c r="B28" s="149" t="s">
        <v>334</v>
      </c>
      <c r="C28" s="9">
        <v>275</v>
      </c>
      <c r="D28" s="150" t="s">
        <v>315</v>
      </c>
      <c r="F28" s="151">
        <f t="shared" si="0"/>
        <v>36.666666666666664</v>
      </c>
      <c r="G28" s="150" t="s">
        <v>308</v>
      </c>
    </row>
    <row r="29" spans="1:19" ht="15" thickBot="1" x14ac:dyDescent="0.35">
      <c r="A29" t="s">
        <v>348</v>
      </c>
      <c r="B29" s="149" t="s">
        <v>349</v>
      </c>
      <c r="C29" s="9"/>
      <c r="D29" s="150" t="s">
        <v>315</v>
      </c>
      <c r="F29" s="151">
        <f t="shared" si="0"/>
        <v>0</v>
      </c>
      <c r="G29" s="150" t="s">
        <v>308</v>
      </c>
    </row>
    <row r="30" spans="1:19" ht="15.6" thickTop="1" thickBot="1" x14ac:dyDescent="0.35">
      <c r="A30" t="s">
        <v>350</v>
      </c>
      <c r="B30" s="149" t="s">
        <v>351</v>
      </c>
      <c r="C30" s="9"/>
      <c r="D30" s="150" t="s">
        <v>315</v>
      </c>
      <c r="F30" s="151">
        <f t="shared" si="0"/>
        <v>0</v>
      </c>
      <c r="G30" s="150" t="s">
        <v>308</v>
      </c>
      <c r="I30" t="s">
        <v>352</v>
      </c>
      <c r="J30" s="156">
        <f>F24+F25+F26+F27+F28+F29+F30</f>
        <v>101.76666666666665</v>
      </c>
      <c r="K30" s="157">
        <f>J30/$C$42</f>
        <v>1.2115079365079364</v>
      </c>
      <c r="L30" s="158">
        <f>K30*(1+$C$50)^5</f>
        <v>1.1521319929939284</v>
      </c>
      <c r="M30" s="158">
        <f>K30*(1+$C$50)^10</f>
        <v>1.0956660615086822</v>
      </c>
      <c r="N30" s="158">
        <f>K30*(1+$C$50)^20</f>
        <v>0.99090074622394642</v>
      </c>
      <c r="O30" s="158">
        <f>K30*(1+$C$50)^20</f>
        <v>0.99090074622394642</v>
      </c>
      <c r="P30" s="158">
        <f>K30*(1+$C$49)^5</f>
        <v>1.0951072192977775</v>
      </c>
      <c r="Q30" s="158">
        <f>K30*(1+$C$51)^5</f>
        <v>1.2115079365079364</v>
      </c>
      <c r="R30" s="158">
        <f>K30*(1+$C$49)^30</f>
        <v>0.66085858217245197</v>
      </c>
      <c r="S30" s="158">
        <f>K30*(1+$C$51)^30</f>
        <v>1.2115079365079364</v>
      </c>
    </row>
    <row r="31" spans="1:19" ht="15.6" thickTop="1" thickBot="1" x14ac:dyDescent="0.35">
      <c r="A31" t="s">
        <v>353</v>
      </c>
      <c r="B31" s="149" t="s">
        <v>354</v>
      </c>
      <c r="C31" s="9">
        <v>670</v>
      </c>
      <c r="D31" s="150" t="s">
        <v>315</v>
      </c>
      <c r="F31" s="151">
        <f t="shared" si="0"/>
        <v>89.333333333333329</v>
      </c>
      <c r="G31" s="150" t="s">
        <v>308</v>
      </c>
    </row>
    <row r="32" spans="1:19" ht="15.6" thickTop="1" thickBot="1" x14ac:dyDescent="0.35">
      <c r="A32" t="s">
        <v>355</v>
      </c>
      <c r="B32" s="149" t="s">
        <v>356</v>
      </c>
      <c r="C32" s="9">
        <v>571.20000000000005</v>
      </c>
      <c r="D32" s="150" t="s">
        <v>315</v>
      </c>
      <c r="F32" s="151">
        <f t="shared" si="0"/>
        <v>76.160000000000011</v>
      </c>
      <c r="G32" s="150" t="s">
        <v>308</v>
      </c>
      <c r="I32" t="s">
        <v>357</v>
      </c>
      <c r="J32" s="156">
        <f>F32</f>
        <v>76.160000000000011</v>
      </c>
      <c r="K32" s="157">
        <f>J32/$C$42</f>
        <v>0.90666666666666684</v>
      </c>
      <c r="L32" s="158">
        <f>K32*(1+$C$50)^5</f>
        <v>0.86223097857600006</v>
      </c>
      <c r="M32" s="158">
        <f>K32*(1+$C$50)^10</f>
        <v>0.81997308134131608</v>
      </c>
      <c r="N32" s="158">
        <f>K32*(1+$C$50)^20</f>
        <v>0.74156895675482259</v>
      </c>
      <c r="O32" s="158">
        <f>K32*(1+$C$50)^20</f>
        <v>0.74156895675482259</v>
      </c>
      <c r="P32" s="158">
        <f>K32*(1+$C$49)^5</f>
        <v>0.81955485576533338</v>
      </c>
      <c r="Q32" s="158">
        <f>K32*(1+$C$51)^5</f>
        <v>0.90666666666666684</v>
      </c>
      <c r="R32" s="158">
        <f>K32*(1+$C$49)^30</f>
        <v>0.49457244957340935</v>
      </c>
      <c r="S32" s="158">
        <f>K32*(1+$C$51)^30</f>
        <v>0.90666666666666684</v>
      </c>
    </row>
    <row r="33" spans="1:20" ht="15" thickTop="1" x14ac:dyDescent="0.3">
      <c r="A33" t="s">
        <v>13</v>
      </c>
      <c r="B33" s="152" t="s">
        <v>358</v>
      </c>
      <c r="C33" s="166">
        <f>SUM(C23:C32)</f>
        <v>2179.5500000000002</v>
      </c>
      <c r="D33" s="154" t="s">
        <v>315</v>
      </c>
      <c r="F33" s="155">
        <f t="shared" si="0"/>
        <v>290.60666666666668</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400</v>
      </c>
      <c r="D36" s="150" t="s">
        <v>315</v>
      </c>
      <c r="F36" s="151">
        <f t="shared" si="0"/>
        <v>53.333333333333336</v>
      </c>
      <c r="G36" s="150" t="s">
        <v>308</v>
      </c>
      <c r="I36" t="s">
        <v>361</v>
      </c>
      <c r="J36" s="156">
        <f>F36</f>
        <v>53.333333333333336</v>
      </c>
      <c r="K36" s="157">
        <f>J36/$C$42</f>
        <v>0.634920634920635</v>
      </c>
      <c r="L36" s="158">
        <f>K36*(1+$C$50)^5</f>
        <v>0.60380320628571427</v>
      </c>
      <c r="M36" s="158">
        <f>K36*(1+$C$50)^10</f>
        <v>0.57421084127543132</v>
      </c>
      <c r="N36" s="158">
        <f>K36*(1+$C$50)^20</f>
        <v>0.51930599212522588</v>
      </c>
      <c r="O36" s="158">
        <f>K36*(1+$C$50)^20</f>
        <v>0.51930599212522588</v>
      </c>
      <c r="P36" s="158">
        <f>K36*(1+$C$49)^5</f>
        <v>0.57391796622222213</v>
      </c>
      <c r="Q36" s="158">
        <f>K36*(1+$C$51)^5</f>
        <v>0.634920634920635</v>
      </c>
      <c r="R36" s="158">
        <f>K36*(1+$C$49)^30</f>
        <v>0.34633925040154717</v>
      </c>
      <c r="S36" s="158">
        <f>K36*(1+$C$51)^30</f>
        <v>0.634920634920635</v>
      </c>
    </row>
    <row r="37" spans="1:20" ht="15" thickTop="1" x14ac:dyDescent="0.3">
      <c r="A37" t="s">
        <v>16</v>
      </c>
      <c r="B37" s="152" t="s">
        <v>362</v>
      </c>
      <c r="C37" s="153">
        <f>SUM(C36)</f>
        <v>400</v>
      </c>
      <c r="D37" s="154" t="s">
        <v>315</v>
      </c>
      <c r="F37" s="155">
        <f t="shared" si="0"/>
        <v>53.333333333333336</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84</v>
      </c>
      <c r="D42" s="150" t="s">
        <v>367</v>
      </c>
      <c r="F42" s="171"/>
      <c r="G42" s="150"/>
    </row>
    <row r="43" spans="1:20" x14ac:dyDescent="0.3">
      <c r="B43" s="149" t="s">
        <v>368</v>
      </c>
      <c r="C43" s="168">
        <f>C39+C37+C33+C20+C18+C9</f>
        <v>4454.55</v>
      </c>
      <c r="D43" s="150" t="s">
        <v>315</v>
      </c>
      <c r="F43" s="151">
        <f>C43/7.5</f>
        <v>593.94000000000005</v>
      </c>
      <c r="G43" s="150" t="s">
        <v>308</v>
      </c>
      <c r="J43" s="172">
        <f>J9+J18+J20+J23+J30+J32+J36+J39</f>
        <v>593.94000000000005</v>
      </c>
      <c r="K43" s="172">
        <f t="shared" ref="K43:S43" si="12">K9+K18+K20+K23+K30+K32+K36+K39</f>
        <v>7.0707142857142857</v>
      </c>
      <c r="L43" s="156">
        <f t="shared" si="12"/>
        <v>6.7241789314000711</v>
      </c>
      <c r="M43" s="156">
        <f t="shared" si="12"/>
        <v>6.3946272575086809</v>
      </c>
      <c r="N43" s="156">
        <f t="shared" si="12"/>
        <v>5.7831862680535613</v>
      </c>
      <c r="O43" s="156">
        <f t="shared" si="12"/>
        <v>5.7831862680535613</v>
      </c>
      <c r="P43" s="156">
        <f t="shared" si="12"/>
        <v>6.3913656910879988</v>
      </c>
      <c r="Q43" s="156">
        <f t="shared" si="12"/>
        <v>7.8207142857142857</v>
      </c>
      <c r="R43" s="156">
        <f t="shared" si="12"/>
        <v>3.8569637696905295</v>
      </c>
      <c r="S43" s="156">
        <f t="shared" si="12"/>
        <v>7.8207142857142857</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topLeftCell="A10" workbookViewId="0">
      <selection activeCell="I46" sqref="I46"/>
    </sheetView>
  </sheetViews>
  <sheetFormatPr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90</v>
      </c>
      <c r="D4" s="150" t="s">
        <v>315</v>
      </c>
      <c r="F4" s="151">
        <f>C4/7.5</f>
        <v>12</v>
      </c>
      <c r="G4" s="150" t="s">
        <v>308</v>
      </c>
    </row>
    <row r="5" spans="1:19" x14ac:dyDescent="0.3">
      <c r="B5" s="149" t="s">
        <v>316</v>
      </c>
      <c r="C5" s="9">
        <v>20</v>
      </c>
      <c r="D5" s="150" t="s">
        <v>315</v>
      </c>
      <c r="F5" s="151">
        <f t="shared" ref="F5:F39" si="0">C5/7.5</f>
        <v>2.6666666666666665</v>
      </c>
      <c r="G5" s="150" t="s">
        <v>308</v>
      </c>
    </row>
    <row r="6" spans="1:19" x14ac:dyDescent="0.3">
      <c r="B6" s="149" t="s">
        <v>317</v>
      </c>
      <c r="C6" s="9">
        <v>55</v>
      </c>
      <c r="D6" s="150" t="s">
        <v>315</v>
      </c>
      <c r="F6" s="151">
        <f t="shared" si="0"/>
        <v>7.333333333333333</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195</v>
      </c>
      <c r="D9" s="154" t="s">
        <v>315</v>
      </c>
      <c r="F9" s="155">
        <f t="shared" si="0"/>
        <v>26</v>
      </c>
      <c r="G9" s="154" t="s">
        <v>308</v>
      </c>
      <c r="I9" t="s">
        <v>321</v>
      </c>
      <c r="J9" s="156">
        <f>F9</f>
        <v>26</v>
      </c>
      <c r="K9" s="157">
        <f>J9/$C$42</f>
        <v>0.2</v>
      </c>
      <c r="L9" s="158">
        <f>K9*(1+$C$50)^5</f>
        <v>0.19019800998</v>
      </c>
      <c r="M9" s="158">
        <f>K9*(1+$C$50)^10</f>
        <v>0.18087641500176088</v>
      </c>
      <c r="N9" s="158">
        <f>K9*(1+$C$50)^20</f>
        <v>0.16358138751944615</v>
      </c>
      <c r="O9" s="158">
        <f>K9*(1+$C$50)^20</f>
        <v>0.16358138751944615</v>
      </c>
      <c r="P9" s="158">
        <f>K9*(1+$C$49)^5</f>
        <v>0.18078415935999997</v>
      </c>
      <c r="Q9" s="158">
        <f>K9*(1+$C$51)^5</f>
        <v>0.2</v>
      </c>
      <c r="R9" s="158">
        <f>K9*(1+$C$49)^30</f>
        <v>0.10909686387648734</v>
      </c>
      <c r="S9" s="158">
        <f>K9*(1+$C$51)^30</f>
        <v>0.2</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c r="D12" s="150" t="s">
        <v>315</v>
      </c>
      <c r="F12" s="151">
        <f t="shared" si="0"/>
        <v>0</v>
      </c>
      <c r="G12" s="150" t="s">
        <v>308</v>
      </c>
      <c r="J12" s="156">
        <f>F12</f>
        <v>0</v>
      </c>
      <c r="K12" s="158">
        <f>J12/$C$42</f>
        <v>0</v>
      </c>
      <c r="L12" s="158">
        <f>K12*(1+$C$50)^5</f>
        <v>0</v>
      </c>
      <c r="M12" s="158">
        <f t="shared" ref="M12:M17" si="1">K12*(1+$C$50)^10</f>
        <v>0</v>
      </c>
      <c r="N12" s="158">
        <f t="shared" ref="N12:N17" si="2">K12*(1+$C$50)^20</f>
        <v>0</v>
      </c>
      <c r="O12" s="158">
        <f t="shared" ref="O12:O17" si="3">K12*(1+$C$50)^20</f>
        <v>0</v>
      </c>
      <c r="P12" s="158">
        <f t="shared" ref="P12:P17" si="4">K12*(1+$C$49)^5</f>
        <v>0</v>
      </c>
      <c r="Q12" s="158">
        <f t="shared" ref="Q12:Q16" si="5">K12*(1+$C$51)^5</f>
        <v>0</v>
      </c>
      <c r="R12" s="158">
        <f t="shared" ref="R12:R17" si="6">K12*(1+$C$49)^30</f>
        <v>0</v>
      </c>
      <c r="S12" s="158">
        <f t="shared" ref="S12:S16" si="7">K12*(1+$C$51)^30</f>
        <v>0</v>
      </c>
    </row>
    <row r="13" spans="1:19" x14ac:dyDescent="0.3">
      <c r="A13" t="s">
        <v>325</v>
      </c>
      <c r="B13" s="149" t="s">
        <v>326</v>
      </c>
      <c r="C13" s="9">
        <v>180</v>
      </c>
      <c r="D13" s="150" t="s">
        <v>315</v>
      </c>
      <c r="F13" s="151">
        <f>C13/7.5</f>
        <v>24</v>
      </c>
      <c r="G13" s="150" t="s">
        <v>308</v>
      </c>
      <c r="J13" s="156">
        <f t="shared" ref="J13:J17" si="8">F13</f>
        <v>24</v>
      </c>
      <c r="K13" s="158">
        <f t="shared" ref="K13:K17" si="9">J13/$C$42</f>
        <v>0.18461538461538463</v>
      </c>
      <c r="L13" s="158">
        <f t="shared" ref="L13:L17" si="10">K13*(1+$C$50)^5</f>
        <v>0.17556739382769229</v>
      </c>
      <c r="M13" s="158">
        <f t="shared" si="1"/>
        <v>0.16696284461701003</v>
      </c>
      <c r="N13" s="158">
        <f t="shared" si="2"/>
        <v>0.15099820386410412</v>
      </c>
      <c r="O13" s="158">
        <f t="shared" si="3"/>
        <v>0.15099820386410412</v>
      </c>
      <c r="P13" s="158">
        <f t="shared" si="4"/>
        <v>0.16687768556307689</v>
      </c>
      <c r="Q13" s="158">
        <f t="shared" si="5"/>
        <v>0.18461538461538463</v>
      </c>
      <c r="R13" s="158">
        <f t="shared" si="6"/>
        <v>0.10070479742444985</v>
      </c>
      <c r="S13" s="158">
        <f t="shared" si="7"/>
        <v>0.18461538461538463</v>
      </c>
    </row>
    <row r="14" spans="1:19" x14ac:dyDescent="0.3">
      <c r="A14" t="s">
        <v>327</v>
      </c>
      <c r="B14" s="149" t="s">
        <v>328</v>
      </c>
      <c r="C14" s="9">
        <v>420</v>
      </c>
      <c r="D14" s="150" t="s">
        <v>315</v>
      </c>
      <c r="F14" s="151">
        <f>C14/7.5</f>
        <v>56</v>
      </c>
      <c r="G14" s="150" t="s">
        <v>308</v>
      </c>
      <c r="J14" s="156">
        <f t="shared" si="8"/>
        <v>56</v>
      </c>
      <c r="K14" s="158">
        <f t="shared" si="9"/>
        <v>0.43076923076923079</v>
      </c>
      <c r="L14" s="158">
        <f t="shared" si="10"/>
        <v>0.40965725226461536</v>
      </c>
      <c r="M14" s="158">
        <f t="shared" si="1"/>
        <v>0.38957997077302342</v>
      </c>
      <c r="N14" s="158">
        <f t="shared" si="2"/>
        <v>0.3523291423495763</v>
      </c>
      <c r="O14" s="158">
        <f t="shared" si="3"/>
        <v>0.3523291423495763</v>
      </c>
      <c r="P14" s="158">
        <f t="shared" si="4"/>
        <v>0.38938126631384612</v>
      </c>
      <c r="Q14" s="158">
        <f t="shared" si="5"/>
        <v>0.43076923076923079</v>
      </c>
      <c r="R14" s="158">
        <f t="shared" si="6"/>
        <v>0.23497786065704968</v>
      </c>
      <c r="S14" s="158">
        <f t="shared" si="7"/>
        <v>0.43076923076923079</v>
      </c>
    </row>
    <row r="15" spans="1:19" x14ac:dyDescent="0.3">
      <c r="A15" t="s">
        <v>329</v>
      </c>
      <c r="B15" s="149" t="s">
        <v>330</v>
      </c>
      <c r="C15" s="9">
        <v>130</v>
      </c>
      <c r="D15" s="150" t="s">
        <v>315</v>
      </c>
      <c r="F15" s="151">
        <f t="shared" si="0"/>
        <v>17.333333333333332</v>
      </c>
      <c r="G15" s="150" t="s">
        <v>308</v>
      </c>
      <c r="J15" s="156">
        <f t="shared" si="8"/>
        <v>17.333333333333332</v>
      </c>
      <c r="K15" s="158">
        <f t="shared" si="9"/>
        <v>0.13333333333333333</v>
      </c>
      <c r="L15" s="158">
        <f t="shared" si="10"/>
        <v>0.12679867332</v>
      </c>
      <c r="M15" s="158">
        <f t="shared" si="1"/>
        <v>0.12058427666784056</v>
      </c>
      <c r="N15" s="158">
        <f t="shared" si="2"/>
        <v>0.10905425834629742</v>
      </c>
      <c r="O15" s="158">
        <f t="shared" si="3"/>
        <v>0.10905425834629742</v>
      </c>
      <c r="P15" s="158">
        <f t="shared" si="4"/>
        <v>0.12052277290666664</v>
      </c>
      <c r="Q15" s="158">
        <f t="shared" si="5"/>
        <v>0.13333333333333333</v>
      </c>
      <c r="R15" s="158">
        <f t="shared" si="6"/>
        <v>7.2731242584324896E-2</v>
      </c>
      <c r="S15" s="158">
        <f t="shared" si="7"/>
        <v>0.13333333333333333</v>
      </c>
    </row>
    <row r="16" spans="1:19" x14ac:dyDescent="0.3">
      <c r="A16" t="s">
        <v>331</v>
      </c>
      <c r="B16" s="149" t="s">
        <v>332</v>
      </c>
      <c r="C16" s="9"/>
      <c r="D16" s="150" t="s">
        <v>315</v>
      </c>
      <c r="F16" s="151">
        <f t="shared" si="0"/>
        <v>0</v>
      </c>
      <c r="G16" s="150" t="s">
        <v>308</v>
      </c>
      <c r="J16" s="156">
        <f t="shared" si="8"/>
        <v>0</v>
      </c>
      <c r="K16" s="158">
        <f t="shared" si="9"/>
        <v>0</v>
      </c>
      <c r="L16" s="158">
        <f t="shared" si="10"/>
        <v>0</v>
      </c>
      <c r="M16" s="158">
        <f t="shared" si="1"/>
        <v>0</v>
      </c>
      <c r="N16" s="158">
        <f t="shared" si="2"/>
        <v>0</v>
      </c>
      <c r="O16" s="158">
        <f t="shared" si="3"/>
        <v>0</v>
      </c>
      <c r="P16" s="158">
        <f t="shared" si="4"/>
        <v>0</v>
      </c>
      <c r="Q16" s="158">
        <f t="shared" si="5"/>
        <v>0</v>
      </c>
      <c r="R16" s="158">
        <f t="shared" si="6"/>
        <v>0</v>
      </c>
      <c r="S16" s="158">
        <f t="shared" si="7"/>
        <v>0</v>
      </c>
    </row>
    <row r="17" spans="1:19" ht="15" thickBot="1" x14ac:dyDescent="0.35">
      <c r="A17" t="s">
        <v>333</v>
      </c>
      <c r="B17" s="149" t="s">
        <v>334</v>
      </c>
      <c r="C17" s="9">
        <v>1575</v>
      </c>
      <c r="D17" s="150" t="s">
        <v>315</v>
      </c>
      <c r="F17" s="151">
        <f t="shared" si="0"/>
        <v>210</v>
      </c>
      <c r="G17" s="150" t="s">
        <v>308</v>
      </c>
      <c r="J17" s="156">
        <f t="shared" si="8"/>
        <v>210</v>
      </c>
      <c r="K17" s="158">
        <f t="shared" si="9"/>
        <v>1.6153846153846154</v>
      </c>
      <c r="L17" s="158">
        <f t="shared" si="10"/>
        <v>1.5362146959923075</v>
      </c>
      <c r="M17" s="158">
        <f t="shared" si="1"/>
        <v>1.4609248903988377</v>
      </c>
      <c r="N17" s="158">
        <f t="shared" si="2"/>
        <v>1.321234283810911</v>
      </c>
      <c r="O17" s="158">
        <f t="shared" si="3"/>
        <v>1.321234283810911</v>
      </c>
      <c r="P17" s="158">
        <f t="shared" si="4"/>
        <v>1.4601797486769228</v>
      </c>
      <c r="Q17" s="164">
        <f>K17*(1+$C$51)^5*1.5</f>
        <v>2.4230769230769234</v>
      </c>
      <c r="R17" s="158">
        <f t="shared" si="6"/>
        <v>0.88116697746393624</v>
      </c>
      <c r="S17" s="164">
        <f>K17*(1+$C$51)^30*1.5</f>
        <v>2.4230769230769234</v>
      </c>
    </row>
    <row r="18" spans="1:19" ht="15.6" thickTop="1" thickBot="1" x14ac:dyDescent="0.35">
      <c r="A18" t="s">
        <v>15</v>
      </c>
      <c r="B18" s="152" t="s">
        <v>335</v>
      </c>
      <c r="C18" s="153">
        <f>SUM(C12:C17)</f>
        <v>2305</v>
      </c>
      <c r="D18" s="154" t="s">
        <v>315</v>
      </c>
      <c r="F18" s="155">
        <f t="shared" si="0"/>
        <v>307.33333333333331</v>
      </c>
      <c r="G18" s="154" t="s">
        <v>308</v>
      </c>
      <c r="I18" t="s">
        <v>336</v>
      </c>
      <c r="J18" s="156">
        <f>F18</f>
        <v>307.33333333333331</v>
      </c>
      <c r="K18" s="157">
        <f>J18/$C$42</f>
        <v>2.3641025641025641</v>
      </c>
      <c r="L18" s="158">
        <f>SUM(L12:L17)</f>
        <v>2.2482380154046151</v>
      </c>
      <c r="M18" s="158">
        <f t="shared" ref="M18:P18" si="11">SUM(M12:M17)</f>
        <v>2.1380519824567115</v>
      </c>
      <c r="N18" s="158">
        <f t="shared" si="11"/>
        <v>1.9336158883708889</v>
      </c>
      <c r="O18" s="158">
        <f t="shared" si="11"/>
        <v>1.9336158883708889</v>
      </c>
      <c r="P18" s="158">
        <f t="shared" si="11"/>
        <v>2.1369614734605125</v>
      </c>
      <c r="Q18" s="158">
        <f>SUM(Q12:Q17)</f>
        <v>3.1717948717948721</v>
      </c>
      <c r="R18" s="158">
        <f>SUM(R12:R17)</f>
        <v>1.2895808781297606</v>
      </c>
      <c r="S18" s="158">
        <f>SUM(S12:S17)</f>
        <v>3.1717948717948721</v>
      </c>
    </row>
    <row r="19" spans="1:19" ht="15.6" thickTop="1" thickBot="1" x14ac:dyDescent="0.35">
      <c r="B19" s="159"/>
      <c r="C19" s="160"/>
      <c r="D19" s="161"/>
      <c r="F19" s="162"/>
      <c r="G19" s="161"/>
    </row>
    <row r="20" spans="1:19" ht="15.6" thickTop="1" thickBot="1" x14ac:dyDescent="0.35">
      <c r="A20" t="s">
        <v>12</v>
      </c>
      <c r="B20" s="165" t="s">
        <v>337</v>
      </c>
      <c r="C20" s="166">
        <v>418</v>
      </c>
      <c r="D20" s="154" t="s">
        <v>315</v>
      </c>
      <c r="F20" s="155">
        <f t="shared" si="0"/>
        <v>55.733333333333334</v>
      </c>
      <c r="G20" s="154" t="s">
        <v>308</v>
      </c>
      <c r="I20" t="s">
        <v>338</v>
      </c>
      <c r="J20" s="156">
        <f>F20</f>
        <v>55.733333333333334</v>
      </c>
      <c r="K20" s="157">
        <f>J20/$C$42</f>
        <v>0.42871794871794872</v>
      </c>
      <c r="L20" s="158">
        <f>K20*(1+$C$50)^5</f>
        <v>0.40770650344430764</v>
      </c>
      <c r="M20" s="158">
        <f>K20*(1+$C$50)^10</f>
        <v>0.38772482805505659</v>
      </c>
      <c r="N20" s="158">
        <f>K20*(1+$C$50)^20</f>
        <v>0.35065138452886402</v>
      </c>
      <c r="O20" s="158">
        <f>K20*(1+$C$50)^20</f>
        <v>0.35065138452886402</v>
      </c>
      <c r="P20" s="158">
        <f>K20*(1+$C$49)^5</f>
        <v>0.38752706980758966</v>
      </c>
      <c r="Q20" s="158">
        <f>K20*(1+$C$51)^5</f>
        <v>0.42871794871794872</v>
      </c>
      <c r="R20" s="158">
        <f>K20*(1+$C$49)^30</f>
        <v>0.23385891846344464</v>
      </c>
      <c r="S20" s="158">
        <f>K20*(1+$C$51)^30</f>
        <v>0.42871794871794872</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175</v>
      </c>
      <c r="D23" s="150" t="s">
        <v>315</v>
      </c>
      <c r="F23" s="151">
        <f t="shared" si="0"/>
        <v>23.333333333333332</v>
      </c>
      <c r="G23" s="150" t="s">
        <v>308</v>
      </c>
      <c r="I23" t="s">
        <v>342</v>
      </c>
      <c r="J23" s="156">
        <f>F23+F31</f>
        <v>112.66666666666666</v>
      </c>
      <c r="K23" s="157">
        <f>J23/$C$42</f>
        <v>0.86666666666666659</v>
      </c>
      <c r="L23" s="158">
        <f>K23*(1+$C$50)^5</f>
        <v>0.82419137657999986</v>
      </c>
      <c r="M23" s="158">
        <f>K23*(1+$C$50)^10</f>
        <v>0.78379779834096364</v>
      </c>
      <c r="N23" s="158">
        <f>K23*(1+$C$50)^20</f>
        <v>0.7088526792509332</v>
      </c>
      <c r="O23" s="158">
        <f>K23*(1+$C$50)^20</f>
        <v>0.7088526792509332</v>
      </c>
      <c r="P23" s="158">
        <f>K23*(1+$C$49)^5</f>
        <v>0.78339802389333313</v>
      </c>
      <c r="Q23" s="158">
        <f>K23*(1+$C$51)^5</f>
        <v>0.86666666666666659</v>
      </c>
      <c r="R23" s="158">
        <f>K23*(1+$C$49)^30</f>
        <v>0.47275307679811174</v>
      </c>
      <c r="S23" s="158">
        <f>K23*(1+$C$51)^30</f>
        <v>0.86666666666666659</v>
      </c>
    </row>
    <row r="24" spans="1:19" ht="15" thickTop="1" x14ac:dyDescent="0.3">
      <c r="A24" t="s">
        <v>343</v>
      </c>
      <c r="B24" s="149" t="s">
        <v>324</v>
      </c>
      <c r="C24" s="168"/>
      <c r="D24" s="150" t="s">
        <v>315</v>
      </c>
      <c r="F24" s="151">
        <f t="shared" si="0"/>
        <v>0</v>
      </c>
      <c r="G24" s="150" t="s">
        <v>308</v>
      </c>
    </row>
    <row r="25" spans="1:19" x14ac:dyDescent="0.3">
      <c r="A25" t="s">
        <v>344</v>
      </c>
      <c r="B25" s="149" t="s">
        <v>326</v>
      </c>
      <c r="C25" s="9">
        <v>223.2</v>
      </c>
      <c r="D25" s="150" t="s">
        <v>315</v>
      </c>
      <c r="F25" s="151">
        <f t="shared" si="0"/>
        <v>29.759999999999998</v>
      </c>
      <c r="G25" s="150" t="s">
        <v>308</v>
      </c>
    </row>
    <row r="26" spans="1:19" x14ac:dyDescent="0.3">
      <c r="A26" t="s">
        <v>345</v>
      </c>
      <c r="B26" s="149" t="s">
        <v>328</v>
      </c>
      <c r="C26" s="9">
        <v>520.79999999999995</v>
      </c>
      <c r="D26" s="150" t="s">
        <v>315</v>
      </c>
      <c r="F26" s="151">
        <f t="shared" si="0"/>
        <v>69.44</v>
      </c>
      <c r="G26" s="150" t="s">
        <v>308</v>
      </c>
    </row>
    <row r="27" spans="1:19" x14ac:dyDescent="0.3">
      <c r="A27" t="s">
        <v>346</v>
      </c>
      <c r="B27" s="149" t="s">
        <v>330</v>
      </c>
      <c r="C27" s="9">
        <v>40.299999999999997</v>
      </c>
      <c r="D27" s="150" t="s">
        <v>315</v>
      </c>
      <c r="F27" s="151">
        <f t="shared" si="0"/>
        <v>5.3733333333333331</v>
      </c>
      <c r="G27" s="150" t="s">
        <v>308</v>
      </c>
    </row>
    <row r="28" spans="1:19" x14ac:dyDescent="0.3">
      <c r="A28" t="s">
        <v>347</v>
      </c>
      <c r="B28" s="149" t="s">
        <v>334</v>
      </c>
      <c r="C28" s="9">
        <v>427</v>
      </c>
      <c r="D28" s="150" t="s">
        <v>315</v>
      </c>
      <c r="F28" s="151">
        <f t="shared" si="0"/>
        <v>56.93333333333333</v>
      </c>
      <c r="G28" s="150" t="s">
        <v>308</v>
      </c>
    </row>
    <row r="29" spans="1:19" ht="15" thickBot="1" x14ac:dyDescent="0.35">
      <c r="A29" t="s">
        <v>348</v>
      </c>
      <c r="B29" s="149" t="s">
        <v>349</v>
      </c>
      <c r="C29" s="9"/>
      <c r="D29" s="150" t="s">
        <v>315</v>
      </c>
      <c r="F29" s="151">
        <f t="shared" si="0"/>
        <v>0</v>
      </c>
      <c r="G29" s="150" t="s">
        <v>308</v>
      </c>
    </row>
    <row r="30" spans="1:19" ht="15.6" thickTop="1" thickBot="1" x14ac:dyDescent="0.35">
      <c r="A30" t="s">
        <v>350</v>
      </c>
      <c r="B30" s="149" t="s">
        <v>351</v>
      </c>
      <c r="C30" s="9"/>
      <c r="D30" s="150" t="s">
        <v>315</v>
      </c>
      <c r="F30" s="151">
        <f t="shared" si="0"/>
        <v>0</v>
      </c>
      <c r="G30" s="150" t="s">
        <v>308</v>
      </c>
      <c r="I30" t="s">
        <v>352</v>
      </c>
      <c r="J30" s="156">
        <f>F24+F25+F26+F27+F28+F29+F30</f>
        <v>161.50666666666666</v>
      </c>
      <c r="K30" s="157">
        <f>J30/$C$42</f>
        <v>1.2423589743589742</v>
      </c>
      <c r="L30" s="158">
        <f>K30*(1+$C$50)^5</f>
        <v>1.1814710230193537</v>
      </c>
      <c r="M30" s="158">
        <f>K30*(1+$C$50)^10</f>
        <v>1.1235671871365791</v>
      </c>
      <c r="N30" s="158">
        <f>K30*(1+$C$50)^20</f>
        <v>1.016134024114385</v>
      </c>
      <c r="O30" s="158">
        <f>K30*(1+$C$50)^20</f>
        <v>1.016134024114385</v>
      </c>
      <c r="P30" s="158">
        <f>K30*(1+$C$49)^5</f>
        <v>1.1229941140141946</v>
      </c>
      <c r="Q30" s="158">
        <f>K30*(1+$C$51)^5</f>
        <v>1.2423589743589742</v>
      </c>
      <c r="R30" s="158">
        <f>K30*(1+$C$49)^30</f>
        <v>0.67768733955686722</v>
      </c>
      <c r="S30" s="158">
        <f>K30*(1+$C$51)^30</f>
        <v>1.2423589743589742</v>
      </c>
    </row>
    <row r="31" spans="1:19" ht="15.6" thickTop="1" thickBot="1" x14ac:dyDescent="0.35">
      <c r="A31" t="s">
        <v>353</v>
      </c>
      <c r="B31" s="149" t="s">
        <v>354</v>
      </c>
      <c r="C31" s="9">
        <v>670</v>
      </c>
      <c r="D31" s="150" t="s">
        <v>315</v>
      </c>
      <c r="F31" s="151">
        <f t="shared" si="0"/>
        <v>89.333333333333329</v>
      </c>
      <c r="G31" s="150" t="s">
        <v>308</v>
      </c>
    </row>
    <row r="32" spans="1:19" ht="15.6" thickTop="1" thickBot="1" x14ac:dyDescent="0.35">
      <c r="A32" t="s">
        <v>355</v>
      </c>
      <c r="B32" s="149" t="s">
        <v>356</v>
      </c>
      <c r="C32" s="9">
        <v>884</v>
      </c>
      <c r="D32" s="150" t="s">
        <v>315</v>
      </c>
      <c r="F32" s="151">
        <f t="shared" si="0"/>
        <v>117.86666666666666</v>
      </c>
      <c r="G32" s="150" t="s">
        <v>308</v>
      </c>
      <c r="I32" t="s">
        <v>357</v>
      </c>
      <c r="J32" s="156">
        <f>F32</f>
        <v>117.86666666666666</v>
      </c>
      <c r="K32" s="157">
        <f>J32/$C$42</f>
        <v>0.90666666666666662</v>
      </c>
      <c r="L32" s="158">
        <f>K32*(1+$C$50)^5</f>
        <v>0.86223097857599984</v>
      </c>
      <c r="M32" s="158">
        <f>K32*(1+$C$50)^10</f>
        <v>0.81997308134131586</v>
      </c>
      <c r="N32" s="158">
        <f>K32*(1+$C$50)^20</f>
        <v>0.74156895675482237</v>
      </c>
      <c r="O32" s="158">
        <f>K32*(1+$C$50)^20</f>
        <v>0.74156895675482237</v>
      </c>
      <c r="P32" s="158">
        <f>K32*(1+$C$49)^5</f>
        <v>0.81955485576533316</v>
      </c>
      <c r="Q32" s="158">
        <f>K32*(1+$C$51)^5</f>
        <v>0.90666666666666662</v>
      </c>
      <c r="R32" s="158">
        <f>K32*(1+$C$49)^30</f>
        <v>0.49457244957340923</v>
      </c>
      <c r="S32" s="158">
        <f>K32*(1+$C$51)^30</f>
        <v>0.90666666666666662</v>
      </c>
    </row>
    <row r="33" spans="1:20" ht="15" thickTop="1" x14ac:dyDescent="0.3">
      <c r="A33" t="s">
        <v>13</v>
      </c>
      <c r="B33" s="152" t="s">
        <v>358</v>
      </c>
      <c r="C33" s="166">
        <f>SUM(C23:C32)</f>
        <v>2940.3</v>
      </c>
      <c r="D33" s="154" t="s">
        <v>315</v>
      </c>
      <c r="F33" s="155">
        <f t="shared" si="0"/>
        <v>392.04</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400</v>
      </c>
      <c r="D36" s="150" t="s">
        <v>315</v>
      </c>
      <c r="F36" s="151">
        <f t="shared" si="0"/>
        <v>53.333333333333336</v>
      </c>
      <c r="G36" s="150" t="s">
        <v>308</v>
      </c>
      <c r="I36" t="s">
        <v>361</v>
      </c>
      <c r="J36" s="156">
        <f>F36</f>
        <v>53.333333333333336</v>
      </c>
      <c r="K36" s="157">
        <f>J36/$C$42</f>
        <v>0.4102564102564103</v>
      </c>
      <c r="L36" s="158">
        <f>K36*(1+$C$50)^5</f>
        <v>0.39014976406153845</v>
      </c>
      <c r="M36" s="158">
        <f>K36*(1+$C$50)^10</f>
        <v>0.37102854359335563</v>
      </c>
      <c r="N36" s="158">
        <f>K36*(1+$C$50)^20</f>
        <v>0.33555156414245363</v>
      </c>
      <c r="O36" s="158">
        <f>K36*(1+$C$50)^20</f>
        <v>0.33555156414245363</v>
      </c>
      <c r="P36" s="158">
        <f>K36*(1+$C$49)^5</f>
        <v>0.37083930125128201</v>
      </c>
      <c r="Q36" s="158">
        <f>K36*(1+$C$51)^5</f>
        <v>0.4102564102564103</v>
      </c>
      <c r="R36" s="158">
        <f>K36*(1+$C$49)^30</f>
        <v>0.22378843872099968</v>
      </c>
      <c r="S36" s="158">
        <f>K36*(1+$C$51)^30</f>
        <v>0.4102564102564103</v>
      </c>
    </row>
    <row r="37" spans="1:20" ht="15" thickTop="1" x14ac:dyDescent="0.3">
      <c r="A37" t="s">
        <v>16</v>
      </c>
      <c r="B37" s="152" t="s">
        <v>362</v>
      </c>
      <c r="C37" s="153">
        <f>SUM(C36)</f>
        <v>400</v>
      </c>
      <c r="D37" s="154" t="s">
        <v>315</v>
      </c>
      <c r="F37" s="155">
        <f t="shared" si="0"/>
        <v>53.333333333333336</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130</v>
      </c>
      <c r="D42" s="150" t="s">
        <v>367</v>
      </c>
      <c r="F42" s="171"/>
      <c r="G42" s="150"/>
    </row>
    <row r="43" spans="1:20" x14ac:dyDescent="0.3">
      <c r="B43" s="149" t="s">
        <v>368</v>
      </c>
      <c r="C43" s="168">
        <f>C39+C37+C33+C20+C18+C9</f>
        <v>6258.3</v>
      </c>
      <c r="D43" s="150" t="s">
        <v>315</v>
      </c>
      <c r="F43" s="151">
        <f>C43/7.5</f>
        <v>834.44</v>
      </c>
      <c r="G43" s="150" t="s">
        <v>308</v>
      </c>
      <c r="J43" s="172">
        <f>J9+J18+J20+J23+J30+J32+J36+J39</f>
        <v>834.44</v>
      </c>
      <c r="K43" s="172">
        <f t="shared" ref="K43:S43" si="12">K9+K18+K20+K23+K30+K32+K36+K39</f>
        <v>6.4187692307692306</v>
      </c>
      <c r="L43" s="156">
        <f t="shared" si="12"/>
        <v>6.1041856710658147</v>
      </c>
      <c r="M43" s="156">
        <f t="shared" si="12"/>
        <v>5.8050198359257434</v>
      </c>
      <c r="N43" s="156">
        <f t="shared" si="12"/>
        <v>5.2499558846817926</v>
      </c>
      <c r="O43" s="156">
        <f t="shared" si="12"/>
        <v>5.2499558846817926</v>
      </c>
      <c r="P43" s="156">
        <f t="shared" si="12"/>
        <v>5.802058997552245</v>
      </c>
      <c r="Q43" s="156">
        <f t="shared" si="12"/>
        <v>7.2264615384615389</v>
      </c>
      <c r="R43" s="156">
        <f t="shared" si="12"/>
        <v>3.501337965119081</v>
      </c>
      <c r="S43" s="156">
        <f t="shared" si="12"/>
        <v>7.2264615384615389</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topLeftCell="A16" workbookViewId="0">
      <selection activeCell="I46" sqref="I46"/>
    </sheetView>
  </sheetViews>
  <sheetFormatPr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90</v>
      </c>
      <c r="D4" s="150" t="s">
        <v>315</v>
      </c>
      <c r="F4" s="151">
        <f>C4/7.5</f>
        <v>12</v>
      </c>
      <c r="G4" s="150" t="s">
        <v>308</v>
      </c>
    </row>
    <row r="5" spans="1:19" x14ac:dyDescent="0.3">
      <c r="B5" s="149" t="s">
        <v>316</v>
      </c>
      <c r="C5" s="9">
        <v>20</v>
      </c>
      <c r="D5" s="150" t="s">
        <v>315</v>
      </c>
      <c r="F5" s="151">
        <f t="shared" ref="F5:F39" si="0">C5/7.5</f>
        <v>2.6666666666666665</v>
      </c>
      <c r="G5" s="150" t="s">
        <v>308</v>
      </c>
    </row>
    <row r="6" spans="1:19" x14ac:dyDescent="0.3">
      <c r="B6" s="149" t="s">
        <v>317</v>
      </c>
      <c r="C6" s="9">
        <v>230</v>
      </c>
      <c r="D6" s="150" t="s">
        <v>315</v>
      </c>
      <c r="F6" s="151">
        <f t="shared" si="0"/>
        <v>30.666666666666668</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370</v>
      </c>
      <c r="D9" s="154" t="s">
        <v>315</v>
      </c>
      <c r="F9" s="155">
        <f t="shared" si="0"/>
        <v>49.333333333333336</v>
      </c>
      <c r="G9" s="154" t="s">
        <v>308</v>
      </c>
      <c r="I9" t="s">
        <v>321</v>
      </c>
      <c r="J9" s="156">
        <f>F9</f>
        <v>49.333333333333336</v>
      </c>
      <c r="K9" s="157">
        <f>J9/$C$42</f>
        <v>1.6444444444444446</v>
      </c>
      <c r="L9" s="158">
        <f>K9*(1+$C$50)^5</f>
        <v>1.56385030428</v>
      </c>
      <c r="M9" s="158">
        <f>K9*(1+$C$50)^10</f>
        <v>1.4872060789033672</v>
      </c>
      <c r="N9" s="158">
        <f>K9*(1+$C$50)^20</f>
        <v>1.3450025196043349</v>
      </c>
      <c r="O9" s="158">
        <f>K9*(1+$C$50)^20</f>
        <v>1.3450025196043349</v>
      </c>
      <c r="P9" s="158">
        <f>K9*(1+$C$49)^5</f>
        <v>1.4864475325155553</v>
      </c>
      <c r="Q9" s="158">
        <f>K9*(1+$C$51)^5</f>
        <v>1.6444444444444446</v>
      </c>
      <c r="R9" s="158">
        <f>K9*(1+$C$49)^30</f>
        <v>0.89701865854000706</v>
      </c>
      <c r="S9" s="158">
        <f>K9*(1+$C$51)^30</f>
        <v>1.6444444444444446</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v>280</v>
      </c>
      <c r="D12" s="150" t="s">
        <v>315</v>
      </c>
      <c r="F12" s="151">
        <f t="shared" si="0"/>
        <v>37.333333333333336</v>
      </c>
      <c r="G12" s="150" t="s">
        <v>308</v>
      </c>
      <c r="J12" s="156">
        <f>F12</f>
        <v>37.333333333333336</v>
      </c>
      <c r="K12" s="158">
        <f>J12/$C$42</f>
        <v>1.2444444444444445</v>
      </c>
      <c r="L12" s="158">
        <f>K12*(1+$C$50)^5</f>
        <v>1.18345428432</v>
      </c>
      <c r="M12" s="158">
        <f t="shared" ref="M12:M17" si="1">K12*(1+$C$50)^10</f>
        <v>1.1254532488998454</v>
      </c>
      <c r="N12" s="158">
        <f t="shared" ref="N12:N17" si="2">K12*(1+$C$50)^20</f>
        <v>1.0178397445654426</v>
      </c>
      <c r="O12" s="158">
        <f t="shared" ref="O12:O17" si="3">K12*(1+$C$50)^20</f>
        <v>1.0178397445654426</v>
      </c>
      <c r="P12" s="158">
        <f t="shared" ref="P12:P17" si="4">K12*(1+$C$49)^5</f>
        <v>1.1248792137955554</v>
      </c>
      <c r="Q12" s="158">
        <f t="shared" ref="Q12:Q16" si="5">K12*(1+$C$51)^5</f>
        <v>1.2444444444444445</v>
      </c>
      <c r="R12" s="158">
        <f t="shared" ref="R12:R17" si="6">K12*(1+$C$49)^30</f>
        <v>0.67882493078703232</v>
      </c>
      <c r="S12" s="158">
        <f t="shared" ref="S12:S16" si="7">K12*(1+$C$51)^30</f>
        <v>1.2444444444444445</v>
      </c>
    </row>
    <row r="13" spans="1:19" x14ac:dyDescent="0.3">
      <c r="A13" t="s">
        <v>325</v>
      </c>
      <c r="B13" s="149" t="s">
        <v>326</v>
      </c>
      <c r="C13" s="9">
        <v>70</v>
      </c>
      <c r="D13" s="150" t="s">
        <v>315</v>
      </c>
      <c r="F13" s="151">
        <f>C13/7.5</f>
        <v>9.3333333333333339</v>
      </c>
      <c r="G13" s="150" t="s">
        <v>308</v>
      </c>
      <c r="J13" s="156">
        <f t="shared" ref="J13:J17" si="8">F13</f>
        <v>9.3333333333333339</v>
      </c>
      <c r="K13" s="158">
        <f t="shared" ref="K13:K17" si="9">J13/$C$42</f>
        <v>0.31111111111111112</v>
      </c>
      <c r="L13" s="158">
        <f t="shared" ref="L13:L17" si="10">K13*(1+$C$50)^5</f>
        <v>0.29586357108</v>
      </c>
      <c r="M13" s="158">
        <f t="shared" si="1"/>
        <v>0.28136331222496136</v>
      </c>
      <c r="N13" s="158">
        <f t="shared" si="2"/>
        <v>0.25445993614136064</v>
      </c>
      <c r="O13" s="158">
        <f t="shared" si="3"/>
        <v>0.25445993614136064</v>
      </c>
      <c r="P13" s="158">
        <f t="shared" si="4"/>
        <v>0.28121980344888886</v>
      </c>
      <c r="Q13" s="158">
        <f t="shared" si="5"/>
        <v>0.31111111111111112</v>
      </c>
      <c r="R13" s="158">
        <f t="shared" si="6"/>
        <v>0.16970623269675808</v>
      </c>
      <c r="S13" s="158">
        <f t="shared" si="7"/>
        <v>0.31111111111111112</v>
      </c>
    </row>
    <row r="14" spans="1:19" x14ac:dyDescent="0.3">
      <c r="A14" t="s">
        <v>327</v>
      </c>
      <c r="B14" s="149" t="s">
        <v>328</v>
      </c>
      <c r="C14" s="9">
        <v>105</v>
      </c>
      <c r="D14" s="150" t="s">
        <v>315</v>
      </c>
      <c r="F14" s="151">
        <f>C14/7.5</f>
        <v>14</v>
      </c>
      <c r="G14" s="150" t="s">
        <v>308</v>
      </c>
      <c r="J14" s="156">
        <f t="shared" si="8"/>
        <v>14</v>
      </c>
      <c r="K14" s="158">
        <f t="shared" si="9"/>
        <v>0.46666666666666667</v>
      </c>
      <c r="L14" s="158">
        <f t="shared" si="10"/>
        <v>0.44379535661999997</v>
      </c>
      <c r="M14" s="158">
        <f t="shared" si="1"/>
        <v>0.42204496833744204</v>
      </c>
      <c r="N14" s="158">
        <f t="shared" si="2"/>
        <v>0.38168990421204096</v>
      </c>
      <c r="O14" s="158">
        <f t="shared" si="3"/>
        <v>0.38168990421204096</v>
      </c>
      <c r="P14" s="158">
        <f t="shared" si="4"/>
        <v>0.42182970517333324</v>
      </c>
      <c r="Q14" s="158">
        <f t="shared" si="5"/>
        <v>0.46666666666666667</v>
      </c>
      <c r="R14" s="158">
        <f t="shared" si="6"/>
        <v>0.25455934904513711</v>
      </c>
      <c r="S14" s="158">
        <f t="shared" si="7"/>
        <v>0.46666666666666667</v>
      </c>
    </row>
    <row r="15" spans="1:19" x14ac:dyDescent="0.3">
      <c r="A15" t="s">
        <v>329</v>
      </c>
      <c r="B15" s="149" t="s">
        <v>330</v>
      </c>
      <c r="C15" s="9">
        <v>305</v>
      </c>
      <c r="D15" s="150" t="s">
        <v>315</v>
      </c>
      <c r="F15" s="151">
        <f t="shared" si="0"/>
        <v>40.666666666666664</v>
      </c>
      <c r="G15" s="150" t="s">
        <v>308</v>
      </c>
      <c r="J15" s="156">
        <f t="shared" si="8"/>
        <v>40.666666666666664</v>
      </c>
      <c r="K15" s="158">
        <f t="shared" si="9"/>
        <v>1.3555555555555554</v>
      </c>
      <c r="L15" s="158">
        <f t="shared" si="10"/>
        <v>1.2891198454199997</v>
      </c>
      <c r="M15" s="158">
        <f t="shared" si="1"/>
        <v>1.2259401461230457</v>
      </c>
      <c r="N15" s="158">
        <f t="shared" si="2"/>
        <v>1.1087182931873569</v>
      </c>
      <c r="O15" s="158">
        <f t="shared" si="3"/>
        <v>1.1087182931873569</v>
      </c>
      <c r="P15" s="158">
        <f t="shared" si="4"/>
        <v>1.2253148578844442</v>
      </c>
      <c r="Q15" s="158">
        <f t="shared" si="5"/>
        <v>1.3555555555555554</v>
      </c>
      <c r="R15" s="158">
        <f t="shared" si="6"/>
        <v>0.739434299607303</v>
      </c>
      <c r="S15" s="158">
        <f t="shared" si="7"/>
        <v>1.3555555555555554</v>
      </c>
    </row>
    <row r="16" spans="1:19" x14ac:dyDescent="0.3">
      <c r="A16" t="s">
        <v>331</v>
      </c>
      <c r="B16" s="149" t="s">
        <v>332</v>
      </c>
      <c r="C16" s="9"/>
      <c r="D16" s="150" t="s">
        <v>315</v>
      </c>
      <c r="F16" s="151">
        <f t="shared" si="0"/>
        <v>0</v>
      </c>
      <c r="G16" s="150" t="s">
        <v>308</v>
      </c>
      <c r="J16" s="156">
        <f t="shared" si="8"/>
        <v>0</v>
      </c>
      <c r="K16" s="158">
        <f t="shared" si="9"/>
        <v>0</v>
      </c>
      <c r="L16" s="158">
        <f t="shared" si="10"/>
        <v>0</v>
      </c>
      <c r="M16" s="158">
        <f t="shared" si="1"/>
        <v>0</v>
      </c>
      <c r="N16" s="158">
        <f t="shared" si="2"/>
        <v>0</v>
      </c>
      <c r="O16" s="158">
        <f t="shared" si="3"/>
        <v>0</v>
      </c>
      <c r="P16" s="158">
        <f t="shared" si="4"/>
        <v>0</v>
      </c>
      <c r="Q16" s="158">
        <f t="shared" si="5"/>
        <v>0</v>
      </c>
      <c r="R16" s="158">
        <f t="shared" si="6"/>
        <v>0</v>
      </c>
      <c r="S16" s="158">
        <f t="shared" si="7"/>
        <v>0</v>
      </c>
    </row>
    <row r="17" spans="1:19" ht="15" thickBot="1" x14ac:dyDescent="0.35">
      <c r="A17" t="s">
        <v>333</v>
      </c>
      <c r="B17" s="149" t="s">
        <v>334</v>
      </c>
      <c r="C17" s="9">
        <v>945</v>
      </c>
      <c r="D17" s="150" t="s">
        <v>315</v>
      </c>
      <c r="F17" s="151">
        <f t="shared" si="0"/>
        <v>126</v>
      </c>
      <c r="G17" s="150" t="s">
        <v>308</v>
      </c>
      <c r="J17" s="156">
        <f t="shared" si="8"/>
        <v>126</v>
      </c>
      <c r="K17" s="158">
        <f t="shared" si="9"/>
        <v>4.2</v>
      </c>
      <c r="L17" s="158">
        <f t="shared" si="10"/>
        <v>3.9941582095799997</v>
      </c>
      <c r="M17" s="158">
        <f t="shared" si="1"/>
        <v>3.7984047150369782</v>
      </c>
      <c r="N17" s="158">
        <f t="shared" si="2"/>
        <v>3.4352091379083687</v>
      </c>
      <c r="O17" s="158">
        <f t="shared" si="3"/>
        <v>3.4352091379083687</v>
      </c>
      <c r="P17" s="158">
        <f t="shared" si="4"/>
        <v>3.7964673465599992</v>
      </c>
      <c r="Q17" s="164">
        <f>K17*(1+$C$51)^5*1.5</f>
        <v>6.3000000000000007</v>
      </c>
      <c r="R17" s="158">
        <f t="shared" si="6"/>
        <v>2.2910341414062341</v>
      </c>
      <c r="S17" s="164">
        <f>K17*(1+$C$51)^30*1.5</f>
        <v>6.3000000000000007</v>
      </c>
    </row>
    <row r="18" spans="1:19" ht="15.6" thickTop="1" thickBot="1" x14ac:dyDescent="0.35">
      <c r="A18" t="s">
        <v>15</v>
      </c>
      <c r="B18" s="152" t="s">
        <v>335</v>
      </c>
      <c r="C18" s="153">
        <f>SUM(C12:C17)</f>
        <v>1705</v>
      </c>
      <c r="D18" s="154" t="s">
        <v>315</v>
      </c>
      <c r="F18" s="155">
        <f t="shared" si="0"/>
        <v>227.33333333333334</v>
      </c>
      <c r="G18" s="154" t="s">
        <v>308</v>
      </c>
      <c r="I18" t="s">
        <v>336</v>
      </c>
      <c r="J18" s="156">
        <f>F18</f>
        <v>227.33333333333334</v>
      </c>
      <c r="K18" s="157">
        <f>J18/$C$42</f>
        <v>7.5777777777777784</v>
      </c>
      <c r="L18" s="158">
        <f>SUM(L12:L17)</f>
        <v>7.206391267019999</v>
      </c>
      <c r="M18" s="158">
        <f t="shared" ref="M18:P18" si="11">SUM(M12:M17)</f>
        <v>6.8532063906222724</v>
      </c>
      <c r="N18" s="158">
        <f t="shared" si="11"/>
        <v>6.1979170160145696</v>
      </c>
      <c r="O18" s="158">
        <f t="shared" si="11"/>
        <v>6.1979170160145696</v>
      </c>
      <c r="P18" s="158">
        <f t="shared" si="11"/>
        <v>6.8497109268622207</v>
      </c>
      <c r="Q18" s="158">
        <f>SUM(Q12:Q17)</f>
        <v>9.6777777777777771</v>
      </c>
      <c r="R18" s="158">
        <f>SUM(R12:R17)</f>
        <v>4.1335589535424653</v>
      </c>
      <c r="S18" s="158">
        <f>SUM(S12:S17)</f>
        <v>9.6777777777777771</v>
      </c>
    </row>
    <row r="19" spans="1:19" ht="15.6" thickTop="1" thickBot="1" x14ac:dyDescent="0.35">
      <c r="B19" s="159"/>
      <c r="C19" s="160"/>
      <c r="D19" s="161"/>
      <c r="F19" s="162"/>
      <c r="G19" s="161"/>
    </row>
    <row r="20" spans="1:19" ht="15.6" thickTop="1" thickBot="1" x14ac:dyDescent="0.35">
      <c r="A20" t="s">
        <v>12</v>
      </c>
      <c r="B20" s="165" t="s">
        <v>337</v>
      </c>
      <c r="C20" s="166">
        <v>302</v>
      </c>
      <c r="D20" s="154" t="s">
        <v>315</v>
      </c>
      <c r="F20" s="155">
        <f t="shared" si="0"/>
        <v>40.266666666666666</v>
      </c>
      <c r="G20" s="154" t="s">
        <v>308</v>
      </c>
      <c r="I20" t="s">
        <v>338</v>
      </c>
      <c r="J20" s="156">
        <f>F20</f>
        <v>40.266666666666666</v>
      </c>
      <c r="K20" s="157">
        <f>J20/$C$42</f>
        <v>1.3422222222222222</v>
      </c>
      <c r="L20" s="158">
        <f>K20*(1+$C$50)^5</f>
        <v>1.2764399780879998</v>
      </c>
      <c r="M20" s="158">
        <f>K20*(1+$C$50)^10</f>
        <v>1.2138817184562618</v>
      </c>
      <c r="N20" s="158">
        <f>K20*(1+$C$50)^20</f>
        <v>1.0978128673527274</v>
      </c>
      <c r="O20" s="158">
        <f>K20*(1+$C$50)^20</f>
        <v>1.0978128673527274</v>
      </c>
      <c r="P20" s="158">
        <f>K20*(1+$C$49)^5</f>
        <v>1.2132625805937776</v>
      </c>
      <c r="Q20" s="158">
        <f>K20*(1+$C$51)^5</f>
        <v>1.3422222222222222</v>
      </c>
      <c r="R20" s="158">
        <f>K20*(1+$C$49)^30</f>
        <v>0.7321611753488706</v>
      </c>
      <c r="S20" s="158">
        <f>K20*(1+$C$51)^30</f>
        <v>1.3422222222222222</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350</v>
      </c>
      <c r="D23" s="150" t="s">
        <v>315</v>
      </c>
      <c r="F23" s="151">
        <f t="shared" si="0"/>
        <v>46.666666666666664</v>
      </c>
      <c r="G23" s="150" t="s">
        <v>308</v>
      </c>
      <c r="I23" t="s">
        <v>342</v>
      </c>
      <c r="J23" s="156">
        <f>F23+F31</f>
        <v>169.33333333333334</v>
      </c>
      <c r="K23" s="157">
        <f>J23/$C$42</f>
        <v>5.6444444444444448</v>
      </c>
      <c r="L23" s="158">
        <f>K23*(1+$C$50)^5</f>
        <v>5.3678105038799995</v>
      </c>
      <c r="M23" s="158">
        <f>K23*(1+$C$50)^10</f>
        <v>5.1047343789385842</v>
      </c>
      <c r="N23" s="158">
        <f>K23*(1+$C$50)^20</f>
        <v>4.6166302699932578</v>
      </c>
      <c r="O23" s="158">
        <f>K23*(1+$C$50)^20</f>
        <v>4.6166302699932578</v>
      </c>
      <c r="P23" s="158">
        <f>K23*(1+$C$49)^5</f>
        <v>5.1021307197155545</v>
      </c>
      <c r="Q23" s="158">
        <f>K23*(1+$C$51)^5</f>
        <v>5.6444444444444448</v>
      </c>
      <c r="R23" s="158">
        <f>K23*(1+$C$49)^30</f>
        <v>3.0789559360697538</v>
      </c>
      <c r="S23" s="158">
        <f>K23*(1+$C$51)^30</f>
        <v>5.6444444444444448</v>
      </c>
    </row>
    <row r="24" spans="1:19" ht="15" thickTop="1" x14ac:dyDescent="0.3">
      <c r="A24" t="s">
        <v>343</v>
      </c>
      <c r="B24" s="149" t="s">
        <v>324</v>
      </c>
      <c r="C24" s="168">
        <v>694</v>
      </c>
      <c r="D24" s="150" t="s">
        <v>315</v>
      </c>
      <c r="F24" s="151">
        <f t="shared" si="0"/>
        <v>92.533333333333331</v>
      </c>
      <c r="G24" s="150" t="s">
        <v>308</v>
      </c>
    </row>
    <row r="25" spans="1:19" x14ac:dyDescent="0.3">
      <c r="A25" t="s">
        <v>344</v>
      </c>
      <c r="B25" s="149" t="s">
        <v>326</v>
      </c>
      <c r="C25" s="9">
        <v>86.6</v>
      </c>
      <c r="D25" s="150" t="s">
        <v>315</v>
      </c>
      <c r="F25" s="151">
        <f t="shared" si="0"/>
        <v>11.546666666666665</v>
      </c>
      <c r="G25" s="150" t="s">
        <v>308</v>
      </c>
    </row>
    <row r="26" spans="1:19" x14ac:dyDescent="0.3">
      <c r="A26" t="s">
        <v>345</v>
      </c>
      <c r="B26" s="149" t="s">
        <v>328</v>
      </c>
      <c r="C26" s="9">
        <v>130.19999999999999</v>
      </c>
      <c r="D26" s="150" t="s">
        <v>315</v>
      </c>
      <c r="F26" s="151">
        <f t="shared" si="0"/>
        <v>17.36</v>
      </c>
      <c r="G26" s="150" t="s">
        <v>308</v>
      </c>
    </row>
    <row r="27" spans="1:19" x14ac:dyDescent="0.3">
      <c r="A27" t="s">
        <v>346</v>
      </c>
      <c r="B27" s="149" t="s">
        <v>330</v>
      </c>
      <c r="C27" s="9">
        <v>95</v>
      </c>
      <c r="D27" s="150" t="s">
        <v>315</v>
      </c>
      <c r="F27" s="151">
        <f t="shared" si="0"/>
        <v>12.666666666666666</v>
      </c>
      <c r="G27" s="150" t="s">
        <v>308</v>
      </c>
    </row>
    <row r="28" spans="1:19" x14ac:dyDescent="0.3">
      <c r="A28" t="s">
        <v>347</v>
      </c>
      <c r="B28" s="149" t="s">
        <v>334</v>
      </c>
      <c r="C28" s="9">
        <v>293</v>
      </c>
      <c r="D28" s="150" t="s">
        <v>315</v>
      </c>
      <c r="F28" s="151">
        <f t="shared" si="0"/>
        <v>39.06666666666667</v>
      </c>
      <c r="G28" s="150" t="s">
        <v>308</v>
      </c>
    </row>
    <row r="29" spans="1:19" ht="15" thickBot="1" x14ac:dyDescent="0.35">
      <c r="A29" t="s">
        <v>348</v>
      </c>
      <c r="B29" s="149" t="s">
        <v>349</v>
      </c>
      <c r="C29" s="9"/>
      <c r="D29" s="150" t="s">
        <v>315</v>
      </c>
      <c r="F29" s="151">
        <f t="shared" si="0"/>
        <v>0</v>
      </c>
      <c r="G29" s="150" t="s">
        <v>308</v>
      </c>
    </row>
    <row r="30" spans="1:19" ht="15.6" thickTop="1" thickBot="1" x14ac:dyDescent="0.35">
      <c r="A30" t="s">
        <v>350</v>
      </c>
      <c r="B30" s="149" t="s">
        <v>351</v>
      </c>
      <c r="C30" s="9"/>
      <c r="D30" s="150" t="s">
        <v>315</v>
      </c>
      <c r="F30" s="151">
        <f t="shared" si="0"/>
        <v>0</v>
      </c>
      <c r="G30" s="150" t="s">
        <v>308</v>
      </c>
      <c r="I30" t="s">
        <v>352</v>
      </c>
      <c r="J30" s="156">
        <f>F24+F25+F26+F27+F28+F29+F30</f>
        <v>173.17333333333332</v>
      </c>
      <c r="K30" s="157">
        <f>J30/$C$42</f>
        <v>5.772444444444444</v>
      </c>
      <c r="L30" s="158">
        <f>K30*(1+$C$50)^5</f>
        <v>5.4895372302671994</v>
      </c>
      <c r="M30" s="158">
        <f>K30*(1+$C$50)^10</f>
        <v>5.2204952845397106</v>
      </c>
      <c r="N30" s="158">
        <f>K30*(1+$C$50)^20</f>
        <v>4.7213223580057031</v>
      </c>
      <c r="O30" s="158">
        <f>K30*(1+$C$50)^20</f>
        <v>4.7213223580057031</v>
      </c>
      <c r="P30" s="158">
        <f>K30*(1+$C$49)^5</f>
        <v>5.2178325817059541</v>
      </c>
      <c r="Q30" s="158">
        <f>K30*(1+$C$51)^5</f>
        <v>5.772444444444444</v>
      </c>
      <c r="R30" s="158">
        <f>K30*(1+$C$49)^30</f>
        <v>3.1487779289507056</v>
      </c>
      <c r="S30" s="158">
        <f>K30*(1+$C$51)^30</f>
        <v>5.772444444444444</v>
      </c>
    </row>
    <row r="31" spans="1:19" ht="15.6" thickTop="1" thickBot="1" x14ac:dyDescent="0.35">
      <c r="A31" t="s">
        <v>353</v>
      </c>
      <c r="B31" s="149" t="s">
        <v>354</v>
      </c>
      <c r="C31" s="9">
        <v>920</v>
      </c>
      <c r="D31" s="150" t="s">
        <v>315</v>
      </c>
      <c r="F31" s="151">
        <f t="shared" si="0"/>
        <v>122.66666666666667</v>
      </c>
      <c r="G31" s="150" t="s">
        <v>308</v>
      </c>
    </row>
    <row r="32" spans="1:19" ht="15.6" thickTop="1" thickBot="1" x14ac:dyDescent="0.35">
      <c r="A32" t="s">
        <v>355</v>
      </c>
      <c r="B32" s="149" t="s">
        <v>356</v>
      </c>
      <c r="C32" s="9">
        <v>204.00000000000009</v>
      </c>
      <c r="D32" s="150" t="s">
        <v>315</v>
      </c>
      <c r="F32" s="151">
        <f t="shared" si="0"/>
        <v>27.20000000000001</v>
      </c>
      <c r="G32" s="150" t="s">
        <v>308</v>
      </c>
      <c r="I32" t="s">
        <v>357</v>
      </c>
      <c r="J32" s="156">
        <f>F32</f>
        <v>27.20000000000001</v>
      </c>
      <c r="K32" s="157">
        <f>J32/$C$42</f>
        <v>0.90666666666666695</v>
      </c>
      <c r="L32" s="158">
        <f>K32*(1+$C$50)^5</f>
        <v>0.86223097857600017</v>
      </c>
      <c r="M32" s="158">
        <f>K32*(1+$C$50)^10</f>
        <v>0.81997308134131619</v>
      </c>
      <c r="N32" s="158">
        <f>K32*(1+$C$50)^20</f>
        <v>0.74156895675482271</v>
      </c>
      <c r="O32" s="158">
        <f>K32*(1+$C$50)^20</f>
        <v>0.74156895675482271</v>
      </c>
      <c r="P32" s="158">
        <f>K32*(1+$C$49)^5</f>
        <v>0.81955485576533338</v>
      </c>
      <c r="Q32" s="158">
        <f>K32*(1+$C$51)^5</f>
        <v>0.90666666666666695</v>
      </c>
      <c r="R32" s="158">
        <f>K32*(1+$C$49)^30</f>
        <v>0.4945724495734094</v>
      </c>
      <c r="S32" s="158">
        <f>K32*(1+$C$51)^30</f>
        <v>0.90666666666666695</v>
      </c>
    </row>
    <row r="33" spans="1:20" ht="15" thickTop="1" x14ac:dyDescent="0.3">
      <c r="A33" t="s">
        <v>13</v>
      </c>
      <c r="B33" s="152" t="s">
        <v>358</v>
      </c>
      <c r="C33" s="166">
        <f>SUM(C23:C32)</f>
        <v>2772.8</v>
      </c>
      <c r="D33" s="154" t="s">
        <v>315</v>
      </c>
      <c r="F33" s="155">
        <f t="shared" si="0"/>
        <v>369.70666666666671</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600</v>
      </c>
      <c r="D36" s="150" t="s">
        <v>315</v>
      </c>
      <c r="F36" s="151">
        <f t="shared" si="0"/>
        <v>80</v>
      </c>
      <c r="G36" s="150" t="s">
        <v>308</v>
      </c>
      <c r="I36" t="s">
        <v>361</v>
      </c>
      <c r="J36" s="156">
        <f>F36</f>
        <v>80</v>
      </c>
      <c r="K36" s="157">
        <f>J36/$C$42</f>
        <v>2.6666666666666665</v>
      </c>
      <c r="L36" s="158">
        <f>K36*(1+$C$50)^5</f>
        <v>2.5359734663999998</v>
      </c>
      <c r="M36" s="158">
        <f>K36*(1+$C$50)^10</f>
        <v>2.4116855333568115</v>
      </c>
      <c r="N36" s="158">
        <f>K36*(1+$C$50)^20</f>
        <v>2.1810851669259481</v>
      </c>
      <c r="O36" s="158">
        <f>K36*(1+$C$50)^20</f>
        <v>2.1810851669259481</v>
      </c>
      <c r="P36" s="158">
        <f>K36*(1+$C$49)^5</f>
        <v>2.4104554581333328</v>
      </c>
      <c r="Q36" s="158">
        <f>K36*(1+$C$51)^5</f>
        <v>2.6666666666666665</v>
      </c>
      <c r="R36" s="158">
        <f>K36*(1+$C$49)^30</f>
        <v>1.4546248516864977</v>
      </c>
      <c r="S36" s="158">
        <f>K36*(1+$C$51)^30</f>
        <v>2.6666666666666665</v>
      </c>
    </row>
    <row r="37" spans="1:20" ht="15" thickTop="1" x14ac:dyDescent="0.3">
      <c r="A37" t="s">
        <v>16</v>
      </c>
      <c r="B37" s="152" t="s">
        <v>362</v>
      </c>
      <c r="C37" s="153">
        <f>SUM(C36)</f>
        <v>600</v>
      </c>
      <c r="D37" s="154" t="s">
        <v>315</v>
      </c>
      <c r="F37" s="155">
        <f t="shared" si="0"/>
        <v>80</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30</v>
      </c>
      <c r="D42" s="150" t="s">
        <v>367</v>
      </c>
      <c r="F42" s="171"/>
      <c r="G42" s="150"/>
    </row>
    <row r="43" spans="1:20" x14ac:dyDescent="0.3">
      <c r="B43" s="149" t="s">
        <v>368</v>
      </c>
      <c r="C43" s="168">
        <f>C39+C37+C33+C20+C18+C9</f>
        <v>5749.8</v>
      </c>
      <c r="D43" s="150" t="s">
        <v>315</v>
      </c>
      <c r="F43" s="151">
        <f>C43/7.5</f>
        <v>766.64</v>
      </c>
      <c r="G43" s="150" t="s">
        <v>308</v>
      </c>
      <c r="J43" s="172">
        <f>J9+J18+J20+J23+J30+J32+J36+J39</f>
        <v>766.64</v>
      </c>
      <c r="K43" s="172">
        <f t="shared" ref="K43:S43" si="12">K9+K18+K20+K23+K30+K32+K36+K39</f>
        <v>25.554666666666666</v>
      </c>
      <c r="L43" s="156">
        <f t="shared" si="12"/>
        <v>24.302233728511197</v>
      </c>
      <c r="M43" s="156">
        <f t="shared" si="12"/>
        <v>23.111182466158326</v>
      </c>
      <c r="N43" s="156">
        <f t="shared" si="12"/>
        <v>20.90133915465136</v>
      </c>
      <c r="O43" s="156">
        <f t="shared" si="12"/>
        <v>20.90133915465136</v>
      </c>
      <c r="P43" s="156">
        <f t="shared" si="12"/>
        <v>23.099394655291732</v>
      </c>
      <c r="Q43" s="156">
        <f t="shared" si="12"/>
        <v>27.654666666666667</v>
      </c>
      <c r="R43" s="156">
        <f t="shared" si="12"/>
        <v>13.939669953711711</v>
      </c>
      <c r="S43" s="156">
        <f t="shared" si="12"/>
        <v>27.654666666666667</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topLeftCell="A10" workbookViewId="0">
      <selection activeCell="I46" sqref="I46"/>
    </sheetView>
  </sheetViews>
  <sheetFormatPr defaultColWidth="9.109375"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90</v>
      </c>
      <c r="D4" s="150" t="s">
        <v>315</v>
      </c>
      <c r="F4" s="151">
        <f>C4/7.5</f>
        <v>12</v>
      </c>
      <c r="G4" s="150" t="s">
        <v>308</v>
      </c>
    </row>
    <row r="5" spans="1:19" x14ac:dyDescent="0.3">
      <c r="B5" s="149" t="s">
        <v>316</v>
      </c>
      <c r="C5" s="9">
        <v>20</v>
      </c>
      <c r="D5" s="150" t="s">
        <v>315</v>
      </c>
      <c r="F5" s="151">
        <f t="shared" ref="F5:F39" si="0">C5/7.5</f>
        <v>2.6666666666666665</v>
      </c>
      <c r="G5" s="150" t="s">
        <v>308</v>
      </c>
    </row>
    <row r="6" spans="1:19" x14ac:dyDescent="0.3">
      <c r="B6" s="149" t="s">
        <v>317</v>
      </c>
      <c r="C6" s="9">
        <v>230</v>
      </c>
      <c r="D6" s="150" t="s">
        <v>315</v>
      </c>
      <c r="F6" s="151">
        <f t="shared" si="0"/>
        <v>30.666666666666668</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370</v>
      </c>
      <c r="D9" s="154" t="s">
        <v>315</v>
      </c>
      <c r="F9" s="155">
        <f t="shared" si="0"/>
        <v>49.333333333333336</v>
      </c>
      <c r="G9" s="154" t="s">
        <v>308</v>
      </c>
      <c r="I9" t="s">
        <v>321</v>
      </c>
      <c r="J9" s="156">
        <f>F9</f>
        <v>49.333333333333336</v>
      </c>
      <c r="K9" s="157">
        <f>J9/$C$42</f>
        <v>0.5736434108527132</v>
      </c>
      <c r="L9" s="158">
        <f>K9*(1+$C$50)^5</f>
        <v>0.54552917591162786</v>
      </c>
      <c r="M9" s="158">
        <f>K9*(1+$C$50)^10</f>
        <v>0.51879281822210477</v>
      </c>
      <c r="N9" s="158">
        <f>K9*(1+$C$50)^20</f>
        <v>0.46918692544337265</v>
      </c>
      <c r="O9" s="158">
        <f>K9*(1+$C$50)^20</f>
        <v>0.46918692544337265</v>
      </c>
      <c r="P9" s="158">
        <f>K9*(1+$C$49)^5</f>
        <v>0.51852820901705421</v>
      </c>
      <c r="Q9" s="158">
        <f>K9*(1+$C$51)^5</f>
        <v>0.5736434108527132</v>
      </c>
      <c r="R9" s="158">
        <f>K9*(1+$C$49)^30</f>
        <v>0.31291348553721177</v>
      </c>
      <c r="S9" s="158">
        <f>K9*(1+$C$51)^30</f>
        <v>0.5736434108527132</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v>280</v>
      </c>
      <c r="D12" s="150" t="s">
        <v>315</v>
      </c>
      <c r="F12" s="151">
        <f t="shared" si="0"/>
        <v>37.333333333333336</v>
      </c>
      <c r="G12" s="150" t="s">
        <v>308</v>
      </c>
      <c r="J12" s="156">
        <f>F12</f>
        <v>37.333333333333336</v>
      </c>
      <c r="K12" s="158">
        <f>J12/$C$42</f>
        <v>0.434108527131783</v>
      </c>
      <c r="L12" s="158">
        <f>K12*(1+$C$50)^5</f>
        <v>0.4128328898790698</v>
      </c>
      <c r="M12" s="158">
        <f t="shared" ref="M12:M17" si="1">K12*(1+$C$50)^10</f>
        <v>0.39259997054645773</v>
      </c>
      <c r="N12" s="158">
        <f t="shared" ref="N12:N17" si="2">K12*(1+$C$50)^20</f>
        <v>0.35506037601120094</v>
      </c>
      <c r="O12" s="158">
        <f t="shared" ref="O12:O17" si="3">K12*(1+$C$50)^20</f>
        <v>0.35506037601120094</v>
      </c>
      <c r="P12" s="158">
        <f t="shared" ref="P12:P17" si="4">K12*(1+$C$49)^5</f>
        <v>0.3923997257426356</v>
      </c>
      <c r="Q12" s="158">
        <f t="shared" ref="Q12:Q16" si="5">K12*(1+$C$51)^5</f>
        <v>0.434108527131783</v>
      </c>
      <c r="R12" s="158">
        <f t="shared" ref="R12:R17" si="6">K12*(1+$C$49)^30</f>
        <v>0.2367993944605927</v>
      </c>
      <c r="S12" s="158">
        <f t="shared" ref="S12:S16" si="7">K12*(1+$C$51)^30</f>
        <v>0.434108527131783</v>
      </c>
    </row>
    <row r="13" spans="1:19" x14ac:dyDescent="0.3">
      <c r="A13" t="s">
        <v>325</v>
      </c>
      <c r="B13" s="149" t="s">
        <v>326</v>
      </c>
      <c r="C13" s="9">
        <v>110</v>
      </c>
      <c r="D13" s="150" t="s">
        <v>315</v>
      </c>
      <c r="F13" s="151">
        <f>C13/7.5</f>
        <v>14.666666666666666</v>
      </c>
      <c r="G13" s="150" t="s">
        <v>308</v>
      </c>
      <c r="J13" s="156">
        <f t="shared" ref="J13:J17" si="8">F13</f>
        <v>14.666666666666666</v>
      </c>
      <c r="K13" s="158">
        <f t="shared" ref="K13:K17" si="9">J13/$C$42</f>
        <v>0.17054263565891473</v>
      </c>
      <c r="L13" s="158">
        <f t="shared" ref="L13:L17" si="10">K13*(1+$C$50)^5</f>
        <v>0.16218434959534883</v>
      </c>
      <c r="M13" s="158">
        <f t="shared" si="1"/>
        <v>0.15423570271467979</v>
      </c>
      <c r="N13" s="158">
        <f t="shared" si="2"/>
        <v>0.1394880048615432</v>
      </c>
      <c r="O13" s="158">
        <f t="shared" si="3"/>
        <v>0.1394880048615432</v>
      </c>
      <c r="P13" s="158">
        <f t="shared" si="4"/>
        <v>0.15415703511317827</v>
      </c>
      <c r="Q13" s="158">
        <f t="shared" si="5"/>
        <v>0.17054263565891473</v>
      </c>
      <c r="R13" s="158">
        <f t="shared" si="6"/>
        <v>9.302833353808998E-2</v>
      </c>
      <c r="S13" s="158">
        <f t="shared" si="7"/>
        <v>0.17054263565891473</v>
      </c>
    </row>
    <row r="14" spans="1:19" x14ac:dyDescent="0.3">
      <c r="A14" t="s">
        <v>327</v>
      </c>
      <c r="B14" s="149" t="s">
        <v>328</v>
      </c>
      <c r="C14" s="9">
        <v>255</v>
      </c>
      <c r="D14" s="150" t="s">
        <v>315</v>
      </c>
      <c r="F14" s="151">
        <f>C14/7.5</f>
        <v>34</v>
      </c>
      <c r="G14" s="150" t="s">
        <v>308</v>
      </c>
      <c r="J14" s="156">
        <f t="shared" si="8"/>
        <v>34</v>
      </c>
      <c r="K14" s="158">
        <f t="shared" si="9"/>
        <v>0.39534883720930231</v>
      </c>
      <c r="L14" s="158">
        <f t="shared" si="10"/>
        <v>0.37597281042558134</v>
      </c>
      <c r="M14" s="158">
        <f t="shared" si="1"/>
        <v>0.35754640174766678</v>
      </c>
      <c r="N14" s="158">
        <f t="shared" si="2"/>
        <v>0.32335855672448655</v>
      </c>
      <c r="O14" s="158">
        <f t="shared" si="3"/>
        <v>0.32335855672448655</v>
      </c>
      <c r="P14" s="158">
        <f t="shared" si="4"/>
        <v>0.35736403594418598</v>
      </c>
      <c r="Q14" s="158">
        <f t="shared" si="5"/>
        <v>0.39534883720930231</v>
      </c>
      <c r="R14" s="158">
        <f t="shared" si="6"/>
        <v>0.21565659138375404</v>
      </c>
      <c r="S14" s="158">
        <f t="shared" si="7"/>
        <v>0.39534883720930231</v>
      </c>
    </row>
    <row r="15" spans="1:19" x14ac:dyDescent="0.3">
      <c r="A15" t="s">
        <v>329</v>
      </c>
      <c r="B15" s="149" t="s">
        <v>330</v>
      </c>
      <c r="C15" s="9">
        <v>325</v>
      </c>
      <c r="D15" s="150" t="s">
        <v>315</v>
      </c>
      <c r="F15" s="151">
        <f t="shared" si="0"/>
        <v>43.333333333333336</v>
      </c>
      <c r="G15" s="150" t="s">
        <v>308</v>
      </c>
      <c r="J15" s="156">
        <f t="shared" si="8"/>
        <v>43.333333333333336</v>
      </c>
      <c r="K15" s="158">
        <f t="shared" si="9"/>
        <v>0.50387596899224807</v>
      </c>
      <c r="L15" s="158">
        <f t="shared" si="10"/>
        <v>0.4791810328953488</v>
      </c>
      <c r="M15" s="158">
        <f t="shared" si="1"/>
        <v>0.45569639438428122</v>
      </c>
      <c r="N15" s="158">
        <f t="shared" si="2"/>
        <v>0.41212365072728679</v>
      </c>
      <c r="O15" s="158">
        <f t="shared" si="3"/>
        <v>0.41212365072728679</v>
      </c>
      <c r="P15" s="158">
        <f t="shared" si="4"/>
        <v>0.45546396737984485</v>
      </c>
      <c r="Q15" s="158">
        <f t="shared" si="5"/>
        <v>0.50387596899224807</v>
      </c>
      <c r="R15" s="158">
        <f t="shared" si="6"/>
        <v>0.27485643999890219</v>
      </c>
      <c r="S15" s="158">
        <f t="shared" si="7"/>
        <v>0.50387596899224807</v>
      </c>
    </row>
    <row r="16" spans="1:19" x14ac:dyDescent="0.3">
      <c r="A16" t="s">
        <v>331</v>
      </c>
      <c r="B16" s="149" t="s">
        <v>332</v>
      </c>
      <c r="C16" s="9"/>
      <c r="D16" s="150" t="s">
        <v>315</v>
      </c>
      <c r="F16" s="151">
        <f t="shared" si="0"/>
        <v>0</v>
      </c>
      <c r="G16" s="150" t="s">
        <v>308</v>
      </c>
      <c r="J16" s="156">
        <f t="shared" si="8"/>
        <v>0</v>
      </c>
      <c r="K16" s="158">
        <f t="shared" si="9"/>
        <v>0</v>
      </c>
      <c r="L16" s="158">
        <f t="shared" si="10"/>
        <v>0</v>
      </c>
      <c r="M16" s="158">
        <f t="shared" si="1"/>
        <v>0</v>
      </c>
      <c r="N16" s="158">
        <f t="shared" si="2"/>
        <v>0</v>
      </c>
      <c r="O16" s="158">
        <f t="shared" si="3"/>
        <v>0</v>
      </c>
      <c r="P16" s="158">
        <f t="shared" si="4"/>
        <v>0</v>
      </c>
      <c r="Q16" s="158">
        <f t="shared" si="5"/>
        <v>0</v>
      </c>
      <c r="R16" s="158">
        <f t="shared" si="6"/>
        <v>0</v>
      </c>
      <c r="S16" s="158">
        <f t="shared" si="7"/>
        <v>0</v>
      </c>
    </row>
    <row r="17" spans="1:19" ht="15" thickBot="1" x14ac:dyDescent="0.35">
      <c r="A17" t="s">
        <v>333</v>
      </c>
      <c r="B17" s="149" t="s">
        <v>334</v>
      </c>
      <c r="C17" s="9">
        <v>1890</v>
      </c>
      <c r="D17" s="150" t="s">
        <v>315</v>
      </c>
      <c r="F17" s="151">
        <f t="shared" si="0"/>
        <v>252</v>
      </c>
      <c r="G17" s="150" t="s">
        <v>308</v>
      </c>
      <c r="J17" s="156">
        <f t="shared" si="8"/>
        <v>252</v>
      </c>
      <c r="K17" s="158">
        <f t="shared" si="9"/>
        <v>2.9302325581395348</v>
      </c>
      <c r="L17" s="158">
        <f t="shared" si="10"/>
        <v>2.7866220066837206</v>
      </c>
      <c r="M17" s="158">
        <f t="shared" si="1"/>
        <v>2.6500498011885893</v>
      </c>
      <c r="N17" s="158">
        <f t="shared" si="2"/>
        <v>2.3966575380756061</v>
      </c>
      <c r="O17" s="158">
        <f t="shared" si="3"/>
        <v>2.3966575380756061</v>
      </c>
      <c r="P17" s="158">
        <f t="shared" si="4"/>
        <v>2.6486981487627901</v>
      </c>
      <c r="Q17" s="164">
        <f>K17*(1+$C$51)^5*1.5</f>
        <v>4.3953488372093021</v>
      </c>
      <c r="R17" s="158">
        <f t="shared" si="6"/>
        <v>1.5983959126090004</v>
      </c>
      <c r="S17" s="164">
        <f>K17*(1+$C$51)^30*1.5</f>
        <v>4.3953488372093021</v>
      </c>
    </row>
    <row r="18" spans="1:19" ht="15.6" thickTop="1" thickBot="1" x14ac:dyDescent="0.35">
      <c r="A18" t="s">
        <v>15</v>
      </c>
      <c r="B18" s="152" t="s">
        <v>335</v>
      </c>
      <c r="C18" s="153">
        <f>SUM(C12:C17)</f>
        <v>2860</v>
      </c>
      <c r="D18" s="154" t="s">
        <v>315</v>
      </c>
      <c r="F18" s="155">
        <f t="shared" si="0"/>
        <v>381.33333333333331</v>
      </c>
      <c r="G18" s="154" t="s">
        <v>308</v>
      </c>
      <c r="I18" t="s">
        <v>336</v>
      </c>
      <c r="J18" s="156">
        <f>F18</f>
        <v>381.33333333333331</v>
      </c>
      <c r="K18" s="157">
        <f>J18/$C$42</f>
        <v>4.4341085271317828</v>
      </c>
      <c r="L18" s="158">
        <f>SUM(L12:L17)</f>
        <v>4.2167930894790695</v>
      </c>
      <c r="M18" s="158">
        <f t="shared" ref="M18:P18" si="11">SUM(M12:M17)</f>
        <v>4.0101282705816743</v>
      </c>
      <c r="N18" s="158">
        <f t="shared" si="11"/>
        <v>3.6266881264001238</v>
      </c>
      <c r="O18" s="158">
        <f t="shared" si="11"/>
        <v>3.6266881264001238</v>
      </c>
      <c r="P18" s="158">
        <f t="shared" si="11"/>
        <v>4.0080829129426352</v>
      </c>
      <c r="Q18" s="158">
        <f>SUM(Q12:Q17)</f>
        <v>5.8992248062015502</v>
      </c>
      <c r="R18" s="158">
        <f>SUM(R12:R17)</f>
        <v>2.4187366719903394</v>
      </c>
      <c r="S18" s="158">
        <f>SUM(S12:S17)</f>
        <v>5.8992248062015502</v>
      </c>
    </row>
    <row r="19" spans="1:19" ht="15.6" thickTop="1" thickBot="1" x14ac:dyDescent="0.35">
      <c r="B19" s="159"/>
      <c r="C19" s="160"/>
      <c r="D19" s="161"/>
      <c r="F19" s="162"/>
      <c r="G19" s="161"/>
    </row>
    <row r="20" spans="1:19" ht="15.6" thickTop="1" thickBot="1" x14ac:dyDescent="0.35">
      <c r="A20" t="s">
        <v>12</v>
      </c>
      <c r="B20" s="165" t="s">
        <v>337</v>
      </c>
      <c r="C20" s="166">
        <v>521</v>
      </c>
      <c r="D20" s="154" t="s">
        <v>315</v>
      </c>
      <c r="F20" s="155">
        <f t="shared" si="0"/>
        <v>69.466666666666669</v>
      </c>
      <c r="G20" s="154" t="s">
        <v>308</v>
      </c>
      <c r="I20" t="s">
        <v>338</v>
      </c>
      <c r="J20" s="156">
        <f>F20</f>
        <v>69.466666666666669</v>
      </c>
      <c r="K20" s="157">
        <f>J20/$C$42</f>
        <v>0.80775193798449618</v>
      </c>
      <c r="L20" s="158">
        <f>K20*(1+$C$50)^5</f>
        <v>0.76816405581069769</v>
      </c>
      <c r="M20" s="158">
        <f>K20*(1+$C$50)^10</f>
        <v>0.73051637376680167</v>
      </c>
      <c r="N20" s="158">
        <f>K20*(1+$C$50)^20</f>
        <v>0.66066591393512741</v>
      </c>
      <c r="O20" s="158">
        <f>K20*(1+$C$50)^20</f>
        <v>0.66066591393512741</v>
      </c>
      <c r="P20" s="158">
        <f>K20*(1+$C$49)^5</f>
        <v>0.73014377539968978</v>
      </c>
      <c r="Q20" s="158">
        <f>K20*(1+$C$51)^5</f>
        <v>0.80775193798449618</v>
      </c>
      <c r="R20" s="158">
        <f>K20*(1+$C$49)^30</f>
        <v>0.44061601612131712</v>
      </c>
      <c r="S20" s="158">
        <f>K20*(1+$C$51)^30</f>
        <v>0.80775193798449618</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350</v>
      </c>
      <c r="D23" s="150" t="s">
        <v>315</v>
      </c>
      <c r="F23" s="151">
        <f t="shared" si="0"/>
        <v>46.666666666666664</v>
      </c>
      <c r="G23" s="150" t="s">
        <v>308</v>
      </c>
      <c r="I23" t="s">
        <v>342</v>
      </c>
      <c r="J23" s="156">
        <f>F23+F31</f>
        <v>169.33333333333334</v>
      </c>
      <c r="K23" s="157">
        <f>J23/$C$42</f>
        <v>1.9689922480620157</v>
      </c>
      <c r="L23" s="158">
        <f>K23*(1+$C$50)^5</f>
        <v>1.8724920362372093</v>
      </c>
      <c r="M23" s="158">
        <f>K23*(1+$C$50)^10</f>
        <v>1.780721294978576</v>
      </c>
      <c r="N23" s="158">
        <f>K23*(1+$C$50)^20</f>
        <v>1.61045241976509</v>
      </c>
      <c r="O23" s="158">
        <f>K23*(1+$C$50)^20</f>
        <v>1.61045241976509</v>
      </c>
      <c r="P23" s="158">
        <f>K23*(1+$C$49)^5</f>
        <v>1.7798130417612401</v>
      </c>
      <c r="Q23" s="158">
        <f>K23*(1+$C$51)^5</f>
        <v>1.9689922480620157</v>
      </c>
      <c r="R23" s="158">
        <f>K23*(1+$C$49)^30</f>
        <v>1.0740543963034026</v>
      </c>
      <c r="S23" s="158">
        <f>K23*(1+$C$51)^30</f>
        <v>1.9689922480620157</v>
      </c>
    </row>
    <row r="24" spans="1:19" ht="15" thickTop="1" x14ac:dyDescent="0.3">
      <c r="A24" t="s">
        <v>343</v>
      </c>
      <c r="B24" s="149" t="s">
        <v>324</v>
      </c>
      <c r="C24" s="168">
        <v>694</v>
      </c>
      <c r="D24" s="150" t="s">
        <v>315</v>
      </c>
      <c r="F24" s="151">
        <f t="shared" si="0"/>
        <v>92.533333333333331</v>
      </c>
      <c r="G24" s="150" t="s">
        <v>308</v>
      </c>
    </row>
    <row r="25" spans="1:19" x14ac:dyDescent="0.3">
      <c r="A25" t="s">
        <v>344</v>
      </c>
      <c r="B25" s="149" t="s">
        <v>326</v>
      </c>
      <c r="C25" s="9">
        <v>136.4</v>
      </c>
      <c r="D25" s="150" t="s">
        <v>315</v>
      </c>
      <c r="F25" s="151">
        <f t="shared" si="0"/>
        <v>18.186666666666667</v>
      </c>
      <c r="G25" s="150" t="s">
        <v>308</v>
      </c>
    </row>
    <row r="26" spans="1:19" x14ac:dyDescent="0.3">
      <c r="A26" t="s">
        <v>345</v>
      </c>
      <c r="B26" s="149" t="s">
        <v>328</v>
      </c>
      <c r="C26" s="9">
        <v>316</v>
      </c>
      <c r="D26" s="150" t="s">
        <v>315</v>
      </c>
      <c r="F26" s="151">
        <f t="shared" si="0"/>
        <v>42.133333333333333</v>
      </c>
      <c r="G26" s="150" t="s">
        <v>308</v>
      </c>
    </row>
    <row r="27" spans="1:19" x14ac:dyDescent="0.3">
      <c r="A27" t="s">
        <v>346</v>
      </c>
      <c r="B27" s="149" t="s">
        <v>330</v>
      </c>
      <c r="C27" s="9">
        <v>101</v>
      </c>
      <c r="D27" s="150" t="s">
        <v>315</v>
      </c>
      <c r="F27" s="151">
        <f t="shared" si="0"/>
        <v>13.466666666666667</v>
      </c>
      <c r="G27" s="150" t="s">
        <v>308</v>
      </c>
    </row>
    <row r="28" spans="1:19" x14ac:dyDescent="0.3">
      <c r="A28" t="s">
        <v>347</v>
      </c>
      <c r="B28" s="149" t="s">
        <v>334</v>
      </c>
      <c r="C28" s="9">
        <v>568</v>
      </c>
      <c r="D28" s="150" t="s">
        <v>315</v>
      </c>
      <c r="F28" s="151">
        <f t="shared" si="0"/>
        <v>75.733333333333334</v>
      </c>
      <c r="G28" s="150" t="s">
        <v>308</v>
      </c>
    </row>
    <row r="29" spans="1:19" ht="15" thickBot="1" x14ac:dyDescent="0.35">
      <c r="A29" t="s">
        <v>348</v>
      </c>
      <c r="B29" s="149" t="s">
        <v>349</v>
      </c>
      <c r="C29" s="9"/>
      <c r="D29" s="150" t="s">
        <v>315</v>
      </c>
      <c r="F29" s="151">
        <f t="shared" si="0"/>
        <v>0</v>
      </c>
      <c r="G29" s="150" t="s">
        <v>308</v>
      </c>
    </row>
    <row r="30" spans="1:19" ht="15.6" thickTop="1" thickBot="1" x14ac:dyDescent="0.35">
      <c r="A30" t="s">
        <v>350</v>
      </c>
      <c r="B30" s="149" t="s">
        <v>351</v>
      </c>
      <c r="C30" s="9"/>
      <c r="D30" s="150" t="s">
        <v>315</v>
      </c>
      <c r="F30" s="151">
        <f t="shared" si="0"/>
        <v>0</v>
      </c>
      <c r="G30" s="150" t="s">
        <v>308</v>
      </c>
      <c r="I30" t="s">
        <v>352</v>
      </c>
      <c r="J30" s="156">
        <f>F24+F25+F26+F27+F28+F29+F30</f>
        <v>242.05333333333334</v>
      </c>
      <c r="K30" s="157">
        <f>J30/$C$42</f>
        <v>2.8145736434108528</v>
      </c>
      <c r="L30" s="158">
        <f>K30*(1+$C$50)^5</f>
        <v>2.6766315295945113</v>
      </c>
      <c r="M30" s="158">
        <f>K30*(1+$C$50)^10</f>
        <v>2.5454499518929974</v>
      </c>
      <c r="N30" s="158">
        <f>K30*(1+$C$50)^20</f>
        <v>2.3020593093240507</v>
      </c>
      <c r="O30" s="158">
        <f>K30*(1+$C$50)^20</f>
        <v>2.3020593093240507</v>
      </c>
      <c r="P30" s="158">
        <f>K30*(1+$C$49)^5</f>
        <v>2.5441516504042165</v>
      </c>
      <c r="Q30" s="158">
        <f>K30*(1+$C$51)^5</f>
        <v>2.8145736434108528</v>
      </c>
      <c r="R30" s="158">
        <f>K30*(1+$C$49)^30</f>
        <v>1.5353057882277141</v>
      </c>
      <c r="S30" s="158">
        <f>K30*(1+$C$51)^30</f>
        <v>2.8145736434108528</v>
      </c>
    </row>
    <row r="31" spans="1:19" ht="15.6" thickTop="1" thickBot="1" x14ac:dyDescent="0.35">
      <c r="A31" t="s">
        <v>353</v>
      </c>
      <c r="B31" s="149" t="s">
        <v>354</v>
      </c>
      <c r="C31" s="9">
        <v>920</v>
      </c>
      <c r="D31" s="150" t="s">
        <v>315</v>
      </c>
      <c r="F31" s="151">
        <f t="shared" si="0"/>
        <v>122.66666666666667</v>
      </c>
      <c r="G31" s="150" t="s">
        <v>308</v>
      </c>
    </row>
    <row r="32" spans="1:19" ht="15.6" thickTop="1" thickBot="1" x14ac:dyDescent="0.35">
      <c r="A32" t="s">
        <v>355</v>
      </c>
      <c r="B32" s="149" t="s">
        <v>356</v>
      </c>
      <c r="C32" s="9">
        <v>585</v>
      </c>
      <c r="D32" s="150" t="s">
        <v>315</v>
      </c>
      <c r="F32" s="151">
        <f t="shared" si="0"/>
        <v>78</v>
      </c>
      <c r="G32" s="150" t="s">
        <v>308</v>
      </c>
      <c r="I32" t="s">
        <v>357</v>
      </c>
      <c r="J32" s="156">
        <f>F32</f>
        <v>78</v>
      </c>
      <c r="K32" s="157">
        <f>J32/$C$42</f>
        <v>0.90697674418604646</v>
      </c>
      <c r="L32" s="158">
        <f>K32*(1+$C$50)^5</f>
        <v>0.86252585921162772</v>
      </c>
      <c r="M32" s="158">
        <f>K32*(1+$C$50)^10</f>
        <v>0.8202535098917062</v>
      </c>
      <c r="N32" s="158">
        <f>K32*(1+$C$50)^20</f>
        <v>0.74182257130911611</v>
      </c>
      <c r="O32" s="158">
        <f>K32*(1+$C$50)^20</f>
        <v>0.74182257130911611</v>
      </c>
      <c r="P32" s="158">
        <f>K32*(1+$C$49)^5</f>
        <v>0.8198351412837207</v>
      </c>
      <c r="Q32" s="158">
        <f>K32*(1+$C$51)^5</f>
        <v>0.90697674418604646</v>
      </c>
      <c r="R32" s="158">
        <f>K32*(1+$C$49)^30</f>
        <v>0.49474159199802392</v>
      </c>
      <c r="S32" s="158">
        <f>K32*(1+$C$51)^30</f>
        <v>0.90697674418604646</v>
      </c>
    </row>
    <row r="33" spans="1:20" ht="15" thickTop="1" x14ac:dyDescent="0.3">
      <c r="A33" t="s">
        <v>13</v>
      </c>
      <c r="B33" s="152" t="s">
        <v>358</v>
      </c>
      <c r="C33" s="166">
        <f>SUM(C23:C32)</f>
        <v>3670.4</v>
      </c>
      <c r="D33" s="154" t="s">
        <v>315</v>
      </c>
      <c r="F33" s="155">
        <f t="shared" si="0"/>
        <v>489.38666666666666</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600</v>
      </c>
      <c r="D36" s="150" t="s">
        <v>315</v>
      </c>
      <c r="F36" s="151">
        <f t="shared" si="0"/>
        <v>80</v>
      </c>
      <c r="G36" s="150" t="s">
        <v>308</v>
      </c>
      <c r="I36" t="s">
        <v>361</v>
      </c>
      <c r="J36" s="156">
        <f>F36</f>
        <v>80</v>
      </c>
      <c r="K36" s="157">
        <f>J36/$C$42</f>
        <v>0.93023255813953487</v>
      </c>
      <c r="L36" s="158">
        <f>K36*(1+$C$50)^5</f>
        <v>0.8846419068837208</v>
      </c>
      <c r="M36" s="158">
        <f>K36*(1+$C$50)^10</f>
        <v>0.84128565117098075</v>
      </c>
      <c r="N36" s="158">
        <f>K36*(1+$C$50)^20</f>
        <v>0.7608436628811448</v>
      </c>
      <c r="O36" s="158">
        <f>K36*(1+$C$50)^20</f>
        <v>0.7608436628811448</v>
      </c>
      <c r="P36" s="158">
        <f>K36*(1+$C$49)^5</f>
        <v>0.84085655516279056</v>
      </c>
      <c r="Q36" s="158">
        <f>K36*(1+$C$51)^5</f>
        <v>0.93023255813953487</v>
      </c>
      <c r="R36" s="158">
        <f>K36*(1+$C$49)^30</f>
        <v>0.50742727384412711</v>
      </c>
      <c r="S36" s="158">
        <f>K36*(1+$C$51)^30</f>
        <v>0.93023255813953487</v>
      </c>
    </row>
    <row r="37" spans="1:20" ht="15" thickTop="1" x14ac:dyDescent="0.3">
      <c r="A37" t="s">
        <v>16</v>
      </c>
      <c r="B37" s="152" t="s">
        <v>362</v>
      </c>
      <c r="C37" s="153">
        <f>SUM(C36)</f>
        <v>600</v>
      </c>
      <c r="D37" s="154" t="s">
        <v>315</v>
      </c>
      <c r="F37" s="155">
        <f t="shared" si="0"/>
        <v>80</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86</v>
      </c>
      <c r="D42" s="150" t="s">
        <v>367</v>
      </c>
      <c r="F42" s="171"/>
      <c r="G42" s="150"/>
    </row>
    <row r="43" spans="1:20" x14ac:dyDescent="0.3">
      <c r="B43" s="149" t="s">
        <v>368</v>
      </c>
      <c r="C43" s="168">
        <f>C39+C37+C33+C20+C18+C9</f>
        <v>8021.4</v>
      </c>
      <c r="D43" s="150" t="s">
        <v>315</v>
      </c>
      <c r="F43" s="151">
        <f>C43/7.5</f>
        <v>1069.52</v>
      </c>
      <c r="G43" s="150" t="s">
        <v>308</v>
      </c>
      <c r="J43" s="172">
        <f>J9+J18+J20+J23+J30+J32+J36+J39</f>
        <v>1069.52</v>
      </c>
      <c r="K43" s="172">
        <f t="shared" ref="K43:S43" si="12">K9+K18+K20+K23+K30+K32+K36+K39</f>
        <v>12.436279069767442</v>
      </c>
      <c r="L43" s="156">
        <f t="shared" si="12"/>
        <v>11.826777653128463</v>
      </c>
      <c r="M43" s="156">
        <f t="shared" si="12"/>
        <v>11.247147870504843</v>
      </c>
      <c r="N43" s="156">
        <f t="shared" si="12"/>
        <v>10.171718929058025</v>
      </c>
      <c r="O43" s="156">
        <f t="shared" si="12"/>
        <v>10.171718929058025</v>
      </c>
      <c r="P43" s="156">
        <f t="shared" si="12"/>
        <v>11.241411285971347</v>
      </c>
      <c r="Q43" s="156">
        <f t="shared" si="12"/>
        <v>13.901395348837209</v>
      </c>
      <c r="R43" s="156">
        <f t="shared" si="12"/>
        <v>6.7837952240221364</v>
      </c>
      <c r="S43" s="156">
        <f t="shared" si="12"/>
        <v>13.901395348837209</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topLeftCell="A19" workbookViewId="0">
      <selection activeCell="I46" sqref="I46"/>
    </sheetView>
  </sheetViews>
  <sheetFormatPr defaultColWidth="9.109375"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90</v>
      </c>
      <c r="D4" s="150" t="s">
        <v>315</v>
      </c>
      <c r="F4" s="151">
        <f>C4/7.5</f>
        <v>12</v>
      </c>
      <c r="G4" s="150" t="s">
        <v>308</v>
      </c>
    </row>
    <row r="5" spans="1:19" x14ac:dyDescent="0.3">
      <c r="B5" s="149" t="s">
        <v>316</v>
      </c>
      <c r="C5" s="9">
        <v>20</v>
      </c>
      <c r="D5" s="150" t="s">
        <v>315</v>
      </c>
      <c r="F5" s="151">
        <f t="shared" ref="F5:F39" si="0">C5/7.5</f>
        <v>2.6666666666666665</v>
      </c>
      <c r="G5" s="150" t="s">
        <v>308</v>
      </c>
    </row>
    <row r="6" spans="1:19" x14ac:dyDescent="0.3">
      <c r="B6" s="149" t="s">
        <v>317</v>
      </c>
      <c r="C6" s="9">
        <v>230</v>
      </c>
      <c r="D6" s="150" t="s">
        <v>315</v>
      </c>
      <c r="F6" s="151">
        <f t="shared" si="0"/>
        <v>30.666666666666668</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370</v>
      </c>
      <c r="D9" s="154" t="s">
        <v>315</v>
      </c>
      <c r="F9" s="155">
        <f t="shared" si="0"/>
        <v>49.333333333333336</v>
      </c>
      <c r="G9" s="154" t="s">
        <v>308</v>
      </c>
      <c r="I9" t="s">
        <v>321</v>
      </c>
      <c r="J9" s="156">
        <f>F9</f>
        <v>49.333333333333336</v>
      </c>
      <c r="K9" s="157">
        <f>J9/$C$42</f>
        <v>0.35748792270531404</v>
      </c>
      <c r="L9" s="158">
        <f>K9*(1+$C$50)^5</f>
        <v>0.33996745745217394</v>
      </c>
      <c r="M9" s="158">
        <f>K9*(1+$C$50)^10</f>
        <v>0.32330566932681898</v>
      </c>
      <c r="N9" s="158">
        <f>K9*(1+$C$50)^20</f>
        <v>0.29239185208789892</v>
      </c>
      <c r="O9" s="158">
        <f>K9*(1+$C$50)^20</f>
        <v>0.29239185208789892</v>
      </c>
      <c r="P9" s="158">
        <f>K9*(1+$C$49)^5</f>
        <v>0.32314076793816421</v>
      </c>
      <c r="Q9" s="158">
        <f>K9*(1+$C$51)^5</f>
        <v>0.35748792270531404</v>
      </c>
      <c r="R9" s="158">
        <f>K9*(1+$C$49)^30</f>
        <v>0.19500405620434935</v>
      </c>
      <c r="S9" s="158">
        <f>K9*(1+$C$51)^30</f>
        <v>0.35748792270531404</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v>280</v>
      </c>
      <c r="D12" s="150" t="s">
        <v>315</v>
      </c>
      <c r="F12" s="151">
        <f t="shared" si="0"/>
        <v>37.333333333333336</v>
      </c>
      <c r="G12" s="150" t="s">
        <v>308</v>
      </c>
      <c r="J12" s="156">
        <f>F12</f>
        <v>37.333333333333336</v>
      </c>
      <c r="K12" s="158">
        <f>J12/$C$42</f>
        <v>0.27053140096618361</v>
      </c>
      <c r="L12" s="158">
        <f>K12*(1+$C$50)^5</f>
        <v>0.25727267050434782</v>
      </c>
      <c r="M12" s="158">
        <f t="shared" ref="M12:M17" si="1">K12*(1+$C$50)^10</f>
        <v>0.24466374976083599</v>
      </c>
      <c r="N12" s="158">
        <f t="shared" ref="N12:N17" si="2">K12*(1+$C$50)^20</f>
        <v>0.22126950968813971</v>
      </c>
      <c r="O12" s="158">
        <f t="shared" ref="O12:O17" si="3">K12*(1+$C$50)^20</f>
        <v>0.22126950968813971</v>
      </c>
      <c r="P12" s="158">
        <f t="shared" ref="P12:P17" si="4">K12*(1+$C$49)^5</f>
        <v>0.24453895952077292</v>
      </c>
      <c r="Q12" s="158">
        <f t="shared" ref="Q12:Q16" si="5">K12*(1+$C$51)^5</f>
        <v>0.27053140096618361</v>
      </c>
      <c r="R12" s="158">
        <f t="shared" ref="R12:R17" si="6">K12*(1+$C$49)^30</f>
        <v>0.14757063712761576</v>
      </c>
      <c r="S12" s="158">
        <f t="shared" ref="S12:S16" si="7">K12*(1+$C$51)^30</f>
        <v>0.27053140096618361</v>
      </c>
    </row>
    <row r="13" spans="1:19" x14ac:dyDescent="0.3">
      <c r="A13" t="s">
        <v>325</v>
      </c>
      <c r="B13" s="149" t="s">
        <v>326</v>
      </c>
      <c r="C13" s="9">
        <v>180</v>
      </c>
      <c r="D13" s="150" t="s">
        <v>315</v>
      </c>
      <c r="F13" s="151">
        <f>C13/7.5</f>
        <v>24</v>
      </c>
      <c r="G13" s="150" t="s">
        <v>308</v>
      </c>
      <c r="J13" s="156">
        <f t="shared" ref="J13:J17" si="8">F13</f>
        <v>24</v>
      </c>
      <c r="K13" s="158">
        <f t="shared" ref="K13:K17" si="9">J13/$C$42</f>
        <v>0.17391304347826086</v>
      </c>
      <c r="L13" s="158">
        <f t="shared" ref="L13:L17" si="10">K13*(1+$C$50)^5</f>
        <v>0.16538957389565215</v>
      </c>
      <c r="M13" s="158">
        <f t="shared" si="1"/>
        <v>0.15728383913196595</v>
      </c>
      <c r="N13" s="158">
        <f t="shared" si="2"/>
        <v>0.14224468479951838</v>
      </c>
      <c r="O13" s="158">
        <f t="shared" si="3"/>
        <v>0.14224468479951838</v>
      </c>
      <c r="P13" s="158">
        <f t="shared" si="4"/>
        <v>0.15720361683478257</v>
      </c>
      <c r="Q13" s="158">
        <f t="shared" si="5"/>
        <v>0.17391304347826086</v>
      </c>
      <c r="R13" s="158">
        <f t="shared" si="6"/>
        <v>9.4866838153467248E-2</v>
      </c>
      <c r="S13" s="158">
        <f t="shared" si="7"/>
        <v>0.17391304347826086</v>
      </c>
    </row>
    <row r="14" spans="1:19" x14ac:dyDescent="0.3">
      <c r="A14" t="s">
        <v>327</v>
      </c>
      <c r="B14" s="149" t="s">
        <v>328</v>
      </c>
      <c r="C14" s="9">
        <v>420</v>
      </c>
      <c r="D14" s="150" t="s">
        <v>315</v>
      </c>
      <c r="F14" s="151">
        <f>C14/7.5</f>
        <v>56</v>
      </c>
      <c r="G14" s="150" t="s">
        <v>308</v>
      </c>
      <c r="J14" s="156">
        <f t="shared" si="8"/>
        <v>56</v>
      </c>
      <c r="K14" s="158">
        <f t="shared" si="9"/>
        <v>0.40579710144927539</v>
      </c>
      <c r="L14" s="158">
        <f t="shared" si="10"/>
        <v>0.38590900575652171</v>
      </c>
      <c r="M14" s="158">
        <f t="shared" si="1"/>
        <v>0.36699562464125396</v>
      </c>
      <c r="N14" s="158">
        <f t="shared" si="2"/>
        <v>0.33190426453220956</v>
      </c>
      <c r="O14" s="158">
        <f t="shared" si="3"/>
        <v>0.33190426453220956</v>
      </c>
      <c r="P14" s="158">
        <f t="shared" si="4"/>
        <v>0.36680843928115936</v>
      </c>
      <c r="Q14" s="158">
        <f t="shared" si="5"/>
        <v>0.40579710144927539</v>
      </c>
      <c r="R14" s="158">
        <f t="shared" si="6"/>
        <v>0.22135595569142361</v>
      </c>
      <c r="S14" s="158">
        <f t="shared" si="7"/>
        <v>0.40579710144927539</v>
      </c>
    </row>
    <row r="15" spans="1:19" x14ac:dyDescent="0.3">
      <c r="A15" t="s">
        <v>329</v>
      </c>
      <c r="B15" s="149" t="s">
        <v>330</v>
      </c>
      <c r="C15" s="9">
        <v>340</v>
      </c>
      <c r="D15" s="150" t="s">
        <v>315</v>
      </c>
      <c r="F15" s="151">
        <f t="shared" si="0"/>
        <v>45.333333333333336</v>
      </c>
      <c r="G15" s="150" t="s">
        <v>308</v>
      </c>
      <c r="J15" s="156">
        <f t="shared" si="8"/>
        <v>45.333333333333336</v>
      </c>
      <c r="K15" s="158">
        <f t="shared" si="9"/>
        <v>0.32850241545893721</v>
      </c>
      <c r="L15" s="158">
        <f t="shared" si="10"/>
        <v>0.31240252846956518</v>
      </c>
      <c r="M15" s="158">
        <f t="shared" si="1"/>
        <v>0.29709169613815795</v>
      </c>
      <c r="N15" s="158">
        <f t="shared" si="2"/>
        <v>0.26868440462131249</v>
      </c>
      <c r="O15" s="158">
        <f t="shared" si="3"/>
        <v>0.26868440462131249</v>
      </c>
      <c r="P15" s="158">
        <f t="shared" si="4"/>
        <v>0.2969401651323671</v>
      </c>
      <c r="Q15" s="158">
        <f t="shared" si="5"/>
        <v>0.32850241545893721</v>
      </c>
      <c r="R15" s="158">
        <f t="shared" si="6"/>
        <v>0.17919291651210481</v>
      </c>
      <c r="S15" s="158">
        <f t="shared" si="7"/>
        <v>0.32850241545893721</v>
      </c>
    </row>
    <row r="16" spans="1:19" x14ac:dyDescent="0.3">
      <c r="A16" t="s">
        <v>331</v>
      </c>
      <c r="B16" s="149" t="s">
        <v>332</v>
      </c>
      <c r="C16" s="9"/>
      <c r="D16" s="150" t="s">
        <v>315</v>
      </c>
      <c r="F16" s="151">
        <f t="shared" si="0"/>
        <v>0</v>
      </c>
      <c r="G16" s="150" t="s">
        <v>308</v>
      </c>
      <c r="J16" s="156">
        <f t="shared" si="8"/>
        <v>0</v>
      </c>
      <c r="K16" s="158">
        <f t="shared" si="9"/>
        <v>0</v>
      </c>
      <c r="L16" s="158">
        <f t="shared" si="10"/>
        <v>0</v>
      </c>
      <c r="M16" s="158">
        <f t="shared" si="1"/>
        <v>0</v>
      </c>
      <c r="N16" s="158">
        <f t="shared" si="2"/>
        <v>0</v>
      </c>
      <c r="O16" s="158">
        <f t="shared" si="3"/>
        <v>0</v>
      </c>
      <c r="P16" s="158">
        <f t="shared" si="4"/>
        <v>0</v>
      </c>
      <c r="Q16" s="158">
        <f t="shared" si="5"/>
        <v>0</v>
      </c>
      <c r="R16" s="158">
        <f t="shared" si="6"/>
        <v>0</v>
      </c>
      <c r="S16" s="158">
        <f t="shared" si="7"/>
        <v>0</v>
      </c>
    </row>
    <row r="17" spans="1:19" ht="15" thickBot="1" x14ac:dyDescent="0.35">
      <c r="A17" t="s">
        <v>333</v>
      </c>
      <c r="B17" s="149" t="s">
        <v>334</v>
      </c>
      <c r="C17" s="9">
        <v>2835</v>
      </c>
      <c r="D17" s="150" t="s">
        <v>315</v>
      </c>
      <c r="F17" s="151">
        <f t="shared" si="0"/>
        <v>378</v>
      </c>
      <c r="G17" s="150" t="s">
        <v>308</v>
      </c>
      <c r="J17" s="156">
        <f t="shared" si="8"/>
        <v>378</v>
      </c>
      <c r="K17" s="158">
        <f t="shared" si="9"/>
        <v>2.7391304347826089</v>
      </c>
      <c r="L17" s="158">
        <f t="shared" si="10"/>
        <v>2.6048857888565218</v>
      </c>
      <c r="M17" s="158">
        <f t="shared" si="1"/>
        <v>2.4772204663284643</v>
      </c>
      <c r="N17" s="158">
        <f t="shared" si="2"/>
        <v>2.2403537855924145</v>
      </c>
      <c r="O17" s="158">
        <f t="shared" si="3"/>
        <v>2.2403537855924145</v>
      </c>
      <c r="P17" s="158">
        <f t="shared" si="4"/>
        <v>2.4759569651478257</v>
      </c>
      <c r="Q17" s="164">
        <f>K17*(1+$C$51)^5*1.5</f>
        <v>4.1086956521739131</v>
      </c>
      <c r="R17" s="158">
        <f t="shared" si="6"/>
        <v>1.4941527009171094</v>
      </c>
      <c r="S17" s="164">
        <f>K17*(1+$C$51)^30*1.5</f>
        <v>4.1086956521739131</v>
      </c>
    </row>
    <row r="18" spans="1:19" ht="15.6" thickTop="1" thickBot="1" x14ac:dyDescent="0.35">
      <c r="A18" t="s">
        <v>15</v>
      </c>
      <c r="B18" s="152" t="s">
        <v>335</v>
      </c>
      <c r="C18" s="153">
        <f>SUM(C12:C17)</f>
        <v>4055</v>
      </c>
      <c r="D18" s="154" t="s">
        <v>315</v>
      </c>
      <c r="F18" s="155">
        <f t="shared" si="0"/>
        <v>540.66666666666663</v>
      </c>
      <c r="G18" s="154" t="s">
        <v>308</v>
      </c>
      <c r="I18" t="s">
        <v>336</v>
      </c>
      <c r="J18" s="156">
        <f>F18</f>
        <v>540.66666666666663</v>
      </c>
      <c r="K18" s="157">
        <f>J18/$C$42</f>
        <v>3.9178743961352653</v>
      </c>
      <c r="L18" s="158">
        <f>SUM(L12:L17)</f>
        <v>3.7258595674826087</v>
      </c>
      <c r="M18" s="158">
        <f t="shared" ref="M18:P18" si="11">SUM(M12:M17)</f>
        <v>3.543255376000678</v>
      </c>
      <c r="N18" s="158">
        <f t="shared" si="11"/>
        <v>3.2044566492335944</v>
      </c>
      <c r="O18" s="158">
        <f t="shared" si="11"/>
        <v>3.2044566492335944</v>
      </c>
      <c r="P18" s="158">
        <f t="shared" si="11"/>
        <v>3.5414481459169078</v>
      </c>
      <c r="Q18" s="158">
        <f>SUM(Q12:Q17)</f>
        <v>5.28743961352657</v>
      </c>
      <c r="R18" s="158">
        <f>SUM(R12:R17)</f>
        <v>2.1371390484017208</v>
      </c>
      <c r="S18" s="158">
        <f>SUM(S12:S17)</f>
        <v>5.28743961352657</v>
      </c>
    </row>
    <row r="19" spans="1:19" ht="15.6" thickTop="1" thickBot="1" x14ac:dyDescent="0.35">
      <c r="B19" s="159"/>
      <c r="C19" s="160"/>
      <c r="D19" s="161"/>
      <c r="F19" s="162"/>
      <c r="G19" s="161"/>
    </row>
    <row r="20" spans="1:19" ht="15.6" thickTop="1" thickBot="1" x14ac:dyDescent="0.35">
      <c r="A20" t="s">
        <v>12</v>
      </c>
      <c r="B20" s="165" t="s">
        <v>337</v>
      </c>
      <c r="C20" s="166">
        <v>747</v>
      </c>
      <c r="D20" s="154" t="s">
        <v>315</v>
      </c>
      <c r="F20" s="155">
        <f t="shared" si="0"/>
        <v>99.6</v>
      </c>
      <c r="G20" s="154" t="s">
        <v>308</v>
      </c>
      <c r="I20" t="s">
        <v>338</v>
      </c>
      <c r="J20" s="156">
        <f>F20</f>
        <v>99.6</v>
      </c>
      <c r="K20" s="157">
        <f>J20/$C$42</f>
        <v>0.72173913043478255</v>
      </c>
      <c r="L20" s="158">
        <f>K20*(1+$C$50)^5</f>
        <v>0.68636673166695639</v>
      </c>
      <c r="M20" s="158">
        <f>K20*(1+$C$50)^10</f>
        <v>0.65272793239765869</v>
      </c>
      <c r="N20" s="158">
        <f>K20*(1+$C$50)^20</f>
        <v>0.59031544191800123</v>
      </c>
      <c r="O20" s="158">
        <f>K20*(1+$C$50)^20</f>
        <v>0.59031544191800123</v>
      </c>
      <c r="P20" s="158">
        <f>K20*(1+$C$49)^5</f>
        <v>0.65239500986434762</v>
      </c>
      <c r="Q20" s="158">
        <f>K20*(1+$C$51)^5</f>
        <v>0.72173913043478255</v>
      </c>
      <c r="R20" s="158">
        <f>K20*(1+$C$49)^30</f>
        <v>0.39369737833688906</v>
      </c>
      <c r="S20" s="158">
        <f>K20*(1+$C$51)^30</f>
        <v>0.72173913043478255</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350</v>
      </c>
      <c r="D23" s="150" t="s">
        <v>315</v>
      </c>
      <c r="F23" s="151">
        <f t="shared" si="0"/>
        <v>46.666666666666664</v>
      </c>
      <c r="G23" s="150" t="s">
        <v>308</v>
      </c>
      <c r="I23" t="s">
        <v>342</v>
      </c>
      <c r="J23" s="156">
        <f>F23+F31</f>
        <v>169.33333333333334</v>
      </c>
      <c r="K23" s="157">
        <f>J23/$C$42</f>
        <v>1.2270531400966185</v>
      </c>
      <c r="L23" s="158">
        <f>K23*(1+$C$50)^5</f>
        <v>1.1669153269304349</v>
      </c>
      <c r="M23" s="158">
        <f>K23*(1+$C$50)^10</f>
        <v>1.1097248649866489</v>
      </c>
      <c r="N23" s="158">
        <f>K23*(1+$C$50)^20</f>
        <v>1.0036152760854908</v>
      </c>
      <c r="O23" s="158">
        <f>K23*(1+$C$50)^20</f>
        <v>1.0036152760854908</v>
      </c>
      <c r="P23" s="158">
        <f>K23*(1+$C$49)^5</f>
        <v>1.1091588521120772</v>
      </c>
      <c r="Q23" s="158">
        <f>K23*(1+$C$51)^5</f>
        <v>1.2270531400966185</v>
      </c>
      <c r="R23" s="158">
        <f>K23*(1+$C$49)^30</f>
        <v>0.66933824697168565</v>
      </c>
      <c r="S23" s="158">
        <f>K23*(1+$C$51)^30</f>
        <v>1.2270531400966185</v>
      </c>
    </row>
    <row r="24" spans="1:19" ht="15" thickTop="1" x14ac:dyDescent="0.3">
      <c r="A24" t="s">
        <v>343</v>
      </c>
      <c r="B24" s="149" t="s">
        <v>324</v>
      </c>
      <c r="C24" s="168">
        <v>694</v>
      </c>
      <c r="D24" s="150" t="s">
        <v>315</v>
      </c>
      <c r="F24" s="151">
        <f t="shared" si="0"/>
        <v>92.533333333333331</v>
      </c>
      <c r="G24" s="150" t="s">
        <v>308</v>
      </c>
    </row>
    <row r="25" spans="1:19" x14ac:dyDescent="0.3">
      <c r="A25" t="s">
        <v>344</v>
      </c>
      <c r="B25" s="149" t="s">
        <v>326</v>
      </c>
      <c r="C25" s="9">
        <v>223.2</v>
      </c>
      <c r="D25" s="150" t="s">
        <v>315</v>
      </c>
      <c r="F25" s="151">
        <f t="shared" si="0"/>
        <v>29.759999999999998</v>
      </c>
      <c r="G25" s="150" t="s">
        <v>308</v>
      </c>
    </row>
    <row r="26" spans="1:19" x14ac:dyDescent="0.3">
      <c r="A26" t="s">
        <v>345</v>
      </c>
      <c r="B26" s="149" t="s">
        <v>328</v>
      </c>
      <c r="C26" s="9">
        <v>521</v>
      </c>
      <c r="D26" s="150" t="s">
        <v>315</v>
      </c>
      <c r="F26" s="151">
        <f t="shared" si="0"/>
        <v>69.466666666666669</v>
      </c>
      <c r="G26" s="150" t="s">
        <v>308</v>
      </c>
    </row>
    <row r="27" spans="1:19" x14ac:dyDescent="0.3">
      <c r="A27" t="s">
        <v>346</v>
      </c>
      <c r="B27" s="149" t="s">
        <v>330</v>
      </c>
      <c r="C27" s="9">
        <v>105</v>
      </c>
      <c r="D27" s="150" t="s">
        <v>315</v>
      </c>
      <c r="F27" s="151">
        <f t="shared" si="0"/>
        <v>14</v>
      </c>
      <c r="G27" s="150" t="s">
        <v>308</v>
      </c>
    </row>
    <row r="28" spans="1:19" x14ac:dyDescent="0.3">
      <c r="A28" t="s">
        <v>347</v>
      </c>
      <c r="B28" s="149" t="s">
        <v>334</v>
      </c>
      <c r="C28" s="9">
        <v>825</v>
      </c>
      <c r="D28" s="150" t="s">
        <v>315</v>
      </c>
      <c r="F28" s="151">
        <f t="shared" si="0"/>
        <v>110</v>
      </c>
      <c r="G28" s="150" t="s">
        <v>308</v>
      </c>
    </row>
    <row r="29" spans="1:19" ht="15" thickBot="1" x14ac:dyDescent="0.35">
      <c r="A29" t="s">
        <v>348</v>
      </c>
      <c r="B29" s="149" t="s">
        <v>349</v>
      </c>
      <c r="C29" s="9"/>
      <c r="D29" s="150" t="s">
        <v>315</v>
      </c>
      <c r="F29" s="151">
        <f t="shared" si="0"/>
        <v>0</v>
      </c>
      <c r="G29" s="150" t="s">
        <v>308</v>
      </c>
    </row>
    <row r="30" spans="1:19" ht="15.6" thickTop="1" thickBot="1" x14ac:dyDescent="0.35">
      <c r="A30" t="s">
        <v>350</v>
      </c>
      <c r="B30" s="149" t="s">
        <v>351</v>
      </c>
      <c r="C30" s="9"/>
      <c r="D30" s="150" t="s">
        <v>315</v>
      </c>
      <c r="F30" s="151">
        <f t="shared" si="0"/>
        <v>0</v>
      </c>
      <c r="G30" s="150" t="s">
        <v>308</v>
      </c>
      <c r="I30" t="s">
        <v>352</v>
      </c>
      <c r="J30" s="156">
        <f>F24+F25+F26+F27+F28+F29+F30</f>
        <v>315.76</v>
      </c>
      <c r="K30" s="157">
        <f>J30/$C$42</f>
        <v>2.2881159420289854</v>
      </c>
      <c r="L30" s="158">
        <f>K30*(1+$C$50)^5</f>
        <v>2.1759754938871301</v>
      </c>
      <c r="M30" s="158">
        <f>K30*(1+$C$50)^10</f>
        <v>2.0693310435128986</v>
      </c>
      <c r="N30" s="158">
        <f>K30*(1+$C$50)^20</f>
        <v>1.87146590301233</v>
      </c>
      <c r="O30" s="158">
        <f>K30*(1+$C$50)^20</f>
        <v>1.87146590301233</v>
      </c>
      <c r="P30" s="158">
        <f>K30*(1+$C$49)^5</f>
        <v>2.0682755854896229</v>
      </c>
      <c r="Q30" s="158">
        <f>K30*(1+$C$51)^5</f>
        <v>2.2881159420289854</v>
      </c>
      <c r="R30" s="158">
        <f>K30*(1+$C$49)^30</f>
        <v>1.2481313673057841</v>
      </c>
      <c r="S30" s="158">
        <f>K30*(1+$C$51)^30</f>
        <v>2.2881159420289854</v>
      </c>
    </row>
    <row r="31" spans="1:19" ht="15.6" thickTop="1" thickBot="1" x14ac:dyDescent="0.35">
      <c r="A31" t="s">
        <v>353</v>
      </c>
      <c r="B31" s="149" t="s">
        <v>354</v>
      </c>
      <c r="C31" s="9">
        <v>920</v>
      </c>
      <c r="D31" s="150" t="s">
        <v>315</v>
      </c>
      <c r="F31" s="151">
        <f t="shared" si="0"/>
        <v>122.66666666666667</v>
      </c>
      <c r="G31" s="150" t="s">
        <v>308</v>
      </c>
    </row>
    <row r="32" spans="1:19" ht="15.6" thickTop="1" thickBot="1" x14ac:dyDescent="0.35">
      <c r="A32" t="s">
        <v>355</v>
      </c>
      <c r="B32" s="149" t="s">
        <v>356</v>
      </c>
      <c r="C32" s="9">
        <v>938</v>
      </c>
      <c r="D32" s="150" t="s">
        <v>315</v>
      </c>
      <c r="F32" s="151">
        <f t="shared" si="0"/>
        <v>125.06666666666666</v>
      </c>
      <c r="G32" s="150" t="s">
        <v>308</v>
      </c>
      <c r="I32" t="s">
        <v>357</v>
      </c>
      <c r="J32" s="156">
        <f>F32</f>
        <v>125.06666666666666</v>
      </c>
      <c r="K32" s="157">
        <f>J32/$C$42</f>
        <v>0.90628019323671494</v>
      </c>
      <c r="L32" s="158">
        <f>K32*(1+$C$50)^5</f>
        <v>0.86186344618956512</v>
      </c>
      <c r="M32" s="158">
        <f>K32*(1+$C$50)^10</f>
        <v>0.81962356169880035</v>
      </c>
      <c r="N32" s="158">
        <f>K32*(1+$C$50)^20</f>
        <v>0.74125285745526792</v>
      </c>
      <c r="O32" s="158">
        <f>K32*(1+$C$50)^20</f>
        <v>0.74125285745526792</v>
      </c>
      <c r="P32" s="158">
        <f>K32*(1+$C$49)^5</f>
        <v>0.81920551439458922</v>
      </c>
      <c r="Q32" s="158">
        <f>K32*(1+$C$51)^5</f>
        <v>0.90628019323671494</v>
      </c>
      <c r="R32" s="158">
        <f>K32*(1+$C$49)^30</f>
        <v>0.49436163437751263</v>
      </c>
      <c r="S32" s="158">
        <f>K32*(1+$C$51)^30</f>
        <v>0.90628019323671494</v>
      </c>
    </row>
    <row r="33" spans="1:20" ht="15" thickTop="1" x14ac:dyDescent="0.3">
      <c r="A33" t="s">
        <v>13</v>
      </c>
      <c r="B33" s="152" t="s">
        <v>358</v>
      </c>
      <c r="C33" s="166">
        <f>SUM(C23:C32)</f>
        <v>4576.2</v>
      </c>
      <c r="D33" s="154" t="s">
        <v>315</v>
      </c>
      <c r="F33" s="155">
        <f t="shared" si="0"/>
        <v>610.16</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600</v>
      </c>
      <c r="D36" s="150" t="s">
        <v>315</v>
      </c>
      <c r="F36" s="151">
        <f t="shared" si="0"/>
        <v>80</v>
      </c>
      <c r="G36" s="150" t="s">
        <v>308</v>
      </c>
      <c r="I36" t="s">
        <v>361</v>
      </c>
      <c r="J36" s="156">
        <f>F36</f>
        <v>80</v>
      </c>
      <c r="K36" s="157">
        <f>J36/$C$42</f>
        <v>0.57971014492753625</v>
      </c>
      <c r="L36" s="158">
        <f>K36*(1+$C$50)^5</f>
        <v>0.55129857965217388</v>
      </c>
      <c r="M36" s="158">
        <f>K36*(1+$C$50)^10</f>
        <v>0.52427946377321988</v>
      </c>
      <c r="N36" s="158">
        <f>K36*(1+$C$50)^20</f>
        <v>0.47414894933172791</v>
      </c>
      <c r="O36" s="158">
        <f>K36*(1+$C$50)^20</f>
        <v>0.47414894933172791</v>
      </c>
      <c r="P36" s="158">
        <f>K36*(1+$C$49)^5</f>
        <v>0.52401205611594193</v>
      </c>
      <c r="Q36" s="158">
        <f>K36*(1+$C$51)^5</f>
        <v>0.57971014492753625</v>
      </c>
      <c r="R36" s="158">
        <f>K36*(1+$C$49)^30</f>
        <v>0.31622279384489083</v>
      </c>
      <c r="S36" s="158">
        <f>K36*(1+$C$51)^30</f>
        <v>0.57971014492753625</v>
      </c>
    </row>
    <row r="37" spans="1:20" ht="15" thickTop="1" x14ac:dyDescent="0.3">
      <c r="A37" t="s">
        <v>16</v>
      </c>
      <c r="B37" s="152" t="s">
        <v>362</v>
      </c>
      <c r="C37" s="153">
        <f>SUM(C36)</f>
        <v>600</v>
      </c>
      <c r="D37" s="154" t="s">
        <v>315</v>
      </c>
      <c r="F37" s="155">
        <f t="shared" si="0"/>
        <v>80</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138</v>
      </c>
      <c r="D42" s="150" t="s">
        <v>367</v>
      </c>
      <c r="F42" s="171"/>
      <c r="G42" s="150"/>
    </row>
    <row r="43" spans="1:20" x14ac:dyDescent="0.3">
      <c r="B43" s="149" t="s">
        <v>368</v>
      </c>
      <c r="C43" s="168">
        <f>C39+C37+C33+C20+C18+C9</f>
        <v>10348.200000000001</v>
      </c>
      <c r="D43" s="150" t="s">
        <v>315</v>
      </c>
      <c r="F43" s="151">
        <f>C43/7.5</f>
        <v>1379.76</v>
      </c>
      <c r="G43" s="150" t="s">
        <v>308</v>
      </c>
      <c r="J43" s="172">
        <f>J9+J18+J20+J23+J30+J32+J36+J39</f>
        <v>1379.76</v>
      </c>
      <c r="K43" s="172">
        <f t="shared" ref="K43:S43" si="12">K9+K18+K20+K23+K30+K32+K36+K39</f>
        <v>9.9982608695652164</v>
      </c>
      <c r="L43" s="156">
        <f t="shared" si="12"/>
        <v>9.5082466032610444</v>
      </c>
      <c r="M43" s="156">
        <f t="shared" si="12"/>
        <v>9.0422479116967249</v>
      </c>
      <c r="N43" s="156">
        <f t="shared" si="12"/>
        <v>8.177646929124311</v>
      </c>
      <c r="O43" s="156">
        <f t="shared" si="12"/>
        <v>8.177646929124311</v>
      </c>
      <c r="P43" s="156">
        <f t="shared" si="12"/>
        <v>9.0376359318316499</v>
      </c>
      <c r="Q43" s="156">
        <f t="shared" si="12"/>
        <v>11.367826086956521</v>
      </c>
      <c r="R43" s="156">
        <f t="shared" si="12"/>
        <v>5.4538945254428324</v>
      </c>
      <c r="S43" s="156">
        <f t="shared" si="12"/>
        <v>11.367826086956521</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workbookViewId="0"/>
  </sheetViews>
  <sheetFormatPr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50</v>
      </c>
      <c r="D4" s="150" t="s">
        <v>315</v>
      </c>
      <c r="F4" s="151">
        <f>C4/7.5</f>
        <v>6.666666666666667</v>
      </c>
      <c r="G4" s="150" t="s">
        <v>308</v>
      </c>
    </row>
    <row r="5" spans="1:19" x14ac:dyDescent="0.3">
      <c r="B5" s="149" t="s">
        <v>316</v>
      </c>
      <c r="C5" s="9">
        <v>20</v>
      </c>
      <c r="D5" s="150" t="s">
        <v>315</v>
      </c>
      <c r="F5" s="151">
        <f t="shared" ref="F5:F39" si="0">C5/7.5</f>
        <v>2.6666666666666665</v>
      </c>
      <c r="G5" s="150" t="s">
        <v>308</v>
      </c>
    </row>
    <row r="6" spans="1:19" x14ac:dyDescent="0.3">
      <c r="B6" s="149" t="s">
        <v>317</v>
      </c>
      <c r="C6" s="9"/>
      <c r="D6" s="150" t="s">
        <v>315</v>
      </c>
      <c r="F6" s="151">
        <f t="shared" si="0"/>
        <v>0</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100</v>
      </c>
      <c r="D9" s="154" t="s">
        <v>315</v>
      </c>
      <c r="F9" s="155">
        <f t="shared" si="0"/>
        <v>13.333333333333334</v>
      </c>
      <c r="G9" s="154" t="s">
        <v>308</v>
      </c>
      <c r="I9" t="s">
        <v>321</v>
      </c>
      <c r="J9" s="156">
        <f>F9</f>
        <v>13.333333333333334</v>
      </c>
      <c r="K9" s="157">
        <f>J9/$C$42</f>
        <v>0.44444444444444448</v>
      </c>
      <c r="L9" s="158">
        <f>K9*(1+$C$50)^5</f>
        <v>0.4226622444</v>
      </c>
      <c r="M9" s="158">
        <f>K9*(1+$C$50)^10</f>
        <v>0.40194758889280197</v>
      </c>
      <c r="N9" s="158">
        <f>K9*(1+$C$50)^20</f>
        <v>0.36351419448765809</v>
      </c>
      <c r="O9" s="158">
        <f>K9*(1+$C$50)^20</f>
        <v>0.36351419448765809</v>
      </c>
      <c r="P9" s="158">
        <f>K9*(1+$C$49)^5</f>
        <v>0.40174257635555549</v>
      </c>
      <c r="Q9" s="158">
        <f>K9*(1+$C$51)^5</f>
        <v>0.44444444444444448</v>
      </c>
      <c r="R9" s="158">
        <f>K9*(1+$C$49)^30</f>
        <v>0.24243747528108298</v>
      </c>
      <c r="S9" s="158">
        <f>K9*(1+$C$51)^30</f>
        <v>0.44444444444444448</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v>55</v>
      </c>
      <c r="D12" s="150" t="s">
        <v>315</v>
      </c>
      <c r="F12" s="151">
        <f t="shared" si="0"/>
        <v>7.333333333333333</v>
      </c>
      <c r="G12" s="150" t="s">
        <v>308</v>
      </c>
      <c r="J12" s="156">
        <f>F12</f>
        <v>7.333333333333333</v>
      </c>
      <c r="K12" s="158">
        <f>J12/$C$42</f>
        <v>0.24444444444444444</v>
      </c>
      <c r="L12" s="158">
        <f>K12*(1+$C$50)^5</f>
        <v>0.23246423441999997</v>
      </c>
      <c r="M12" s="158">
        <f t="shared" ref="M12:M17" si="1">K12*(1+$C$50)^10</f>
        <v>0.22107117389104106</v>
      </c>
      <c r="N12" s="158">
        <f t="shared" ref="N12:N17" si="2">K12*(1+$C$50)^20</f>
        <v>0.19993280696821192</v>
      </c>
      <c r="O12" s="158">
        <f t="shared" ref="O12:O17" si="3">K12*(1+$C$50)^20</f>
        <v>0.19993280696821192</v>
      </c>
      <c r="P12" s="158">
        <f t="shared" ref="P12:P17" si="4">K12*(1+$C$49)^5</f>
        <v>0.22095841699555549</v>
      </c>
      <c r="Q12" s="158">
        <f t="shared" ref="Q12:Q16" si="5">K12*(1+$C$51)^5</f>
        <v>0.24444444444444444</v>
      </c>
      <c r="R12" s="158">
        <f t="shared" ref="R12:R17" si="6">K12*(1+$C$49)^30</f>
        <v>0.13334061140459563</v>
      </c>
      <c r="S12" s="158">
        <f t="shared" ref="S12:S16" si="7">K12*(1+$C$51)^30</f>
        <v>0.24444444444444444</v>
      </c>
    </row>
    <row r="13" spans="1:19" x14ac:dyDescent="0.3">
      <c r="A13" t="s">
        <v>325</v>
      </c>
      <c r="B13" s="149" t="s">
        <v>326</v>
      </c>
      <c r="C13" s="9"/>
      <c r="D13" s="150" t="s">
        <v>315</v>
      </c>
      <c r="F13" s="151">
        <f>C13/7.5</f>
        <v>0</v>
      </c>
      <c r="G13" s="150" t="s">
        <v>308</v>
      </c>
      <c r="J13" s="156">
        <f t="shared" ref="J13:J17" si="8">F13</f>
        <v>0</v>
      </c>
      <c r="K13" s="158">
        <f t="shared" ref="K13:K17" si="9">J13/$C$42</f>
        <v>0</v>
      </c>
      <c r="L13" s="158">
        <f t="shared" ref="L13:L17" si="10">K13*(1+$C$50)^5</f>
        <v>0</v>
      </c>
      <c r="M13" s="158">
        <f t="shared" si="1"/>
        <v>0</v>
      </c>
      <c r="N13" s="158">
        <f t="shared" si="2"/>
        <v>0</v>
      </c>
      <c r="O13" s="158">
        <f t="shared" si="3"/>
        <v>0</v>
      </c>
      <c r="P13" s="158">
        <f t="shared" si="4"/>
        <v>0</v>
      </c>
      <c r="Q13" s="158">
        <f t="shared" si="5"/>
        <v>0</v>
      </c>
      <c r="R13" s="158">
        <f t="shared" si="6"/>
        <v>0</v>
      </c>
      <c r="S13" s="158">
        <f t="shared" si="7"/>
        <v>0</v>
      </c>
    </row>
    <row r="14" spans="1:19" x14ac:dyDescent="0.3">
      <c r="A14" t="s">
        <v>327</v>
      </c>
      <c r="B14" s="149" t="s">
        <v>374</v>
      </c>
      <c r="C14" s="9">
        <v>85</v>
      </c>
      <c r="D14" s="150" t="s">
        <v>315</v>
      </c>
      <c r="F14" s="151">
        <f>C14/7.5</f>
        <v>11.333333333333334</v>
      </c>
      <c r="G14" s="150" t="s">
        <v>308</v>
      </c>
      <c r="J14" s="156">
        <f t="shared" si="8"/>
        <v>11.333333333333334</v>
      </c>
      <c r="K14" s="158">
        <f t="shared" si="9"/>
        <v>0.37777777777777782</v>
      </c>
      <c r="L14" s="158">
        <f t="shared" si="10"/>
        <v>0.35926290774000003</v>
      </c>
      <c r="M14" s="158">
        <f t="shared" si="1"/>
        <v>0.34165545055888169</v>
      </c>
      <c r="N14" s="158">
        <f t="shared" si="2"/>
        <v>0.30898706531450937</v>
      </c>
      <c r="O14" s="158">
        <f t="shared" si="3"/>
        <v>0.30898706531450937</v>
      </c>
      <c r="P14" s="158">
        <f t="shared" si="4"/>
        <v>0.3414811899022222</v>
      </c>
      <c r="Q14" s="158">
        <f t="shared" si="5"/>
        <v>0.37777777777777782</v>
      </c>
      <c r="R14" s="158">
        <f t="shared" si="6"/>
        <v>0.20607185398892056</v>
      </c>
      <c r="S14" s="158">
        <f t="shared" si="7"/>
        <v>0.37777777777777782</v>
      </c>
    </row>
    <row r="15" spans="1:19" x14ac:dyDescent="0.3">
      <c r="A15" t="s">
        <v>329</v>
      </c>
      <c r="B15" s="149" t="s">
        <v>330</v>
      </c>
      <c r="C15" s="9">
        <v>135</v>
      </c>
      <c r="D15" s="150" t="s">
        <v>315</v>
      </c>
      <c r="F15" s="151">
        <f t="shared" si="0"/>
        <v>18</v>
      </c>
      <c r="G15" s="150" t="s">
        <v>308</v>
      </c>
      <c r="J15" s="156">
        <f t="shared" si="8"/>
        <v>18</v>
      </c>
      <c r="K15" s="158">
        <f t="shared" si="9"/>
        <v>0.6</v>
      </c>
      <c r="L15" s="158">
        <f t="shared" si="10"/>
        <v>0.57059402993999997</v>
      </c>
      <c r="M15" s="158">
        <f t="shared" si="1"/>
        <v>0.54262924500528253</v>
      </c>
      <c r="N15" s="158">
        <f t="shared" si="2"/>
        <v>0.49074416255833836</v>
      </c>
      <c r="O15" s="158">
        <f t="shared" si="3"/>
        <v>0.49074416255833836</v>
      </c>
      <c r="P15" s="158">
        <f t="shared" si="4"/>
        <v>0.54235247807999987</v>
      </c>
      <c r="Q15" s="158">
        <f t="shared" si="5"/>
        <v>0.6</v>
      </c>
      <c r="R15" s="158">
        <f t="shared" si="6"/>
        <v>0.327290591629462</v>
      </c>
      <c r="S15" s="158">
        <f t="shared" si="7"/>
        <v>0.6</v>
      </c>
    </row>
    <row r="16" spans="1:19" x14ac:dyDescent="0.3">
      <c r="A16" t="s">
        <v>331</v>
      </c>
      <c r="B16" s="149" t="s">
        <v>332</v>
      </c>
      <c r="C16" s="9">
        <v>475</v>
      </c>
      <c r="D16" s="150" t="s">
        <v>315</v>
      </c>
      <c r="F16" s="151">
        <f t="shared" si="0"/>
        <v>63.333333333333336</v>
      </c>
      <c r="G16" s="150" t="s">
        <v>308</v>
      </c>
      <c r="J16" s="156">
        <f t="shared" si="8"/>
        <v>63.333333333333336</v>
      </c>
      <c r="K16" s="158">
        <f t="shared" si="9"/>
        <v>2.1111111111111112</v>
      </c>
      <c r="L16" s="158">
        <f t="shared" si="10"/>
        <v>2.0076456608999997</v>
      </c>
      <c r="M16" s="158">
        <f t="shared" si="1"/>
        <v>1.9092510472408091</v>
      </c>
      <c r="N16" s="158">
        <f t="shared" si="2"/>
        <v>1.7266924238163759</v>
      </c>
      <c r="O16" s="158">
        <f t="shared" si="3"/>
        <v>1.7266924238163759</v>
      </c>
      <c r="P16" s="158">
        <f t="shared" si="4"/>
        <v>1.9082772376888886</v>
      </c>
      <c r="Q16" s="158">
        <f t="shared" si="5"/>
        <v>2.1111111111111112</v>
      </c>
      <c r="R16" s="158">
        <f t="shared" si="6"/>
        <v>1.1515780075851441</v>
      </c>
      <c r="S16" s="158">
        <f t="shared" si="7"/>
        <v>2.1111111111111112</v>
      </c>
    </row>
    <row r="17" spans="1:19" ht="15" thickBot="1" x14ac:dyDescent="0.35">
      <c r="A17" t="s">
        <v>333</v>
      </c>
      <c r="B17" s="149" t="s">
        <v>334</v>
      </c>
      <c r="C17" s="9">
        <v>490</v>
      </c>
      <c r="D17" s="150" t="s">
        <v>315</v>
      </c>
      <c r="F17" s="151">
        <f t="shared" si="0"/>
        <v>65.333333333333329</v>
      </c>
      <c r="G17" s="150" t="s">
        <v>308</v>
      </c>
      <c r="J17" s="156">
        <f t="shared" si="8"/>
        <v>65.333333333333329</v>
      </c>
      <c r="K17" s="158">
        <f t="shared" si="9"/>
        <v>2.1777777777777776</v>
      </c>
      <c r="L17" s="158">
        <f t="shared" si="10"/>
        <v>2.0710449975599996</v>
      </c>
      <c r="M17" s="158">
        <f t="shared" si="1"/>
        <v>1.9695431855747292</v>
      </c>
      <c r="N17" s="158">
        <f t="shared" si="2"/>
        <v>1.7812195529895243</v>
      </c>
      <c r="O17" s="158">
        <f t="shared" si="3"/>
        <v>1.7812195529895243</v>
      </c>
      <c r="P17" s="158">
        <f t="shared" si="4"/>
        <v>1.9685386241422216</v>
      </c>
      <c r="Q17" s="164">
        <f>K17*(1+$C$51)^5*1.5</f>
        <v>3.2666666666666666</v>
      </c>
      <c r="R17" s="158">
        <f t="shared" si="6"/>
        <v>1.1879436288773064</v>
      </c>
      <c r="S17" s="164">
        <f>K17*(1+$C$51)^30*1.5</f>
        <v>3.2666666666666666</v>
      </c>
    </row>
    <row r="18" spans="1:19" ht="15.6" thickTop="1" thickBot="1" x14ac:dyDescent="0.35">
      <c r="A18" t="s">
        <v>15</v>
      </c>
      <c r="B18" s="152" t="s">
        <v>335</v>
      </c>
      <c r="C18" s="153">
        <f>SUM(C12:C17)</f>
        <v>1240</v>
      </c>
      <c r="D18" s="154" t="s">
        <v>315</v>
      </c>
      <c r="F18" s="155">
        <f t="shared" si="0"/>
        <v>165.33333333333334</v>
      </c>
      <c r="G18" s="154" t="s">
        <v>308</v>
      </c>
      <c r="I18" t="s">
        <v>336</v>
      </c>
      <c r="J18" s="156">
        <f>F18</f>
        <v>165.33333333333334</v>
      </c>
      <c r="K18" s="157">
        <f>J18/$C$42</f>
        <v>5.5111111111111111</v>
      </c>
      <c r="L18" s="158">
        <f>SUM(L12:L17)</f>
        <v>5.2410118305599998</v>
      </c>
      <c r="M18" s="158">
        <f t="shared" ref="M18:P18" si="11">SUM(M12:M17)</f>
        <v>4.9841501022707435</v>
      </c>
      <c r="N18" s="158">
        <f t="shared" si="11"/>
        <v>4.5075760116469601</v>
      </c>
      <c r="O18" s="158">
        <f t="shared" si="11"/>
        <v>4.5075760116469601</v>
      </c>
      <c r="P18" s="158">
        <f t="shared" si="11"/>
        <v>4.9816079468088876</v>
      </c>
      <c r="Q18" s="158">
        <f>SUM(Q12:Q17)</f>
        <v>6.6</v>
      </c>
      <c r="R18" s="158">
        <f>SUM(R12:R17)</f>
        <v>3.0062246934854286</v>
      </c>
      <c r="S18" s="158">
        <f>SUM(S12:S17)</f>
        <v>6.6</v>
      </c>
    </row>
    <row r="19" spans="1:19" ht="15.6" thickTop="1" thickBot="1" x14ac:dyDescent="0.35">
      <c r="B19" s="159"/>
      <c r="C19" s="160"/>
      <c r="D19" s="161"/>
      <c r="F19" s="162"/>
      <c r="G19" s="161"/>
    </row>
    <row r="20" spans="1:19" ht="15.6" thickTop="1" thickBot="1" x14ac:dyDescent="0.35">
      <c r="A20" t="s">
        <v>12</v>
      </c>
      <c r="B20" s="165" t="s">
        <v>337</v>
      </c>
      <c r="C20" s="166">
        <v>203</v>
      </c>
      <c r="D20" s="154" t="s">
        <v>315</v>
      </c>
      <c r="F20" s="155">
        <f t="shared" si="0"/>
        <v>27.066666666666666</v>
      </c>
      <c r="G20" s="154" t="s">
        <v>308</v>
      </c>
      <c r="I20" t="s">
        <v>338</v>
      </c>
      <c r="J20" s="156">
        <f>F20</f>
        <v>27.066666666666666</v>
      </c>
      <c r="K20" s="157">
        <f>J20/$C$42</f>
        <v>0.90222222222222226</v>
      </c>
      <c r="L20" s="158">
        <f>K20*(1+$C$50)^5</f>
        <v>0.85800435613199999</v>
      </c>
      <c r="M20" s="158">
        <f>K20*(1+$C$50)^10</f>
        <v>0.81595360545238793</v>
      </c>
      <c r="N20" s="158">
        <f>K20*(1+$C$50)^20</f>
        <v>0.73793381480994591</v>
      </c>
      <c r="O20" s="158">
        <f>K20*(1+$C$50)^20</f>
        <v>0.73793381480994591</v>
      </c>
      <c r="P20" s="158">
        <f>K20*(1+$C$49)^5</f>
        <v>0.8155374300017777</v>
      </c>
      <c r="Q20" s="158">
        <f>K20*(1+$C$51)^5</f>
        <v>0.90222222222222226</v>
      </c>
      <c r="R20" s="158">
        <f>K20*(1+$C$49)^30</f>
        <v>0.49214807482059847</v>
      </c>
      <c r="S20" s="158">
        <f>K20*(1+$C$51)^30</f>
        <v>0.90222222222222226</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525</v>
      </c>
      <c r="D23" s="150" t="s">
        <v>315</v>
      </c>
      <c r="F23" s="151">
        <f t="shared" si="0"/>
        <v>70</v>
      </c>
      <c r="G23" s="150" t="s">
        <v>308</v>
      </c>
      <c r="I23" t="s">
        <v>342</v>
      </c>
      <c r="J23" s="156">
        <f>F23+F31</f>
        <v>192.66666666666669</v>
      </c>
      <c r="K23" s="157">
        <f>J23/$C$42</f>
        <v>6.4222222222222225</v>
      </c>
      <c r="L23" s="158">
        <f>K23*(1+$C$50)^5</f>
        <v>6.1074694315799993</v>
      </c>
      <c r="M23" s="158">
        <f>K23*(1+$C$50)^10</f>
        <v>5.8081426595009882</v>
      </c>
      <c r="N23" s="158">
        <f>K23*(1+$C$50)^20</f>
        <v>5.2527801103466594</v>
      </c>
      <c r="O23" s="158">
        <f>K23*(1+$C$50)^20</f>
        <v>5.2527801103466594</v>
      </c>
      <c r="P23" s="158">
        <f>K23*(1+$C$49)^5</f>
        <v>5.8051802283377771</v>
      </c>
      <c r="Q23" s="158">
        <f>K23*(1+$C$51)^5</f>
        <v>6.4222222222222225</v>
      </c>
      <c r="R23" s="158">
        <f>K23*(1+$C$49)^30</f>
        <v>3.503221517811649</v>
      </c>
      <c r="S23" s="158">
        <f>K23*(1+$C$51)^30</f>
        <v>6.4222222222222225</v>
      </c>
    </row>
    <row r="24" spans="1:19" ht="15" thickTop="1" x14ac:dyDescent="0.3">
      <c r="A24" t="s">
        <v>343</v>
      </c>
      <c r="B24" s="149" t="s">
        <v>324</v>
      </c>
      <c r="C24" s="168">
        <v>930</v>
      </c>
      <c r="D24" s="150" t="s">
        <v>315</v>
      </c>
      <c r="F24" s="151">
        <f t="shared" si="0"/>
        <v>124</v>
      </c>
      <c r="G24" s="150" t="s">
        <v>308</v>
      </c>
    </row>
    <row r="25" spans="1:19" x14ac:dyDescent="0.3">
      <c r="A25" t="s">
        <v>344</v>
      </c>
      <c r="B25" s="149" t="s">
        <v>326</v>
      </c>
      <c r="C25" s="9"/>
      <c r="D25" s="150" t="s">
        <v>315</v>
      </c>
      <c r="F25" s="151">
        <f t="shared" si="0"/>
        <v>0</v>
      </c>
      <c r="G25" s="150" t="s">
        <v>308</v>
      </c>
    </row>
    <row r="26" spans="1:19" x14ac:dyDescent="0.3">
      <c r="A26" t="s">
        <v>345</v>
      </c>
      <c r="B26" s="149" t="s">
        <v>374</v>
      </c>
      <c r="C26" s="9">
        <v>211</v>
      </c>
      <c r="D26" s="150" t="s">
        <v>315</v>
      </c>
      <c r="F26" s="151">
        <f t="shared" si="0"/>
        <v>28.133333333333333</v>
      </c>
      <c r="G26" s="150" t="s">
        <v>308</v>
      </c>
    </row>
    <row r="27" spans="1:19" x14ac:dyDescent="0.3">
      <c r="A27" t="s">
        <v>346</v>
      </c>
      <c r="B27" s="149" t="s">
        <v>330</v>
      </c>
      <c r="C27" s="9">
        <v>335</v>
      </c>
      <c r="D27" s="150" t="s">
        <v>315</v>
      </c>
      <c r="F27" s="151">
        <f t="shared" si="0"/>
        <v>44.666666666666664</v>
      </c>
      <c r="G27" s="150" t="s">
        <v>308</v>
      </c>
    </row>
    <row r="28" spans="1:19" x14ac:dyDescent="0.3">
      <c r="A28" t="s">
        <v>347</v>
      </c>
      <c r="B28" s="149" t="s">
        <v>334</v>
      </c>
      <c r="C28" s="9">
        <v>152</v>
      </c>
      <c r="D28" s="150" t="s">
        <v>315</v>
      </c>
      <c r="F28" s="151">
        <f t="shared" si="0"/>
        <v>20.266666666666666</v>
      </c>
      <c r="G28" s="150" t="s">
        <v>308</v>
      </c>
    </row>
    <row r="29" spans="1:19" ht="15" thickBot="1" x14ac:dyDescent="0.35">
      <c r="A29" t="s">
        <v>348</v>
      </c>
      <c r="B29" s="149" t="s">
        <v>349</v>
      </c>
      <c r="C29" s="9"/>
      <c r="D29" s="150" t="s">
        <v>315</v>
      </c>
      <c r="F29" s="151">
        <f t="shared" si="0"/>
        <v>0</v>
      </c>
      <c r="G29" s="150" t="s">
        <v>308</v>
      </c>
    </row>
    <row r="30" spans="1:19" ht="15.6" thickTop="1" thickBot="1" x14ac:dyDescent="0.35">
      <c r="A30" t="s">
        <v>350</v>
      </c>
      <c r="B30" s="149" t="s">
        <v>351</v>
      </c>
      <c r="C30" s="175">
        <v>620</v>
      </c>
      <c r="D30" s="150" t="s">
        <v>315</v>
      </c>
      <c r="F30" s="151">
        <f t="shared" si="0"/>
        <v>82.666666666666671</v>
      </c>
      <c r="G30" s="150" t="s">
        <v>308</v>
      </c>
      <c r="I30" t="s">
        <v>352</v>
      </c>
      <c r="J30" s="156">
        <f>F24+F25+F26+F27+F28+F29+F30</f>
        <v>299.73333333333335</v>
      </c>
      <c r="K30" s="157">
        <f>J30/$C$42</f>
        <v>9.9911111111111115</v>
      </c>
      <c r="L30" s="158">
        <f>K30*(1+$C$50)^5</f>
        <v>9.5014472541119996</v>
      </c>
      <c r="M30" s="158">
        <f>K30*(1+$C$50)^10</f>
        <v>9.0357817983101878</v>
      </c>
      <c r="N30" s="158">
        <f>K30*(1+$C$50)^20</f>
        <v>8.1717990920825532</v>
      </c>
      <c r="O30" s="158">
        <f>K30*(1+$C$50)^20</f>
        <v>8.1717990920825532</v>
      </c>
      <c r="P30" s="158">
        <f>K30*(1+$C$49)^5</f>
        <v>9.0311731164728872</v>
      </c>
      <c r="Q30" s="158">
        <f>K30*(1+$C$51)^5</f>
        <v>9.9911111111111115</v>
      </c>
      <c r="R30" s="158">
        <f>K30*(1+$C$49)^30</f>
        <v>5.4499944443187456</v>
      </c>
      <c r="S30" s="158">
        <f>K30*(1+$C$51)^30</f>
        <v>9.9911111111111115</v>
      </c>
    </row>
    <row r="31" spans="1:19" ht="15.6" thickTop="1" thickBot="1" x14ac:dyDescent="0.35">
      <c r="A31" t="s">
        <v>353</v>
      </c>
      <c r="B31" s="149" t="s">
        <v>354</v>
      </c>
      <c r="C31" s="9">
        <v>920</v>
      </c>
      <c r="D31" s="150" t="s">
        <v>315</v>
      </c>
      <c r="F31" s="151">
        <f t="shared" si="0"/>
        <v>122.66666666666667</v>
      </c>
      <c r="G31" s="150" t="s">
        <v>308</v>
      </c>
    </row>
    <row r="32" spans="1:19" ht="15.6" thickTop="1" thickBot="1" x14ac:dyDescent="0.35">
      <c r="A32" t="s">
        <v>355</v>
      </c>
      <c r="B32" s="149" t="s">
        <v>356</v>
      </c>
      <c r="C32" s="9">
        <v>690</v>
      </c>
      <c r="D32" s="150" t="s">
        <v>315</v>
      </c>
      <c r="F32" s="151">
        <f t="shared" si="0"/>
        <v>92</v>
      </c>
      <c r="G32" s="150" t="s">
        <v>308</v>
      </c>
      <c r="I32" t="s">
        <v>357</v>
      </c>
      <c r="J32" s="156">
        <f>F32</f>
        <v>92</v>
      </c>
      <c r="K32" s="157">
        <f>J32/$C$42</f>
        <v>3.0666666666666669</v>
      </c>
      <c r="L32" s="158">
        <f>K32*(1+$C$50)^5</f>
        <v>2.9163694863599998</v>
      </c>
      <c r="M32" s="158">
        <f>K32*(1+$C$50)^10</f>
        <v>2.7734383633603334</v>
      </c>
      <c r="N32" s="158">
        <f>K32*(1+$C$50)^20</f>
        <v>2.5082479419648407</v>
      </c>
      <c r="O32" s="158">
        <f>K32*(1+$C$50)^20</f>
        <v>2.5082479419648407</v>
      </c>
      <c r="P32" s="158">
        <f>K32*(1+$C$49)^5</f>
        <v>2.7720237768533331</v>
      </c>
      <c r="Q32" s="158">
        <f>K32*(1+$C$51)^5</f>
        <v>3.0666666666666669</v>
      </c>
      <c r="R32" s="158">
        <f>K32*(1+$C$49)^30</f>
        <v>1.6728185794394725</v>
      </c>
      <c r="S32" s="158">
        <f>K32*(1+$C$51)^30</f>
        <v>3.0666666666666669</v>
      </c>
    </row>
    <row r="33" spans="1:20" ht="15" thickTop="1" x14ac:dyDescent="0.3">
      <c r="A33" t="s">
        <v>13</v>
      </c>
      <c r="B33" s="152" t="s">
        <v>358</v>
      </c>
      <c r="C33" s="166">
        <f>SUM(C23:C32)</f>
        <v>4383</v>
      </c>
      <c r="D33" s="154" t="s">
        <v>315</v>
      </c>
      <c r="F33" s="155">
        <f t="shared" si="0"/>
        <v>584.4</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600</v>
      </c>
      <c r="D36" s="150" t="s">
        <v>315</v>
      </c>
      <c r="F36" s="151">
        <f t="shared" si="0"/>
        <v>80</v>
      </c>
      <c r="G36" s="150" t="s">
        <v>308</v>
      </c>
      <c r="I36" t="s">
        <v>361</v>
      </c>
      <c r="J36" s="156">
        <f>F36</f>
        <v>80</v>
      </c>
      <c r="K36" s="157">
        <f>J36/$C$42</f>
        <v>2.6666666666666665</v>
      </c>
      <c r="L36" s="158">
        <f>K36*(1+$C$50)^5</f>
        <v>2.5359734663999998</v>
      </c>
      <c r="M36" s="158">
        <f>K36*(1+$C$50)^10</f>
        <v>2.4116855333568115</v>
      </c>
      <c r="N36" s="158">
        <f>K36*(1+$C$50)^20</f>
        <v>2.1810851669259481</v>
      </c>
      <c r="O36" s="158">
        <f>K36*(1+$C$50)^20</f>
        <v>2.1810851669259481</v>
      </c>
      <c r="P36" s="158">
        <f>K36*(1+$C$49)^5</f>
        <v>2.4104554581333328</v>
      </c>
      <c r="Q36" s="158">
        <f>K36*(1+$C$51)^5</f>
        <v>2.6666666666666665</v>
      </c>
      <c r="R36" s="158">
        <f>K36*(1+$C$49)^30</f>
        <v>1.4546248516864977</v>
      </c>
      <c r="S36" s="158">
        <f>K36*(1+$C$51)^30</f>
        <v>2.6666666666666665</v>
      </c>
    </row>
    <row r="37" spans="1:20" ht="15" thickTop="1" x14ac:dyDescent="0.3">
      <c r="A37" t="s">
        <v>16</v>
      </c>
      <c r="B37" s="152" t="s">
        <v>362</v>
      </c>
      <c r="C37" s="153">
        <f>SUM(C36)</f>
        <v>600</v>
      </c>
      <c r="D37" s="154" t="s">
        <v>315</v>
      </c>
      <c r="F37" s="155">
        <f t="shared" si="0"/>
        <v>80</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30</v>
      </c>
      <c r="D42" s="150" t="s">
        <v>367</v>
      </c>
      <c r="F42" s="171"/>
      <c r="G42" s="150"/>
    </row>
    <row r="43" spans="1:20" x14ac:dyDescent="0.3">
      <c r="B43" s="149" t="s">
        <v>368</v>
      </c>
      <c r="C43" s="168">
        <f>C39+C37+C33+C20+C18+C9</f>
        <v>6526</v>
      </c>
      <c r="D43" s="150" t="s">
        <v>315</v>
      </c>
      <c r="F43" s="151">
        <f>C43/7.5</f>
        <v>870.13333333333333</v>
      </c>
      <c r="G43" s="150" t="s">
        <v>308</v>
      </c>
      <c r="J43" s="172">
        <f>J9+J18+J20+J23+J30+J32+J36+J39</f>
        <v>870.13333333333344</v>
      </c>
      <c r="K43" s="172">
        <f t="shared" ref="K43:S43" si="12">K9+K18+K20+K23+K30+K32+K36+K39</f>
        <v>29.004444444444445</v>
      </c>
      <c r="L43" s="156">
        <f t="shared" si="12"/>
        <v>27.582938069543999</v>
      </c>
      <c r="M43" s="156">
        <f t="shared" si="12"/>
        <v>26.231099651144255</v>
      </c>
      <c r="N43" s="156">
        <f t="shared" si="12"/>
        <v>23.72293633226456</v>
      </c>
      <c r="O43" s="156">
        <f t="shared" si="12"/>
        <v>23.72293633226456</v>
      </c>
      <c r="P43" s="156">
        <f t="shared" si="12"/>
        <v>26.217720532963554</v>
      </c>
      <c r="Q43" s="156">
        <f t="shared" si="12"/>
        <v>30.093333333333334</v>
      </c>
      <c r="R43" s="156">
        <f t="shared" si="12"/>
        <v>15.821469636843474</v>
      </c>
      <c r="S43" s="156">
        <f t="shared" si="12"/>
        <v>30.093333333333334</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topLeftCell="A14" workbookViewId="0">
      <selection activeCell="I46" sqref="I46"/>
    </sheetView>
  </sheetViews>
  <sheetFormatPr defaultColWidth="9.109375"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60</v>
      </c>
      <c r="D4" s="150" t="s">
        <v>315</v>
      </c>
      <c r="F4" s="151">
        <f>C4/7.5</f>
        <v>8</v>
      </c>
      <c r="G4" s="150" t="s">
        <v>308</v>
      </c>
    </row>
    <row r="5" spans="1:19" x14ac:dyDescent="0.3">
      <c r="B5" s="149" t="s">
        <v>316</v>
      </c>
      <c r="C5" s="9">
        <v>20</v>
      </c>
      <c r="D5" s="150" t="s">
        <v>315</v>
      </c>
      <c r="F5" s="151">
        <f t="shared" ref="F5:F39" si="0">C5/7.5</f>
        <v>2.6666666666666665</v>
      </c>
      <c r="G5" s="150" t="s">
        <v>308</v>
      </c>
    </row>
    <row r="6" spans="1:19" x14ac:dyDescent="0.3">
      <c r="B6" s="149" t="s">
        <v>317</v>
      </c>
      <c r="C6" s="9"/>
      <c r="D6" s="150" t="s">
        <v>315</v>
      </c>
      <c r="F6" s="151">
        <f t="shared" si="0"/>
        <v>0</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110</v>
      </c>
      <c r="D9" s="154" t="s">
        <v>315</v>
      </c>
      <c r="F9" s="155">
        <f t="shared" si="0"/>
        <v>14.666666666666666</v>
      </c>
      <c r="G9" s="154" t="s">
        <v>308</v>
      </c>
      <c r="I9" t="s">
        <v>321</v>
      </c>
      <c r="J9" s="156">
        <f>F9</f>
        <v>14.666666666666666</v>
      </c>
      <c r="K9" s="157">
        <f>J9/$C$42</f>
        <v>0.17460317460317459</v>
      </c>
      <c r="L9" s="158">
        <f>K9*(1+$C$50)^5</f>
        <v>0.1660458817285714</v>
      </c>
      <c r="M9" s="158">
        <f>K9*(1+$C$50)^10</f>
        <v>0.1579079813507436</v>
      </c>
      <c r="N9" s="158">
        <f>K9*(1+$C$50)^20</f>
        <v>0.1428091478344371</v>
      </c>
      <c r="O9" s="158">
        <f>K9*(1+$C$50)^20</f>
        <v>0.1428091478344371</v>
      </c>
      <c r="P9" s="158">
        <f>K9*(1+$C$49)^5</f>
        <v>0.15782744071111107</v>
      </c>
      <c r="Q9" s="158">
        <f>K9*(1+$C$51)^5</f>
        <v>0.17460317460317459</v>
      </c>
      <c r="R9" s="158">
        <f>K9*(1+$C$49)^30</f>
        <v>9.5243293860425446E-2</v>
      </c>
      <c r="S9" s="158">
        <f>K9*(1+$C$51)^30</f>
        <v>0.17460317460317459</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v>80</v>
      </c>
      <c r="D12" s="150" t="s">
        <v>315</v>
      </c>
      <c r="F12" s="151">
        <f t="shared" si="0"/>
        <v>10.666666666666666</v>
      </c>
      <c r="G12" s="150" t="s">
        <v>308</v>
      </c>
      <c r="J12" s="156">
        <f>F12</f>
        <v>10.666666666666666</v>
      </c>
      <c r="K12" s="158">
        <f>J12/$C$42</f>
        <v>0.12698412698412698</v>
      </c>
      <c r="L12" s="158">
        <f>K12*(1+$C$50)^5</f>
        <v>0.12076064125714284</v>
      </c>
      <c r="M12" s="158">
        <f t="shared" ref="M12:M17" si="1">K12*(1+$C$50)^10</f>
        <v>0.11484216825508625</v>
      </c>
      <c r="N12" s="158">
        <f t="shared" ref="N12:N17" si="2">K12*(1+$C$50)^20</f>
        <v>0.10386119842504515</v>
      </c>
      <c r="O12" s="158">
        <f t="shared" ref="O12:O17" si="3">K12*(1+$C$50)^20</f>
        <v>0.10386119842504515</v>
      </c>
      <c r="P12" s="158">
        <f t="shared" ref="P12:P17" si="4">K12*(1+$C$49)^5</f>
        <v>0.11478359324444441</v>
      </c>
      <c r="Q12" s="158">
        <f t="shared" ref="Q12:Q16" si="5">K12*(1+$C$51)^5</f>
        <v>0.12698412698412698</v>
      </c>
      <c r="R12" s="158">
        <f t="shared" ref="R12:R17" si="6">K12*(1+$C$49)^30</f>
        <v>6.9267850080309418E-2</v>
      </c>
      <c r="S12" s="158">
        <f t="shared" ref="S12:S16" si="7">K12*(1+$C$51)^30</f>
        <v>0.12698412698412698</v>
      </c>
    </row>
    <row r="13" spans="1:19" x14ac:dyDescent="0.3">
      <c r="A13" t="s">
        <v>325</v>
      </c>
      <c r="B13" s="149" t="s">
        <v>326</v>
      </c>
      <c r="C13" s="9"/>
      <c r="D13" s="150" t="s">
        <v>315</v>
      </c>
      <c r="F13" s="151">
        <f>C13/7.5</f>
        <v>0</v>
      </c>
      <c r="G13" s="150" t="s">
        <v>308</v>
      </c>
      <c r="J13" s="156">
        <f t="shared" ref="J13:J17" si="8">F13</f>
        <v>0</v>
      </c>
      <c r="K13" s="158">
        <f t="shared" ref="K13:K17" si="9">J13/$C$42</f>
        <v>0</v>
      </c>
      <c r="L13" s="158">
        <f t="shared" ref="L13:L17" si="10">K13*(1+$C$50)^5</f>
        <v>0</v>
      </c>
      <c r="M13" s="158">
        <f t="shared" si="1"/>
        <v>0</v>
      </c>
      <c r="N13" s="158">
        <f t="shared" si="2"/>
        <v>0</v>
      </c>
      <c r="O13" s="158">
        <f t="shared" si="3"/>
        <v>0</v>
      </c>
      <c r="P13" s="158">
        <f t="shared" si="4"/>
        <v>0</v>
      </c>
      <c r="Q13" s="158">
        <f t="shared" si="5"/>
        <v>0</v>
      </c>
      <c r="R13" s="158">
        <f t="shared" si="6"/>
        <v>0</v>
      </c>
      <c r="S13" s="158">
        <f t="shared" si="7"/>
        <v>0</v>
      </c>
    </row>
    <row r="14" spans="1:19" x14ac:dyDescent="0.3">
      <c r="A14" t="s">
        <v>327</v>
      </c>
      <c r="B14" s="149" t="s">
        <v>374</v>
      </c>
      <c r="C14" s="9">
        <v>240</v>
      </c>
      <c r="D14" s="150" t="s">
        <v>315</v>
      </c>
      <c r="F14" s="151">
        <f>C14/7.5</f>
        <v>32</v>
      </c>
      <c r="G14" s="150" t="s">
        <v>308</v>
      </c>
      <c r="J14" s="156">
        <f t="shared" si="8"/>
        <v>32</v>
      </c>
      <c r="K14" s="158">
        <f t="shared" si="9"/>
        <v>0.38095238095238093</v>
      </c>
      <c r="L14" s="158">
        <f t="shared" si="10"/>
        <v>0.36228192377142854</v>
      </c>
      <c r="M14" s="158">
        <f t="shared" si="1"/>
        <v>0.34452650476525876</v>
      </c>
      <c r="N14" s="158">
        <f t="shared" si="2"/>
        <v>0.31158359527513546</v>
      </c>
      <c r="O14" s="158">
        <f t="shared" si="3"/>
        <v>0.31158359527513546</v>
      </c>
      <c r="P14" s="158">
        <f t="shared" si="4"/>
        <v>0.34435077973333322</v>
      </c>
      <c r="Q14" s="158">
        <f t="shared" si="5"/>
        <v>0.38095238095238093</v>
      </c>
      <c r="R14" s="158">
        <f t="shared" si="6"/>
        <v>0.20780355024092825</v>
      </c>
      <c r="S14" s="158">
        <f t="shared" si="7"/>
        <v>0.38095238095238093</v>
      </c>
    </row>
    <row r="15" spans="1:19" x14ac:dyDescent="0.3">
      <c r="A15" t="s">
        <v>329</v>
      </c>
      <c r="B15" s="149" t="s">
        <v>330</v>
      </c>
      <c r="C15" s="9">
        <v>335</v>
      </c>
      <c r="D15" s="150" t="s">
        <v>315</v>
      </c>
      <c r="F15" s="151">
        <f t="shared" si="0"/>
        <v>44.666666666666664</v>
      </c>
      <c r="G15" s="150" t="s">
        <v>308</v>
      </c>
      <c r="J15" s="156">
        <f t="shared" si="8"/>
        <v>44.666666666666664</v>
      </c>
      <c r="K15" s="158">
        <f t="shared" si="9"/>
        <v>0.53174603174603174</v>
      </c>
      <c r="L15" s="158">
        <f t="shared" si="10"/>
        <v>0.50568518526428563</v>
      </c>
      <c r="M15" s="158">
        <f t="shared" si="1"/>
        <v>0.4809015795681737</v>
      </c>
      <c r="N15" s="158">
        <f t="shared" si="2"/>
        <v>0.43491876840487664</v>
      </c>
      <c r="O15" s="158">
        <f t="shared" si="3"/>
        <v>0.43491876840487664</v>
      </c>
      <c r="P15" s="158">
        <f t="shared" si="4"/>
        <v>0.48065629671111099</v>
      </c>
      <c r="Q15" s="158">
        <f t="shared" si="5"/>
        <v>0.53174603174603174</v>
      </c>
      <c r="R15" s="158">
        <f t="shared" si="6"/>
        <v>0.29005912221129571</v>
      </c>
      <c r="S15" s="158">
        <f t="shared" si="7"/>
        <v>0.53174603174603174</v>
      </c>
    </row>
    <row r="16" spans="1:19" x14ac:dyDescent="0.3">
      <c r="A16" t="s">
        <v>331</v>
      </c>
      <c r="B16" s="149" t="s">
        <v>332</v>
      </c>
      <c r="C16" s="9">
        <v>545</v>
      </c>
      <c r="D16" s="150" t="s">
        <v>315</v>
      </c>
      <c r="F16" s="151">
        <f t="shared" si="0"/>
        <v>72.666666666666671</v>
      </c>
      <c r="G16" s="150" t="s">
        <v>308</v>
      </c>
      <c r="J16" s="156">
        <f t="shared" si="8"/>
        <v>72.666666666666671</v>
      </c>
      <c r="K16" s="158">
        <f t="shared" si="9"/>
        <v>0.86507936507936511</v>
      </c>
      <c r="L16" s="158">
        <f t="shared" si="10"/>
        <v>0.82268186856428571</v>
      </c>
      <c r="M16" s="158">
        <f t="shared" si="1"/>
        <v>0.78236227123777513</v>
      </c>
      <c r="N16" s="158">
        <f t="shared" si="2"/>
        <v>0.70755441427062016</v>
      </c>
      <c r="O16" s="158">
        <f t="shared" si="3"/>
        <v>0.70755441427062016</v>
      </c>
      <c r="P16" s="158">
        <f t="shared" si="4"/>
        <v>0.7819632289777777</v>
      </c>
      <c r="Q16" s="158">
        <f t="shared" si="5"/>
        <v>0.86507936507936511</v>
      </c>
      <c r="R16" s="158">
        <f t="shared" si="6"/>
        <v>0.47188722867210797</v>
      </c>
      <c r="S16" s="158">
        <f t="shared" si="7"/>
        <v>0.86507936507936511</v>
      </c>
    </row>
    <row r="17" spans="1:19" ht="15" thickBot="1" x14ac:dyDescent="0.35">
      <c r="A17" t="s">
        <v>333</v>
      </c>
      <c r="B17" s="149" t="s">
        <v>334</v>
      </c>
      <c r="C17" s="9">
        <v>980</v>
      </c>
      <c r="D17" s="150" t="s">
        <v>315</v>
      </c>
      <c r="F17" s="151">
        <f t="shared" si="0"/>
        <v>130.66666666666666</v>
      </c>
      <c r="G17" s="150" t="s">
        <v>308</v>
      </c>
      <c r="J17" s="156">
        <f t="shared" si="8"/>
        <v>130.66666666666666</v>
      </c>
      <c r="K17" s="158">
        <f t="shared" si="9"/>
        <v>1.5555555555555554</v>
      </c>
      <c r="L17" s="158">
        <f t="shared" si="10"/>
        <v>1.4793178553999997</v>
      </c>
      <c r="M17" s="158">
        <f t="shared" si="1"/>
        <v>1.4068165611248065</v>
      </c>
      <c r="N17" s="158">
        <f t="shared" si="2"/>
        <v>1.272299680706803</v>
      </c>
      <c r="O17" s="158">
        <f t="shared" si="3"/>
        <v>1.272299680706803</v>
      </c>
      <c r="P17" s="158">
        <f t="shared" si="4"/>
        <v>1.4060990172444441</v>
      </c>
      <c r="Q17" s="164">
        <f>K17*(1+$C$51)^5*1.5</f>
        <v>2.333333333333333</v>
      </c>
      <c r="R17" s="158">
        <f t="shared" si="6"/>
        <v>0.84853116348379032</v>
      </c>
      <c r="S17" s="164">
        <f>K17*(1+$C$51)^30*1.5</f>
        <v>2.333333333333333</v>
      </c>
    </row>
    <row r="18" spans="1:19" ht="15.6" thickTop="1" thickBot="1" x14ac:dyDescent="0.35">
      <c r="A18" t="s">
        <v>15</v>
      </c>
      <c r="B18" s="152" t="s">
        <v>335</v>
      </c>
      <c r="C18" s="153">
        <f>SUM(C12:C17)</f>
        <v>2180</v>
      </c>
      <c r="D18" s="154" t="s">
        <v>315</v>
      </c>
      <c r="F18" s="155">
        <f t="shared" si="0"/>
        <v>290.66666666666669</v>
      </c>
      <c r="G18" s="154" t="s">
        <v>308</v>
      </c>
      <c r="I18" t="s">
        <v>336</v>
      </c>
      <c r="J18" s="156">
        <f>F18</f>
        <v>290.66666666666669</v>
      </c>
      <c r="K18" s="157">
        <f>J18/$C$42</f>
        <v>3.4603174603174605</v>
      </c>
      <c r="L18" s="158">
        <f>SUM(L12:L17)</f>
        <v>3.2907274742571424</v>
      </c>
      <c r="M18" s="158">
        <f t="shared" ref="M18:P18" si="11">SUM(M12:M17)</f>
        <v>3.1294490849511005</v>
      </c>
      <c r="N18" s="158">
        <f t="shared" si="11"/>
        <v>2.8302176570824802</v>
      </c>
      <c r="O18" s="158">
        <f t="shared" si="11"/>
        <v>2.8302176570824802</v>
      </c>
      <c r="P18" s="158">
        <f t="shared" si="11"/>
        <v>3.1278529159111104</v>
      </c>
      <c r="Q18" s="158">
        <f>SUM(Q12:Q17)</f>
        <v>4.2380952380952372</v>
      </c>
      <c r="R18" s="158">
        <f>SUM(R12:R17)</f>
        <v>1.8875489146884319</v>
      </c>
      <c r="S18" s="158">
        <f>SUM(S12:S17)</f>
        <v>4.2380952380952372</v>
      </c>
    </row>
    <row r="19" spans="1:19" ht="15.6" thickTop="1" thickBot="1" x14ac:dyDescent="0.35">
      <c r="B19" s="159"/>
      <c r="C19" s="160"/>
      <c r="D19" s="161"/>
      <c r="F19" s="162"/>
      <c r="G19" s="161"/>
    </row>
    <row r="20" spans="1:19" ht="15.6" thickTop="1" thickBot="1" x14ac:dyDescent="0.35">
      <c r="A20" t="s">
        <v>12</v>
      </c>
      <c r="B20" s="165" t="s">
        <v>337</v>
      </c>
      <c r="C20" s="166">
        <v>475</v>
      </c>
      <c r="D20" s="154" t="s">
        <v>315</v>
      </c>
      <c r="F20" s="155">
        <f t="shared" si="0"/>
        <v>63.333333333333336</v>
      </c>
      <c r="G20" s="154" t="s">
        <v>308</v>
      </c>
      <c r="I20" t="s">
        <v>338</v>
      </c>
      <c r="J20" s="156">
        <f>F20</f>
        <v>63.333333333333336</v>
      </c>
      <c r="K20" s="157">
        <f>J20/$C$42</f>
        <v>0.75396825396825395</v>
      </c>
      <c r="L20" s="158">
        <f>K20*(1+$C$50)^5</f>
        <v>0.71701630746428568</v>
      </c>
      <c r="M20" s="158">
        <f>K20*(1+$C$50)^10</f>
        <v>0.68187537401457465</v>
      </c>
      <c r="N20" s="158">
        <f>K20*(1+$C$50)^20</f>
        <v>0.61667586564870569</v>
      </c>
      <c r="O20" s="158">
        <f>K20*(1+$C$50)^20</f>
        <v>0.61667586564870569</v>
      </c>
      <c r="P20" s="158">
        <f>K20*(1+$C$49)^5</f>
        <v>0.68152758488888876</v>
      </c>
      <c r="Q20" s="158">
        <f>K20*(1+$C$51)^5</f>
        <v>0.75396825396825395</v>
      </c>
      <c r="R20" s="158">
        <f>K20*(1+$C$49)^30</f>
        <v>0.41127785985183718</v>
      </c>
      <c r="S20" s="158">
        <f>K20*(1+$C$51)^30</f>
        <v>0.75396825396825395</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525</v>
      </c>
      <c r="D23" s="150" t="s">
        <v>315</v>
      </c>
      <c r="F23" s="151">
        <f t="shared" si="0"/>
        <v>70</v>
      </c>
      <c r="G23" s="150" t="s">
        <v>308</v>
      </c>
      <c r="I23" t="s">
        <v>342</v>
      </c>
      <c r="J23" s="156">
        <f>F23+F31</f>
        <v>192.66666666666669</v>
      </c>
      <c r="K23" s="157">
        <f>J23/$C$42</f>
        <v>2.2936507936507939</v>
      </c>
      <c r="L23" s="158">
        <f>K23*(1+$C$50)^5</f>
        <v>2.1812390827071431</v>
      </c>
      <c r="M23" s="158">
        <f>K23*(1+$C$50)^10</f>
        <v>2.0743366641074958</v>
      </c>
      <c r="N23" s="158">
        <f>K23*(1+$C$50)^20</f>
        <v>1.8759928965523784</v>
      </c>
      <c r="O23" s="158">
        <f>K23*(1+$C$50)^20</f>
        <v>1.8759928965523784</v>
      </c>
      <c r="P23" s="158">
        <f>K23*(1+$C$49)^5</f>
        <v>2.0732786529777778</v>
      </c>
      <c r="Q23" s="158">
        <f>K23*(1+$C$51)^5</f>
        <v>2.2936507936507939</v>
      </c>
      <c r="R23" s="158">
        <f>K23*(1+$C$49)^30</f>
        <v>1.2511505420755891</v>
      </c>
      <c r="S23" s="158">
        <f>K23*(1+$C$51)^30</f>
        <v>2.2936507936507939</v>
      </c>
    </row>
    <row r="24" spans="1:19" ht="15" thickTop="1" x14ac:dyDescent="0.3">
      <c r="A24" t="s">
        <v>343</v>
      </c>
      <c r="B24" s="149" t="s">
        <v>324</v>
      </c>
      <c r="C24" s="168">
        <v>1740</v>
      </c>
      <c r="D24" s="150" t="s">
        <v>315</v>
      </c>
      <c r="F24" s="151">
        <f t="shared" si="0"/>
        <v>232</v>
      </c>
      <c r="G24" s="150" t="s">
        <v>308</v>
      </c>
    </row>
    <row r="25" spans="1:19" x14ac:dyDescent="0.3">
      <c r="A25" t="s">
        <v>344</v>
      </c>
      <c r="B25" s="149" t="s">
        <v>326</v>
      </c>
      <c r="C25" s="9"/>
      <c r="D25" s="150" t="s">
        <v>315</v>
      </c>
      <c r="F25" s="151">
        <f t="shared" si="0"/>
        <v>0</v>
      </c>
      <c r="G25" s="150" t="s">
        <v>308</v>
      </c>
    </row>
    <row r="26" spans="1:19" x14ac:dyDescent="0.3">
      <c r="A26" t="s">
        <v>345</v>
      </c>
      <c r="B26" s="149" t="s">
        <v>374</v>
      </c>
      <c r="C26" s="9">
        <v>595</v>
      </c>
      <c r="D26" s="150" t="s">
        <v>315</v>
      </c>
      <c r="F26" s="151">
        <f t="shared" si="0"/>
        <v>79.333333333333329</v>
      </c>
      <c r="G26" s="150" t="s">
        <v>308</v>
      </c>
    </row>
    <row r="27" spans="1:19" x14ac:dyDescent="0.3">
      <c r="A27" t="s">
        <v>346</v>
      </c>
      <c r="B27" s="149" t="s">
        <v>330</v>
      </c>
      <c r="C27" s="9">
        <v>831</v>
      </c>
      <c r="D27" s="150" t="s">
        <v>315</v>
      </c>
      <c r="F27" s="151">
        <f t="shared" si="0"/>
        <v>110.8</v>
      </c>
      <c r="G27" s="150" t="s">
        <v>308</v>
      </c>
    </row>
    <row r="28" spans="1:19" x14ac:dyDescent="0.3">
      <c r="A28" t="s">
        <v>347</v>
      </c>
      <c r="B28" s="149" t="s">
        <v>334</v>
      </c>
      <c r="C28" s="9">
        <v>290</v>
      </c>
      <c r="D28" s="150" t="s">
        <v>315</v>
      </c>
      <c r="F28" s="151">
        <f t="shared" si="0"/>
        <v>38.666666666666664</v>
      </c>
      <c r="G28" s="150" t="s">
        <v>308</v>
      </c>
    </row>
    <row r="29" spans="1:19" ht="15" thickBot="1" x14ac:dyDescent="0.35">
      <c r="A29" t="s">
        <v>348</v>
      </c>
      <c r="B29" s="149" t="s">
        <v>349</v>
      </c>
      <c r="C29" s="175">
        <v>1352</v>
      </c>
      <c r="D29" s="150" t="s">
        <v>315</v>
      </c>
      <c r="F29" s="151">
        <f t="shared" si="0"/>
        <v>180.26666666666668</v>
      </c>
      <c r="G29" s="150" t="s">
        <v>308</v>
      </c>
    </row>
    <row r="30" spans="1:19" ht="15.6" thickTop="1" thickBot="1" x14ac:dyDescent="0.35">
      <c r="A30" t="s">
        <v>350</v>
      </c>
      <c r="B30" s="149" t="s">
        <v>351</v>
      </c>
      <c r="C30" s="175">
        <v>620</v>
      </c>
      <c r="D30" s="150" t="s">
        <v>315</v>
      </c>
      <c r="F30" s="151">
        <f t="shared" si="0"/>
        <v>82.666666666666671</v>
      </c>
      <c r="G30" s="150" t="s">
        <v>308</v>
      </c>
      <c r="I30" t="s">
        <v>352</v>
      </c>
      <c r="J30" s="156">
        <f>F24+F25+F26+F27+F28+F29+F30</f>
        <v>723.73333333333335</v>
      </c>
      <c r="K30" s="157">
        <f>J30/$C$42</f>
        <v>8.6158730158730155</v>
      </c>
      <c r="L30" s="158">
        <f>K30*(1+$C$50)^5</f>
        <v>8.1936095092971417</v>
      </c>
      <c r="M30" s="158">
        <f>K30*(1+$C$50)^10</f>
        <v>7.792041116107602</v>
      </c>
      <c r="N30" s="158">
        <f>K30*(1+$C$50)^20</f>
        <v>7.0469823131393143</v>
      </c>
      <c r="O30" s="158">
        <f>K30*(1+$C$50)^20</f>
        <v>7.0469823131393143</v>
      </c>
      <c r="P30" s="158">
        <f>K30*(1+$C$49)^5</f>
        <v>7.7880668016355532</v>
      </c>
      <c r="Q30" s="158">
        <f>K30*(1+$C$51)^5</f>
        <v>8.6158730158730155</v>
      </c>
      <c r="R30" s="158">
        <f>K30*(1+$C$49)^30</f>
        <v>4.6998236279489936</v>
      </c>
      <c r="S30" s="158">
        <f>K30*(1+$C$51)^30</f>
        <v>8.6158730158730155</v>
      </c>
    </row>
    <row r="31" spans="1:19" ht="15.6" thickTop="1" thickBot="1" x14ac:dyDescent="0.35">
      <c r="A31" t="s">
        <v>353</v>
      </c>
      <c r="B31" s="149" t="s">
        <v>354</v>
      </c>
      <c r="C31" s="9">
        <v>920</v>
      </c>
      <c r="D31" s="150" t="s">
        <v>315</v>
      </c>
      <c r="F31" s="151">
        <f t="shared" si="0"/>
        <v>122.66666666666667</v>
      </c>
      <c r="G31" s="150" t="s">
        <v>308</v>
      </c>
    </row>
    <row r="32" spans="1:19" ht="15.6" thickTop="1" thickBot="1" x14ac:dyDescent="0.35">
      <c r="A32" t="s">
        <v>355</v>
      </c>
      <c r="B32" s="149" t="s">
        <v>356</v>
      </c>
      <c r="C32" s="9">
        <v>1932</v>
      </c>
      <c r="D32" s="150" t="s">
        <v>315</v>
      </c>
      <c r="F32" s="151">
        <f t="shared" si="0"/>
        <v>257.60000000000002</v>
      </c>
      <c r="G32" s="150" t="s">
        <v>308</v>
      </c>
      <c r="I32" t="s">
        <v>357</v>
      </c>
      <c r="J32" s="156">
        <f>F32</f>
        <v>257.60000000000002</v>
      </c>
      <c r="K32" s="157">
        <f>J32/$C$42</f>
        <v>3.0666666666666669</v>
      </c>
      <c r="L32" s="158">
        <f>K32*(1+$C$50)^5</f>
        <v>2.9163694863599998</v>
      </c>
      <c r="M32" s="158">
        <f>K32*(1+$C$50)^10</f>
        <v>2.7734383633603334</v>
      </c>
      <c r="N32" s="158">
        <f>K32*(1+$C$50)^20</f>
        <v>2.5082479419648407</v>
      </c>
      <c r="O32" s="158">
        <f>K32*(1+$C$50)^20</f>
        <v>2.5082479419648407</v>
      </c>
      <c r="P32" s="158">
        <f>K32*(1+$C$49)^5</f>
        <v>2.7720237768533331</v>
      </c>
      <c r="Q32" s="158">
        <f>K32*(1+$C$51)^5</f>
        <v>3.0666666666666669</v>
      </c>
      <c r="R32" s="158">
        <f>K32*(1+$C$49)^30</f>
        <v>1.6728185794394725</v>
      </c>
      <c r="S32" s="158">
        <f>K32*(1+$C$51)^30</f>
        <v>3.0666666666666669</v>
      </c>
    </row>
    <row r="33" spans="1:20" ht="15" thickTop="1" x14ac:dyDescent="0.3">
      <c r="A33" t="s">
        <v>13</v>
      </c>
      <c r="B33" s="152" t="s">
        <v>358</v>
      </c>
      <c r="C33" s="166">
        <f>SUM(C23:C32)</f>
        <v>8805</v>
      </c>
      <c r="D33" s="154" t="s">
        <v>315</v>
      </c>
      <c r="F33" s="155">
        <f t="shared" si="0"/>
        <v>1174</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600</v>
      </c>
      <c r="D36" s="150" t="s">
        <v>315</v>
      </c>
      <c r="F36" s="151">
        <f t="shared" si="0"/>
        <v>80</v>
      </c>
      <c r="G36" s="150" t="s">
        <v>308</v>
      </c>
      <c r="I36" t="s">
        <v>361</v>
      </c>
      <c r="J36" s="156">
        <f>F36</f>
        <v>80</v>
      </c>
      <c r="K36" s="157">
        <f>J36/$C$42</f>
        <v>0.95238095238095233</v>
      </c>
      <c r="L36" s="158">
        <f>K36*(1+$C$50)^5</f>
        <v>0.90570480942857134</v>
      </c>
      <c r="M36" s="158">
        <f>K36*(1+$C$50)^10</f>
        <v>0.86131626191314692</v>
      </c>
      <c r="N36" s="158">
        <f>K36*(1+$C$50)^20</f>
        <v>0.77895898818783871</v>
      </c>
      <c r="O36" s="158">
        <f>K36*(1+$C$50)^20</f>
        <v>0.77895898818783871</v>
      </c>
      <c r="P36" s="158">
        <f>K36*(1+$C$49)^5</f>
        <v>0.86087694933333314</v>
      </c>
      <c r="Q36" s="158">
        <f>K36*(1+$C$51)^5</f>
        <v>0.95238095238095233</v>
      </c>
      <c r="R36" s="158">
        <f>K36*(1+$C$49)^30</f>
        <v>0.51950887560232062</v>
      </c>
      <c r="S36" s="158">
        <f>K36*(1+$C$51)^30</f>
        <v>0.95238095238095233</v>
      </c>
    </row>
    <row r="37" spans="1:20" ht="15" thickTop="1" x14ac:dyDescent="0.3">
      <c r="A37" t="s">
        <v>16</v>
      </c>
      <c r="B37" s="152" t="s">
        <v>362</v>
      </c>
      <c r="C37" s="153">
        <f>SUM(C36)</f>
        <v>600</v>
      </c>
      <c r="D37" s="154" t="s">
        <v>315</v>
      </c>
      <c r="F37" s="155">
        <f t="shared" si="0"/>
        <v>80</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84</v>
      </c>
      <c r="D42" s="150" t="s">
        <v>367</v>
      </c>
      <c r="F42" s="171"/>
      <c r="G42" s="150"/>
    </row>
    <row r="43" spans="1:20" x14ac:dyDescent="0.3">
      <c r="B43" s="149" t="s">
        <v>368</v>
      </c>
      <c r="C43" s="168">
        <f>C39+C37+C33+C20+C18+C9</f>
        <v>12170</v>
      </c>
      <c r="D43" s="150" t="s">
        <v>315</v>
      </c>
      <c r="F43" s="151">
        <f>C43/7.5</f>
        <v>1622.6666666666667</v>
      </c>
      <c r="G43" s="150" t="s">
        <v>308</v>
      </c>
      <c r="J43" s="172">
        <f>J9+J18+J20+J23+J30+J32+J36+J39</f>
        <v>1622.6666666666665</v>
      </c>
      <c r="K43" s="172">
        <f t="shared" ref="K43:S43" si="12">K9+K18+K20+K23+K30+K32+K36+K39</f>
        <v>19.31746031746032</v>
      </c>
      <c r="L43" s="156">
        <f t="shared" si="12"/>
        <v>18.370712551242857</v>
      </c>
      <c r="M43" s="156">
        <f t="shared" si="12"/>
        <v>17.470364845804998</v>
      </c>
      <c r="N43" s="156">
        <f t="shared" si="12"/>
        <v>15.799884810409994</v>
      </c>
      <c r="O43" s="156">
        <f t="shared" si="12"/>
        <v>15.799884810409994</v>
      </c>
      <c r="P43" s="156">
        <f t="shared" si="12"/>
        <v>17.46145412231111</v>
      </c>
      <c r="Q43" s="156">
        <f t="shared" si="12"/>
        <v>20.095238095238095</v>
      </c>
      <c r="R43" s="156">
        <f t="shared" si="12"/>
        <v>10.537371693467071</v>
      </c>
      <c r="S43" s="156">
        <f t="shared" si="12"/>
        <v>20.095238095238095</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L63"/>
  <sheetViews>
    <sheetView zoomScale="89" zoomScaleNormal="89" workbookViewId="0"/>
  </sheetViews>
  <sheetFormatPr defaultColWidth="8.6640625" defaultRowHeight="14.4" x14ac:dyDescent="0.3"/>
  <cols>
    <col min="1" max="1" width="40.6640625" style="19" customWidth="1"/>
    <col min="2" max="10" width="8.5546875" style="19" customWidth="1"/>
    <col min="11" max="12" width="6.33203125" style="19" customWidth="1"/>
    <col min="13" max="13" width="8.6640625" style="19"/>
    <col min="14" max="14" width="10" style="19" bestFit="1" customWidth="1"/>
    <col min="15" max="16384" width="8.6640625" style="19"/>
  </cols>
  <sheetData>
    <row r="1" spans="1:12" s="18" customFormat="1" x14ac:dyDescent="0.3"/>
    <row r="2" spans="1:12" ht="15.75" customHeight="1" x14ac:dyDescent="0.3">
      <c r="A2" s="20" t="s">
        <v>0</v>
      </c>
      <c r="B2" s="178" t="s">
        <v>77</v>
      </c>
      <c r="C2" s="179"/>
      <c r="D2" s="179"/>
      <c r="E2" s="179"/>
      <c r="F2" s="179"/>
      <c r="G2" s="179"/>
      <c r="H2" s="179"/>
      <c r="I2" s="179"/>
      <c r="J2" s="179"/>
      <c r="K2" s="179"/>
      <c r="L2" s="180"/>
    </row>
    <row r="3" spans="1:12" ht="15.75" customHeight="1" x14ac:dyDescent="0.3">
      <c r="A3" s="21"/>
      <c r="B3" s="22">
        <v>2020</v>
      </c>
      <c r="C3" s="22">
        <v>2025</v>
      </c>
      <c r="D3" s="23">
        <v>2030</v>
      </c>
      <c r="E3" s="23">
        <v>2040</v>
      </c>
      <c r="F3" s="24">
        <v>2050</v>
      </c>
      <c r="G3" s="181" t="s">
        <v>33</v>
      </c>
      <c r="H3" s="182"/>
      <c r="I3" s="181" t="s">
        <v>1</v>
      </c>
      <c r="J3" s="182"/>
      <c r="K3" s="23" t="s">
        <v>2</v>
      </c>
      <c r="L3" s="25" t="s">
        <v>3</v>
      </c>
    </row>
    <row r="4" spans="1:12" x14ac:dyDescent="0.3">
      <c r="A4" s="21"/>
      <c r="B4" s="26"/>
      <c r="C4" s="27"/>
      <c r="D4" s="28"/>
      <c r="E4" s="28"/>
      <c r="F4" s="28"/>
      <c r="G4" s="29" t="s">
        <v>4</v>
      </c>
      <c r="H4" s="29" t="s">
        <v>5</v>
      </c>
      <c r="I4" s="29" t="s">
        <v>4</v>
      </c>
      <c r="J4" s="29" t="s">
        <v>5</v>
      </c>
      <c r="K4" s="28"/>
      <c r="L4" s="30"/>
    </row>
    <row r="5" spans="1:12" x14ac:dyDescent="0.3">
      <c r="A5" s="31" t="s">
        <v>6</v>
      </c>
      <c r="B5" s="28"/>
      <c r="C5" s="28"/>
      <c r="D5" s="28"/>
      <c r="E5" s="28"/>
      <c r="F5" s="28"/>
      <c r="G5" s="28"/>
      <c r="H5" s="28"/>
      <c r="I5" s="28"/>
      <c r="J5" s="28"/>
      <c r="K5" s="28"/>
      <c r="L5" s="30"/>
    </row>
    <row r="6" spans="1:12" x14ac:dyDescent="0.3">
      <c r="A6" s="32" t="s">
        <v>34</v>
      </c>
      <c r="B6" s="33">
        <v>164</v>
      </c>
      <c r="C6" s="33">
        <v>164</v>
      </c>
      <c r="D6" s="33">
        <v>164</v>
      </c>
      <c r="E6" s="33">
        <v>173</v>
      </c>
      <c r="F6" s="33">
        <v>173</v>
      </c>
      <c r="G6" s="33">
        <v>155</v>
      </c>
      <c r="H6" s="33">
        <v>173</v>
      </c>
      <c r="I6" s="33">
        <v>167</v>
      </c>
      <c r="J6" s="33">
        <v>180</v>
      </c>
      <c r="K6" s="33"/>
      <c r="L6" s="33"/>
    </row>
    <row r="7" spans="1:12" x14ac:dyDescent="0.3">
      <c r="A7" s="34" t="s">
        <v>35</v>
      </c>
      <c r="B7" s="35"/>
      <c r="C7" s="35"/>
      <c r="D7" s="35"/>
      <c r="E7" s="35"/>
      <c r="F7" s="35"/>
      <c r="G7" s="35"/>
      <c r="H7" s="35"/>
      <c r="I7" s="35"/>
      <c r="J7" s="35"/>
      <c r="K7" s="35"/>
      <c r="L7" s="35"/>
    </row>
    <row r="8" spans="1:12" x14ac:dyDescent="0.3">
      <c r="A8" s="32" t="s">
        <v>36</v>
      </c>
      <c r="B8" s="33">
        <v>5.0999999999999996</v>
      </c>
      <c r="C8" s="33">
        <v>5.0999999999999996</v>
      </c>
      <c r="D8" s="33">
        <v>5.0999999999999996</v>
      </c>
      <c r="E8" s="33">
        <v>4.8</v>
      </c>
      <c r="F8" s="33">
        <v>4.8</v>
      </c>
      <c r="G8" s="33">
        <v>5.4</v>
      </c>
      <c r="H8" s="33">
        <v>4.8</v>
      </c>
      <c r="I8" s="33">
        <v>5</v>
      </c>
      <c r="J8" s="33">
        <v>4.7</v>
      </c>
      <c r="K8" s="33"/>
      <c r="L8" s="33"/>
    </row>
    <row r="9" spans="1:12" x14ac:dyDescent="0.3">
      <c r="A9" s="36" t="s">
        <v>37</v>
      </c>
      <c r="B9" s="37">
        <v>17</v>
      </c>
      <c r="C9" s="37">
        <v>17</v>
      </c>
      <c r="D9" s="37">
        <v>17</v>
      </c>
      <c r="E9" s="37">
        <v>17</v>
      </c>
      <c r="F9" s="37">
        <v>17</v>
      </c>
      <c r="G9" s="37">
        <v>15</v>
      </c>
      <c r="H9" s="37">
        <v>17</v>
      </c>
      <c r="I9" s="37">
        <v>15</v>
      </c>
      <c r="J9" s="37">
        <v>17</v>
      </c>
      <c r="K9" s="37"/>
      <c r="L9" s="37"/>
    </row>
    <row r="10" spans="1:12" x14ac:dyDescent="0.3">
      <c r="A10" s="36" t="s">
        <v>78</v>
      </c>
      <c r="B10" s="33">
        <v>35</v>
      </c>
      <c r="C10" s="33">
        <v>35</v>
      </c>
      <c r="D10" s="33">
        <v>35</v>
      </c>
      <c r="E10" s="33">
        <v>35</v>
      </c>
      <c r="F10" s="33">
        <v>35</v>
      </c>
      <c r="G10" s="33">
        <v>30</v>
      </c>
      <c r="H10" s="33">
        <v>40</v>
      </c>
      <c r="I10" s="33">
        <v>30</v>
      </c>
      <c r="J10" s="33">
        <v>40</v>
      </c>
      <c r="K10" s="33" t="s">
        <v>15</v>
      </c>
      <c r="L10" s="33"/>
    </row>
    <row r="11" spans="1:12" x14ac:dyDescent="0.3">
      <c r="A11" s="38" t="s">
        <v>39</v>
      </c>
      <c r="B11" s="33">
        <v>0.83299999999999996</v>
      </c>
      <c r="C11" s="33">
        <v>0.83299999999999996</v>
      </c>
      <c r="D11" s="33">
        <v>0.72</v>
      </c>
      <c r="E11" s="33">
        <v>0.66</v>
      </c>
      <c r="F11" s="33">
        <v>0.66</v>
      </c>
      <c r="G11" s="39">
        <v>0.66</v>
      </c>
      <c r="H11" s="39">
        <v>1</v>
      </c>
      <c r="I11" s="39">
        <v>0.55000000000000004</v>
      </c>
      <c r="J11" s="39">
        <v>0.72</v>
      </c>
      <c r="K11" s="39" t="s">
        <v>12</v>
      </c>
      <c r="L11" s="39"/>
    </row>
    <row r="12" spans="1:12" x14ac:dyDescent="0.3">
      <c r="A12" s="40" t="s">
        <v>40</v>
      </c>
      <c r="B12" s="37">
        <v>0.03</v>
      </c>
      <c r="C12" s="37">
        <v>0.03</v>
      </c>
      <c r="D12" s="37">
        <v>2.5000000000000001E-2</v>
      </c>
      <c r="E12" s="37">
        <v>2.3E-2</v>
      </c>
      <c r="F12" s="37">
        <v>0.02</v>
      </c>
      <c r="G12" s="37">
        <v>2.5000000000000001E-2</v>
      </c>
      <c r="H12" s="37">
        <v>3.5000000000000003E-2</v>
      </c>
      <c r="I12" s="37">
        <v>1.7000000000000001E-2</v>
      </c>
      <c r="J12" s="37">
        <v>2.5000000000000001E-2</v>
      </c>
      <c r="K12" s="37" t="s">
        <v>13</v>
      </c>
      <c r="L12" s="37"/>
    </row>
    <row r="13" spans="1:12" x14ac:dyDescent="0.3">
      <c r="A13" s="38" t="s">
        <v>41</v>
      </c>
      <c r="B13" s="39">
        <v>0.3</v>
      </c>
      <c r="C13" s="39">
        <v>0.3</v>
      </c>
      <c r="D13" s="39">
        <v>0.2</v>
      </c>
      <c r="E13" s="39">
        <v>0.15</v>
      </c>
      <c r="F13" s="39">
        <v>0.1</v>
      </c>
      <c r="G13" s="39">
        <v>0.15</v>
      </c>
      <c r="H13" s="39">
        <v>1.5</v>
      </c>
      <c r="I13" s="39">
        <v>0.05</v>
      </c>
      <c r="J13" s="39">
        <v>0.3</v>
      </c>
      <c r="K13" s="39"/>
      <c r="L13" s="39"/>
    </row>
    <row r="14" spans="1:12" x14ac:dyDescent="0.3">
      <c r="A14" s="32" t="s">
        <v>42</v>
      </c>
      <c r="B14" s="41"/>
      <c r="C14" s="33"/>
      <c r="D14" s="33"/>
      <c r="E14" s="33"/>
      <c r="F14" s="33"/>
      <c r="G14" s="33"/>
      <c r="H14" s="33"/>
      <c r="I14" s="33"/>
      <c r="J14" s="33"/>
      <c r="K14" s="33"/>
      <c r="L14" s="33"/>
    </row>
    <row r="15" spans="1:12" x14ac:dyDescent="0.3">
      <c r="A15" s="34" t="s">
        <v>43</v>
      </c>
      <c r="B15" s="35"/>
      <c r="C15" s="35"/>
      <c r="D15" s="35"/>
      <c r="E15" s="35"/>
      <c r="F15" s="35"/>
      <c r="G15" s="35"/>
      <c r="H15" s="35"/>
      <c r="I15" s="35"/>
      <c r="J15" s="35"/>
      <c r="K15" s="35"/>
      <c r="L15" s="35"/>
    </row>
    <row r="16" spans="1:12" x14ac:dyDescent="0.3">
      <c r="A16" s="42" t="s">
        <v>79</v>
      </c>
      <c r="B16" s="33">
        <v>97</v>
      </c>
      <c r="C16" s="33">
        <v>97</v>
      </c>
      <c r="D16" s="33">
        <v>98</v>
      </c>
      <c r="E16" s="33">
        <v>99</v>
      </c>
      <c r="F16" s="33">
        <v>99</v>
      </c>
      <c r="G16" s="33">
        <v>96</v>
      </c>
      <c r="H16" s="33">
        <v>98</v>
      </c>
      <c r="I16" s="33">
        <v>98</v>
      </c>
      <c r="J16" s="33">
        <v>99</v>
      </c>
      <c r="K16" s="33" t="s">
        <v>16</v>
      </c>
      <c r="L16" s="33"/>
    </row>
    <row r="17" spans="1:12" x14ac:dyDescent="0.3">
      <c r="A17" s="42" t="s">
        <v>80</v>
      </c>
      <c r="B17" s="33">
        <v>160</v>
      </c>
      <c r="C17" s="33">
        <v>160</v>
      </c>
      <c r="D17" s="33">
        <v>300</v>
      </c>
      <c r="E17" s="33">
        <v>400</v>
      </c>
      <c r="F17" s="33">
        <v>400</v>
      </c>
      <c r="G17" s="33">
        <v>120</v>
      </c>
      <c r="H17" s="33">
        <v>300</v>
      </c>
      <c r="I17" s="33">
        <v>300</v>
      </c>
      <c r="J17" s="33">
        <v>600</v>
      </c>
      <c r="K17" s="33" t="s">
        <v>17</v>
      </c>
      <c r="L17" s="33"/>
    </row>
    <row r="18" spans="1:12" x14ac:dyDescent="0.3">
      <c r="A18" s="32" t="s">
        <v>81</v>
      </c>
      <c r="B18" s="33">
        <v>90</v>
      </c>
      <c r="C18" s="33">
        <v>90</v>
      </c>
      <c r="D18" s="33">
        <v>90</v>
      </c>
      <c r="E18" s="33">
        <v>95</v>
      </c>
      <c r="F18" s="33">
        <v>95</v>
      </c>
      <c r="G18" s="33">
        <v>85</v>
      </c>
      <c r="H18" s="33">
        <v>95</v>
      </c>
      <c r="I18" s="33">
        <v>92</v>
      </c>
      <c r="J18" s="33">
        <v>99</v>
      </c>
      <c r="K18" s="33"/>
      <c r="L18" s="33"/>
    </row>
    <row r="19" spans="1:12" x14ac:dyDescent="0.3">
      <c r="A19" s="32" t="s">
        <v>47</v>
      </c>
      <c r="B19" s="33">
        <v>0.83299999999999996</v>
      </c>
      <c r="C19" s="33">
        <v>0.83299999999999996</v>
      </c>
      <c r="D19" s="33">
        <v>0.72</v>
      </c>
      <c r="E19" s="33">
        <v>0.66</v>
      </c>
      <c r="F19" s="33">
        <v>0.66</v>
      </c>
      <c r="G19" s="39">
        <v>0.66</v>
      </c>
      <c r="H19" s="39">
        <v>1</v>
      </c>
      <c r="I19" s="39">
        <v>0.55000000000000004</v>
      </c>
      <c r="J19" s="39">
        <v>0.72</v>
      </c>
      <c r="K19" s="33"/>
      <c r="L19" s="33"/>
    </row>
    <row r="20" spans="1:12" x14ac:dyDescent="0.3">
      <c r="A20" s="36" t="s">
        <v>48</v>
      </c>
      <c r="B20" s="33">
        <v>60</v>
      </c>
      <c r="C20" s="33">
        <v>60</v>
      </c>
      <c r="D20" s="33">
        <v>60</v>
      </c>
      <c r="E20" s="33">
        <v>70</v>
      </c>
      <c r="F20" s="33">
        <v>70</v>
      </c>
      <c r="G20" s="33">
        <v>50</v>
      </c>
      <c r="H20" s="33">
        <v>80</v>
      </c>
      <c r="I20" s="33">
        <v>50</v>
      </c>
      <c r="J20" s="33">
        <v>120</v>
      </c>
      <c r="K20" s="33" t="s">
        <v>20</v>
      </c>
      <c r="L20" s="37"/>
    </row>
    <row r="21" spans="1:12" x14ac:dyDescent="0.3">
      <c r="A21" s="43" t="s">
        <v>49</v>
      </c>
      <c r="B21" s="59"/>
      <c r="C21" s="59"/>
      <c r="D21" s="59"/>
      <c r="E21" s="59"/>
      <c r="F21" s="59"/>
      <c r="G21" s="59"/>
      <c r="H21" s="59"/>
      <c r="I21" s="59"/>
      <c r="J21" s="59"/>
      <c r="K21" s="59"/>
      <c r="L21" s="59"/>
    </row>
    <row r="22" spans="1:12" x14ac:dyDescent="0.3">
      <c r="A22" s="34" t="s">
        <v>50</v>
      </c>
      <c r="B22" s="39"/>
      <c r="C22" s="39"/>
      <c r="D22" s="39"/>
      <c r="E22" s="39"/>
      <c r="F22" s="39"/>
      <c r="G22" s="39"/>
      <c r="H22" s="39"/>
      <c r="I22" s="39"/>
      <c r="J22" s="39"/>
      <c r="K22" s="39"/>
      <c r="L22" s="39"/>
    </row>
    <row r="23" spans="1:12" x14ac:dyDescent="0.3">
      <c r="A23" s="32" t="s">
        <v>8</v>
      </c>
      <c r="B23" s="33">
        <v>5</v>
      </c>
      <c r="C23" s="33">
        <v>5</v>
      </c>
      <c r="D23" s="33">
        <v>3</v>
      </c>
      <c r="E23" s="33">
        <v>3</v>
      </c>
      <c r="F23" s="33">
        <v>3</v>
      </c>
      <c r="G23" s="33">
        <v>3</v>
      </c>
      <c r="H23" s="33">
        <v>3</v>
      </c>
      <c r="I23" s="33">
        <v>3</v>
      </c>
      <c r="J23" s="33">
        <v>3</v>
      </c>
      <c r="K23" s="33"/>
      <c r="L23" s="33"/>
    </row>
    <row r="24" spans="1:12" x14ac:dyDescent="0.3">
      <c r="A24" s="32" t="s">
        <v>9</v>
      </c>
      <c r="B24" s="33">
        <v>3</v>
      </c>
      <c r="C24" s="33">
        <v>3</v>
      </c>
      <c r="D24" s="33">
        <v>3</v>
      </c>
      <c r="E24" s="33">
        <v>2</v>
      </c>
      <c r="F24" s="33">
        <v>2</v>
      </c>
      <c r="G24" s="33">
        <v>2</v>
      </c>
      <c r="H24" s="33">
        <v>4</v>
      </c>
      <c r="I24" s="33">
        <v>2</v>
      </c>
      <c r="J24" s="33">
        <v>3</v>
      </c>
      <c r="K24" s="33"/>
      <c r="L24" s="33"/>
    </row>
    <row r="25" spans="1:12" x14ac:dyDescent="0.3">
      <c r="A25" s="32" t="s">
        <v>10</v>
      </c>
      <c r="B25" s="33">
        <v>25</v>
      </c>
      <c r="C25" s="33">
        <v>25</v>
      </c>
      <c r="D25" s="33">
        <v>25</v>
      </c>
      <c r="E25" s="33">
        <v>25</v>
      </c>
      <c r="F25" s="33">
        <v>25</v>
      </c>
      <c r="G25" s="33">
        <v>25</v>
      </c>
      <c r="H25" s="33">
        <v>25</v>
      </c>
      <c r="I25" s="33">
        <v>25</v>
      </c>
      <c r="J25" s="33">
        <v>25</v>
      </c>
      <c r="K25" s="33"/>
      <c r="L25" s="33"/>
    </row>
    <row r="26" spans="1:12" x14ac:dyDescent="0.3">
      <c r="A26" s="32" t="s">
        <v>11</v>
      </c>
      <c r="B26" s="33">
        <v>3</v>
      </c>
      <c r="C26" s="33">
        <v>3</v>
      </c>
      <c r="D26" s="33">
        <v>2.5</v>
      </c>
      <c r="E26" s="33">
        <v>2</v>
      </c>
      <c r="F26" s="33">
        <v>2</v>
      </c>
      <c r="G26" s="33">
        <v>2</v>
      </c>
      <c r="H26" s="33">
        <v>4</v>
      </c>
      <c r="I26" s="33">
        <v>2</v>
      </c>
      <c r="J26" s="33">
        <v>3</v>
      </c>
      <c r="K26" s="33"/>
      <c r="L26" s="33"/>
    </row>
    <row r="27" spans="1:12" ht="14.7" customHeight="1" x14ac:dyDescent="0.3">
      <c r="A27" s="44" t="s">
        <v>398</v>
      </c>
      <c r="B27" s="44"/>
      <c r="C27" s="44"/>
      <c r="D27" s="44"/>
      <c r="E27" s="44"/>
      <c r="F27" s="44"/>
      <c r="G27" s="44"/>
      <c r="H27" s="44"/>
      <c r="I27" s="44"/>
      <c r="J27" s="44"/>
      <c r="K27" s="44"/>
      <c r="L27" s="44"/>
    </row>
    <row r="28" spans="1:12" ht="14.7" customHeight="1" x14ac:dyDescent="0.3">
      <c r="A28" s="32" t="s">
        <v>51</v>
      </c>
      <c r="B28" s="45">
        <v>2.7</v>
      </c>
      <c r="C28" s="33">
        <v>2.5</v>
      </c>
      <c r="D28" s="33">
        <v>2.2999999999999998</v>
      </c>
      <c r="E28" s="33">
        <v>2</v>
      </c>
      <c r="F28" s="33">
        <v>1.6</v>
      </c>
      <c r="G28" s="33">
        <v>2.2000000000000002</v>
      </c>
      <c r="H28" s="33">
        <v>3.7</v>
      </c>
      <c r="I28" s="33">
        <v>1.2</v>
      </c>
      <c r="J28" s="33">
        <v>2.2000000000000002</v>
      </c>
      <c r="K28" s="33" t="s">
        <v>19</v>
      </c>
      <c r="L28" s="44"/>
    </row>
    <row r="29" spans="1:12" ht="14.7" customHeight="1" x14ac:dyDescent="0.3">
      <c r="A29" s="36" t="s">
        <v>52</v>
      </c>
      <c r="B29" s="33">
        <v>50</v>
      </c>
      <c r="C29" s="33">
        <v>50</v>
      </c>
      <c r="D29" s="33">
        <v>50</v>
      </c>
      <c r="E29" s="33">
        <v>50</v>
      </c>
      <c r="F29" s="33">
        <v>50</v>
      </c>
      <c r="G29" s="44"/>
      <c r="H29" s="44"/>
      <c r="I29" s="44"/>
      <c r="J29" s="44"/>
      <c r="K29" s="33" t="s">
        <v>21</v>
      </c>
      <c r="L29" s="44"/>
    </row>
    <row r="30" spans="1:12" x14ac:dyDescent="0.3">
      <c r="A30" s="32" t="s">
        <v>53</v>
      </c>
      <c r="B30" s="33">
        <v>10</v>
      </c>
      <c r="C30" s="33">
        <v>10</v>
      </c>
      <c r="D30" s="33">
        <v>10</v>
      </c>
      <c r="E30" s="33">
        <v>10</v>
      </c>
      <c r="F30" s="33">
        <v>10</v>
      </c>
      <c r="G30" s="33"/>
      <c r="H30" s="33"/>
      <c r="I30" s="33"/>
      <c r="J30" s="32"/>
      <c r="K30" s="33" t="s">
        <v>22</v>
      </c>
      <c r="L30" s="33"/>
    </row>
    <row r="31" spans="1:12" x14ac:dyDescent="0.3">
      <c r="A31" s="46" t="s">
        <v>54</v>
      </c>
      <c r="B31" s="33">
        <v>10</v>
      </c>
      <c r="C31" s="33">
        <v>10</v>
      </c>
      <c r="D31" s="33">
        <v>10</v>
      </c>
      <c r="E31" s="33">
        <v>10</v>
      </c>
      <c r="F31" s="33">
        <v>10</v>
      </c>
      <c r="G31" s="33"/>
      <c r="H31" s="33"/>
      <c r="I31" s="33"/>
      <c r="J31" s="36"/>
      <c r="K31" s="33"/>
      <c r="L31" s="33"/>
    </row>
    <row r="32" spans="1:12" x14ac:dyDescent="0.3">
      <c r="A32" s="32" t="s">
        <v>55</v>
      </c>
      <c r="B32" s="33">
        <v>15</v>
      </c>
      <c r="C32" s="33">
        <v>15</v>
      </c>
      <c r="D32" s="33">
        <v>15</v>
      </c>
      <c r="E32" s="33">
        <v>15</v>
      </c>
      <c r="F32" s="33">
        <v>15</v>
      </c>
      <c r="G32" s="33"/>
      <c r="H32" s="33"/>
      <c r="I32" s="33"/>
      <c r="J32" s="36"/>
      <c r="K32" s="33" t="s">
        <v>23</v>
      </c>
      <c r="L32" s="33"/>
    </row>
    <row r="33" spans="1:12" x14ac:dyDescent="0.3">
      <c r="A33" s="32" t="s">
        <v>56</v>
      </c>
      <c r="B33" s="33">
        <v>15</v>
      </c>
      <c r="C33" s="33">
        <v>15</v>
      </c>
      <c r="D33" s="33">
        <v>15</v>
      </c>
      <c r="E33" s="33">
        <v>15</v>
      </c>
      <c r="F33" s="33">
        <v>15</v>
      </c>
      <c r="G33" s="33"/>
      <c r="H33" s="33"/>
      <c r="I33" s="33"/>
      <c r="J33" s="32"/>
      <c r="K33" s="33"/>
      <c r="L33" s="33"/>
    </row>
    <row r="34" spans="1:12" x14ac:dyDescent="0.3">
      <c r="A34" s="43" t="s">
        <v>57</v>
      </c>
      <c r="B34" s="39">
        <f>B28*0.03</f>
        <v>8.1000000000000003E-2</v>
      </c>
      <c r="C34" s="39">
        <f>C28*0.03</f>
        <v>7.4999999999999997E-2</v>
      </c>
      <c r="D34" s="39">
        <f>D28*0.03</f>
        <v>6.8999999999999992E-2</v>
      </c>
      <c r="E34" s="39">
        <f>E28*0.03</f>
        <v>0.06</v>
      </c>
      <c r="F34" s="39">
        <f>F28*0.03</f>
        <v>4.8000000000000001E-2</v>
      </c>
      <c r="G34" s="39">
        <f t="shared" ref="G34:J34" si="0">G28*0.03</f>
        <v>6.6000000000000003E-2</v>
      </c>
      <c r="H34" s="39">
        <f t="shared" si="0"/>
        <v>0.111</v>
      </c>
      <c r="I34" s="39">
        <f t="shared" si="0"/>
        <v>3.5999999999999997E-2</v>
      </c>
      <c r="J34" s="39">
        <f t="shared" si="0"/>
        <v>6.6000000000000003E-2</v>
      </c>
      <c r="K34" s="33" t="s">
        <v>26</v>
      </c>
      <c r="L34" s="39"/>
    </row>
    <row r="35" spans="1:12" x14ac:dyDescent="0.3">
      <c r="A35" s="36" t="s">
        <v>58</v>
      </c>
      <c r="B35" s="33">
        <v>2.5</v>
      </c>
      <c r="C35" s="33">
        <v>2.5</v>
      </c>
      <c r="D35" s="33">
        <v>2.5</v>
      </c>
      <c r="E35" s="33">
        <v>2.5</v>
      </c>
      <c r="F35" s="33">
        <v>2.5</v>
      </c>
      <c r="G35" s="39">
        <v>1.5</v>
      </c>
      <c r="H35" s="39">
        <v>3.5</v>
      </c>
      <c r="I35" s="39">
        <v>1.5</v>
      </c>
      <c r="J35" s="39">
        <v>3.5</v>
      </c>
      <c r="K35" s="33"/>
      <c r="L35" s="39"/>
    </row>
    <row r="36" spans="1:12" x14ac:dyDescent="0.3">
      <c r="A36" s="42" t="s">
        <v>59</v>
      </c>
      <c r="B36" s="33">
        <v>25</v>
      </c>
      <c r="C36" s="33">
        <v>25</v>
      </c>
      <c r="D36" s="33">
        <v>25</v>
      </c>
      <c r="E36" s="33">
        <v>25</v>
      </c>
      <c r="F36" s="33">
        <v>25</v>
      </c>
      <c r="G36" s="33"/>
      <c r="H36" s="33"/>
      <c r="I36" s="33"/>
      <c r="J36" s="36"/>
      <c r="K36" s="47"/>
      <c r="L36" s="33"/>
    </row>
    <row r="37" spans="1:12" x14ac:dyDescent="0.3">
      <c r="A37" s="31" t="s">
        <v>60</v>
      </c>
      <c r="B37" s="48"/>
      <c r="C37" s="48"/>
      <c r="D37" s="48"/>
      <c r="E37" s="48"/>
      <c r="F37" s="48"/>
      <c r="G37" s="48"/>
      <c r="H37" s="48"/>
      <c r="I37" s="48"/>
      <c r="J37" s="48"/>
      <c r="K37" s="48"/>
      <c r="L37" s="49"/>
    </row>
    <row r="38" spans="1:12" ht="20.399999999999999" x14ac:dyDescent="0.3">
      <c r="A38" s="36" t="s">
        <v>61</v>
      </c>
      <c r="B38" s="50">
        <v>0.1</v>
      </c>
      <c r="C38" s="50">
        <v>0.1</v>
      </c>
      <c r="D38" s="33">
        <v>8.5000000000000006E-2</v>
      </c>
      <c r="E38" s="33">
        <v>7.4999999999999997E-2</v>
      </c>
      <c r="F38" s="33">
        <v>7.4999999999999997E-2</v>
      </c>
      <c r="G38" s="33">
        <v>0.09</v>
      </c>
      <c r="H38" s="33">
        <v>0.11</v>
      </c>
      <c r="I38" s="33">
        <v>7.0000000000000007E-2</v>
      </c>
      <c r="J38" s="37">
        <v>0.09</v>
      </c>
      <c r="K38" s="33" t="s">
        <v>27</v>
      </c>
      <c r="L38" s="33"/>
    </row>
    <row r="39" spans="1:12" ht="20.399999999999999" x14ac:dyDescent="0.3">
      <c r="A39" s="36" t="s">
        <v>62</v>
      </c>
      <c r="B39" s="33">
        <v>0.16</v>
      </c>
      <c r="C39" s="33">
        <v>0.16</v>
      </c>
      <c r="D39" s="33">
        <v>0.14000000000000001</v>
      </c>
      <c r="E39" s="33">
        <v>0.13</v>
      </c>
      <c r="F39" s="33">
        <v>0.13</v>
      </c>
      <c r="G39" s="33">
        <v>0.14000000000000001</v>
      </c>
      <c r="H39" s="33">
        <v>0.18</v>
      </c>
      <c r="I39" s="33">
        <v>0.12</v>
      </c>
      <c r="J39" s="37">
        <v>0.15</v>
      </c>
      <c r="K39" s="33" t="s">
        <v>27</v>
      </c>
      <c r="L39" s="33"/>
    </row>
    <row r="40" spans="1:12" x14ac:dyDescent="0.3">
      <c r="A40" s="36"/>
      <c r="B40" s="33"/>
      <c r="C40" s="33"/>
      <c r="D40" s="33"/>
      <c r="E40" s="33"/>
      <c r="F40" s="36"/>
      <c r="G40" s="33"/>
      <c r="H40" s="33"/>
      <c r="I40" s="33"/>
      <c r="J40" s="36"/>
      <c r="K40" s="33"/>
      <c r="L40" s="33"/>
    </row>
    <row r="41" spans="1:12" x14ac:dyDescent="0.3">
      <c r="A41" s="32"/>
      <c r="B41" s="33"/>
      <c r="C41" s="33"/>
      <c r="D41" s="33"/>
      <c r="E41" s="33"/>
      <c r="F41" s="32"/>
      <c r="G41" s="33"/>
      <c r="H41" s="33"/>
      <c r="I41" s="33"/>
      <c r="J41" s="32"/>
      <c r="K41" s="33"/>
      <c r="L41" s="33"/>
    </row>
    <row r="42" spans="1:12" x14ac:dyDescent="0.3">
      <c r="A42" s="51"/>
    </row>
    <row r="43" spans="1:12" x14ac:dyDescent="0.3">
      <c r="A43" s="52" t="s">
        <v>24</v>
      </c>
    </row>
    <row r="44" spans="1:12" x14ac:dyDescent="0.3">
      <c r="A44" s="19">
        <v>1</v>
      </c>
    </row>
    <row r="45" spans="1:12" x14ac:dyDescent="0.3">
      <c r="A45" s="19">
        <v>2</v>
      </c>
    </row>
    <row r="46" spans="1:12" x14ac:dyDescent="0.3">
      <c r="A46" s="19">
        <v>3</v>
      </c>
    </row>
    <row r="49" spans="1:2" x14ac:dyDescent="0.3">
      <c r="A49" s="58" t="s">
        <v>25</v>
      </c>
    </row>
    <row r="50" spans="1:2" x14ac:dyDescent="0.3">
      <c r="A50" s="88" t="s">
        <v>7</v>
      </c>
      <c r="B50" s="19" t="s">
        <v>82</v>
      </c>
    </row>
    <row r="51" spans="1:2" x14ac:dyDescent="0.3">
      <c r="A51" s="88" t="s">
        <v>15</v>
      </c>
      <c r="B51" s="19" t="s">
        <v>64</v>
      </c>
    </row>
    <row r="52" spans="1:2" x14ac:dyDescent="0.3">
      <c r="A52" s="88" t="s">
        <v>12</v>
      </c>
      <c r="B52" s="19" t="s">
        <v>65</v>
      </c>
    </row>
    <row r="53" spans="1:2" x14ac:dyDescent="0.3">
      <c r="A53" s="88" t="s">
        <v>13</v>
      </c>
      <c r="B53" s="19" t="s">
        <v>66</v>
      </c>
    </row>
    <row r="54" spans="1:2" x14ac:dyDescent="0.3">
      <c r="A54" s="88" t="s">
        <v>16</v>
      </c>
      <c r="B54" s="19" t="s">
        <v>67</v>
      </c>
    </row>
    <row r="55" spans="1:2" x14ac:dyDescent="0.3">
      <c r="A55" s="88" t="s">
        <v>17</v>
      </c>
      <c r="B55" s="19" t="s">
        <v>68</v>
      </c>
    </row>
    <row r="56" spans="1:2" x14ac:dyDescent="0.3">
      <c r="A56" s="88" t="s">
        <v>18</v>
      </c>
      <c r="B56" s="19" t="s">
        <v>69</v>
      </c>
    </row>
    <row r="57" spans="1:2" x14ac:dyDescent="0.3">
      <c r="A57" s="88" t="s">
        <v>20</v>
      </c>
      <c r="B57" s="19" t="s">
        <v>70</v>
      </c>
    </row>
    <row r="58" spans="1:2" x14ac:dyDescent="0.3">
      <c r="A58" s="88" t="s">
        <v>19</v>
      </c>
      <c r="B58" s="19" t="s">
        <v>83</v>
      </c>
    </row>
    <row r="59" spans="1:2" x14ac:dyDescent="0.3">
      <c r="A59" s="88" t="s">
        <v>21</v>
      </c>
      <c r="B59" s="19" t="s">
        <v>72</v>
      </c>
    </row>
    <row r="60" spans="1:2" x14ac:dyDescent="0.3">
      <c r="A60" s="88" t="s">
        <v>22</v>
      </c>
      <c r="B60" s="19" t="s">
        <v>73</v>
      </c>
    </row>
    <row r="61" spans="1:2" x14ac:dyDescent="0.3">
      <c r="A61" s="88" t="s">
        <v>23</v>
      </c>
      <c r="B61" s="19" t="s">
        <v>74</v>
      </c>
    </row>
    <row r="62" spans="1:2" x14ac:dyDescent="0.3">
      <c r="A62" s="88" t="s">
        <v>26</v>
      </c>
      <c r="B62" s="19" t="s">
        <v>75</v>
      </c>
    </row>
    <row r="63" spans="1:2" x14ac:dyDescent="0.3">
      <c r="A63" s="88" t="s">
        <v>27</v>
      </c>
      <c r="B63" s="19" t="s">
        <v>76</v>
      </c>
    </row>
  </sheetData>
  <mergeCells count="3">
    <mergeCell ref="B2:L2"/>
    <mergeCell ref="G3:H3"/>
    <mergeCell ref="I3:J3"/>
  </mergeCells>
  <hyperlinks>
    <hyperlink ref="B2" location="INDEX" display="Post-combustion carbon capture retrofit - 500 MW(th) biomass-fired boiler"/>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topLeftCell="A16" workbookViewId="0">
      <selection activeCell="I46" sqref="I46"/>
    </sheetView>
  </sheetViews>
  <sheetFormatPr defaultColWidth="9.109375"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70</v>
      </c>
      <c r="D4" s="150" t="s">
        <v>315</v>
      </c>
      <c r="F4" s="151">
        <f>C4/7.5</f>
        <v>9.3333333333333339</v>
      </c>
      <c r="G4" s="150" t="s">
        <v>308</v>
      </c>
    </row>
    <row r="5" spans="1:19" x14ac:dyDescent="0.3">
      <c r="B5" s="149" t="s">
        <v>316</v>
      </c>
      <c r="C5" s="9">
        <v>20</v>
      </c>
      <c r="D5" s="150" t="s">
        <v>315</v>
      </c>
      <c r="F5" s="151">
        <f t="shared" ref="F5:F39" si="0">C5/7.5</f>
        <v>2.6666666666666665</v>
      </c>
      <c r="G5" s="150" t="s">
        <v>308</v>
      </c>
    </row>
    <row r="6" spans="1:19" x14ac:dyDescent="0.3">
      <c r="B6" s="149" t="s">
        <v>317</v>
      </c>
      <c r="C6" s="9"/>
      <c r="D6" s="150" t="s">
        <v>315</v>
      </c>
      <c r="F6" s="151">
        <f t="shared" si="0"/>
        <v>0</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120</v>
      </c>
      <c r="D9" s="154" t="s">
        <v>315</v>
      </c>
      <c r="F9" s="155">
        <f t="shared" si="0"/>
        <v>16</v>
      </c>
      <c r="G9" s="154" t="s">
        <v>308</v>
      </c>
      <c r="I9" t="s">
        <v>321</v>
      </c>
      <c r="J9" s="156">
        <f>F9</f>
        <v>16</v>
      </c>
      <c r="K9" s="157">
        <f>J9/$C$42</f>
        <v>0.12121212121212122</v>
      </c>
      <c r="L9" s="158">
        <f>K9*(1+$C$50)^5</f>
        <v>0.11527152119999999</v>
      </c>
      <c r="M9" s="158">
        <f>K9*(1+$C$50)^10</f>
        <v>0.10962206969803688</v>
      </c>
      <c r="N9" s="158">
        <f>K9*(1+$C$50)^20</f>
        <v>9.914023486027039E-2</v>
      </c>
      <c r="O9" s="158">
        <f>K9*(1+$C$50)^20</f>
        <v>9.914023486027039E-2</v>
      </c>
      <c r="P9" s="158">
        <f>K9*(1+$C$49)^5</f>
        <v>0.10956615718787877</v>
      </c>
      <c r="Q9" s="158">
        <f>K9*(1+$C$51)^5</f>
        <v>0.12121212121212122</v>
      </c>
      <c r="R9" s="158">
        <f>K9*(1+$C$49)^30</f>
        <v>6.6119311440295356E-2</v>
      </c>
      <c r="S9" s="158">
        <f>K9*(1+$C$51)^30</f>
        <v>0.12121212121212122</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v>525</v>
      </c>
      <c r="D12" s="150" t="s">
        <v>315</v>
      </c>
      <c r="F12" s="151">
        <f t="shared" si="0"/>
        <v>70</v>
      </c>
      <c r="G12" s="150" t="s">
        <v>308</v>
      </c>
      <c r="J12" s="156">
        <f>F12</f>
        <v>70</v>
      </c>
      <c r="K12" s="158">
        <f>J12/$C$42</f>
        <v>0.53030303030303028</v>
      </c>
      <c r="L12" s="158">
        <f>K12*(1+$C$50)^5</f>
        <v>0.50431290524999994</v>
      </c>
      <c r="M12" s="158">
        <f t="shared" ref="M12:M17" si="1">K12*(1+$C$50)^10</f>
        <v>0.47959655492891134</v>
      </c>
      <c r="N12" s="158">
        <f t="shared" ref="N12:N17" si="2">K12*(1+$C$50)^20</f>
        <v>0.43373852751368291</v>
      </c>
      <c r="O12" s="158">
        <f t="shared" ref="O12:O17" si="3">K12*(1+$C$50)^20</f>
        <v>0.43373852751368291</v>
      </c>
      <c r="P12" s="158">
        <f t="shared" ref="P12:P17" si="4">K12*(1+$C$49)^5</f>
        <v>0.4793519376969696</v>
      </c>
      <c r="Q12" s="158">
        <f t="shared" ref="Q12:Q16" si="5">K12*(1+$C$51)^5</f>
        <v>0.53030303030303028</v>
      </c>
      <c r="R12" s="158">
        <f t="shared" ref="R12:R17" si="6">K12*(1+$C$49)^30</f>
        <v>0.28927198755129219</v>
      </c>
      <c r="S12" s="158">
        <f t="shared" ref="S12:S16" si="7">K12*(1+$C$51)^30</f>
        <v>0.53030303030303028</v>
      </c>
    </row>
    <row r="13" spans="1:19" x14ac:dyDescent="0.3">
      <c r="A13" t="s">
        <v>325</v>
      </c>
      <c r="B13" s="149" t="s">
        <v>326</v>
      </c>
      <c r="C13" s="9"/>
      <c r="D13" s="150" t="s">
        <v>315</v>
      </c>
      <c r="F13" s="151">
        <f>C13/7.5</f>
        <v>0</v>
      </c>
      <c r="G13" s="150" t="s">
        <v>308</v>
      </c>
      <c r="J13" s="156">
        <f t="shared" ref="J13:J17" si="8">F13</f>
        <v>0</v>
      </c>
      <c r="K13" s="158">
        <f t="shared" ref="K13:K17" si="9">J13/$C$42</f>
        <v>0</v>
      </c>
      <c r="L13" s="158">
        <f t="shared" ref="L13:L17" si="10">K13*(1+$C$50)^5</f>
        <v>0</v>
      </c>
      <c r="M13" s="158">
        <f t="shared" si="1"/>
        <v>0</v>
      </c>
      <c r="N13" s="158">
        <f t="shared" si="2"/>
        <v>0</v>
      </c>
      <c r="O13" s="158">
        <f t="shared" si="3"/>
        <v>0</v>
      </c>
      <c r="P13" s="158">
        <f t="shared" si="4"/>
        <v>0</v>
      </c>
      <c r="Q13" s="158">
        <f t="shared" si="5"/>
        <v>0</v>
      </c>
      <c r="R13" s="158">
        <f t="shared" si="6"/>
        <v>0</v>
      </c>
      <c r="S13" s="158">
        <f t="shared" si="7"/>
        <v>0</v>
      </c>
    </row>
    <row r="14" spans="1:19" x14ac:dyDescent="0.3">
      <c r="A14" t="s">
        <v>327</v>
      </c>
      <c r="B14" s="149" t="s">
        <v>374</v>
      </c>
      <c r="C14" s="9">
        <v>390</v>
      </c>
      <c r="D14" s="150" t="s">
        <v>315</v>
      </c>
      <c r="F14" s="151">
        <f>C14/7.5</f>
        <v>52</v>
      </c>
      <c r="G14" s="150" t="s">
        <v>308</v>
      </c>
      <c r="J14" s="156">
        <f t="shared" si="8"/>
        <v>52</v>
      </c>
      <c r="K14" s="158">
        <f t="shared" si="9"/>
        <v>0.39393939393939392</v>
      </c>
      <c r="L14" s="158">
        <f t="shared" si="10"/>
        <v>0.37463244389999995</v>
      </c>
      <c r="M14" s="158">
        <f t="shared" si="1"/>
        <v>0.35627172651861988</v>
      </c>
      <c r="N14" s="158">
        <f t="shared" si="2"/>
        <v>0.32220576329587874</v>
      </c>
      <c r="O14" s="158">
        <f t="shared" si="3"/>
        <v>0.32220576329587874</v>
      </c>
      <c r="P14" s="158">
        <f t="shared" si="4"/>
        <v>0.35609001086060599</v>
      </c>
      <c r="Q14" s="158">
        <f t="shared" si="5"/>
        <v>0.39393939393939392</v>
      </c>
      <c r="R14" s="158">
        <f t="shared" si="6"/>
        <v>0.2148877621809599</v>
      </c>
      <c r="S14" s="158">
        <f t="shared" si="7"/>
        <v>0.39393939393939392</v>
      </c>
    </row>
    <row r="15" spans="1:19" x14ac:dyDescent="0.3">
      <c r="A15" t="s">
        <v>329</v>
      </c>
      <c r="B15" s="149" t="s">
        <v>330</v>
      </c>
      <c r="C15" s="9">
        <v>375</v>
      </c>
      <c r="D15" s="150" t="s">
        <v>315</v>
      </c>
      <c r="F15" s="151">
        <f t="shared" si="0"/>
        <v>50</v>
      </c>
      <c r="G15" s="150" t="s">
        <v>308</v>
      </c>
      <c r="J15" s="156">
        <f t="shared" si="8"/>
        <v>50</v>
      </c>
      <c r="K15" s="158">
        <f t="shared" si="9"/>
        <v>0.37878787878787878</v>
      </c>
      <c r="L15" s="158">
        <f t="shared" si="10"/>
        <v>0.36022350374999995</v>
      </c>
      <c r="M15" s="158">
        <f t="shared" si="1"/>
        <v>0.34256896780636525</v>
      </c>
      <c r="N15" s="158">
        <f t="shared" si="2"/>
        <v>0.30981323393834492</v>
      </c>
      <c r="O15" s="158">
        <f t="shared" si="3"/>
        <v>0.30981323393834492</v>
      </c>
      <c r="P15" s="158">
        <f t="shared" si="4"/>
        <v>0.34239424121212114</v>
      </c>
      <c r="Q15" s="158">
        <f t="shared" si="5"/>
        <v>0.37878787878787878</v>
      </c>
      <c r="R15" s="158">
        <f t="shared" si="6"/>
        <v>0.20662284825092297</v>
      </c>
      <c r="S15" s="158">
        <f t="shared" si="7"/>
        <v>0.37878787878787878</v>
      </c>
    </row>
    <row r="16" spans="1:19" x14ac:dyDescent="0.3">
      <c r="A16" t="s">
        <v>331</v>
      </c>
      <c r="B16" s="149" t="s">
        <v>332</v>
      </c>
      <c r="C16" s="9">
        <v>640</v>
      </c>
      <c r="D16" s="150" t="s">
        <v>315</v>
      </c>
      <c r="F16" s="151">
        <f t="shared" si="0"/>
        <v>85.333333333333329</v>
      </c>
      <c r="G16" s="150" t="s">
        <v>308</v>
      </c>
      <c r="J16" s="156">
        <f t="shared" si="8"/>
        <v>85.333333333333329</v>
      </c>
      <c r="K16" s="158">
        <f t="shared" si="9"/>
        <v>0.64646464646464641</v>
      </c>
      <c r="L16" s="158">
        <f t="shared" si="10"/>
        <v>0.61478144639999988</v>
      </c>
      <c r="M16" s="158">
        <f t="shared" si="1"/>
        <v>0.58465103838953003</v>
      </c>
      <c r="N16" s="158">
        <f t="shared" si="2"/>
        <v>0.52874791925477538</v>
      </c>
      <c r="O16" s="158">
        <f t="shared" si="3"/>
        <v>0.52874791925477538</v>
      </c>
      <c r="P16" s="158">
        <f t="shared" si="4"/>
        <v>0.58435283833535334</v>
      </c>
      <c r="Q16" s="158">
        <f t="shared" si="5"/>
        <v>0.64646464646464641</v>
      </c>
      <c r="R16" s="158">
        <f t="shared" si="6"/>
        <v>0.35263632768157521</v>
      </c>
      <c r="S16" s="158">
        <f t="shared" si="7"/>
        <v>0.64646464646464641</v>
      </c>
    </row>
    <row r="17" spans="1:19" ht="15" thickBot="1" x14ac:dyDescent="0.35">
      <c r="A17" t="s">
        <v>333</v>
      </c>
      <c r="B17" s="149" t="s">
        <v>334</v>
      </c>
      <c r="C17" s="9">
        <v>1925</v>
      </c>
      <c r="D17" s="150" t="s">
        <v>315</v>
      </c>
      <c r="F17" s="151">
        <f t="shared" si="0"/>
        <v>256.66666666666669</v>
      </c>
      <c r="G17" s="150" t="s">
        <v>308</v>
      </c>
      <c r="J17" s="156">
        <f t="shared" si="8"/>
        <v>256.66666666666669</v>
      </c>
      <c r="K17" s="158">
        <f t="shared" si="9"/>
        <v>1.9444444444444446</v>
      </c>
      <c r="L17" s="158">
        <f t="shared" si="10"/>
        <v>1.8491473192500001</v>
      </c>
      <c r="M17" s="158">
        <f t="shared" si="1"/>
        <v>1.7585207014060085</v>
      </c>
      <c r="N17" s="158">
        <f t="shared" si="2"/>
        <v>1.5903746008835042</v>
      </c>
      <c r="O17" s="158">
        <f t="shared" si="3"/>
        <v>1.5903746008835042</v>
      </c>
      <c r="P17" s="158">
        <f t="shared" si="4"/>
        <v>1.7576237715555554</v>
      </c>
      <c r="Q17" s="164">
        <f>K17*(1+$C$51)^5*1.5</f>
        <v>2.916666666666667</v>
      </c>
      <c r="R17" s="158">
        <f t="shared" si="6"/>
        <v>1.060663954354738</v>
      </c>
      <c r="S17" s="164">
        <f>K17*(1+$C$51)^30*1.5</f>
        <v>2.916666666666667</v>
      </c>
    </row>
    <row r="18" spans="1:19" ht="15.6" thickTop="1" thickBot="1" x14ac:dyDescent="0.35">
      <c r="A18" t="s">
        <v>15</v>
      </c>
      <c r="B18" s="152" t="s">
        <v>335</v>
      </c>
      <c r="C18" s="153">
        <f>SUM(C12:C17)</f>
        <v>3855</v>
      </c>
      <c r="D18" s="154" t="s">
        <v>315</v>
      </c>
      <c r="F18" s="155">
        <f t="shared" si="0"/>
        <v>514</v>
      </c>
      <c r="G18" s="154" t="s">
        <v>308</v>
      </c>
      <c r="I18" t="s">
        <v>336</v>
      </c>
      <c r="J18" s="156">
        <f>F18</f>
        <v>514</v>
      </c>
      <c r="K18" s="157">
        <f>J18/$C$42</f>
        <v>3.893939393939394</v>
      </c>
      <c r="L18" s="158">
        <f>SUM(L12:L17)</f>
        <v>3.7030976185499997</v>
      </c>
      <c r="M18" s="158">
        <f t="shared" ref="M18:P18" si="11">SUM(M12:M17)</f>
        <v>3.5216089890494349</v>
      </c>
      <c r="N18" s="158">
        <f t="shared" si="11"/>
        <v>3.184880044886186</v>
      </c>
      <c r="O18" s="158">
        <f t="shared" si="11"/>
        <v>3.184880044886186</v>
      </c>
      <c r="P18" s="158">
        <f t="shared" si="11"/>
        <v>3.5198127996606052</v>
      </c>
      <c r="Q18" s="158">
        <f>SUM(Q12:Q17)</f>
        <v>4.8661616161616159</v>
      </c>
      <c r="R18" s="158">
        <f>SUM(R12:R17)</f>
        <v>2.124082880019488</v>
      </c>
      <c r="S18" s="158">
        <f>SUM(S12:S17)</f>
        <v>4.8661616161616159</v>
      </c>
    </row>
    <row r="19" spans="1:19" ht="15.6" thickTop="1" thickBot="1" x14ac:dyDescent="0.35">
      <c r="B19" s="159"/>
      <c r="C19" s="160"/>
      <c r="D19" s="161"/>
      <c r="F19" s="162"/>
      <c r="G19" s="161"/>
    </row>
    <row r="20" spans="1:19" ht="15.6" thickTop="1" thickBot="1" x14ac:dyDescent="0.35">
      <c r="A20" t="s">
        <v>12</v>
      </c>
      <c r="B20" s="165" t="s">
        <v>337</v>
      </c>
      <c r="C20" s="166">
        <v>836</v>
      </c>
      <c r="D20" s="154" t="s">
        <v>315</v>
      </c>
      <c r="F20" s="155">
        <f t="shared" si="0"/>
        <v>111.46666666666667</v>
      </c>
      <c r="G20" s="154" t="s">
        <v>308</v>
      </c>
      <c r="I20" t="s">
        <v>338</v>
      </c>
      <c r="J20" s="156">
        <f>F20</f>
        <v>111.46666666666667</v>
      </c>
      <c r="K20" s="157">
        <f>J20/$C$42</f>
        <v>0.84444444444444444</v>
      </c>
      <c r="L20" s="158">
        <f>K20*(1+$C$50)^5</f>
        <v>0.80305826435999994</v>
      </c>
      <c r="M20" s="158">
        <f>K20*(1+$C$50)^10</f>
        <v>0.76370041889632367</v>
      </c>
      <c r="N20" s="158">
        <f>K20*(1+$C$50)^20</f>
        <v>0.69067696952655033</v>
      </c>
      <c r="O20" s="158">
        <f>K20*(1+$C$50)^20</f>
        <v>0.69067696952655033</v>
      </c>
      <c r="P20" s="158">
        <f>K20*(1+$C$49)^5</f>
        <v>0.76331089507555538</v>
      </c>
      <c r="Q20" s="158">
        <f>K20*(1+$C$51)^5</f>
        <v>0.84444444444444444</v>
      </c>
      <c r="R20" s="158">
        <f>K20*(1+$C$49)^30</f>
        <v>0.46063120303405763</v>
      </c>
      <c r="S20" s="158">
        <f>K20*(1+$C$51)^30</f>
        <v>0.84444444444444444</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525</v>
      </c>
      <c r="D23" s="150" t="s">
        <v>315</v>
      </c>
      <c r="F23" s="151">
        <f t="shared" si="0"/>
        <v>70</v>
      </c>
      <c r="G23" s="150" t="s">
        <v>308</v>
      </c>
      <c r="I23" t="s">
        <v>342</v>
      </c>
      <c r="J23" s="156">
        <f>F23+F31</f>
        <v>192.66666666666669</v>
      </c>
      <c r="K23" s="157">
        <f>J23/$C$42</f>
        <v>1.4595959595959598</v>
      </c>
      <c r="L23" s="158">
        <f>K23*(1+$C$50)^5</f>
        <v>1.3880612344500001</v>
      </c>
      <c r="M23" s="158">
        <f>K23*(1+$C$50)^10</f>
        <v>1.3200324226138609</v>
      </c>
      <c r="N23" s="158">
        <f>K23*(1+$C$50)^20</f>
        <v>1.1938136614424226</v>
      </c>
      <c r="O23" s="158">
        <f>K23*(1+$C$50)^20</f>
        <v>1.1938136614424226</v>
      </c>
      <c r="P23" s="158">
        <f>K23*(1+$C$49)^5</f>
        <v>1.3193591428040403</v>
      </c>
      <c r="Q23" s="158">
        <f>K23*(1+$C$51)^5</f>
        <v>1.4595959595959598</v>
      </c>
      <c r="R23" s="158">
        <f>K23*(1+$C$49)^30</f>
        <v>0.79618670859355667</v>
      </c>
      <c r="S23" s="158">
        <f>K23*(1+$C$51)^30</f>
        <v>1.4595959595959598</v>
      </c>
    </row>
    <row r="24" spans="1:19" ht="15" thickTop="1" x14ac:dyDescent="0.3">
      <c r="A24" t="s">
        <v>343</v>
      </c>
      <c r="B24" s="149" t="s">
        <v>324</v>
      </c>
      <c r="C24" s="168">
        <v>2430</v>
      </c>
      <c r="D24" s="150" t="s">
        <v>315</v>
      </c>
      <c r="F24" s="151">
        <f t="shared" si="0"/>
        <v>324</v>
      </c>
      <c r="G24" s="150" t="s">
        <v>308</v>
      </c>
    </row>
    <row r="25" spans="1:19" x14ac:dyDescent="0.3">
      <c r="A25" t="s">
        <v>344</v>
      </c>
      <c r="B25" s="149" t="s">
        <v>326</v>
      </c>
      <c r="C25" s="9"/>
      <c r="D25" s="150" t="s">
        <v>315</v>
      </c>
      <c r="F25" s="151">
        <f t="shared" si="0"/>
        <v>0</v>
      </c>
      <c r="G25" s="150" t="s">
        <v>308</v>
      </c>
    </row>
    <row r="26" spans="1:19" x14ac:dyDescent="0.3">
      <c r="A26" t="s">
        <v>345</v>
      </c>
      <c r="B26" s="149" t="s">
        <v>374</v>
      </c>
      <c r="C26" s="9">
        <v>967</v>
      </c>
      <c r="D26" s="150" t="s">
        <v>315</v>
      </c>
      <c r="F26" s="151">
        <f t="shared" si="0"/>
        <v>128.93333333333334</v>
      </c>
      <c r="G26" s="150" t="s">
        <v>308</v>
      </c>
    </row>
    <row r="27" spans="1:19" x14ac:dyDescent="0.3">
      <c r="A27" t="s">
        <v>346</v>
      </c>
      <c r="B27" s="149" t="s">
        <v>330</v>
      </c>
      <c r="C27" s="9">
        <v>911</v>
      </c>
      <c r="D27" s="150" t="s">
        <v>315</v>
      </c>
      <c r="F27" s="151">
        <f t="shared" si="0"/>
        <v>121.46666666666667</v>
      </c>
      <c r="G27" s="150" t="s">
        <v>308</v>
      </c>
    </row>
    <row r="28" spans="1:19" x14ac:dyDescent="0.3">
      <c r="A28" t="s">
        <v>347</v>
      </c>
      <c r="B28" s="149" t="s">
        <v>334</v>
      </c>
      <c r="C28" s="9">
        <v>527</v>
      </c>
      <c r="D28" s="150" t="s">
        <v>315</v>
      </c>
      <c r="F28" s="151">
        <f t="shared" si="0"/>
        <v>70.266666666666666</v>
      </c>
      <c r="G28" s="150" t="s">
        <v>308</v>
      </c>
    </row>
    <row r="29" spans="1:19" ht="15" thickBot="1" x14ac:dyDescent="0.35">
      <c r="A29" t="s">
        <v>348</v>
      </c>
      <c r="B29" s="149" t="s">
        <v>349</v>
      </c>
      <c r="C29" s="175">
        <v>1587</v>
      </c>
      <c r="D29" s="150" t="s">
        <v>315</v>
      </c>
      <c r="F29" s="151">
        <f t="shared" si="0"/>
        <v>211.6</v>
      </c>
      <c r="G29" s="150" t="s">
        <v>308</v>
      </c>
    </row>
    <row r="30" spans="1:19" ht="15.6" thickTop="1" thickBot="1" x14ac:dyDescent="0.35">
      <c r="A30" t="s">
        <v>350</v>
      </c>
      <c r="B30" s="149" t="s">
        <v>351</v>
      </c>
      <c r="C30" s="175">
        <v>620</v>
      </c>
      <c r="D30" s="150" t="s">
        <v>315</v>
      </c>
      <c r="F30" s="151">
        <f t="shared" si="0"/>
        <v>82.666666666666671</v>
      </c>
      <c r="G30" s="150" t="s">
        <v>308</v>
      </c>
      <c r="I30" t="s">
        <v>352</v>
      </c>
      <c r="J30" s="156">
        <f>F24+F25+F26+F27+F28+F29+F30</f>
        <v>938.93333333333328</v>
      </c>
      <c r="K30" s="157">
        <f>J30/$C$42</f>
        <v>7.113131313131313</v>
      </c>
      <c r="L30" s="158">
        <f>K30*(1+$C$50)^5</f>
        <v>6.7645171024199993</v>
      </c>
      <c r="M30" s="158">
        <f>K30*(1+$C$50)^10</f>
        <v>6.4329884567797979</v>
      </c>
      <c r="N30" s="158">
        <f>K30*(1+$C$50)^20</f>
        <v>5.8178794490502002</v>
      </c>
      <c r="O30" s="158">
        <f>K30*(1+$C$50)^20</f>
        <v>5.8178794490502002</v>
      </c>
      <c r="P30" s="158">
        <f>K30*(1+$C$49)^5</f>
        <v>6.4297073243086853</v>
      </c>
      <c r="Q30" s="158">
        <f>K30*(1+$C$51)^5</f>
        <v>7.113131313131313</v>
      </c>
      <c r="R30" s="158">
        <f>K30*(1+$C$49)^30</f>
        <v>3.8801015930213323</v>
      </c>
      <c r="S30" s="158">
        <f>K30*(1+$C$51)^30</f>
        <v>7.113131313131313</v>
      </c>
    </row>
    <row r="31" spans="1:19" ht="15.6" thickTop="1" thickBot="1" x14ac:dyDescent="0.35">
      <c r="A31" t="s">
        <v>353</v>
      </c>
      <c r="B31" s="149" t="s">
        <v>354</v>
      </c>
      <c r="C31" s="9">
        <v>920</v>
      </c>
      <c r="D31" s="150" t="s">
        <v>315</v>
      </c>
      <c r="F31" s="151">
        <f t="shared" si="0"/>
        <v>122.66666666666667</v>
      </c>
      <c r="G31" s="150" t="s">
        <v>308</v>
      </c>
    </row>
    <row r="32" spans="1:19" ht="15.6" thickTop="1" thickBot="1" x14ac:dyDescent="0.35">
      <c r="A32" t="s">
        <v>355</v>
      </c>
      <c r="B32" s="149" t="s">
        <v>356</v>
      </c>
      <c r="C32" s="9">
        <v>3036</v>
      </c>
      <c r="D32" s="150" t="s">
        <v>315</v>
      </c>
      <c r="F32" s="151">
        <f t="shared" si="0"/>
        <v>404.8</v>
      </c>
      <c r="G32" s="150" t="s">
        <v>308</v>
      </c>
      <c r="I32" t="s">
        <v>357</v>
      </c>
      <c r="J32" s="156">
        <f>F32</f>
        <v>404.8</v>
      </c>
      <c r="K32" s="157">
        <f>J32/$C$42</f>
        <v>3.0666666666666669</v>
      </c>
      <c r="L32" s="158">
        <f>K32*(1+$C$50)^5</f>
        <v>2.9163694863599998</v>
      </c>
      <c r="M32" s="158">
        <f>K32*(1+$C$50)^10</f>
        <v>2.7734383633603334</v>
      </c>
      <c r="N32" s="158">
        <f>K32*(1+$C$50)^20</f>
        <v>2.5082479419648407</v>
      </c>
      <c r="O32" s="158">
        <f>K32*(1+$C$50)^20</f>
        <v>2.5082479419648407</v>
      </c>
      <c r="P32" s="158">
        <f>K32*(1+$C$49)^5</f>
        <v>2.7720237768533331</v>
      </c>
      <c r="Q32" s="158">
        <f>K32*(1+$C$51)^5</f>
        <v>3.0666666666666669</v>
      </c>
      <c r="R32" s="158">
        <f>K32*(1+$C$49)^30</f>
        <v>1.6728185794394725</v>
      </c>
      <c r="S32" s="158">
        <f>K32*(1+$C$51)^30</f>
        <v>3.0666666666666669</v>
      </c>
    </row>
    <row r="33" spans="1:20" ht="15" thickTop="1" x14ac:dyDescent="0.3">
      <c r="A33" t="s">
        <v>13</v>
      </c>
      <c r="B33" s="152" t="s">
        <v>358</v>
      </c>
      <c r="C33" s="166">
        <f>SUM(C23:C32)</f>
        <v>11523</v>
      </c>
      <c r="D33" s="154" t="s">
        <v>315</v>
      </c>
      <c r="F33" s="155">
        <f t="shared" si="0"/>
        <v>1536.4</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600</v>
      </c>
      <c r="D36" s="150" t="s">
        <v>315</v>
      </c>
      <c r="F36" s="151">
        <f t="shared" si="0"/>
        <v>80</v>
      </c>
      <c r="G36" s="150" t="s">
        <v>308</v>
      </c>
      <c r="I36" t="s">
        <v>361</v>
      </c>
      <c r="J36" s="156">
        <f>F36</f>
        <v>80</v>
      </c>
      <c r="K36" s="157">
        <f>J36/$C$42</f>
        <v>0.60606060606060608</v>
      </c>
      <c r="L36" s="158">
        <f>K36*(1+$C$50)^5</f>
        <v>0.57635760599999997</v>
      </c>
      <c r="M36" s="158">
        <f>K36*(1+$C$50)^10</f>
        <v>0.54811034849018447</v>
      </c>
      <c r="N36" s="158">
        <f>K36*(1+$C$50)^20</f>
        <v>0.49570117430135191</v>
      </c>
      <c r="O36" s="158">
        <f>K36*(1+$C$50)^20</f>
        <v>0.49570117430135191</v>
      </c>
      <c r="P36" s="158">
        <f>K36*(1+$C$49)^5</f>
        <v>0.54783078593939383</v>
      </c>
      <c r="Q36" s="158">
        <f>K36*(1+$C$51)^5</f>
        <v>0.60606060606060608</v>
      </c>
      <c r="R36" s="158">
        <f>K36*(1+$C$49)^30</f>
        <v>0.33059655720147679</v>
      </c>
      <c r="S36" s="158">
        <f>K36*(1+$C$51)^30</f>
        <v>0.60606060606060608</v>
      </c>
    </row>
    <row r="37" spans="1:20" ht="15" thickTop="1" x14ac:dyDescent="0.3">
      <c r="A37" t="s">
        <v>16</v>
      </c>
      <c r="B37" s="152" t="s">
        <v>362</v>
      </c>
      <c r="C37" s="153">
        <f>SUM(C36)</f>
        <v>600</v>
      </c>
      <c r="D37" s="154" t="s">
        <v>315</v>
      </c>
      <c r="F37" s="155">
        <f t="shared" si="0"/>
        <v>80</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132</v>
      </c>
      <c r="D42" s="150" t="s">
        <v>367</v>
      </c>
      <c r="F42" s="171"/>
      <c r="G42" s="150"/>
    </row>
    <row r="43" spans="1:20" x14ac:dyDescent="0.3">
      <c r="B43" s="149" t="s">
        <v>368</v>
      </c>
      <c r="C43" s="168">
        <f>C39+C37+C33+C20+C18+C9</f>
        <v>16934</v>
      </c>
      <c r="D43" s="150" t="s">
        <v>315</v>
      </c>
      <c r="F43" s="151">
        <f>C43/7.5</f>
        <v>2257.8666666666668</v>
      </c>
      <c r="G43" s="150" t="s">
        <v>308</v>
      </c>
      <c r="J43" s="172">
        <f>J9+J18+J20+J23+J30+J32+J36+J39</f>
        <v>2257.8666666666668</v>
      </c>
      <c r="K43" s="172">
        <f t="shared" ref="K43:S43" si="12">K9+K18+K20+K23+K30+K32+K36+K39</f>
        <v>17.105050505050503</v>
      </c>
      <c r="L43" s="156">
        <f t="shared" si="12"/>
        <v>16.266732833339997</v>
      </c>
      <c r="M43" s="156">
        <f t="shared" si="12"/>
        <v>15.469501068887972</v>
      </c>
      <c r="N43" s="156">
        <f t="shared" si="12"/>
        <v>13.990339476031822</v>
      </c>
      <c r="O43" s="156">
        <f t="shared" si="12"/>
        <v>13.990339476031822</v>
      </c>
      <c r="P43" s="156">
        <f t="shared" si="12"/>
        <v>15.461610881829493</v>
      </c>
      <c r="Q43" s="156">
        <f t="shared" si="12"/>
        <v>18.077272727272724</v>
      </c>
      <c r="R43" s="156">
        <f t="shared" si="12"/>
        <v>9.3305368327496776</v>
      </c>
      <c r="S43" s="156">
        <f t="shared" si="12"/>
        <v>18.077272727272724</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1"/>
  <sheetViews>
    <sheetView workbookViewId="0">
      <selection activeCell="I46" sqref="I46"/>
    </sheetView>
  </sheetViews>
  <sheetFormatPr defaultColWidth="9.109375" defaultRowHeight="14.4" x14ac:dyDescent="0.3"/>
  <cols>
    <col min="2" max="2" width="41.109375" bestFit="1" customWidth="1"/>
    <col min="3" max="4" width="9" customWidth="1"/>
    <col min="9" max="9" width="43.109375" bestFit="1" customWidth="1"/>
  </cols>
  <sheetData>
    <row r="2" spans="1:19" ht="15" thickBot="1" x14ac:dyDescent="0.35"/>
    <row r="3" spans="1:19" x14ac:dyDescent="0.3">
      <c r="B3" s="145" t="s">
        <v>307</v>
      </c>
      <c r="C3" s="146"/>
      <c r="D3" s="147"/>
      <c r="F3" s="148"/>
      <c r="G3" s="147"/>
      <c r="J3" t="s">
        <v>308</v>
      </c>
      <c r="K3" t="s">
        <v>309</v>
      </c>
      <c r="L3">
        <v>2025</v>
      </c>
      <c r="M3">
        <v>2030</v>
      </c>
      <c r="N3">
        <v>2040</v>
      </c>
      <c r="O3">
        <v>2050</v>
      </c>
      <c r="P3" t="s">
        <v>310</v>
      </c>
      <c r="Q3" t="s">
        <v>311</v>
      </c>
      <c r="R3" t="s">
        <v>312</v>
      </c>
      <c r="S3" t="s">
        <v>313</v>
      </c>
    </row>
    <row r="4" spans="1:19" x14ac:dyDescent="0.3">
      <c r="B4" s="149" t="s">
        <v>314</v>
      </c>
      <c r="C4" s="9">
        <v>70</v>
      </c>
      <c r="D4" s="150" t="s">
        <v>315</v>
      </c>
      <c r="F4" s="151">
        <f>C4/7.5</f>
        <v>9.3333333333333339</v>
      </c>
      <c r="G4" s="150" t="s">
        <v>308</v>
      </c>
    </row>
    <row r="5" spans="1:19" x14ac:dyDescent="0.3">
      <c r="B5" s="149" t="s">
        <v>316</v>
      </c>
      <c r="C5" s="9">
        <v>20</v>
      </c>
      <c r="D5" s="150" t="s">
        <v>315</v>
      </c>
      <c r="F5" s="151">
        <f t="shared" ref="F5:F39" si="0">C5/7.5</f>
        <v>2.6666666666666665</v>
      </c>
      <c r="G5" s="150" t="s">
        <v>308</v>
      </c>
    </row>
    <row r="6" spans="1:19" x14ac:dyDescent="0.3">
      <c r="B6" s="149" t="s">
        <v>317</v>
      </c>
      <c r="C6" s="9"/>
      <c r="D6" s="150" t="s">
        <v>315</v>
      </c>
      <c r="F6" s="151">
        <f t="shared" si="0"/>
        <v>0</v>
      </c>
      <c r="G6" s="150" t="s">
        <v>308</v>
      </c>
    </row>
    <row r="7" spans="1:19" x14ac:dyDescent="0.3">
      <c r="B7" s="149" t="s">
        <v>318</v>
      </c>
      <c r="C7" s="9">
        <v>10</v>
      </c>
      <c r="D7" s="150" t="s">
        <v>315</v>
      </c>
      <c r="F7" s="151">
        <f t="shared" si="0"/>
        <v>1.3333333333333333</v>
      </c>
      <c r="G7" s="150" t="s">
        <v>308</v>
      </c>
    </row>
    <row r="8" spans="1:19" ht="15" thickBot="1" x14ac:dyDescent="0.35">
      <c r="B8" s="149" t="s">
        <v>319</v>
      </c>
      <c r="C8" s="9">
        <v>20</v>
      </c>
      <c r="D8" s="150" t="s">
        <v>315</v>
      </c>
      <c r="F8" s="151">
        <f t="shared" si="0"/>
        <v>2.6666666666666665</v>
      </c>
      <c r="G8" s="150" t="s">
        <v>308</v>
      </c>
    </row>
    <row r="9" spans="1:19" ht="15.6" thickTop="1" thickBot="1" x14ac:dyDescent="0.35">
      <c r="A9" t="s">
        <v>7</v>
      </c>
      <c r="B9" s="152" t="s">
        <v>320</v>
      </c>
      <c r="C9" s="153">
        <f>SUM(C4:C8)</f>
        <v>120</v>
      </c>
      <c r="D9" s="154" t="s">
        <v>315</v>
      </c>
      <c r="F9" s="155">
        <f t="shared" si="0"/>
        <v>16</v>
      </c>
      <c r="G9" s="154" t="s">
        <v>308</v>
      </c>
      <c r="I9" t="s">
        <v>321</v>
      </c>
      <c r="J9" s="156">
        <f>F9</f>
        <v>16</v>
      </c>
      <c r="K9" s="157">
        <f>J9/$C$42</f>
        <v>0.12403100775193798</v>
      </c>
      <c r="L9" s="158">
        <f>K9*(1+$C$50)^5</f>
        <v>0.11795225425116278</v>
      </c>
      <c r="M9" s="158">
        <f>K9*(1+$C$50)^10</f>
        <v>0.11217142015613077</v>
      </c>
      <c r="N9" s="158">
        <f>K9*(1+$C$50)^20</f>
        <v>0.10144582171748596</v>
      </c>
      <c r="O9" s="158">
        <f>K9*(1+$C$50)^20</f>
        <v>0.10144582171748596</v>
      </c>
      <c r="P9" s="158">
        <f>K9*(1+$C$49)^5</f>
        <v>0.11211420735503874</v>
      </c>
      <c r="Q9" s="158">
        <f>K9*(1+$C$51)^5</f>
        <v>0.12403100775193798</v>
      </c>
      <c r="R9" s="158">
        <f>K9*(1+$C$49)^30</f>
        <v>6.7656969845883624E-2</v>
      </c>
      <c r="S9" s="158">
        <f>K9*(1+$C$51)^30</f>
        <v>0.12403100775193798</v>
      </c>
    </row>
    <row r="10" spans="1:19" ht="15.6" thickTop="1" thickBot="1" x14ac:dyDescent="0.35">
      <c r="B10" s="159"/>
      <c r="C10" s="160"/>
      <c r="D10" s="161"/>
      <c r="F10" s="162"/>
      <c r="G10" s="161"/>
    </row>
    <row r="11" spans="1:19" x14ac:dyDescent="0.3">
      <c r="B11" s="145" t="s">
        <v>322</v>
      </c>
      <c r="C11" s="146"/>
      <c r="D11" s="147"/>
      <c r="F11" s="163"/>
      <c r="G11" s="147"/>
    </row>
    <row r="12" spans="1:19" x14ac:dyDescent="0.3">
      <c r="A12" t="s">
        <v>323</v>
      </c>
      <c r="B12" s="149" t="s">
        <v>324</v>
      </c>
      <c r="C12" s="9">
        <v>545</v>
      </c>
      <c r="D12" s="150" t="s">
        <v>315</v>
      </c>
      <c r="F12" s="151">
        <f t="shared" si="0"/>
        <v>72.666666666666671</v>
      </c>
      <c r="G12" s="150" t="s">
        <v>308</v>
      </c>
      <c r="J12" s="156">
        <f>F12</f>
        <v>72.666666666666671</v>
      </c>
      <c r="K12" s="158">
        <f>J12/$C$42</f>
        <v>0.56330749354005172</v>
      </c>
      <c r="L12" s="158">
        <f>K12*(1+$C$50)^5</f>
        <v>0.53569982139069761</v>
      </c>
      <c r="M12" s="158">
        <f t="shared" ref="M12:M17" si="1">K12*(1+$C$50)^10</f>
        <v>0.50944519987576065</v>
      </c>
      <c r="N12" s="158">
        <f t="shared" ref="N12:N17" si="2">K12*(1+$C$50)^20</f>
        <v>0.4607331069669155</v>
      </c>
      <c r="O12" s="158">
        <f t="shared" ref="O12:O17" si="3">K12*(1+$C$50)^20</f>
        <v>0.4607331069669155</v>
      </c>
      <c r="P12" s="158">
        <f t="shared" ref="P12:P17" si="4">K12*(1+$C$49)^5</f>
        <v>0.50918535840413426</v>
      </c>
      <c r="Q12" s="158">
        <f t="shared" ref="Q12:Q16" si="5">K12*(1+$C$51)^5</f>
        <v>0.56330749354005172</v>
      </c>
      <c r="R12" s="158">
        <f t="shared" ref="R12:R17" si="6">K12*(1+$C$49)^30</f>
        <v>0.30727540471672149</v>
      </c>
      <c r="S12" s="158">
        <f t="shared" ref="S12:S16" si="7">K12*(1+$C$51)^30</f>
        <v>0.56330749354005172</v>
      </c>
    </row>
    <row r="13" spans="1:19" x14ac:dyDescent="0.3">
      <c r="A13" t="s">
        <v>325</v>
      </c>
      <c r="B13" s="149" t="s">
        <v>326</v>
      </c>
      <c r="C13" s="9">
        <v>365</v>
      </c>
      <c r="D13" s="150" t="s">
        <v>315</v>
      </c>
      <c r="F13" s="151">
        <f>C13/7.5</f>
        <v>48.666666666666664</v>
      </c>
      <c r="G13" s="150" t="s">
        <v>308</v>
      </c>
      <c r="J13" s="156">
        <f t="shared" ref="J13:J17" si="8">F13</f>
        <v>48.666666666666664</v>
      </c>
      <c r="K13" s="158">
        <f t="shared" ref="K13:K17" si="9">J13/$C$42</f>
        <v>0.37726098191214469</v>
      </c>
      <c r="L13" s="158">
        <f t="shared" ref="L13:L17" si="10">K13*(1+$C$50)^5</f>
        <v>0.35877144001395345</v>
      </c>
      <c r="M13" s="158">
        <f t="shared" si="1"/>
        <v>0.3411880696415644</v>
      </c>
      <c r="N13" s="158">
        <f t="shared" si="2"/>
        <v>0.30856437439068651</v>
      </c>
      <c r="O13" s="158">
        <f t="shared" si="3"/>
        <v>0.30856437439068651</v>
      </c>
      <c r="P13" s="158">
        <f t="shared" si="4"/>
        <v>0.34101404737157615</v>
      </c>
      <c r="Q13" s="158">
        <f t="shared" si="5"/>
        <v>0.37726098191214469</v>
      </c>
      <c r="R13" s="158">
        <f t="shared" si="6"/>
        <v>0.20578994994789601</v>
      </c>
      <c r="S13" s="158">
        <f t="shared" si="7"/>
        <v>0.37726098191214469</v>
      </c>
    </row>
    <row r="14" spans="1:19" x14ac:dyDescent="0.3">
      <c r="A14" t="s">
        <v>327</v>
      </c>
      <c r="B14" s="149" t="s">
        <v>375</v>
      </c>
      <c r="C14" s="9">
        <v>415</v>
      </c>
      <c r="D14" s="150" t="s">
        <v>315</v>
      </c>
      <c r="F14" s="151">
        <f>C14/7.5</f>
        <v>55.333333333333336</v>
      </c>
      <c r="G14" s="150" t="s">
        <v>308</v>
      </c>
      <c r="J14" s="156">
        <f t="shared" si="8"/>
        <v>55.333333333333336</v>
      </c>
      <c r="K14" s="158">
        <f t="shared" si="9"/>
        <v>0.4289405684754522</v>
      </c>
      <c r="L14" s="158">
        <f t="shared" si="10"/>
        <v>0.40791821261860461</v>
      </c>
      <c r="M14" s="158">
        <f t="shared" si="1"/>
        <v>0.38792616137328556</v>
      </c>
      <c r="N14" s="158">
        <f t="shared" si="2"/>
        <v>0.35083346677297234</v>
      </c>
      <c r="O14" s="158">
        <f t="shared" si="3"/>
        <v>0.35083346677297234</v>
      </c>
      <c r="P14" s="158">
        <f t="shared" si="4"/>
        <v>0.38772830043617562</v>
      </c>
      <c r="Q14" s="158">
        <f t="shared" si="5"/>
        <v>0.4289405684754522</v>
      </c>
      <c r="R14" s="158">
        <f t="shared" si="6"/>
        <v>0.23398035405034753</v>
      </c>
      <c r="S14" s="158">
        <f t="shared" si="7"/>
        <v>0.4289405684754522</v>
      </c>
    </row>
    <row r="15" spans="1:19" x14ac:dyDescent="0.3">
      <c r="A15" t="s">
        <v>329</v>
      </c>
      <c r="B15" s="149" t="s">
        <v>330</v>
      </c>
      <c r="C15" s="9">
        <v>540</v>
      </c>
      <c r="D15" s="150" t="s">
        <v>315</v>
      </c>
      <c r="F15" s="151">
        <f t="shared" si="0"/>
        <v>72</v>
      </c>
      <c r="G15" s="150" t="s">
        <v>308</v>
      </c>
      <c r="J15" s="156">
        <f t="shared" si="8"/>
        <v>72</v>
      </c>
      <c r="K15" s="158">
        <f t="shared" si="9"/>
        <v>0.55813953488372092</v>
      </c>
      <c r="L15" s="158">
        <f t="shared" si="10"/>
        <v>0.53078514413023248</v>
      </c>
      <c r="M15" s="158">
        <f t="shared" si="1"/>
        <v>0.50477139070258847</v>
      </c>
      <c r="N15" s="158">
        <f t="shared" si="2"/>
        <v>0.45650619772868689</v>
      </c>
      <c r="O15" s="158">
        <f t="shared" si="3"/>
        <v>0.45650619772868689</v>
      </c>
      <c r="P15" s="158">
        <f t="shared" si="4"/>
        <v>0.50451393309767434</v>
      </c>
      <c r="Q15" s="158">
        <f t="shared" si="5"/>
        <v>0.55813953488372092</v>
      </c>
      <c r="R15" s="158">
        <f t="shared" si="6"/>
        <v>0.30445636430647627</v>
      </c>
      <c r="S15" s="158">
        <f t="shared" si="7"/>
        <v>0.55813953488372092</v>
      </c>
    </row>
    <row r="16" spans="1:19" x14ac:dyDescent="0.3">
      <c r="A16" t="s">
        <v>331</v>
      </c>
      <c r="B16" s="149" t="s">
        <v>376</v>
      </c>
      <c r="C16" s="9">
        <v>375</v>
      </c>
      <c r="D16" s="150" t="s">
        <v>315</v>
      </c>
      <c r="F16" s="151">
        <f t="shared" si="0"/>
        <v>50</v>
      </c>
      <c r="G16" s="150" t="s">
        <v>308</v>
      </c>
      <c r="J16" s="156">
        <f t="shared" si="8"/>
        <v>50</v>
      </c>
      <c r="K16" s="158">
        <f t="shared" si="9"/>
        <v>0.38759689922480622</v>
      </c>
      <c r="L16" s="158">
        <f t="shared" si="10"/>
        <v>0.3686007945348837</v>
      </c>
      <c r="M16" s="158">
        <f t="shared" si="1"/>
        <v>0.35053568798790868</v>
      </c>
      <c r="N16" s="158">
        <f t="shared" si="2"/>
        <v>0.31701819286714367</v>
      </c>
      <c r="O16" s="158">
        <f t="shared" si="3"/>
        <v>0.31701819286714367</v>
      </c>
      <c r="P16" s="158">
        <f t="shared" si="4"/>
        <v>0.3503568979844961</v>
      </c>
      <c r="Q16" s="158">
        <f t="shared" si="5"/>
        <v>0.38759689922480622</v>
      </c>
      <c r="R16" s="158">
        <f t="shared" si="6"/>
        <v>0.21142803076838632</v>
      </c>
      <c r="S16" s="158">
        <f t="shared" si="7"/>
        <v>0.38759689922480622</v>
      </c>
    </row>
    <row r="17" spans="1:19" ht="15" thickBot="1" x14ac:dyDescent="0.35">
      <c r="A17" t="s">
        <v>333</v>
      </c>
      <c r="B17" s="149" t="s">
        <v>334</v>
      </c>
      <c r="C17" s="9">
        <v>1645</v>
      </c>
      <c r="D17" s="150" t="s">
        <v>315</v>
      </c>
      <c r="F17" s="151">
        <f t="shared" si="0"/>
        <v>219.33333333333334</v>
      </c>
      <c r="G17" s="150" t="s">
        <v>308</v>
      </c>
      <c r="J17" s="156">
        <f t="shared" si="8"/>
        <v>219.33333333333334</v>
      </c>
      <c r="K17" s="158">
        <f t="shared" si="9"/>
        <v>1.7002583979328165</v>
      </c>
      <c r="L17" s="158">
        <f t="shared" si="10"/>
        <v>1.6169288186930231</v>
      </c>
      <c r="M17" s="158">
        <f t="shared" si="1"/>
        <v>1.5376832179736259</v>
      </c>
      <c r="N17" s="158">
        <f t="shared" si="2"/>
        <v>1.3906531393772035</v>
      </c>
      <c r="O17" s="158">
        <f t="shared" si="3"/>
        <v>1.3906531393772035</v>
      </c>
      <c r="P17" s="158">
        <f t="shared" si="4"/>
        <v>1.5368989258253227</v>
      </c>
      <c r="Q17" s="164">
        <f>K17*(1+$C$51)^5*1.5</f>
        <v>2.5503875968992249</v>
      </c>
      <c r="R17" s="158">
        <f t="shared" si="6"/>
        <v>0.92746429497065463</v>
      </c>
      <c r="S17" s="164">
        <f>K17*(1+$C$51)^30*1.5</f>
        <v>2.5503875968992249</v>
      </c>
    </row>
    <row r="18" spans="1:19" ht="15.6" thickTop="1" thickBot="1" x14ac:dyDescent="0.35">
      <c r="A18" t="s">
        <v>15</v>
      </c>
      <c r="B18" s="152" t="s">
        <v>335</v>
      </c>
      <c r="C18" s="153">
        <f>SUM(C12:C17)</f>
        <v>3885</v>
      </c>
      <c r="D18" s="154" t="s">
        <v>315</v>
      </c>
      <c r="F18" s="155">
        <f t="shared" si="0"/>
        <v>518</v>
      </c>
      <c r="G18" s="154" t="s">
        <v>308</v>
      </c>
      <c r="I18" t="s">
        <v>336</v>
      </c>
      <c r="J18" s="156">
        <f>F18</f>
        <v>518</v>
      </c>
      <c r="K18" s="157">
        <f>J18/$C$42</f>
        <v>4.0155038759689923</v>
      </c>
      <c r="L18" s="158">
        <f>SUM(L12:L17)</f>
        <v>3.8187042313813953</v>
      </c>
      <c r="M18" s="158">
        <f t="shared" ref="M18:P18" si="11">SUM(M12:M17)</f>
        <v>3.6315497275547335</v>
      </c>
      <c r="N18" s="158">
        <f t="shared" si="11"/>
        <v>3.2843084781036085</v>
      </c>
      <c r="O18" s="158">
        <f t="shared" si="11"/>
        <v>3.2843084781036085</v>
      </c>
      <c r="P18" s="158">
        <f t="shared" si="11"/>
        <v>3.6296974631193795</v>
      </c>
      <c r="Q18" s="158">
        <f>SUM(Q12:Q17)</f>
        <v>4.8656330749354009</v>
      </c>
      <c r="R18" s="158">
        <f>SUM(R12:R17)</f>
        <v>2.1903943987604824</v>
      </c>
      <c r="S18" s="158">
        <f>SUM(S12:S17)</f>
        <v>4.8656330749354009</v>
      </c>
    </row>
    <row r="19" spans="1:19" ht="15.6" thickTop="1" thickBot="1" x14ac:dyDescent="0.35">
      <c r="B19" s="159"/>
      <c r="C19" s="160"/>
      <c r="D19" s="161"/>
      <c r="F19" s="162"/>
      <c r="G19" s="161"/>
    </row>
    <row r="20" spans="1:19" ht="15.6" thickTop="1" thickBot="1" x14ac:dyDescent="0.35">
      <c r="A20" t="s">
        <v>12</v>
      </c>
      <c r="B20" s="165" t="s">
        <v>337</v>
      </c>
      <c r="C20" s="166">
        <v>682</v>
      </c>
      <c r="D20" s="154" t="s">
        <v>315</v>
      </c>
      <c r="F20" s="155">
        <f t="shared" si="0"/>
        <v>90.933333333333337</v>
      </c>
      <c r="G20" s="154" t="s">
        <v>308</v>
      </c>
      <c r="I20" t="s">
        <v>338</v>
      </c>
      <c r="J20" s="156">
        <f>F20</f>
        <v>90.933333333333337</v>
      </c>
      <c r="K20" s="157">
        <f>J20/$C$42</f>
        <v>0.70490956072351429</v>
      </c>
      <c r="L20" s="158">
        <f>K20*(1+$C$50)^5</f>
        <v>0.67036197832744193</v>
      </c>
      <c r="M20" s="158">
        <f>K20*(1+$C$50)^10</f>
        <v>0.63750757122067658</v>
      </c>
      <c r="N20" s="158">
        <f>K20*(1+$C$50)^20</f>
        <v>0.57655042009437862</v>
      </c>
      <c r="O20" s="158">
        <f>K20*(1+$C$50)^20</f>
        <v>0.57655042009437862</v>
      </c>
      <c r="P20" s="158">
        <f>K20*(1+$C$49)^5</f>
        <v>0.63718241180113688</v>
      </c>
      <c r="Q20" s="158">
        <f>K20*(1+$C$51)^5</f>
        <v>0.70490956072351429</v>
      </c>
      <c r="R20" s="158">
        <f>K20*(1+$C$49)^30</f>
        <v>0.3845171119574386</v>
      </c>
      <c r="S20" s="158">
        <f>K20*(1+$C$51)^30</f>
        <v>0.70490956072351429</v>
      </c>
    </row>
    <row r="21" spans="1:19" ht="15.6" thickTop="1" thickBot="1" x14ac:dyDescent="0.35">
      <c r="B21" s="167"/>
      <c r="C21" s="9"/>
      <c r="D21" s="150"/>
      <c r="F21" s="151"/>
      <c r="G21" s="150"/>
    </row>
    <row r="22" spans="1:19" ht="15" thickBot="1" x14ac:dyDescent="0.35">
      <c r="B22" s="145" t="s">
        <v>339</v>
      </c>
      <c r="C22" s="146"/>
      <c r="D22" s="147"/>
      <c r="F22" s="163"/>
      <c r="G22" s="147"/>
    </row>
    <row r="23" spans="1:19" ht="15.6" thickTop="1" thickBot="1" x14ac:dyDescent="0.35">
      <c r="A23" t="s">
        <v>340</v>
      </c>
      <c r="B23" s="149" t="s">
        <v>341</v>
      </c>
      <c r="C23" s="9">
        <v>525</v>
      </c>
      <c r="D23" s="150" t="s">
        <v>315</v>
      </c>
      <c r="F23" s="151">
        <f t="shared" si="0"/>
        <v>70</v>
      </c>
      <c r="G23" s="150" t="s">
        <v>308</v>
      </c>
      <c r="I23" t="s">
        <v>342</v>
      </c>
      <c r="J23" s="156">
        <f>F23+F31</f>
        <v>192.66666666666669</v>
      </c>
      <c r="K23" s="157">
        <f>J23/$C$42</f>
        <v>1.4935400516795867</v>
      </c>
      <c r="L23" s="158">
        <f>K23*(1+$C$50)^5</f>
        <v>1.4203417282744186</v>
      </c>
      <c r="M23" s="158">
        <f>K23*(1+$C$50)^10</f>
        <v>1.3507308510467415</v>
      </c>
      <c r="N23" s="158">
        <f>K23*(1+$C$50)^20</f>
        <v>1.2215767698480604</v>
      </c>
      <c r="O23" s="158">
        <f>K23*(1+$C$50)^20</f>
        <v>1.2215767698480604</v>
      </c>
      <c r="P23" s="158">
        <f>K23*(1+$C$49)^5</f>
        <v>1.3500419135669248</v>
      </c>
      <c r="Q23" s="158">
        <f>K23*(1+$C$51)^5</f>
        <v>1.4935400516795867</v>
      </c>
      <c r="R23" s="158">
        <f>K23*(1+$C$49)^30</f>
        <v>0.81470267856084866</v>
      </c>
      <c r="S23" s="158">
        <f>K23*(1+$C$51)^30</f>
        <v>1.4935400516795867</v>
      </c>
    </row>
    <row r="24" spans="1:19" ht="15" thickTop="1" x14ac:dyDescent="0.3">
      <c r="A24" t="s">
        <v>343</v>
      </c>
      <c r="B24" s="149" t="s">
        <v>324</v>
      </c>
      <c r="C24" s="168">
        <v>1760</v>
      </c>
      <c r="D24" s="150" t="s">
        <v>315</v>
      </c>
      <c r="F24" s="151">
        <f t="shared" si="0"/>
        <v>234.66666666666666</v>
      </c>
      <c r="G24" s="150" t="s">
        <v>308</v>
      </c>
    </row>
    <row r="25" spans="1:19" x14ac:dyDescent="0.3">
      <c r="A25" t="s">
        <v>344</v>
      </c>
      <c r="B25" s="149" t="s">
        <v>326</v>
      </c>
      <c r="C25" s="175">
        <v>453</v>
      </c>
      <c r="D25" s="150" t="s">
        <v>315</v>
      </c>
      <c r="F25" s="151">
        <f t="shared" si="0"/>
        <v>60.4</v>
      </c>
      <c r="G25" s="150" t="s">
        <v>308</v>
      </c>
    </row>
    <row r="26" spans="1:19" x14ac:dyDescent="0.3">
      <c r="A26" t="s">
        <v>345</v>
      </c>
      <c r="B26" s="149" t="s">
        <v>375</v>
      </c>
      <c r="C26" s="9">
        <v>515</v>
      </c>
      <c r="D26" s="150" t="s">
        <v>315</v>
      </c>
      <c r="F26" s="151">
        <f t="shared" si="0"/>
        <v>68.666666666666671</v>
      </c>
      <c r="G26" s="150" t="s">
        <v>308</v>
      </c>
    </row>
    <row r="27" spans="1:19" x14ac:dyDescent="0.3">
      <c r="A27" t="s">
        <v>346</v>
      </c>
      <c r="B27" s="149" t="s">
        <v>330</v>
      </c>
      <c r="C27" s="9">
        <v>1224</v>
      </c>
      <c r="D27" s="150" t="s">
        <v>315</v>
      </c>
      <c r="F27" s="151">
        <f t="shared" si="0"/>
        <v>163.19999999999999</v>
      </c>
      <c r="G27" s="150" t="s">
        <v>308</v>
      </c>
    </row>
    <row r="28" spans="1:19" x14ac:dyDescent="0.3">
      <c r="A28" t="s">
        <v>347</v>
      </c>
      <c r="B28" s="149" t="s">
        <v>334</v>
      </c>
      <c r="C28" s="9">
        <v>765</v>
      </c>
      <c r="D28" s="150" t="s">
        <v>315</v>
      </c>
      <c r="F28" s="151">
        <f t="shared" si="0"/>
        <v>102</v>
      </c>
      <c r="G28" s="150" t="s">
        <v>308</v>
      </c>
    </row>
    <row r="29" spans="1:19" ht="15" thickBot="1" x14ac:dyDescent="0.35">
      <c r="A29" t="s">
        <v>348</v>
      </c>
      <c r="B29" s="149" t="s">
        <v>376</v>
      </c>
      <c r="C29" s="175">
        <v>620</v>
      </c>
      <c r="D29" s="150" t="s">
        <v>315</v>
      </c>
      <c r="F29" s="151">
        <f t="shared" si="0"/>
        <v>82.666666666666671</v>
      </c>
      <c r="G29" s="150" t="s">
        <v>308</v>
      </c>
    </row>
    <row r="30" spans="1:19" ht="15.6" thickTop="1" thickBot="1" x14ac:dyDescent="0.35">
      <c r="A30" t="s">
        <v>350</v>
      </c>
      <c r="B30" s="149" t="s">
        <v>351</v>
      </c>
      <c r="C30" s="175"/>
      <c r="D30" s="150" t="s">
        <v>315</v>
      </c>
      <c r="F30" s="151">
        <f t="shared" si="0"/>
        <v>0</v>
      </c>
      <c r="G30" s="150" t="s">
        <v>308</v>
      </c>
      <c r="I30" t="s">
        <v>352</v>
      </c>
      <c r="J30" s="156">
        <f>F24+F25+F26+F27+F28+F29+F30</f>
        <v>711.6</v>
      </c>
      <c r="K30" s="157">
        <f>J30/$C$42</f>
        <v>5.5162790697674424</v>
      </c>
      <c r="L30" s="158">
        <f>K30*(1+$C$50)^5</f>
        <v>5.2459265078204655</v>
      </c>
      <c r="M30" s="158">
        <f>K30*(1+$C$50)^10</f>
        <v>4.9888239114439159</v>
      </c>
      <c r="N30" s="158">
        <f>K30*(1+$C$50)^20</f>
        <v>4.5118029208851889</v>
      </c>
      <c r="O30" s="158">
        <f>K30*(1+$C$50)^20</f>
        <v>4.5118029208851889</v>
      </c>
      <c r="P30" s="158">
        <f>K30*(1+$C$49)^5</f>
        <v>4.986279372115348</v>
      </c>
      <c r="Q30" s="158">
        <f>K30*(1+$C$51)^5</f>
        <v>5.5162790697674424</v>
      </c>
      <c r="R30" s="158">
        <f>K30*(1+$C$49)^30</f>
        <v>3.0090437338956741</v>
      </c>
      <c r="S30" s="158">
        <f>K30*(1+$C$51)^30</f>
        <v>5.5162790697674424</v>
      </c>
    </row>
    <row r="31" spans="1:19" ht="15.6" thickTop="1" thickBot="1" x14ac:dyDescent="0.35">
      <c r="A31" t="s">
        <v>353</v>
      </c>
      <c r="B31" s="149" t="s">
        <v>354</v>
      </c>
      <c r="C31" s="9">
        <v>920</v>
      </c>
      <c r="D31" s="150" t="s">
        <v>315</v>
      </c>
      <c r="F31" s="151">
        <f t="shared" si="0"/>
        <v>122.66666666666667</v>
      </c>
      <c r="G31" s="150" t="s">
        <v>308</v>
      </c>
    </row>
    <row r="32" spans="1:19" ht="15.6" thickTop="1" thickBot="1" x14ac:dyDescent="0.35">
      <c r="A32" t="s">
        <v>355</v>
      </c>
      <c r="B32" s="149" t="s">
        <v>356</v>
      </c>
      <c r="C32" s="9">
        <v>605</v>
      </c>
      <c r="D32" s="150" t="s">
        <v>315</v>
      </c>
      <c r="F32" s="151">
        <f t="shared" si="0"/>
        <v>80.666666666666671</v>
      </c>
      <c r="G32" s="150" t="s">
        <v>308</v>
      </c>
      <c r="I32" t="s">
        <v>357</v>
      </c>
      <c r="J32" s="156">
        <f>F32</f>
        <v>80.666666666666671</v>
      </c>
      <c r="K32" s="157">
        <f>J32/$C$42</f>
        <v>0.62532299741602071</v>
      </c>
      <c r="L32" s="158">
        <f>K32*(1+$C$50)^5</f>
        <v>0.59467594851627903</v>
      </c>
      <c r="M32" s="158">
        <f>K32*(1+$C$50)^10</f>
        <v>0.56553090995382593</v>
      </c>
      <c r="N32" s="158">
        <f>K32*(1+$C$50)^20</f>
        <v>0.51145601782565853</v>
      </c>
      <c r="O32" s="158">
        <f>K32*(1+$C$50)^20</f>
        <v>0.51145601782565853</v>
      </c>
      <c r="P32" s="158">
        <f>K32*(1+$C$49)^5</f>
        <v>0.56524246208165363</v>
      </c>
      <c r="Q32" s="158">
        <f>K32*(1+$C$51)^5</f>
        <v>0.62532299741602071</v>
      </c>
      <c r="R32" s="158">
        <f>K32*(1+$C$49)^30</f>
        <v>0.34110388963966326</v>
      </c>
      <c r="S32" s="158">
        <f>K32*(1+$C$51)^30</f>
        <v>0.62532299741602071</v>
      </c>
    </row>
    <row r="33" spans="1:20" ht="15" thickTop="1" x14ac:dyDescent="0.3">
      <c r="A33" t="s">
        <v>13</v>
      </c>
      <c r="B33" s="152" t="s">
        <v>358</v>
      </c>
      <c r="C33" s="166">
        <f>SUM(C23:C32)</f>
        <v>7387</v>
      </c>
      <c r="D33" s="154" t="s">
        <v>315</v>
      </c>
      <c r="F33" s="155">
        <f t="shared" si="0"/>
        <v>984.93333333333328</v>
      </c>
      <c r="G33" s="154" t="s">
        <v>308</v>
      </c>
    </row>
    <row r="34" spans="1:20" ht="15" thickBot="1" x14ac:dyDescent="0.35">
      <c r="B34" s="159"/>
      <c r="C34" s="160"/>
      <c r="D34" s="161"/>
      <c r="F34" s="162"/>
      <c r="G34" s="161" t="s">
        <v>308</v>
      </c>
    </row>
    <row r="35" spans="1:20" ht="15" thickBot="1" x14ac:dyDescent="0.35">
      <c r="B35" s="145" t="s">
        <v>359</v>
      </c>
      <c r="C35" s="146"/>
      <c r="D35" s="147"/>
      <c r="F35" s="163"/>
      <c r="G35" s="147" t="s">
        <v>308</v>
      </c>
    </row>
    <row r="36" spans="1:20" ht="15.6" thickTop="1" thickBot="1" x14ac:dyDescent="0.35">
      <c r="B36" s="149" t="s">
        <v>360</v>
      </c>
      <c r="C36" s="9">
        <v>600</v>
      </c>
      <c r="D36" s="150" t="s">
        <v>315</v>
      </c>
      <c r="F36" s="151">
        <f t="shared" si="0"/>
        <v>80</v>
      </c>
      <c r="G36" s="150" t="s">
        <v>308</v>
      </c>
      <c r="I36" t="s">
        <v>361</v>
      </c>
      <c r="J36" s="156">
        <f>F36</f>
        <v>80</v>
      </c>
      <c r="K36" s="157">
        <f>J36/$C$42</f>
        <v>0.62015503875968991</v>
      </c>
      <c r="L36" s="158">
        <f>K36*(1+$C$50)^5</f>
        <v>0.5897612712558139</v>
      </c>
      <c r="M36" s="158">
        <f>K36*(1+$C$50)^10</f>
        <v>0.56085710078065387</v>
      </c>
      <c r="N36" s="158">
        <f>K36*(1+$C$50)^20</f>
        <v>0.50722910858742987</v>
      </c>
      <c r="O36" s="158">
        <f>K36*(1+$C$50)^20</f>
        <v>0.50722910858742987</v>
      </c>
      <c r="P36" s="158">
        <f>K36*(1+$C$49)^5</f>
        <v>0.56057103677519371</v>
      </c>
      <c r="Q36" s="158">
        <f>K36*(1+$C$51)^5</f>
        <v>0.62015503875968991</v>
      </c>
      <c r="R36" s="158">
        <f>K36*(1+$C$49)^30</f>
        <v>0.33828484922941809</v>
      </c>
      <c r="S36" s="158">
        <f>K36*(1+$C$51)^30</f>
        <v>0.62015503875968991</v>
      </c>
    </row>
    <row r="37" spans="1:20" ht="15" thickTop="1" x14ac:dyDescent="0.3">
      <c r="A37" t="s">
        <v>16</v>
      </c>
      <c r="B37" s="152" t="s">
        <v>362</v>
      </c>
      <c r="C37" s="153">
        <f>SUM(C36)</f>
        <v>600</v>
      </c>
      <c r="D37" s="154" t="s">
        <v>315</v>
      </c>
      <c r="F37" s="155">
        <f t="shared" si="0"/>
        <v>80</v>
      </c>
      <c r="G37" s="154" t="s">
        <v>308</v>
      </c>
    </row>
    <row r="38" spans="1:20" ht="15" thickBot="1" x14ac:dyDescent="0.35">
      <c r="B38" s="159"/>
      <c r="C38" s="160"/>
      <c r="D38" s="161"/>
      <c r="F38" s="162"/>
      <c r="G38" s="161"/>
    </row>
    <row r="39" spans="1:20" ht="15.6" thickTop="1" thickBot="1" x14ac:dyDescent="0.35">
      <c r="A39" t="s">
        <v>17</v>
      </c>
      <c r="B39" s="165" t="s">
        <v>363</v>
      </c>
      <c r="C39" s="166">
        <v>0</v>
      </c>
      <c r="D39" s="154" t="s">
        <v>315</v>
      </c>
      <c r="F39" s="169">
        <f t="shared" si="0"/>
        <v>0</v>
      </c>
      <c r="G39" s="154" t="s">
        <v>308</v>
      </c>
      <c r="I39" t="s">
        <v>364</v>
      </c>
      <c r="K39" s="170"/>
      <c r="L39" s="158">
        <f>K39*(1+$C$50)^5</f>
        <v>0</v>
      </c>
      <c r="M39" s="158">
        <f>K39*(1+$C$50)^10</f>
        <v>0</v>
      </c>
      <c r="N39" s="158">
        <f>K39*(1+$C$50)^20</f>
        <v>0</v>
      </c>
      <c r="O39" s="158">
        <f>K39*(1+$C$50)^20</f>
        <v>0</v>
      </c>
      <c r="P39" s="158">
        <f>K39*(1+$C$49)^5</f>
        <v>0</v>
      </c>
      <c r="Q39" s="158">
        <f>K39*(1+$C$51)^5</f>
        <v>0</v>
      </c>
      <c r="R39" s="158">
        <f>K39*(1+$C$49)^30</f>
        <v>0</v>
      </c>
      <c r="S39" s="158">
        <f>K39*(1+$C$51)^30</f>
        <v>0</v>
      </c>
    </row>
    <row r="40" spans="1:20" ht="15.6" thickTop="1" thickBot="1" x14ac:dyDescent="0.35">
      <c r="B40" s="167"/>
      <c r="C40" s="9"/>
      <c r="D40" s="150"/>
      <c r="F40" s="167"/>
      <c r="G40" s="150"/>
    </row>
    <row r="41" spans="1:20" x14ac:dyDescent="0.3">
      <c r="B41" s="145" t="s">
        <v>365</v>
      </c>
      <c r="C41" s="146"/>
      <c r="D41" s="147"/>
      <c r="F41" s="148"/>
      <c r="G41" s="147"/>
    </row>
    <row r="42" spans="1:20" x14ac:dyDescent="0.3">
      <c r="B42" s="149" t="s">
        <v>366</v>
      </c>
      <c r="C42" s="168">
        <v>129</v>
      </c>
      <c r="D42" s="150" t="s">
        <v>367</v>
      </c>
      <c r="F42" s="171"/>
      <c r="G42" s="150"/>
    </row>
    <row r="43" spans="1:20" x14ac:dyDescent="0.3">
      <c r="B43" s="149" t="s">
        <v>368</v>
      </c>
      <c r="C43" s="168">
        <f>C39+C37+C33+C20+C18+C9</f>
        <v>12674</v>
      </c>
      <c r="D43" s="150" t="s">
        <v>315</v>
      </c>
      <c r="F43" s="151">
        <f>C43/7.5</f>
        <v>1689.8666666666666</v>
      </c>
      <c r="G43" s="150" t="s">
        <v>308</v>
      </c>
      <c r="J43" s="172">
        <f>J9+J18+J20+J23+J30+J32+J36+J39</f>
        <v>1689.866666666667</v>
      </c>
      <c r="K43" s="172">
        <f t="shared" ref="K43:S43" si="12">K9+K18+K20+K23+K30+K32+K36+K39</f>
        <v>13.099741602067184</v>
      </c>
      <c r="L43" s="156">
        <f t="shared" si="12"/>
        <v>12.457723919826977</v>
      </c>
      <c r="M43" s="156">
        <f t="shared" si="12"/>
        <v>11.847171492156678</v>
      </c>
      <c r="N43" s="156">
        <f t="shared" si="12"/>
        <v>10.71436953706181</v>
      </c>
      <c r="O43" s="156">
        <f t="shared" si="12"/>
        <v>10.71436953706181</v>
      </c>
      <c r="P43" s="156">
        <f t="shared" si="12"/>
        <v>11.841128866814676</v>
      </c>
      <c r="Q43" s="156">
        <f t="shared" si="12"/>
        <v>13.949870801033592</v>
      </c>
      <c r="R43" s="156">
        <f t="shared" si="12"/>
        <v>7.1457036318894094</v>
      </c>
      <c r="S43" s="156">
        <f t="shared" si="12"/>
        <v>13.949870801033592</v>
      </c>
      <c r="T43" s="158"/>
    </row>
    <row r="44" spans="1:20" x14ac:dyDescent="0.3">
      <c r="B44" s="149" t="s">
        <v>369</v>
      </c>
      <c r="C44" s="168">
        <v>30</v>
      </c>
      <c r="D44" s="150" t="s">
        <v>370</v>
      </c>
      <c r="F44" s="151"/>
      <c r="G44" s="150"/>
      <c r="L44" s="158"/>
      <c r="M44" s="158"/>
      <c r="N44" s="158"/>
      <c r="O44" s="158"/>
      <c r="P44" s="158"/>
      <c r="Q44" s="158"/>
      <c r="R44" s="158"/>
      <c r="S44" s="158"/>
      <c r="T44" s="158"/>
    </row>
    <row r="45" spans="1:20" ht="15" thickBot="1" x14ac:dyDescent="0.35">
      <c r="B45" s="159"/>
      <c r="C45" s="160"/>
      <c r="D45" s="161"/>
      <c r="F45" s="159"/>
      <c r="G45" s="161"/>
    </row>
    <row r="49" spans="2:3" x14ac:dyDescent="0.3">
      <c r="B49" t="s">
        <v>371</v>
      </c>
      <c r="C49" s="173">
        <v>-0.02</v>
      </c>
    </row>
    <row r="50" spans="2:3" x14ac:dyDescent="0.3">
      <c r="B50" t="s">
        <v>372</v>
      </c>
      <c r="C50" s="173">
        <v>-0.01</v>
      </c>
    </row>
    <row r="51" spans="2:3" x14ac:dyDescent="0.3">
      <c r="B51" t="s">
        <v>373</v>
      </c>
      <c r="C51" s="17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O62"/>
  <sheetViews>
    <sheetView zoomScale="89" zoomScaleNormal="89" workbookViewId="0"/>
  </sheetViews>
  <sheetFormatPr defaultColWidth="8.6640625" defaultRowHeight="14.4" x14ac:dyDescent="0.3"/>
  <cols>
    <col min="1" max="1" width="40.6640625" style="19" customWidth="1"/>
    <col min="2" max="10" width="8.5546875" style="19" customWidth="1"/>
    <col min="11" max="12" width="6.33203125" style="19" customWidth="1"/>
    <col min="13" max="14" width="8.6640625" style="19"/>
    <col min="15" max="15" width="11.33203125" style="19" bestFit="1" customWidth="1"/>
    <col min="16" max="16384" width="8.6640625" style="19"/>
  </cols>
  <sheetData>
    <row r="1" spans="1:12" s="18" customFormat="1" x14ac:dyDescent="0.3"/>
    <row r="2" spans="1:12" ht="15.75" customHeight="1" x14ac:dyDescent="0.3">
      <c r="A2" s="20" t="s">
        <v>0</v>
      </c>
      <c r="B2" s="178" t="s">
        <v>84</v>
      </c>
      <c r="C2" s="179"/>
      <c r="D2" s="179"/>
      <c r="E2" s="179"/>
      <c r="F2" s="179"/>
      <c r="G2" s="179"/>
      <c r="H2" s="179"/>
      <c r="I2" s="179"/>
      <c r="J2" s="179"/>
      <c r="K2" s="179"/>
      <c r="L2" s="180"/>
    </row>
    <row r="3" spans="1:12" ht="15.75" customHeight="1" x14ac:dyDescent="0.3">
      <c r="A3" s="21"/>
      <c r="B3" s="22">
        <v>2020</v>
      </c>
      <c r="C3" s="22">
        <v>2025</v>
      </c>
      <c r="D3" s="23">
        <v>2030</v>
      </c>
      <c r="E3" s="23">
        <v>2040</v>
      </c>
      <c r="F3" s="24">
        <v>2050</v>
      </c>
      <c r="G3" s="181" t="s">
        <v>33</v>
      </c>
      <c r="H3" s="182"/>
      <c r="I3" s="181" t="s">
        <v>1</v>
      </c>
      <c r="J3" s="182"/>
      <c r="K3" s="23" t="s">
        <v>2</v>
      </c>
      <c r="L3" s="25" t="s">
        <v>3</v>
      </c>
    </row>
    <row r="4" spans="1:12" x14ac:dyDescent="0.3">
      <c r="A4" s="21"/>
      <c r="B4" s="26"/>
      <c r="C4" s="27"/>
      <c r="D4" s="28"/>
      <c r="E4" s="28"/>
      <c r="F4" s="28"/>
      <c r="G4" s="29" t="s">
        <v>4</v>
      </c>
      <c r="H4" s="29" t="s">
        <v>5</v>
      </c>
      <c r="I4" s="29" t="s">
        <v>4</v>
      </c>
      <c r="J4" s="29" t="s">
        <v>5</v>
      </c>
      <c r="K4" s="28"/>
      <c r="L4" s="30"/>
    </row>
    <row r="5" spans="1:12" x14ac:dyDescent="0.3">
      <c r="A5" s="31" t="s">
        <v>6</v>
      </c>
      <c r="B5" s="28"/>
      <c r="C5" s="28"/>
      <c r="D5" s="28"/>
      <c r="E5" s="28"/>
      <c r="F5" s="28"/>
      <c r="G5" s="28"/>
      <c r="H5" s="28"/>
      <c r="I5" s="28"/>
      <c r="J5" s="28"/>
      <c r="K5" s="28"/>
      <c r="L5" s="30"/>
    </row>
    <row r="6" spans="1:12" x14ac:dyDescent="0.3">
      <c r="A6" s="32" t="s">
        <v>34</v>
      </c>
      <c r="B6" s="33">
        <v>152</v>
      </c>
      <c r="C6" s="33">
        <v>152</v>
      </c>
      <c r="D6" s="33">
        <v>152</v>
      </c>
      <c r="E6" s="33">
        <v>160</v>
      </c>
      <c r="F6" s="33">
        <v>160</v>
      </c>
      <c r="G6" s="33">
        <v>144</v>
      </c>
      <c r="H6" s="33">
        <v>160</v>
      </c>
      <c r="I6" s="33">
        <v>155</v>
      </c>
      <c r="J6" s="33">
        <v>167</v>
      </c>
      <c r="K6" s="33" t="s">
        <v>7</v>
      </c>
      <c r="L6" s="33"/>
    </row>
    <row r="7" spans="1:12" x14ac:dyDescent="0.3">
      <c r="A7" s="34" t="s">
        <v>35</v>
      </c>
      <c r="B7" s="35"/>
      <c r="C7" s="35"/>
      <c r="D7" s="35"/>
      <c r="E7" s="35"/>
      <c r="F7" s="35"/>
      <c r="G7" s="35"/>
      <c r="H7" s="35"/>
      <c r="I7" s="35"/>
      <c r="J7" s="35"/>
      <c r="K7" s="35"/>
      <c r="L7" s="35"/>
    </row>
    <row r="8" spans="1:12" x14ac:dyDescent="0.3">
      <c r="A8" s="32" t="s">
        <v>36</v>
      </c>
      <c r="B8" s="33">
        <v>5.0999999999999996</v>
      </c>
      <c r="C8" s="33">
        <v>5.0999999999999996</v>
      </c>
      <c r="D8" s="33">
        <v>5.0999999999999996</v>
      </c>
      <c r="E8" s="33">
        <v>4.8</v>
      </c>
      <c r="F8" s="33">
        <v>4.8</v>
      </c>
      <c r="G8" s="33">
        <v>4</v>
      </c>
      <c r="H8" s="33">
        <v>6.5</v>
      </c>
      <c r="I8" s="33">
        <v>4</v>
      </c>
      <c r="J8" s="33">
        <v>6.5</v>
      </c>
      <c r="K8" s="33"/>
      <c r="L8" s="33"/>
    </row>
    <row r="9" spans="1:12" x14ac:dyDescent="0.3">
      <c r="A9" s="36" t="s">
        <v>37</v>
      </c>
      <c r="B9" s="37">
        <v>20</v>
      </c>
      <c r="C9" s="37">
        <v>20</v>
      </c>
      <c r="D9" s="37">
        <v>20</v>
      </c>
      <c r="E9" s="37">
        <v>20</v>
      </c>
      <c r="F9" s="37">
        <v>20</v>
      </c>
      <c r="G9" s="37">
        <v>15</v>
      </c>
      <c r="H9" s="37">
        <v>30</v>
      </c>
      <c r="I9" s="37">
        <v>15</v>
      </c>
      <c r="J9" s="37">
        <v>30</v>
      </c>
      <c r="K9" s="37"/>
      <c r="L9" s="37"/>
    </row>
    <row r="10" spans="1:12" x14ac:dyDescent="0.3">
      <c r="A10" s="36" t="s">
        <v>78</v>
      </c>
      <c r="B10" s="33">
        <v>125</v>
      </c>
      <c r="C10" s="33">
        <v>125</v>
      </c>
      <c r="D10" s="33">
        <v>125</v>
      </c>
      <c r="E10" s="33">
        <v>125</v>
      </c>
      <c r="F10" s="33">
        <v>125</v>
      </c>
      <c r="G10" s="33">
        <v>80</v>
      </c>
      <c r="H10" s="33">
        <v>200</v>
      </c>
      <c r="I10" s="33">
        <v>80</v>
      </c>
      <c r="J10" s="33">
        <v>200</v>
      </c>
      <c r="K10" s="33" t="s">
        <v>15</v>
      </c>
      <c r="L10" s="33"/>
    </row>
    <row r="11" spans="1:12" x14ac:dyDescent="0.3">
      <c r="A11" s="38" t="s">
        <v>39</v>
      </c>
      <c r="B11" s="33">
        <v>0.83299999999999996</v>
      </c>
      <c r="C11" s="33">
        <v>0.83299999999999996</v>
      </c>
      <c r="D11" s="33">
        <v>0.72</v>
      </c>
      <c r="E11" s="33">
        <v>0.66</v>
      </c>
      <c r="F11" s="33">
        <v>0.66</v>
      </c>
      <c r="G11" s="39">
        <v>0.66</v>
      </c>
      <c r="H11" s="39">
        <v>1</v>
      </c>
      <c r="I11" s="39">
        <v>0.55000000000000004</v>
      </c>
      <c r="J11" s="39">
        <v>0.72</v>
      </c>
      <c r="K11" s="39" t="s">
        <v>12</v>
      </c>
      <c r="L11" s="39"/>
    </row>
    <row r="12" spans="1:12" x14ac:dyDescent="0.3">
      <c r="A12" s="40" t="s">
        <v>40</v>
      </c>
      <c r="B12" s="37">
        <v>2.5000000000000001E-2</v>
      </c>
      <c r="C12" s="37">
        <v>2.5000000000000001E-2</v>
      </c>
      <c r="D12" s="37">
        <v>2.1999999999999999E-2</v>
      </c>
      <c r="E12" s="37">
        <v>0.02</v>
      </c>
      <c r="F12" s="37">
        <v>1.7999999999999999E-2</v>
      </c>
      <c r="G12" s="37">
        <v>0.02</v>
      </c>
      <c r="H12" s="37">
        <v>0.03</v>
      </c>
      <c r="I12" s="37">
        <v>1.4999999999999999E-2</v>
      </c>
      <c r="J12" s="37">
        <v>2.1000000000000001E-2</v>
      </c>
      <c r="K12" s="37" t="s">
        <v>13</v>
      </c>
      <c r="L12" s="37"/>
    </row>
    <row r="13" spans="1:12" x14ac:dyDescent="0.3">
      <c r="A13" s="38" t="s">
        <v>41</v>
      </c>
      <c r="B13" s="39">
        <v>0.3</v>
      </c>
      <c r="C13" s="39">
        <v>0.3</v>
      </c>
      <c r="D13" s="39">
        <v>0.2</v>
      </c>
      <c r="E13" s="39">
        <v>0.15</v>
      </c>
      <c r="F13" s="39">
        <v>0.1</v>
      </c>
      <c r="G13" s="39">
        <v>0.15</v>
      </c>
      <c r="H13" s="39">
        <v>1.5</v>
      </c>
      <c r="I13" s="39">
        <v>0.05</v>
      </c>
      <c r="J13" s="39">
        <v>0.3</v>
      </c>
      <c r="K13" s="39"/>
      <c r="L13" s="39"/>
    </row>
    <row r="14" spans="1:12" x14ac:dyDescent="0.3">
      <c r="A14" s="32" t="s">
        <v>42</v>
      </c>
      <c r="B14" s="33"/>
      <c r="C14" s="33"/>
      <c r="D14" s="33"/>
      <c r="E14" s="33"/>
      <c r="F14" s="33"/>
      <c r="G14" s="33"/>
      <c r="H14" s="33"/>
      <c r="I14" s="33"/>
      <c r="J14" s="33"/>
      <c r="K14" s="33"/>
      <c r="L14" s="33"/>
    </row>
    <row r="15" spans="1:12" x14ac:dyDescent="0.3">
      <c r="A15" s="34" t="s">
        <v>43</v>
      </c>
      <c r="B15" s="35"/>
      <c r="C15" s="35"/>
      <c r="D15" s="35"/>
      <c r="E15" s="35"/>
      <c r="F15" s="35"/>
      <c r="G15" s="35"/>
      <c r="H15" s="35"/>
      <c r="I15" s="35"/>
      <c r="J15" s="35"/>
      <c r="K15" s="35"/>
      <c r="L15" s="35"/>
    </row>
    <row r="16" spans="1:12" x14ac:dyDescent="0.3">
      <c r="A16" s="42" t="s">
        <v>44</v>
      </c>
      <c r="B16" s="33">
        <v>97</v>
      </c>
      <c r="C16" s="33">
        <v>97</v>
      </c>
      <c r="D16" s="33">
        <v>98</v>
      </c>
      <c r="E16" s="33">
        <v>99</v>
      </c>
      <c r="F16" s="33">
        <v>99</v>
      </c>
      <c r="G16" s="33">
        <v>96</v>
      </c>
      <c r="H16" s="33">
        <v>98</v>
      </c>
      <c r="I16" s="33">
        <v>98</v>
      </c>
      <c r="J16" s="33">
        <v>99</v>
      </c>
      <c r="K16" s="33" t="s">
        <v>16</v>
      </c>
      <c r="L16" s="33"/>
    </row>
    <row r="17" spans="1:15" x14ac:dyDescent="0.3">
      <c r="A17" s="42" t="s">
        <v>45</v>
      </c>
      <c r="B17" s="33">
        <v>160</v>
      </c>
      <c r="C17" s="33">
        <v>160</v>
      </c>
      <c r="D17" s="33">
        <v>300</v>
      </c>
      <c r="E17" s="33">
        <v>400</v>
      </c>
      <c r="F17" s="33">
        <v>400</v>
      </c>
      <c r="G17" s="33">
        <v>120</v>
      </c>
      <c r="H17" s="33">
        <v>300</v>
      </c>
      <c r="I17" s="33">
        <v>300</v>
      </c>
      <c r="J17" s="33">
        <v>600</v>
      </c>
      <c r="K17" s="33" t="s">
        <v>17</v>
      </c>
      <c r="L17" s="33"/>
    </row>
    <row r="18" spans="1:15" x14ac:dyDescent="0.3">
      <c r="A18" s="32" t="s">
        <v>46</v>
      </c>
      <c r="B18" s="33">
        <v>90</v>
      </c>
      <c r="C18" s="33">
        <v>90</v>
      </c>
      <c r="D18" s="33">
        <v>90</v>
      </c>
      <c r="E18" s="33">
        <v>95</v>
      </c>
      <c r="F18" s="33">
        <v>95</v>
      </c>
      <c r="G18" s="33">
        <v>85</v>
      </c>
      <c r="H18" s="33">
        <v>95</v>
      </c>
      <c r="I18" s="33">
        <v>92</v>
      </c>
      <c r="J18" s="33">
        <v>99</v>
      </c>
      <c r="K18" s="33"/>
      <c r="L18" s="33"/>
    </row>
    <row r="19" spans="1:15" x14ac:dyDescent="0.3">
      <c r="A19" s="32" t="s">
        <v>47</v>
      </c>
      <c r="B19" s="33">
        <v>1.65</v>
      </c>
      <c r="C19" s="33">
        <v>1.65</v>
      </c>
      <c r="D19" s="33">
        <v>1.54</v>
      </c>
      <c r="E19" s="33">
        <v>1.48</v>
      </c>
      <c r="F19" s="33">
        <v>1.48</v>
      </c>
      <c r="G19" s="39">
        <v>1.48</v>
      </c>
      <c r="H19" s="39">
        <v>1.8</v>
      </c>
      <c r="I19" s="39">
        <v>1.3</v>
      </c>
      <c r="J19" s="39">
        <v>1.55</v>
      </c>
      <c r="K19" s="33"/>
      <c r="L19" s="33"/>
    </row>
    <row r="20" spans="1:15" x14ac:dyDescent="0.3">
      <c r="A20" s="36" t="s">
        <v>48</v>
      </c>
      <c r="B20" s="33">
        <v>60</v>
      </c>
      <c r="C20" s="33">
        <v>60</v>
      </c>
      <c r="D20" s="33">
        <v>60</v>
      </c>
      <c r="E20" s="33">
        <v>70</v>
      </c>
      <c r="F20" s="33">
        <v>70</v>
      </c>
      <c r="G20" s="33">
        <v>50</v>
      </c>
      <c r="H20" s="33">
        <v>80</v>
      </c>
      <c r="I20" s="33">
        <v>50</v>
      </c>
      <c r="J20" s="33">
        <v>120</v>
      </c>
      <c r="K20" s="33" t="s">
        <v>20</v>
      </c>
      <c r="L20" s="37"/>
    </row>
    <row r="21" spans="1:15" x14ac:dyDescent="0.3">
      <c r="A21" s="43" t="s">
        <v>85</v>
      </c>
      <c r="B21" s="60">
        <v>1</v>
      </c>
      <c r="C21" s="60">
        <v>1</v>
      </c>
      <c r="D21" s="60">
        <v>1</v>
      </c>
      <c r="E21" s="60">
        <v>1</v>
      </c>
      <c r="F21" s="60">
        <v>1</v>
      </c>
      <c r="G21" s="60">
        <v>1</v>
      </c>
      <c r="H21" s="60">
        <v>1</v>
      </c>
      <c r="I21" s="60">
        <v>1</v>
      </c>
      <c r="J21" s="60">
        <v>1</v>
      </c>
      <c r="K21" s="33" t="s">
        <v>19</v>
      </c>
      <c r="L21" s="59"/>
    </row>
    <row r="22" spans="1:15" x14ac:dyDescent="0.3">
      <c r="A22" s="34" t="s">
        <v>50</v>
      </c>
      <c r="B22" s="39"/>
      <c r="C22" s="39"/>
      <c r="D22" s="39"/>
      <c r="E22" s="39"/>
      <c r="F22" s="39"/>
      <c r="G22" s="39"/>
      <c r="H22" s="39"/>
      <c r="I22" s="39"/>
      <c r="J22" s="39"/>
      <c r="K22" s="39"/>
      <c r="L22" s="39"/>
    </row>
    <row r="23" spans="1:15" x14ac:dyDescent="0.3">
      <c r="A23" s="32" t="s">
        <v>8</v>
      </c>
      <c r="B23" s="33">
        <v>5</v>
      </c>
      <c r="C23" s="33">
        <v>5</v>
      </c>
      <c r="D23" s="33">
        <v>3</v>
      </c>
      <c r="E23" s="33">
        <v>3</v>
      </c>
      <c r="F23" s="33">
        <v>3</v>
      </c>
      <c r="G23" s="33">
        <v>3</v>
      </c>
      <c r="H23" s="33">
        <v>3</v>
      </c>
      <c r="I23" s="33">
        <v>3</v>
      </c>
      <c r="J23" s="33">
        <v>3</v>
      </c>
      <c r="K23" s="33"/>
      <c r="L23" s="33"/>
    </row>
    <row r="24" spans="1:15" x14ac:dyDescent="0.3">
      <c r="A24" s="32" t="s">
        <v>9</v>
      </c>
      <c r="B24" s="33">
        <v>3</v>
      </c>
      <c r="C24" s="33">
        <v>3</v>
      </c>
      <c r="D24" s="33">
        <v>3</v>
      </c>
      <c r="E24" s="33">
        <v>2</v>
      </c>
      <c r="F24" s="33">
        <v>2</v>
      </c>
      <c r="G24" s="33">
        <v>2</v>
      </c>
      <c r="H24" s="33">
        <v>4</v>
      </c>
      <c r="I24" s="33">
        <v>2</v>
      </c>
      <c r="J24" s="33">
        <v>3</v>
      </c>
      <c r="K24" s="33"/>
      <c r="L24" s="33"/>
    </row>
    <row r="25" spans="1:15" x14ac:dyDescent="0.3">
      <c r="A25" s="32" t="s">
        <v>10</v>
      </c>
      <c r="B25" s="33">
        <v>25</v>
      </c>
      <c r="C25" s="33">
        <v>25</v>
      </c>
      <c r="D25" s="33">
        <v>25</v>
      </c>
      <c r="E25" s="33">
        <v>25</v>
      </c>
      <c r="F25" s="33">
        <v>25</v>
      </c>
      <c r="G25" s="33">
        <v>25</v>
      </c>
      <c r="H25" s="33">
        <v>25</v>
      </c>
      <c r="I25" s="33">
        <v>25</v>
      </c>
      <c r="J25" s="33">
        <v>25</v>
      </c>
      <c r="K25" s="33"/>
      <c r="L25" s="33"/>
    </row>
    <row r="26" spans="1:15" x14ac:dyDescent="0.3">
      <c r="A26" s="32" t="s">
        <v>11</v>
      </c>
      <c r="B26" s="33">
        <v>3</v>
      </c>
      <c r="C26" s="33">
        <v>3</v>
      </c>
      <c r="D26" s="33">
        <v>2.5</v>
      </c>
      <c r="E26" s="33">
        <v>2.5</v>
      </c>
      <c r="F26" s="33">
        <v>2.5</v>
      </c>
      <c r="G26" s="33">
        <v>2.5</v>
      </c>
      <c r="H26" s="33">
        <v>4</v>
      </c>
      <c r="I26" s="33">
        <v>2</v>
      </c>
      <c r="J26" s="33">
        <v>3.5</v>
      </c>
      <c r="K26" s="33"/>
      <c r="L26" s="33"/>
      <c r="O26" s="61"/>
    </row>
    <row r="27" spans="1:15" ht="14.7" customHeight="1" x14ac:dyDescent="0.3">
      <c r="A27" s="44" t="s">
        <v>398</v>
      </c>
      <c r="B27" s="44"/>
      <c r="C27" s="44"/>
      <c r="D27" s="44"/>
      <c r="E27" s="44"/>
      <c r="F27" s="44"/>
      <c r="G27" s="44"/>
      <c r="H27" s="44"/>
      <c r="I27" s="44"/>
      <c r="J27" s="44"/>
      <c r="K27" s="44"/>
      <c r="L27" s="44"/>
    </row>
    <row r="28" spans="1:15" x14ac:dyDescent="0.3">
      <c r="A28" s="32" t="s">
        <v>51</v>
      </c>
      <c r="B28" s="45">
        <v>3</v>
      </c>
      <c r="C28" s="33">
        <v>2.8</v>
      </c>
      <c r="D28" s="33">
        <v>2.6</v>
      </c>
      <c r="E28" s="33">
        <v>2.2000000000000002</v>
      </c>
      <c r="F28" s="33">
        <v>1.8</v>
      </c>
      <c r="G28" s="33">
        <v>2.8</v>
      </c>
      <c r="H28" s="33">
        <v>5.2</v>
      </c>
      <c r="I28" s="33">
        <v>1.4</v>
      </c>
      <c r="J28" s="33">
        <v>2.4</v>
      </c>
      <c r="K28" s="59" t="s">
        <v>21</v>
      </c>
      <c r="L28" s="33"/>
    </row>
    <row r="29" spans="1:15" x14ac:dyDescent="0.3">
      <c r="A29" s="36" t="s">
        <v>52</v>
      </c>
      <c r="B29" s="33">
        <v>45</v>
      </c>
      <c r="C29" s="33">
        <v>45</v>
      </c>
      <c r="D29" s="33">
        <v>45</v>
      </c>
      <c r="E29" s="33">
        <v>45</v>
      </c>
      <c r="F29" s="33">
        <v>45</v>
      </c>
      <c r="G29" s="33"/>
      <c r="H29" s="33"/>
      <c r="I29" s="33"/>
      <c r="J29" s="36"/>
      <c r="K29" s="59" t="s">
        <v>22</v>
      </c>
      <c r="L29" s="33"/>
    </row>
    <row r="30" spans="1:15" x14ac:dyDescent="0.3">
      <c r="A30" s="32" t="s">
        <v>53</v>
      </c>
      <c r="B30" s="33">
        <v>10</v>
      </c>
      <c r="C30" s="33">
        <v>10</v>
      </c>
      <c r="D30" s="33">
        <v>10</v>
      </c>
      <c r="E30" s="33">
        <v>10</v>
      </c>
      <c r="F30" s="33">
        <v>10</v>
      </c>
      <c r="G30" s="33"/>
      <c r="H30" s="33"/>
      <c r="I30" s="33"/>
      <c r="J30" s="32"/>
      <c r="K30" s="59" t="s">
        <v>23</v>
      </c>
      <c r="L30" s="33"/>
    </row>
    <row r="31" spans="1:15" x14ac:dyDescent="0.3">
      <c r="A31" s="46" t="s">
        <v>54</v>
      </c>
      <c r="B31" s="33">
        <v>10</v>
      </c>
      <c r="C31" s="33">
        <v>10</v>
      </c>
      <c r="D31" s="33">
        <v>10</v>
      </c>
      <c r="E31" s="33">
        <v>10</v>
      </c>
      <c r="F31" s="33">
        <v>10</v>
      </c>
      <c r="G31" s="39"/>
      <c r="H31" s="39"/>
      <c r="I31" s="39"/>
      <c r="J31" s="43"/>
      <c r="K31" s="47"/>
      <c r="L31" s="39"/>
    </row>
    <row r="32" spans="1:15" x14ac:dyDescent="0.3">
      <c r="A32" s="32" t="s">
        <v>86</v>
      </c>
      <c r="B32" s="33">
        <v>20</v>
      </c>
      <c r="C32" s="33">
        <v>20</v>
      </c>
      <c r="D32" s="33">
        <v>20</v>
      </c>
      <c r="E32" s="33">
        <v>20</v>
      </c>
      <c r="F32" s="33">
        <v>20</v>
      </c>
      <c r="G32" s="33"/>
      <c r="H32" s="33"/>
      <c r="I32" s="33"/>
      <c r="J32" s="36"/>
      <c r="K32" s="59" t="s">
        <v>26</v>
      </c>
      <c r="L32" s="33"/>
    </row>
    <row r="33" spans="1:12" x14ac:dyDescent="0.3">
      <c r="A33" s="32" t="s">
        <v>56</v>
      </c>
      <c r="B33" s="33">
        <v>15</v>
      </c>
      <c r="C33" s="33">
        <v>15</v>
      </c>
      <c r="D33" s="33">
        <v>15</v>
      </c>
      <c r="E33" s="33">
        <v>15</v>
      </c>
      <c r="F33" s="33">
        <v>15</v>
      </c>
      <c r="G33" s="33"/>
      <c r="H33" s="33"/>
      <c r="I33" s="33"/>
      <c r="J33" s="36"/>
      <c r="K33" s="47"/>
      <c r="L33" s="33"/>
    </row>
    <row r="34" spans="1:12" x14ac:dyDescent="0.3">
      <c r="A34" s="43" t="s">
        <v>57</v>
      </c>
      <c r="B34" s="39">
        <f>B28*0.03</f>
        <v>0.09</v>
      </c>
      <c r="C34" s="39">
        <f t="shared" ref="C34:J34" si="0">C28*0.03</f>
        <v>8.3999999999999991E-2</v>
      </c>
      <c r="D34" s="39">
        <f t="shared" si="0"/>
        <v>7.8E-2</v>
      </c>
      <c r="E34" s="39">
        <f t="shared" si="0"/>
        <v>6.6000000000000003E-2</v>
      </c>
      <c r="F34" s="39">
        <f t="shared" si="0"/>
        <v>5.3999999999999999E-2</v>
      </c>
      <c r="G34" s="39">
        <f t="shared" si="0"/>
        <v>8.3999999999999991E-2</v>
      </c>
      <c r="H34" s="39">
        <f t="shared" si="0"/>
        <v>0.156</v>
      </c>
      <c r="I34" s="39">
        <f t="shared" si="0"/>
        <v>4.1999999999999996E-2</v>
      </c>
      <c r="J34" s="39">
        <f t="shared" si="0"/>
        <v>7.1999999999999995E-2</v>
      </c>
      <c r="K34" s="59" t="s">
        <v>27</v>
      </c>
      <c r="L34" s="49"/>
    </row>
    <row r="35" spans="1:12" x14ac:dyDescent="0.3">
      <c r="A35" s="36" t="s">
        <v>58</v>
      </c>
      <c r="B35" s="33">
        <v>2.5</v>
      </c>
      <c r="C35" s="33">
        <v>2.5</v>
      </c>
      <c r="D35" s="33">
        <v>2.5</v>
      </c>
      <c r="E35" s="33">
        <v>2.5</v>
      </c>
      <c r="F35" s="33">
        <v>2.5</v>
      </c>
      <c r="G35" s="39">
        <v>1.5</v>
      </c>
      <c r="H35" s="39">
        <v>3.5</v>
      </c>
      <c r="I35" s="39">
        <v>1.5</v>
      </c>
      <c r="J35" s="39">
        <v>3.5</v>
      </c>
      <c r="K35" s="59"/>
      <c r="L35" s="33"/>
    </row>
    <row r="36" spans="1:12" x14ac:dyDescent="0.3">
      <c r="A36" s="42" t="s">
        <v>59</v>
      </c>
      <c r="B36" s="33">
        <v>25</v>
      </c>
      <c r="C36" s="33">
        <v>25</v>
      </c>
      <c r="D36" s="33">
        <v>25</v>
      </c>
      <c r="E36" s="33">
        <v>25</v>
      </c>
      <c r="F36" s="33">
        <v>25</v>
      </c>
      <c r="G36" s="33"/>
      <c r="H36" s="33"/>
      <c r="I36" s="33"/>
      <c r="J36" s="36"/>
      <c r="K36" s="33"/>
      <c r="L36" s="33"/>
    </row>
    <row r="37" spans="1:12" x14ac:dyDescent="0.3">
      <c r="A37" s="31" t="s">
        <v>60</v>
      </c>
      <c r="B37" s="33"/>
      <c r="C37" s="33"/>
      <c r="D37" s="33"/>
      <c r="E37" s="33"/>
      <c r="F37" s="37"/>
      <c r="G37" s="33"/>
      <c r="H37" s="33"/>
      <c r="I37" s="33"/>
      <c r="J37" s="36"/>
      <c r="K37" s="33"/>
      <c r="L37" s="33"/>
    </row>
    <row r="38" spans="1:12" ht="20.399999999999999" x14ac:dyDescent="0.3">
      <c r="A38" s="36" t="s">
        <v>61</v>
      </c>
      <c r="B38" s="50">
        <v>0.1</v>
      </c>
      <c r="C38" s="50">
        <v>0.1</v>
      </c>
      <c r="D38" s="33">
        <v>8.5000000000000006E-2</v>
      </c>
      <c r="E38" s="33">
        <v>7.4999999999999997E-2</v>
      </c>
      <c r="F38" s="33">
        <v>7.4999999999999997E-2</v>
      </c>
      <c r="G38" s="33">
        <v>0.09</v>
      </c>
      <c r="H38" s="33">
        <v>0.11</v>
      </c>
      <c r="I38" s="33">
        <v>7.0000000000000007E-2</v>
      </c>
      <c r="J38" s="37">
        <v>0.09</v>
      </c>
      <c r="K38" s="33" t="s">
        <v>87</v>
      </c>
      <c r="L38" s="33"/>
    </row>
    <row r="39" spans="1:12" ht="20.399999999999999" x14ac:dyDescent="0.3">
      <c r="A39" s="32" t="s">
        <v>62</v>
      </c>
      <c r="B39" s="33">
        <v>0.16</v>
      </c>
      <c r="C39" s="33">
        <v>0.16</v>
      </c>
      <c r="D39" s="33">
        <v>0.14000000000000001</v>
      </c>
      <c r="E39" s="33">
        <v>0.13</v>
      </c>
      <c r="F39" s="33">
        <v>0.13</v>
      </c>
      <c r="G39" s="33">
        <v>0.14000000000000001</v>
      </c>
      <c r="H39" s="33">
        <v>0.18</v>
      </c>
      <c r="I39" s="33">
        <v>0.12</v>
      </c>
      <c r="J39" s="33">
        <v>0.15</v>
      </c>
      <c r="K39" s="33" t="s">
        <v>87</v>
      </c>
      <c r="L39" s="33"/>
    </row>
    <row r="40" spans="1:12" x14ac:dyDescent="0.3">
      <c r="A40" s="51"/>
    </row>
    <row r="41" spans="1:12" x14ac:dyDescent="0.3">
      <c r="A41" s="52" t="s">
        <v>24</v>
      </c>
    </row>
    <row r="42" spans="1:12" x14ac:dyDescent="0.3">
      <c r="A42" s="19">
        <v>1</v>
      </c>
    </row>
    <row r="43" spans="1:12" x14ac:dyDescent="0.3">
      <c r="A43" s="19">
        <v>2</v>
      </c>
    </row>
    <row r="44" spans="1:12" x14ac:dyDescent="0.3">
      <c r="A44" s="19">
        <v>3</v>
      </c>
    </row>
    <row r="47" spans="1:12" x14ac:dyDescent="0.3">
      <c r="A47" s="58" t="s">
        <v>25</v>
      </c>
    </row>
    <row r="48" spans="1:12" x14ac:dyDescent="0.3">
      <c r="A48" s="88" t="s">
        <v>7</v>
      </c>
      <c r="B48" s="19" t="s">
        <v>88</v>
      </c>
    </row>
    <row r="49" spans="1:2" x14ac:dyDescent="0.3">
      <c r="A49" s="88" t="s">
        <v>15</v>
      </c>
      <c r="B49" s="19" t="s">
        <v>89</v>
      </c>
    </row>
    <row r="50" spans="1:2" x14ac:dyDescent="0.3">
      <c r="A50" s="88" t="s">
        <v>12</v>
      </c>
      <c r="B50" s="19" t="s">
        <v>90</v>
      </c>
    </row>
    <row r="51" spans="1:2" x14ac:dyDescent="0.3">
      <c r="A51" s="88" t="s">
        <v>13</v>
      </c>
      <c r="B51" s="19" t="s">
        <v>66</v>
      </c>
    </row>
    <row r="52" spans="1:2" x14ac:dyDescent="0.3">
      <c r="A52" s="88" t="s">
        <v>16</v>
      </c>
      <c r="B52" s="19" t="s">
        <v>67</v>
      </c>
    </row>
    <row r="53" spans="1:2" x14ac:dyDescent="0.3">
      <c r="A53" s="88" t="s">
        <v>17</v>
      </c>
      <c r="B53" s="19" t="s">
        <v>68</v>
      </c>
    </row>
    <row r="54" spans="1:2" x14ac:dyDescent="0.3">
      <c r="A54" s="88" t="s">
        <v>18</v>
      </c>
      <c r="B54" s="19" t="s">
        <v>91</v>
      </c>
    </row>
    <row r="55" spans="1:2" x14ac:dyDescent="0.3">
      <c r="A55" s="88" t="s">
        <v>20</v>
      </c>
      <c r="B55" s="19" t="s">
        <v>70</v>
      </c>
    </row>
    <row r="56" spans="1:2" x14ac:dyDescent="0.3">
      <c r="A56" s="88" t="s">
        <v>19</v>
      </c>
      <c r="B56" s="19" t="s">
        <v>92</v>
      </c>
    </row>
    <row r="57" spans="1:2" x14ac:dyDescent="0.3">
      <c r="A57" s="88" t="s">
        <v>21</v>
      </c>
      <c r="B57" s="19" t="s">
        <v>93</v>
      </c>
    </row>
    <row r="58" spans="1:2" x14ac:dyDescent="0.3">
      <c r="A58" s="88" t="s">
        <v>22</v>
      </c>
      <c r="B58" s="19" t="s">
        <v>72</v>
      </c>
    </row>
    <row r="59" spans="1:2" x14ac:dyDescent="0.3">
      <c r="A59" s="88" t="s">
        <v>23</v>
      </c>
      <c r="B59" s="19" t="s">
        <v>73</v>
      </c>
    </row>
    <row r="60" spans="1:2" x14ac:dyDescent="0.3">
      <c r="A60" s="88" t="s">
        <v>26</v>
      </c>
      <c r="B60" s="19" t="s">
        <v>94</v>
      </c>
    </row>
    <row r="61" spans="1:2" x14ac:dyDescent="0.3">
      <c r="A61" s="88" t="s">
        <v>27</v>
      </c>
      <c r="B61" s="19" t="s">
        <v>75</v>
      </c>
    </row>
    <row r="62" spans="1:2" x14ac:dyDescent="0.3">
      <c r="A62" s="88" t="s">
        <v>87</v>
      </c>
      <c r="B62" s="19" t="s">
        <v>76</v>
      </c>
    </row>
  </sheetData>
  <mergeCells count="3">
    <mergeCell ref="B2:L2"/>
    <mergeCell ref="G3:H3"/>
    <mergeCell ref="I3:J3"/>
  </mergeCells>
  <hyperlinks>
    <hyperlink ref="B2" location="INDEX" display="Post-combustion carbon capture - Retrofit 4500 ton clinker per day cement kil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L57"/>
  <sheetViews>
    <sheetView zoomScale="89" zoomScaleNormal="89" workbookViewId="0"/>
  </sheetViews>
  <sheetFormatPr defaultColWidth="8.6640625" defaultRowHeight="14.4" x14ac:dyDescent="0.3"/>
  <cols>
    <col min="1" max="1" width="54.33203125" style="19" customWidth="1"/>
    <col min="2" max="10" width="8.5546875" style="19" customWidth="1"/>
    <col min="11" max="11" width="7.88671875" style="19" customWidth="1"/>
    <col min="12" max="12" width="6.33203125" style="19" customWidth="1"/>
    <col min="13" max="13" width="8.6640625" style="19"/>
    <col min="14" max="14" width="12" style="19" bestFit="1" customWidth="1"/>
    <col min="15" max="16384" width="8.6640625" style="19"/>
  </cols>
  <sheetData>
    <row r="1" spans="1:12" s="18" customFormat="1" x14ac:dyDescent="0.3"/>
    <row r="2" spans="1:12" ht="15.75" customHeight="1" x14ac:dyDescent="0.3">
      <c r="A2" s="20" t="s">
        <v>0</v>
      </c>
      <c r="B2" s="178" t="s">
        <v>95</v>
      </c>
      <c r="C2" s="183"/>
      <c r="D2" s="179"/>
      <c r="E2" s="179"/>
      <c r="F2" s="179"/>
      <c r="G2" s="179"/>
      <c r="H2" s="179"/>
      <c r="I2" s="179"/>
      <c r="J2" s="179"/>
      <c r="K2" s="179"/>
      <c r="L2" s="180"/>
    </row>
    <row r="3" spans="1:12" ht="15.75" customHeight="1" x14ac:dyDescent="0.3">
      <c r="A3" s="21"/>
      <c r="B3" s="22">
        <v>2020</v>
      </c>
      <c r="C3" s="22">
        <v>2025</v>
      </c>
      <c r="D3" s="23">
        <v>2030</v>
      </c>
      <c r="E3" s="23">
        <v>2040</v>
      </c>
      <c r="F3" s="24">
        <v>2050</v>
      </c>
      <c r="G3" s="184" t="s">
        <v>33</v>
      </c>
      <c r="H3" s="185"/>
      <c r="I3" s="181" t="s">
        <v>1</v>
      </c>
      <c r="J3" s="182"/>
      <c r="K3" s="23" t="s">
        <v>2</v>
      </c>
      <c r="L3" s="25" t="s">
        <v>3</v>
      </c>
    </row>
    <row r="4" spans="1:12" x14ac:dyDescent="0.3">
      <c r="A4" s="21"/>
      <c r="B4" s="26"/>
      <c r="C4" s="27"/>
      <c r="D4" s="28"/>
      <c r="E4" s="28"/>
      <c r="F4" s="28"/>
      <c r="G4" s="29" t="s">
        <v>4</v>
      </c>
      <c r="H4" s="29" t="s">
        <v>5</v>
      </c>
      <c r="I4" s="29" t="s">
        <v>4</v>
      </c>
      <c r="J4" s="29" t="s">
        <v>5</v>
      </c>
      <c r="K4" s="28"/>
      <c r="L4" s="30"/>
    </row>
    <row r="5" spans="1:12" x14ac:dyDescent="0.3">
      <c r="A5" s="31" t="s">
        <v>6</v>
      </c>
      <c r="B5" s="28"/>
      <c r="C5" s="28"/>
      <c r="D5" s="28"/>
      <c r="E5" s="28"/>
      <c r="F5" s="28"/>
      <c r="G5" s="28"/>
      <c r="H5" s="28"/>
      <c r="I5" s="28"/>
      <c r="J5" s="28"/>
      <c r="K5" s="28"/>
      <c r="L5" s="30"/>
    </row>
    <row r="6" spans="1:12" x14ac:dyDescent="0.3">
      <c r="A6" s="32" t="s">
        <v>34</v>
      </c>
      <c r="B6" s="33">
        <v>175</v>
      </c>
      <c r="C6" s="33">
        <v>175</v>
      </c>
      <c r="D6" s="33">
        <v>175</v>
      </c>
      <c r="E6" s="33">
        <v>175</v>
      </c>
      <c r="F6" s="33">
        <v>175</v>
      </c>
      <c r="G6" s="33">
        <v>170</v>
      </c>
      <c r="H6" s="33">
        <v>180</v>
      </c>
      <c r="I6" s="33">
        <v>175</v>
      </c>
      <c r="J6" s="33">
        <v>180</v>
      </c>
      <c r="K6" s="33" t="s">
        <v>7</v>
      </c>
      <c r="L6" s="33">
        <v>1</v>
      </c>
    </row>
    <row r="7" spans="1:12" x14ac:dyDescent="0.3">
      <c r="A7" s="62" t="s">
        <v>35</v>
      </c>
      <c r="B7" s="63"/>
      <c r="C7" s="63"/>
      <c r="D7" s="63"/>
      <c r="E7" s="63"/>
      <c r="F7" s="63"/>
      <c r="G7" s="63"/>
      <c r="H7" s="63"/>
      <c r="I7" s="63"/>
      <c r="J7" s="63"/>
      <c r="K7" s="63"/>
      <c r="L7" s="64"/>
    </row>
    <row r="8" spans="1:12" x14ac:dyDescent="0.3">
      <c r="A8" s="32" t="s">
        <v>96</v>
      </c>
      <c r="B8" s="65">
        <v>2</v>
      </c>
      <c r="C8" s="65">
        <v>1.9</v>
      </c>
      <c r="D8" s="39">
        <v>1.85</v>
      </c>
      <c r="E8" s="39">
        <v>1.8</v>
      </c>
      <c r="F8" s="39">
        <v>1.8</v>
      </c>
      <c r="G8" s="39">
        <v>2</v>
      </c>
      <c r="H8" s="39">
        <v>1.8</v>
      </c>
      <c r="I8" s="39">
        <v>2</v>
      </c>
      <c r="J8" s="39">
        <v>1.8</v>
      </c>
      <c r="K8" s="39"/>
      <c r="L8" s="39">
        <v>1</v>
      </c>
    </row>
    <row r="9" spans="1:12" x14ac:dyDescent="0.3">
      <c r="A9" s="36" t="s">
        <v>97</v>
      </c>
      <c r="B9" s="66">
        <v>0.3</v>
      </c>
      <c r="C9" s="66">
        <v>0.31</v>
      </c>
      <c r="D9" s="67">
        <v>0.31</v>
      </c>
      <c r="E9" s="67">
        <v>0.32</v>
      </c>
      <c r="F9" s="67">
        <v>0.32</v>
      </c>
      <c r="G9" s="67">
        <v>0.3</v>
      </c>
      <c r="H9" s="67">
        <v>0.35</v>
      </c>
      <c r="I9" s="67">
        <v>0.3</v>
      </c>
      <c r="J9" s="67">
        <v>0.35</v>
      </c>
      <c r="K9" s="39" t="s">
        <v>15</v>
      </c>
      <c r="L9" s="59">
        <v>1</v>
      </c>
    </row>
    <row r="10" spans="1:12" x14ac:dyDescent="0.3">
      <c r="A10" s="32" t="s">
        <v>98</v>
      </c>
      <c r="B10" s="68">
        <v>0.57999999999999996</v>
      </c>
      <c r="C10" s="68">
        <v>0.6</v>
      </c>
      <c r="D10" s="68">
        <v>0.6</v>
      </c>
      <c r="E10" s="68">
        <v>0.62</v>
      </c>
      <c r="F10" s="68">
        <v>0.62</v>
      </c>
      <c r="G10" s="68">
        <v>0.57999999999999996</v>
      </c>
      <c r="H10" s="68">
        <v>0.62</v>
      </c>
      <c r="I10" s="68">
        <v>0.57999999999999996</v>
      </c>
      <c r="J10" s="68">
        <v>0.62</v>
      </c>
      <c r="K10" s="33"/>
      <c r="L10" s="33">
        <v>1</v>
      </c>
    </row>
    <row r="11" spans="1:12" x14ac:dyDescent="0.3">
      <c r="A11" s="38" t="s">
        <v>39</v>
      </c>
      <c r="B11" s="65">
        <v>0</v>
      </c>
      <c r="C11" s="65">
        <v>0</v>
      </c>
      <c r="D11" s="39">
        <v>0</v>
      </c>
      <c r="E11" s="39">
        <v>0</v>
      </c>
      <c r="F11" s="39">
        <v>0</v>
      </c>
      <c r="G11" s="39">
        <v>0</v>
      </c>
      <c r="H11" s="39">
        <v>0</v>
      </c>
      <c r="I11" s="39">
        <v>0</v>
      </c>
      <c r="J11" s="39">
        <v>0</v>
      </c>
      <c r="K11" s="39"/>
      <c r="L11" s="39">
        <v>1</v>
      </c>
    </row>
    <row r="12" spans="1:12" x14ac:dyDescent="0.3">
      <c r="A12" s="40" t="s">
        <v>40</v>
      </c>
      <c r="B12" s="65">
        <v>0</v>
      </c>
      <c r="C12" s="65">
        <v>0</v>
      </c>
      <c r="D12" s="65">
        <v>0</v>
      </c>
      <c r="E12" s="65">
        <v>0</v>
      </c>
      <c r="F12" s="65">
        <v>0</v>
      </c>
      <c r="G12" s="65">
        <v>0</v>
      </c>
      <c r="H12" s="65">
        <v>0</v>
      </c>
      <c r="I12" s="65">
        <v>0</v>
      </c>
      <c r="J12" s="65">
        <v>0</v>
      </c>
      <c r="K12" s="33" t="s">
        <v>12</v>
      </c>
      <c r="L12" s="33">
        <v>1</v>
      </c>
    </row>
    <row r="13" spans="1:12" x14ac:dyDescent="0.3">
      <c r="A13" s="69" t="s">
        <v>99</v>
      </c>
      <c r="B13" s="33">
        <v>0.86</v>
      </c>
      <c r="C13" s="33">
        <v>0.86</v>
      </c>
      <c r="D13" s="33">
        <v>0.86</v>
      </c>
      <c r="E13" s="33">
        <v>0.86</v>
      </c>
      <c r="F13" s="33">
        <v>0.86</v>
      </c>
      <c r="G13" s="33">
        <v>0.86</v>
      </c>
      <c r="H13" s="33">
        <v>0.86</v>
      </c>
      <c r="I13" s="33">
        <v>0.86</v>
      </c>
      <c r="J13" s="33">
        <v>0.86</v>
      </c>
      <c r="K13" s="33"/>
      <c r="L13" s="33"/>
    </row>
    <row r="14" spans="1:12" x14ac:dyDescent="0.3">
      <c r="A14" s="34" t="s">
        <v>43</v>
      </c>
      <c r="B14" s="63"/>
      <c r="C14" s="63"/>
      <c r="D14" s="63"/>
      <c r="E14" s="63"/>
      <c r="F14" s="63"/>
      <c r="G14" s="63"/>
      <c r="H14" s="63"/>
      <c r="I14" s="63"/>
      <c r="J14" s="63"/>
      <c r="K14" s="63"/>
      <c r="L14" s="64"/>
    </row>
    <row r="15" spans="1:12" x14ac:dyDescent="0.3">
      <c r="A15" s="42" t="s">
        <v>44</v>
      </c>
      <c r="B15" s="70">
        <v>0.7</v>
      </c>
      <c r="C15" s="70">
        <v>0.75</v>
      </c>
      <c r="D15" s="71">
        <v>0.8</v>
      </c>
      <c r="E15" s="71">
        <v>0.8</v>
      </c>
      <c r="F15" s="71">
        <v>0.85</v>
      </c>
      <c r="G15" s="71">
        <v>0.7</v>
      </c>
      <c r="H15" s="71">
        <v>0.8</v>
      </c>
      <c r="I15" s="71">
        <v>0.7</v>
      </c>
      <c r="J15" s="71">
        <v>0.9</v>
      </c>
      <c r="K15" s="39"/>
      <c r="L15" s="39">
        <v>1</v>
      </c>
    </row>
    <row r="16" spans="1:12" x14ac:dyDescent="0.3">
      <c r="A16" s="42" t="s">
        <v>45</v>
      </c>
      <c r="B16" s="65">
        <v>100</v>
      </c>
      <c r="C16" s="65">
        <v>100</v>
      </c>
      <c r="D16" s="65">
        <v>100</v>
      </c>
      <c r="E16" s="65">
        <v>100</v>
      </c>
      <c r="F16" s="65">
        <v>100</v>
      </c>
      <c r="G16" s="65">
        <v>100</v>
      </c>
      <c r="H16" s="65">
        <v>100</v>
      </c>
      <c r="I16" s="65">
        <v>100</v>
      </c>
      <c r="J16" s="65">
        <v>100</v>
      </c>
      <c r="K16" s="39"/>
      <c r="L16" s="39">
        <v>1</v>
      </c>
    </row>
    <row r="17" spans="1:12" x14ac:dyDescent="0.3">
      <c r="A17" s="32" t="s">
        <v>46</v>
      </c>
      <c r="B17" s="72">
        <f t="shared" ref="B17:J17" si="0">+B6/182</f>
        <v>0.96153846153846156</v>
      </c>
      <c r="C17" s="72">
        <f t="shared" si="0"/>
        <v>0.96153846153846156</v>
      </c>
      <c r="D17" s="72">
        <f t="shared" si="0"/>
        <v>0.96153846153846156</v>
      </c>
      <c r="E17" s="72">
        <f t="shared" si="0"/>
        <v>0.96153846153846156</v>
      </c>
      <c r="F17" s="72">
        <f t="shared" si="0"/>
        <v>0.96153846153846156</v>
      </c>
      <c r="G17" s="72">
        <f t="shared" si="0"/>
        <v>0.93406593406593408</v>
      </c>
      <c r="H17" s="72">
        <f t="shared" si="0"/>
        <v>0.98901098901098905</v>
      </c>
      <c r="I17" s="72">
        <f t="shared" si="0"/>
        <v>0.96153846153846156</v>
      </c>
      <c r="J17" s="72">
        <f t="shared" si="0"/>
        <v>0.98901098901098905</v>
      </c>
      <c r="K17" s="39" t="s">
        <v>13</v>
      </c>
      <c r="L17" s="39">
        <v>1</v>
      </c>
    </row>
    <row r="18" spans="1:12" x14ac:dyDescent="0.3">
      <c r="A18" s="32" t="s">
        <v>100</v>
      </c>
      <c r="B18" s="65">
        <v>0.8</v>
      </c>
      <c r="C18" s="65">
        <v>0.8</v>
      </c>
      <c r="D18" s="65">
        <v>0.8</v>
      </c>
      <c r="E18" s="65">
        <v>0.8</v>
      </c>
      <c r="F18" s="65">
        <v>0.8</v>
      </c>
      <c r="G18" s="65">
        <v>0.7</v>
      </c>
      <c r="H18" s="65">
        <v>0.9</v>
      </c>
      <c r="I18" s="65">
        <v>0.7</v>
      </c>
      <c r="J18" s="65">
        <v>0.9</v>
      </c>
      <c r="K18" s="39" t="s">
        <v>16</v>
      </c>
      <c r="L18" s="39">
        <v>1</v>
      </c>
    </row>
    <row r="19" spans="1:12" x14ac:dyDescent="0.3">
      <c r="A19" s="32" t="s">
        <v>101</v>
      </c>
      <c r="B19" s="73">
        <v>0.5</v>
      </c>
      <c r="C19" s="73">
        <v>0.5</v>
      </c>
      <c r="D19" s="73">
        <v>0.5</v>
      </c>
      <c r="E19" s="73">
        <v>0.5</v>
      </c>
      <c r="F19" s="73">
        <v>0.5</v>
      </c>
      <c r="G19" s="73">
        <v>0.4</v>
      </c>
      <c r="H19" s="73">
        <v>0.55000000000000004</v>
      </c>
      <c r="I19" s="73">
        <v>0.4</v>
      </c>
      <c r="J19" s="73">
        <v>0.55000000000000004</v>
      </c>
      <c r="K19" s="33" t="s">
        <v>17</v>
      </c>
      <c r="L19" s="33"/>
    </row>
    <row r="20" spans="1:12" x14ac:dyDescent="0.3">
      <c r="A20" s="36" t="s">
        <v>102</v>
      </c>
      <c r="B20" s="33">
        <v>30</v>
      </c>
      <c r="C20" s="33">
        <v>30</v>
      </c>
      <c r="D20" s="33">
        <v>30</v>
      </c>
      <c r="E20" s="33">
        <v>30</v>
      </c>
      <c r="F20" s="33">
        <v>30</v>
      </c>
      <c r="G20" s="33">
        <v>30</v>
      </c>
      <c r="H20" s="33">
        <v>30</v>
      </c>
      <c r="I20" s="33">
        <v>30</v>
      </c>
      <c r="J20" s="33">
        <v>30</v>
      </c>
      <c r="K20" s="33"/>
      <c r="L20" s="33"/>
    </row>
    <row r="21" spans="1:12" x14ac:dyDescent="0.3">
      <c r="A21" s="34" t="s">
        <v>50</v>
      </c>
      <c r="B21" s="65"/>
      <c r="C21" s="65"/>
      <c r="D21" s="39"/>
      <c r="E21" s="39"/>
      <c r="F21" s="39"/>
      <c r="G21" s="39"/>
      <c r="H21" s="39"/>
      <c r="I21" s="39"/>
      <c r="J21" s="39"/>
      <c r="K21" s="39"/>
      <c r="L21" s="39"/>
    </row>
    <row r="22" spans="1:12" x14ac:dyDescent="0.3">
      <c r="A22" s="32" t="s">
        <v>8</v>
      </c>
      <c r="B22" s="74">
        <v>0.05</v>
      </c>
      <c r="C22" s="74">
        <v>0.05</v>
      </c>
      <c r="D22" s="68">
        <v>0.04</v>
      </c>
      <c r="E22" s="68">
        <v>0.03</v>
      </c>
      <c r="F22" s="68">
        <v>0.03</v>
      </c>
      <c r="G22" s="68">
        <v>0.03</v>
      </c>
      <c r="H22" s="68">
        <v>0.05</v>
      </c>
      <c r="I22" s="68">
        <v>0.03</v>
      </c>
      <c r="J22" s="68">
        <v>0.05</v>
      </c>
      <c r="K22" s="33"/>
      <c r="L22" s="33"/>
    </row>
    <row r="23" spans="1:12" x14ac:dyDescent="0.3">
      <c r="A23" s="32" t="s">
        <v>9</v>
      </c>
      <c r="B23" s="75">
        <v>3</v>
      </c>
      <c r="C23" s="75">
        <v>3</v>
      </c>
      <c r="D23" s="33">
        <v>3</v>
      </c>
      <c r="E23" s="33">
        <v>2</v>
      </c>
      <c r="F23" s="33">
        <v>2</v>
      </c>
      <c r="G23" s="33">
        <v>2</v>
      </c>
      <c r="H23" s="33">
        <v>4</v>
      </c>
      <c r="I23" s="33">
        <v>2</v>
      </c>
      <c r="J23" s="33">
        <v>3</v>
      </c>
      <c r="K23" s="33"/>
      <c r="L23" s="33"/>
    </row>
    <row r="24" spans="1:12" x14ac:dyDescent="0.3">
      <c r="A24" s="32" t="s">
        <v>10</v>
      </c>
      <c r="B24" s="33">
        <v>25</v>
      </c>
      <c r="C24" s="33">
        <v>25</v>
      </c>
      <c r="D24" s="33">
        <v>25</v>
      </c>
      <c r="E24" s="33">
        <v>25</v>
      </c>
      <c r="F24" s="33">
        <v>25</v>
      </c>
      <c r="G24" s="33">
        <v>25</v>
      </c>
      <c r="H24" s="33">
        <v>25</v>
      </c>
      <c r="I24" s="33">
        <v>25</v>
      </c>
      <c r="J24" s="33">
        <v>25</v>
      </c>
      <c r="K24" s="33"/>
      <c r="L24" s="33"/>
    </row>
    <row r="25" spans="1:12" x14ac:dyDescent="0.3">
      <c r="A25" s="69"/>
      <c r="B25" s="33"/>
      <c r="C25" s="33"/>
      <c r="D25" s="33"/>
      <c r="E25" s="33"/>
      <c r="F25" s="33"/>
      <c r="G25" s="33"/>
      <c r="H25" s="33"/>
      <c r="I25" s="33"/>
      <c r="J25" s="33"/>
      <c r="K25" s="33"/>
      <c r="L25" s="33"/>
    </row>
    <row r="26" spans="1:12" ht="14.7" customHeight="1" x14ac:dyDescent="0.3">
      <c r="A26" s="44" t="s">
        <v>398</v>
      </c>
      <c r="B26" s="48"/>
      <c r="C26" s="48"/>
      <c r="D26" s="48"/>
      <c r="E26" s="48"/>
      <c r="F26" s="48"/>
      <c r="G26" s="48"/>
      <c r="H26" s="48"/>
      <c r="I26" s="48"/>
      <c r="J26" s="48"/>
      <c r="K26" s="48"/>
      <c r="L26" s="49"/>
    </row>
    <row r="27" spans="1:12" x14ac:dyDescent="0.3">
      <c r="A27" s="32" t="s">
        <v>51</v>
      </c>
      <c r="B27" s="39">
        <f>0.55+0.9</f>
        <v>1.4500000000000002</v>
      </c>
      <c r="C27" s="39">
        <f>B27</f>
        <v>1.4500000000000002</v>
      </c>
      <c r="D27" s="76">
        <f>+C27*0.95</f>
        <v>1.3775000000000002</v>
      </c>
      <c r="E27" s="76">
        <v>1.3</v>
      </c>
      <c r="F27" s="77">
        <v>1.1499999999999999</v>
      </c>
      <c r="G27" s="39">
        <f>0.4+0.8</f>
        <v>1.2000000000000002</v>
      </c>
      <c r="H27" s="39">
        <f>0.6+2</f>
        <v>2.6</v>
      </c>
      <c r="I27" s="39">
        <f>0.35+0.6</f>
        <v>0.95</v>
      </c>
      <c r="J27" s="59">
        <f>0.6+1.5</f>
        <v>2.1</v>
      </c>
      <c r="K27" s="33" t="s">
        <v>18</v>
      </c>
      <c r="L27" s="39"/>
    </row>
    <row r="28" spans="1:12" x14ac:dyDescent="0.3">
      <c r="A28" s="36" t="s">
        <v>103</v>
      </c>
      <c r="B28" s="33"/>
      <c r="C28" s="33"/>
      <c r="D28" s="33"/>
      <c r="E28" s="33"/>
      <c r="F28" s="36"/>
      <c r="G28" s="33"/>
      <c r="H28" s="33"/>
      <c r="I28" s="33"/>
      <c r="J28" s="36"/>
      <c r="K28" s="33"/>
      <c r="L28" s="33"/>
    </row>
    <row r="29" spans="1:12" x14ac:dyDescent="0.3">
      <c r="A29" s="32" t="s">
        <v>104</v>
      </c>
      <c r="B29" s="33"/>
      <c r="C29" s="33"/>
      <c r="D29" s="33"/>
      <c r="E29" s="33"/>
      <c r="F29" s="32"/>
      <c r="G29" s="33"/>
      <c r="H29" s="33"/>
      <c r="I29" s="33"/>
      <c r="J29" s="32"/>
      <c r="K29" s="33"/>
      <c r="L29" s="33"/>
    </row>
    <row r="30" spans="1:12" x14ac:dyDescent="0.3">
      <c r="A30" s="43" t="s">
        <v>57</v>
      </c>
      <c r="B30" s="78">
        <f>0.03*B27</f>
        <v>4.3500000000000004E-2</v>
      </c>
      <c r="C30" s="78">
        <f t="shared" ref="C30:J30" si="1">0.03*C27</f>
        <v>4.3500000000000004E-2</v>
      </c>
      <c r="D30" s="78">
        <f t="shared" si="1"/>
        <v>4.1325000000000001E-2</v>
      </c>
      <c r="E30" s="78">
        <f t="shared" si="1"/>
        <v>3.9E-2</v>
      </c>
      <c r="F30" s="78">
        <f t="shared" si="1"/>
        <v>3.4499999999999996E-2</v>
      </c>
      <c r="G30" s="78">
        <f t="shared" si="1"/>
        <v>3.6000000000000004E-2</v>
      </c>
      <c r="H30" s="78">
        <f t="shared" si="1"/>
        <v>7.8E-2</v>
      </c>
      <c r="I30" s="78">
        <f t="shared" si="1"/>
        <v>2.8499999999999998E-2</v>
      </c>
      <c r="J30" s="78">
        <f t="shared" si="1"/>
        <v>6.3E-2</v>
      </c>
      <c r="K30" s="33" t="s">
        <v>20</v>
      </c>
      <c r="L30" s="39"/>
    </row>
    <row r="31" spans="1:12" x14ac:dyDescent="0.3">
      <c r="A31" s="36" t="s">
        <v>105</v>
      </c>
      <c r="B31" s="39">
        <v>2</v>
      </c>
      <c r="C31" s="39">
        <v>2</v>
      </c>
      <c r="D31" s="39">
        <v>2</v>
      </c>
      <c r="E31" s="39">
        <v>2</v>
      </c>
      <c r="F31" s="39">
        <v>2</v>
      </c>
      <c r="G31" s="39">
        <v>2</v>
      </c>
      <c r="H31" s="39">
        <v>2</v>
      </c>
      <c r="I31" s="39">
        <v>2</v>
      </c>
      <c r="J31" s="39">
        <v>2</v>
      </c>
      <c r="K31" s="33" t="s">
        <v>19</v>
      </c>
      <c r="L31" s="39"/>
    </row>
    <row r="32" spans="1:12" x14ac:dyDescent="0.3">
      <c r="A32" s="42" t="s">
        <v>59</v>
      </c>
      <c r="B32" s="39">
        <v>100</v>
      </c>
      <c r="C32" s="39">
        <v>100</v>
      </c>
      <c r="D32" s="39">
        <v>100</v>
      </c>
      <c r="E32" s="39">
        <v>100</v>
      </c>
      <c r="F32" s="39">
        <v>100</v>
      </c>
      <c r="G32" s="39">
        <v>100</v>
      </c>
      <c r="H32" s="79">
        <v>100</v>
      </c>
      <c r="I32" s="39">
        <v>100</v>
      </c>
      <c r="J32" s="39">
        <v>100</v>
      </c>
      <c r="K32" s="33" t="s">
        <v>21</v>
      </c>
      <c r="L32" s="39"/>
    </row>
    <row r="33" spans="1:12" x14ac:dyDescent="0.3">
      <c r="A33" s="36"/>
      <c r="B33" s="33"/>
      <c r="C33" s="33"/>
      <c r="D33" s="33"/>
      <c r="E33" s="33"/>
      <c r="F33" s="36"/>
      <c r="G33" s="33"/>
      <c r="H33" s="33"/>
      <c r="I33" s="33"/>
      <c r="J33" s="36"/>
      <c r="K33" s="33"/>
      <c r="L33" s="33"/>
    </row>
    <row r="34" spans="1:12" x14ac:dyDescent="0.3">
      <c r="A34" s="31" t="s">
        <v>60</v>
      </c>
      <c r="B34" s="33"/>
      <c r="C34" s="33"/>
      <c r="D34" s="33"/>
      <c r="E34" s="33"/>
      <c r="F34" s="32"/>
      <c r="G34" s="33"/>
      <c r="H34" s="33"/>
      <c r="I34" s="33"/>
      <c r="J34" s="32"/>
      <c r="K34" s="33"/>
      <c r="L34" s="33"/>
    </row>
    <row r="35" spans="1:12" x14ac:dyDescent="0.3">
      <c r="A35" s="32" t="s">
        <v>106</v>
      </c>
      <c r="B35" s="39">
        <v>0.8</v>
      </c>
      <c r="C35" s="39">
        <v>0.8</v>
      </c>
      <c r="D35" s="39">
        <v>0.75</v>
      </c>
      <c r="E35" s="39">
        <v>0.7</v>
      </c>
      <c r="F35" s="39">
        <v>0.6</v>
      </c>
      <c r="G35" s="79">
        <v>0.7</v>
      </c>
      <c r="H35" s="79">
        <v>0.9</v>
      </c>
      <c r="I35" s="79">
        <v>0.5</v>
      </c>
      <c r="J35" s="79">
        <v>0.8</v>
      </c>
      <c r="K35" s="33" t="s">
        <v>22</v>
      </c>
      <c r="L35" s="47"/>
    </row>
    <row r="36" spans="1:12" x14ac:dyDescent="0.3">
      <c r="A36" s="42" t="s">
        <v>107</v>
      </c>
      <c r="B36" s="33">
        <v>0.19</v>
      </c>
      <c r="C36" s="33">
        <v>0.18</v>
      </c>
      <c r="D36" s="33">
        <v>0.16</v>
      </c>
      <c r="E36" s="33">
        <v>0.15</v>
      </c>
      <c r="F36" s="33">
        <v>0.15</v>
      </c>
      <c r="G36" s="33">
        <v>0.18</v>
      </c>
      <c r="H36" s="33">
        <v>0.2</v>
      </c>
      <c r="I36" s="33">
        <v>0.125</v>
      </c>
      <c r="J36" s="33">
        <v>0.17499999999999999</v>
      </c>
      <c r="K36" s="80"/>
      <c r="L36" s="80"/>
    </row>
    <row r="37" spans="1:12" x14ac:dyDescent="0.3">
      <c r="A37" s="69" t="s">
        <v>108</v>
      </c>
      <c r="B37" s="59">
        <v>0.18</v>
      </c>
      <c r="C37" s="59">
        <v>0.18</v>
      </c>
      <c r="D37" s="59">
        <v>0.17</v>
      </c>
      <c r="E37" s="59">
        <v>0.16</v>
      </c>
      <c r="F37" s="59">
        <v>0.15</v>
      </c>
      <c r="G37" s="33">
        <v>0.16</v>
      </c>
      <c r="H37" s="33">
        <v>0.2</v>
      </c>
      <c r="I37" s="33">
        <v>0.12</v>
      </c>
      <c r="J37" s="33">
        <v>0.18</v>
      </c>
      <c r="K37" s="80"/>
      <c r="L37" s="80"/>
    </row>
    <row r="38" spans="1:12" x14ac:dyDescent="0.3">
      <c r="A38" s="42" t="s">
        <v>109</v>
      </c>
      <c r="B38" s="33">
        <v>0.3</v>
      </c>
      <c r="C38" s="33">
        <v>0.3</v>
      </c>
      <c r="D38" s="33">
        <v>0.28999999999999998</v>
      </c>
      <c r="E38" s="33">
        <v>0.27</v>
      </c>
      <c r="F38" s="33">
        <v>0.25</v>
      </c>
      <c r="G38" s="33">
        <v>0.25</v>
      </c>
      <c r="H38" s="33">
        <v>0.35</v>
      </c>
      <c r="I38" s="33">
        <v>0.2</v>
      </c>
      <c r="J38" s="33">
        <v>0.3</v>
      </c>
      <c r="K38" s="47"/>
      <c r="L38" s="47"/>
    </row>
    <row r="39" spans="1:12" x14ac:dyDescent="0.3">
      <c r="A39" s="81"/>
    </row>
    <row r="40" spans="1:12" x14ac:dyDescent="0.3">
      <c r="A40" s="52" t="s">
        <v>24</v>
      </c>
    </row>
    <row r="41" spans="1:12" x14ac:dyDescent="0.3">
      <c r="A41" s="19">
        <v>1</v>
      </c>
      <c r="B41" s="19" t="s">
        <v>110</v>
      </c>
    </row>
    <row r="42" spans="1:12" x14ac:dyDescent="0.3">
      <c r="A42" s="19">
        <v>2</v>
      </c>
    </row>
    <row r="43" spans="1:12" x14ac:dyDescent="0.3">
      <c r="A43" s="19">
        <v>3</v>
      </c>
    </row>
    <row r="46" spans="1:12" x14ac:dyDescent="0.3">
      <c r="A46" s="58" t="s">
        <v>25</v>
      </c>
    </row>
    <row r="47" spans="1:12" x14ac:dyDescent="0.3">
      <c r="A47" s="88" t="s">
        <v>7</v>
      </c>
      <c r="B47" s="19" t="s">
        <v>82</v>
      </c>
    </row>
    <row r="48" spans="1:12" x14ac:dyDescent="0.3">
      <c r="A48" s="88" t="s">
        <v>15</v>
      </c>
      <c r="B48" s="19" t="s">
        <v>111</v>
      </c>
    </row>
    <row r="49" spans="1:2" x14ac:dyDescent="0.3">
      <c r="A49" s="88" t="s">
        <v>12</v>
      </c>
      <c r="B49" s="19" t="s">
        <v>112</v>
      </c>
    </row>
    <row r="50" spans="1:2" x14ac:dyDescent="0.3">
      <c r="A50" s="88" t="s">
        <v>13</v>
      </c>
      <c r="B50" s="19" t="s">
        <v>113</v>
      </c>
    </row>
    <row r="51" spans="1:2" x14ac:dyDescent="0.3">
      <c r="A51" s="88" t="s">
        <v>16</v>
      </c>
      <c r="B51" s="19" t="s">
        <v>114</v>
      </c>
    </row>
    <row r="52" spans="1:2" x14ac:dyDescent="0.3">
      <c r="A52" s="88" t="s">
        <v>17</v>
      </c>
      <c r="B52" s="19" t="s">
        <v>115</v>
      </c>
    </row>
    <row r="53" spans="1:2" x14ac:dyDescent="0.3">
      <c r="A53" s="88" t="s">
        <v>18</v>
      </c>
      <c r="B53" s="19" t="s">
        <v>116</v>
      </c>
    </row>
    <row r="54" spans="1:2" x14ac:dyDescent="0.3">
      <c r="A54" s="88" t="s">
        <v>20</v>
      </c>
      <c r="B54" s="19" t="s">
        <v>117</v>
      </c>
    </row>
    <row r="55" spans="1:2" x14ac:dyDescent="0.3">
      <c r="A55" s="88" t="s">
        <v>19</v>
      </c>
      <c r="B55" s="19" t="s">
        <v>118</v>
      </c>
    </row>
    <row r="56" spans="1:2" x14ac:dyDescent="0.3">
      <c r="A56" s="88" t="s">
        <v>21</v>
      </c>
      <c r="B56" s="19" t="s">
        <v>119</v>
      </c>
    </row>
    <row r="57" spans="1:2" x14ac:dyDescent="0.3">
      <c r="A57" s="88" t="s">
        <v>22</v>
      </c>
      <c r="B57" s="19" t="s">
        <v>120</v>
      </c>
    </row>
  </sheetData>
  <mergeCells count="3">
    <mergeCell ref="B2:L2"/>
    <mergeCell ref="G3:H3"/>
    <mergeCell ref="I3:J3"/>
  </mergeCells>
  <hyperlinks>
    <hyperlink ref="B2" location="INDEX" display="Oxy-fuel carbon capture - Retrofit 500 MW biomass boiler excluding ASU"/>
  </hyperlinks>
  <pageMargins left="0.25" right="0.25"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L56"/>
  <sheetViews>
    <sheetView zoomScale="89" zoomScaleNormal="89" workbookViewId="0"/>
  </sheetViews>
  <sheetFormatPr defaultColWidth="8.6640625" defaultRowHeight="14.4" x14ac:dyDescent="0.3"/>
  <cols>
    <col min="1" max="1" width="54.33203125" style="19" customWidth="1"/>
    <col min="2" max="10" width="8.5546875" style="19" customWidth="1"/>
    <col min="11" max="12" width="6.33203125" style="19" customWidth="1"/>
    <col min="13" max="16384" width="8.6640625" style="19"/>
  </cols>
  <sheetData>
    <row r="1" spans="1:12" customFormat="1" x14ac:dyDescent="0.3"/>
    <row r="2" spans="1:12" ht="15.75" customHeight="1" x14ac:dyDescent="0.3">
      <c r="A2" s="20" t="s">
        <v>0</v>
      </c>
      <c r="B2" s="178" t="s">
        <v>121</v>
      </c>
      <c r="C2" s="183"/>
      <c r="D2" s="179"/>
      <c r="E2" s="179"/>
      <c r="F2" s="179"/>
      <c r="G2" s="179"/>
      <c r="H2" s="179"/>
      <c r="I2" s="179"/>
      <c r="J2" s="179"/>
      <c r="K2" s="179"/>
      <c r="L2" s="180"/>
    </row>
    <row r="3" spans="1:12" ht="15.75" customHeight="1" x14ac:dyDescent="0.3">
      <c r="A3" s="21"/>
      <c r="B3" s="22">
        <v>2020</v>
      </c>
      <c r="C3" s="22">
        <v>2025</v>
      </c>
      <c r="D3" s="23">
        <v>2030</v>
      </c>
      <c r="E3" s="23">
        <v>2040</v>
      </c>
      <c r="F3" s="82">
        <v>2050</v>
      </c>
      <c r="G3" s="184" t="s">
        <v>33</v>
      </c>
      <c r="H3" s="185"/>
      <c r="I3" s="181" t="s">
        <v>1</v>
      </c>
      <c r="J3" s="182"/>
      <c r="K3" s="23" t="s">
        <v>2</v>
      </c>
      <c r="L3" s="25" t="s">
        <v>3</v>
      </c>
    </row>
    <row r="4" spans="1:12" x14ac:dyDescent="0.3">
      <c r="A4" s="21"/>
      <c r="B4" s="26"/>
      <c r="C4" s="27"/>
      <c r="D4" s="28"/>
      <c r="E4" s="28"/>
      <c r="F4" s="28"/>
      <c r="G4" s="29" t="s">
        <v>4</v>
      </c>
      <c r="H4" s="29" t="s">
        <v>5</v>
      </c>
      <c r="I4" s="29" t="s">
        <v>4</v>
      </c>
      <c r="J4" s="29" t="s">
        <v>5</v>
      </c>
      <c r="K4" s="28"/>
      <c r="L4" s="30"/>
    </row>
    <row r="5" spans="1:12" x14ac:dyDescent="0.3">
      <c r="A5" s="31" t="s">
        <v>6</v>
      </c>
      <c r="B5" s="28"/>
      <c r="C5" s="28"/>
      <c r="D5" s="28"/>
      <c r="E5" s="28"/>
      <c r="F5" s="28"/>
      <c r="G5" s="28"/>
      <c r="H5" s="28"/>
      <c r="I5" s="28"/>
      <c r="J5" s="28"/>
      <c r="K5" s="28"/>
      <c r="L5" s="30"/>
    </row>
    <row r="6" spans="1:12" x14ac:dyDescent="0.3">
      <c r="A6" s="32" t="s">
        <v>34</v>
      </c>
      <c r="B6" s="33">
        <v>94.5</v>
      </c>
      <c r="C6" s="33">
        <v>94.5</v>
      </c>
      <c r="D6" s="33">
        <v>94.5</v>
      </c>
      <c r="E6" s="33">
        <v>100</v>
      </c>
      <c r="F6" s="33">
        <v>100</v>
      </c>
      <c r="G6" s="33">
        <v>90</v>
      </c>
      <c r="H6" s="33">
        <v>100</v>
      </c>
      <c r="I6" s="33">
        <v>95</v>
      </c>
      <c r="J6" s="33">
        <v>104</v>
      </c>
      <c r="K6" s="33" t="s">
        <v>7</v>
      </c>
      <c r="L6" s="33">
        <v>1</v>
      </c>
    </row>
    <row r="7" spans="1:12" x14ac:dyDescent="0.3">
      <c r="A7" s="62" t="s">
        <v>35</v>
      </c>
      <c r="B7" s="63"/>
      <c r="C7" s="63"/>
      <c r="D7" s="63"/>
      <c r="E7" s="63"/>
      <c r="F7" s="63"/>
      <c r="G7" s="63"/>
      <c r="H7" s="63"/>
      <c r="I7" s="63"/>
      <c r="J7" s="63"/>
      <c r="K7" s="63"/>
      <c r="L7" s="64"/>
    </row>
    <row r="8" spans="1:12" x14ac:dyDescent="0.3">
      <c r="A8" s="32" t="s">
        <v>36</v>
      </c>
      <c r="B8" s="33">
        <v>1.4</v>
      </c>
      <c r="C8" s="33">
        <v>1.4</v>
      </c>
      <c r="D8" s="33">
        <v>1.4</v>
      </c>
      <c r="E8" s="33">
        <v>1.3</v>
      </c>
      <c r="F8" s="33">
        <v>1.3</v>
      </c>
      <c r="G8" s="33">
        <v>1.5</v>
      </c>
      <c r="H8" s="33">
        <v>1.2</v>
      </c>
      <c r="I8" s="33">
        <v>1.4</v>
      </c>
      <c r="J8" s="33">
        <v>1.2</v>
      </c>
      <c r="K8" s="33" t="s">
        <v>15</v>
      </c>
      <c r="L8" s="33"/>
    </row>
    <row r="9" spans="1:12" x14ac:dyDescent="0.3">
      <c r="A9" s="36" t="s">
        <v>97</v>
      </c>
      <c r="B9" s="33">
        <v>74</v>
      </c>
      <c r="C9" s="33">
        <v>74</v>
      </c>
      <c r="D9" s="33">
        <v>74</v>
      </c>
      <c r="E9" s="33">
        <v>74</v>
      </c>
      <c r="F9" s="33">
        <v>74</v>
      </c>
      <c r="G9" s="33">
        <v>65</v>
      </c>
      <c r="H9" s="33">
        <v>80</v>
      </c>
      <c r="I9" s="33">
        <v>74</v>
      </c>
      <c r="J9" s="33">
        <v>80</v>
      </c>
      <c r="K9" s="33"/>
      <c r="L9" s="33">
        <v>1</v>
      </c>
    </row>
    <row r="10" spans="1:12" x14ac:dyDescent="0.3">
      <c r="A10" s="32" t="s">
        <v>98</v>
      </c>
      <c r="B10" s="33">
        <v>2.7</v>
      </c>
      <c r="C10" s="33">
        <v>2.7</v>
      </c>
      <c r="D10" s="33">
        <v>2.7</v>
      </c>
      <c r="E10" s="33">
        <v>2.7</v>
      </c>
      <c r="F10" s="33">
        <v>2.7</v>
      </c>
      <c r="G10" s="33">
        <v>2.5</v>
      </c>
      <c r="H10" s="33">
        <v>6</v>
      </c>
      <c r="I10" s="33">
        <v>2.5</v>
      </c>
      <c r="J10" s="33">
        <v>6</v>
      </c>
      <c r="K10" s="33"/>
      <c r="L10" s="33">
        <v>1</v>
      </c>
    </row>
    <row r="11" spans="1:12" x14ac:dyDescent="0.3">
      <c r="A11" s="38" t="s">
        <v>39</v>
      </c>
      <c r="B11" s="33">
        <v>0</v>
      </c>
      <c r="C11" s="33">
        <v>0</v>
      </c>
      <c r="D11" s="33">
        <v>0</v>
      </c>
      <c r="E11" s="33">
        <v>0</v>
      </c>
      <c r="F11" s="33">
        <v>0</v>
      </c>
      <c r="G11" s="33">
        <v>0</v>
      </c>
      <c r="H11" s="33">
        <v>0</v>
      </c>
      <c r="I11" s="33">
        <v>0</v>
      </c>
      <c r="J11" s="33">
        <v>0</v>
      </c>
      <c r="K11" s="33"/>
      <c r="L11" s="33"/>
    </row>
    <row r="12" spans="1:12" x14ac:dyDescent="0.3">
      <c r="A12" s="40" t="s">
        <v>40</v>
      </c>
      <c r="B12" s="33">
        <v>0</v>
      </c>
      <c r="C12" s="33">
        <v>0</v>
      </c>
      <c r="D12" s="33">
        <v>0</v>
      </c>
      <c r="E12" s="33">
        <v>0</v>
      </c>
      <c r="F12" s="33">
        <v>0</v>
      </c>
      <c r="G12" s="33">
        <v>0</v>
      </c>
      <c r="H12" s="33">
        <v>0</v>
      </c>
      <c r="I12" s="33">
        <v>0</v>
      </c>
      <c r="J12" s="33">
        <v>0</v>
      </c>
      <c r="K12" s="33" t="s">
        <v>12</v>
      </c>
      <c r="L12" s="33"/>
    </row>
    <row r="13" spans="1:12" x14ac:dyDescent="0.3">
      <c r="A13" s="69" t="s">
        <v>99</v>
      </c>
      <c r="B13" s="33">
        <v>0.38</v>
      </c>
      <c r="C13" s="33">
        <v>0.38</v>
      </c>
      <c r="D13" s="33">
        <v>0.38</v>
      </c>
      <c r="E13" s="33">
        <v>0.36</v>
      </c>
      <c r="F13" s="33">
        <v>0.36</v>
      </c>
      <c r="G13" s="33">
        <v>0.41</v>
      </c>
      <c r="H13" s="33">
        <v>0.36</v>
      </c>
      <c r="I13" s="33">
        <v>0.38</v>
      </c>
      <c r="J13" s="33">
        <v>0.35</v>
      </c>
      <c r="K13" s="33"/>
      <c r="L13" s="33"/>
    </row>
    <row r="14" spans="1:12" x14ac:dyDescent="0.3">
      <c r="A14" s="34" t="s">
        <v>43</v>
      </c>
      <c r="B14" s="63"/>
      <c r="C14" s="63"/>
      <c r="D14" s="63"/>
      <c r="E14" s="63"/>
      <c r="F14" s="63"/>
      <c r="G14" s="63"/>
      <c r="H14" s="63"/>
      <c r="I14" s="63"/>
      <c r="J14" s="63"/>
      <c r="K14" s="63"/>
      <c r="L14" s="64"/>
    </row>
    <row r="15" spans="1:12" x14ac:dyDescent="0.3">
      <c r="A15" s="42" t="s">
        <v>44</v>
      </c>
      <c r="B15" s="65">
        <f>B9</f>
        <v>74</v>
      </c>
      <c r="C15" s="65">
        <f>C9</f>
        <v>74</v>
      </c>
      <c r="D15" s="65">
        <f>D9</f>
        <v>74</v>
      </c>
      <c r="E15" s="65">
        <f>E9</f>
        <v>74</v>
      </c>
      <c r="F15" s="65">
        <f>F9</f>
        <v>74</v>
      </c>
      <c r="G15" s="39">
        <v>65</v>
      </c>
      <c r="H15" s="39">
        <v>80</v>
      </c>
      <c r="I15" s="39">
        <v>74</v>
      </c>
      <c r="J15" s="39">
        <v>85</v>
      </c>
      <c r="K15" s="39"/>
      <c r="L15" s="39"/>
    </row>
    <row r="16" spans="1:12" x14ac:dyDescent="0.3">
      <c r="A16" s="42" t="s">
        <v>45</v>
      </c>
      <c r="B16" s="65">
        <v>100</v>
      </c>
      <c r="C16" s="65">
        <v>100</v>
      </c>
      <c r="D16" s="65">
        <v>100</v>
      </c>
      <c r="E16" s="65">
        <v>100</v>
      </c>
      <c r="F16" s="65">
        <v>100</v>
      </c>
      <c r="G16" s="65">
        <v>100</v>
      </c>
      <c r="H16" s="65">
        <v>100</v>
      </c>
      <c r="I16" s="65">
        <v>100</v>
      </c>
      <c r="J16" s="65">
        <v>100</v>
      </c>
      <c r="K16" s="39"/>
      <c r="L16" s="39"/>
    </row>
    <row r="17" spans="1:12" x14ac:dyDescent="0.3">
      <c r="A17" s="32" t="s">
        <v>46</v>
      </c>
      <c r="B17" s="65">
        <v>90</v>
      </c>
      <c r="C17" s="65">
        <v>90</v>
      </c>
      <c r="D17" s="39">
        <v>90</v>
      </c>
      <c r="E17" s="39">
        <v>95</v>
      </c>
      <c r="F17" s="39">
        <v>95</v>
      </c>
      <c r="G17" s="39">
        <v>85</v>
      </c>
      <c r="H17" s="39">
        <v>95</v>
      </c>
      <c r="I17" s="39">
        <v>90</v>
      </c>
      <c r="J17" s="39">
        <v>99</v>
      </c>
      <c r="K17" s="39" t="s">
        <v>13</v>
      </c>
      <c r="L17" s="39">
        <v>1</v>
      </c>
    </row>
    <row r="18" spans="1:12" x14ac:dyDescent="0.3">
      <c r="A18" s="32" t="s">
        <v>100</v>
      </c>
      <c r="B18" s="65">
        <v>0.06</v>
      </c>
      <c r="C18" s="65">
        <v>0.06</v>
      </c>
      <c r="D18" s="65">
        <v>0.06</v>
      </c>
      <c r="E18" s="65">
        <v>0.06</v>
      </c>
      <c r="F18" s="65">
        <v>0.06</v>
      </c>
      <c r="G18" s="39">
        <v>0.05</v>
      </c>
      <c r="H18" s="39">
        <v>0.1</v>
      </c>
      <c r="I18" s="39">
        <v>0.05</v>
      </c>
      <c r="J18" s="39">
        <v>0.1</v>
      </c>
      <c r="K18" s="39" t="s">
        <v>16</v>
      </c>
      <c r="L18" s="39"/>
    </row>
    <row r="19" spans="1:12" x14ac:dyDescent="0.3">
      <c r="A19" s="32" t="s">
        <v>101</v>
      </c>
      <c r="B19" s="33"/>
      <c r="C19" s="33"/>
      <c r="D19" s="33"/>
      <c r="E19" s="33"/>
      <c r="F19" s="33"/>
      <c r="G19" s="33"/>
      <c r="H19" s="33"/>
      <c r="I19" s="33"/>
      <c r="J19" s="33"/>
      <c r="K19" s="33"/>
      <c r="L19" s="33"/>
    </row>
    <row r="20" spans="1:12" x14ac:dyDescent="0.3">
      <c r="A20" s="36" t="s">
        <v>102</v>
      </c>
      <c r="B20" s="33"/>
      <c r="C20" s="33"/>
      <c r="D20" s="33"/>
      <c r="E20" s="33"/>
      <c r="F20" s="33"/>
      <c r="G20" s="33"/>
      <c r="H20" s="33"/>
      <c r="I20" s="33"/>
      <c r="J20" s="33"/>
      <c r="K20" s="33"/>
      <c r="L20" s="33"/>
    </row>
    <row r="21" spans="1:12" x14ac:dyDescent="0.3">
      <c r="A21" s="34" t="s">
        <v>50</v>
      </c>
      <c r="B21" s="65"/>
      <c r="C21" s="65"/>
      <c r="D21" s="39"/>
      <c r="E21" s="39"/>
      <c r="F21" s="39"/>
      <c r="G21" s="39"/>
      <c r="H21" s="39"/>
      <c r="I21" s="39"/>
      <c r="J21" s="39"/>
      <c r="K21" s="39"/>
      <c r="L21" s="39"/>
    </row>
    <row r="22" spans="1:12" x14ac:dyDescent="0.3">
      <c r="A22" s="32" t="s">
        <v>8</v>
      </c>
      <c r="B22" s="74">
        <v>0.05</v>
      </c>
      <c r="C22" s="74">
        <v>0.05</v>
      </c>
      <c r="D22" s="68">
        <v>0.04</v>
      </c>
      <c r="E22" s="68">
        <v>0.03</v>
      </c>
      <c r="F22" s="68">
        <v>0.03</v>
      </c>
      <c r="G22" s="68">
        <v>0.03</v>
      </c>
      <c r="H22" s="68">
        <v>0.05</v>
      </c>
      <c r="I22" s="68">
        <v>0.03</v>
      </c>
      <c r="J22" s="68">
        <v>0.05</v>
      </c>
      <c r="K22" s="33"/>
      <c r="L22" s="33"/>
    </row>
    <row r="23" spans="1:12" x14ac:dyDescent="0.3">
      <c r="A23" s="32" t="s">
        <v>9</v>
      </c>
      <c r="B23" s="75">
        <v>3</v>
      </c>
      <c r="C23" s="75">
        <v>3</v>
      </c>
      <c r="D23" s="33">
        <v>3</v>
      </c>
      <c r="E23" s="33">
        <v>2</v>
      </c>
      <c r="F23" s="33">
        <v>2</v>
      </c>
      <c r="G23" s="33">
        <v>2</v>
      </c>
      <c r="H23" s="33">
        <v>4</v>
      </c>
      <c r="I23" s="33">
        <v>2</v>
      </c>
      <c r="J23" s="33">
        <v>3</v>
      </c>
      <c r="K23" s="33"/>
      <c r="L23" s="33"/>
    </row>
    <row r="24" spans="1:12" x14ac:dyDescent="0.3">
      <c r="A24" s="32" t="s">
        <v>10</v>
      </c>
      <c r="B24" s="33">
        <v>25</v>
      </c>
      <c r="C24" s="33">
        <v>25</v>
      </c>
      <c r="D24" s="33">
        <v>25</v>
      </c>
      <c r="E24" s="33">
        <v>25</v>
      </c>
      <c r="F24" s="33">
        <v>25</v>
      </c>
      <c r="G24" s="33">
        <v>25</v>
      </c>
      <c r="H24" s="33">
        <v>25</v>
      </c>
      <c r="I24" s="33">
        <v>25</v>
      </c>
      <c r="J24" s="33">
        <v>25</v>
      </c>
      <c r="K24" s="33"/>
      <c r="L24" s="33"/>
    </row>
    <row r="25" spans="1:12" x14ac:dyDescent="0.3">
      <c r="A25" s="32"/>
      <c r="B25" s="33"/>
      <c r="C25" s="33"/>
      <c r="D25" s="33"/>
      <c r="E25" s="33"/>
      <c r="F25" s="33"/>
      <c r="G25" s="33"/>
      <c r="H25" s="33"/>
      <c r="I25" s="33"/>
      <c r="J25" s="33"/>
      <c r="K25" s="33"/>
      <c r="L25" s="33"/>
    </row>
    <row r="26" spans="1:12" ht="14.7" customHeight="1" x14ac:dyDescent="0.3">
      <c r="A26" s="44" t="s">
        <v>398</v>
      </c>
      <c r="B26" s="48"/>
      <c r="C26" s="48"/>
      <c r="D26" s="48"/>
      <c r="E26" s="48"/>
      <c r="F26" s="48"/>
      <c r="G26" s="48"/>
      <c r="H26" s="48"/>
      <c r="I26" s="48"/>
      <c r="J26" s="83"/>
      <c r="K26" s="48"/>
      <c r="L26" s="49"/>
    </row>
    <row r="27" spans="1:12" x14ac:dyDescent="0.3">
      <c r="A27" s="32" t="s">
        <v>51</v>
      </c>
      <c r="B27" s="39">
        <v>1.2</v>
      </c>
      <c r="C27" s="39">
        <v>1.2</v>
      </c>
      <c r="D27" s="77">
        <v>1.1499999999999999</v>
      </c>
      <c r="E27" s="77">
        <v>1.05</v>
      </c>
      <c r="F27" s="76">
        <v>1</v>
      </c>
      <c r="G27" s="76">
        <v>1</v>
      </c>
      <c r="H27" s="39">
        <v>1.8</v>
      </c>
      <c r="I27" s="39">
        <v>0.8</v>
      </c>
      <c r="J27" s="59">
        <v>1.4</v>
      </c>
      <c r="K27" s="39" t="s">
        <v>17</v>
      </c>
      <c r="L27" s="39"/>
    </row>
    <row r="28" spans="1:12" x14ac:dyDescent="0.3">
      <c r="A28" s="36" t="s">
        <v>103</v>
      </c>
      <c r="B28" s="33"/>
      <c r="C28" s="33"/>
      <c r="D28" s="33"/>
      <c r="E28" s="33"/>
      <c r="F28" s="36"/>
      <c r="G28" s="33"/>
      <c r="H28" s="33"/>
      <c r="I28" s="33"/>
      <c r="J28" s="37"/>
      <c r="K28" s="39"/>
      <c r="L28" s="33"/>
    </row>
    <row r="29" spans="1:12" x14ac:dyDescent="0.3">
      <c r="A29" s="32" t="s">
        <v>104</v>
      </c>
      <c r="B29" s="33"/>
      <c r="C29" s="33"/>
      <c r="D29" s="33"/>
      <c r="E29" s="33"/>
      <c r="F29" s="32"/>
      <c r="G29" s="33"/>
      <c r="H29" s="33"/>
      <c r="I29" s="33"/>
      <c r="J29" s="33"/>
      <c r="K29" s="39"/>
      <c r="L29" s="33"/>
    </row>
    <row r="30" spans="1:12" x14ac:dyDescent="0.3">
      <c r="A30" s="43" t="s">
        <v>57</v>
      </c>
      <c r="B30" s="78">
        <f>B27*0.03</f>
        <v>3.5999999999999997E-2</v>
      </c>
      <c r="C30" s="78">
        <f t="shared" ref="C30:J30" si="0">C27*0.03</f>
        <v>3.5999999999999997E-2</v>
      </c>
      <c r="D30" s="78">
        <f t="shared" si="0"/>
        <v>3.4499999999999996E-2</v>
      </c>
      <c r="E30" s="78">
        <f t="shared" si="0"/>
        <v>3.15E-2</v>
      </c>
      <c r="F30" s="78">
        <f t="shared" si="0"/>
        <v>0.03</v>
      </c>
      <c r="G30" s="78">
        <f t="shared" si="0"/>
        <v>0.03</v>
      </c>
      <c r="H30" s="78">
        <f t="shared" si="0"/>
        <v>5.3999999999999999E-2</v>
      </c>
      <c r="I30" s="78">
        <f t="shared" si="0"/>
        <v>2.4E-2</v>
      </c>
      <c r="J30" s="78">
        <f t="shared" si="0"/>
        <v>4.1999999999999996E-2</v>
      </c>
      <c r="K30" s="39" t="s">
        <v>18</v>
      </c>
      <c r="L30" s="39"/>
    </row>
    <row r="31" spans="1:12" x14ac:dyDescent="0.3">
      <c r="A31" s="36" t="s">
        <v>105</v>
      </c>
      <c r="B31" s="39">
        <v>2</v>
      </c>
      <c r="C31" s="39">
        <v>2</v>
      </c>
      <c r="D31" s="39">
        <v>2</v>
      </c>
      <c r="E31" s="39">
        <v>2</v>
      </c>
      <c r="F31" s="39">
        <v>2</v>
      </c>
      <c r="G31" s="39">
        <v>2</v>
      </c>
      <c r="H31" s="39">
        <v>2</v>
      </c>
      <c r="I31" s="39">
        <v>2</v>
      </c>
      <c r="J31" s="39">
        <v>2</v>
      </c>
      <c r="K31" s="39" t="s">
        <v>20</v>
      </c>
      <c r="L31" s="39"/>
    </row>
    <row r="32" spans="1:12" x14ac:dyDescent="0.3">
      <c r="A32" s="42" t="s">
        <v>122</v>
      </c>
      <c r="B32" s="39">
        <v>30</v>
      </c>
      <c r="C32" s="39">
        <v>30</v>
      </c>
      <c r="D32" s="39">
        <v>30</v>
      </c>
      <c r="E32" s="39">
        <v>30</v>
      </c>
      <c r="F32" s="39">
        <v>30</v>
      </c>
      <c r="G32" s="39">
        <v>30</v>
      </c>
      <c r="H32" s="39">
        <v>30</v>
      </c>
      <c r="I32" s="39">
        <v>30</v>
      </c>
      <c r="J32" s="39">
        <v>30</v>
      </c>
      <c r="K32" s="39" t="s">
        <v>19</v>
      </c>
      <c r="L32" s="39"/>
    </row>
    <row r="33" spans="1:12" x14ac:dyDescent="0.3">
      <c r="A33" s="84"/>
      <c r="B33" s="39"/>
      <c r="C33" s="39"/>
      <c r="D33" s="39"/>
      <c r="E33" s="39"/>
      <c r="F33" s="59"/>
      <c r="G33" s="39"/>
      <c r="H33" s="39"/>
      <c r="I33" s="39"/>
      <c r="J33" s="59"/>
      <c r="K33" s="39"/>
      <c r="L33" s="39"/>
    </row>
    <row r="34" spans="1:12" x14ac:dyDescent="0.3">
      <c r="A34" s="31" t="s">
        <v>60</v>
      </c>
      <c r="B34" s="33"/>
      <c r="C34" s="33"/>
      <c r="D34" s="33"/>
      <c r="E34" s="33"/>
      <c r="F34" s="36"/>
      <c r="G34" s="33"/>
      <c r="H34" s="33"/>
      <c r="I34" s="33"/>
      <c r="J34" s="37"/>
      <c r="K34" s="39"/>
      <c r="L34" s="33"/>
    </row>
    <row r="35" spans="1:12" x14ac:dyDescent="0.3">
      <c r="A35" s="32" t="s">
        <v>106</v>
      </c>
      <c r="B35" s="33">
        <v>0.3</v>
      </c>
      <c r="C35" s="33">
        <v>0.3</v>
      </c>
      <c r="D35" s="33">
        <v>0.28000000000000003</v>
      </c>
      <c r="E35" s="33">
        <v>0.26</v>
      </c>
      <c r="F35" s="33">
        <v>0.24</v>
      </c>
      <c r="G35" s="33">
        <v>0.25</v>
      </c>
      <c r="H35" s="33">
        <v>0.35</v>
      </c>
      <c r="I35" s="33">
        <v>0.22</v>
      </c>
      <c r="J35" s="37">
        <v>0.3</v>
      </c>
      <c r="K35" s="39" t="s">
        <v>21</v>
      </c>
      <c r="L35" s="33"/>
    </row>
    <row r="36" spans="1:12" x14ac:dyDescent="0.3">
      <c r="A36" s="42" t="s">
        <v>107</v>
      </c>
      <c r="B36" s="33">
        <v>8.5999999999999993E-2</v>
      </c>
      <c r="C36" s="33">
        <v>8.5999999999999993E-2</v>
      </c>
      <c r="D36" s="33">
        <v>0.08</v>
      </c>
      <c r="E36" s="33">
        <v>7.4999999999999997E-2</v>
      </c>
      <c r="F36" s="33">
        <v>0.7</v>
      </c>
      <c r="G36" s="33">
        <v>0.08</v>
      </c>
      <c r="H36" s="33">
        <v>0.09</v>
      </c>
      <c r="I36" s="33">
        <v>0.6</v>
      </c>
      <c r="J36" s="33">
        <v>0.08</v>
      </c>
      <c r="K36" s="39"/>
      <c r="L36" s="44"/>
    </row>
    <row r="37" spans="1:12" x14ac:dyDescent="0.3">
      <c r="A37" s="69" t="s">
        <v>108</v>
      </c>
      <c r="B37" s="59">
        <v>0.18</v>
      </c>
      <c r="C37" s="59">
        <v>0.18</v>
      </c>
      <c r="D37" s="59">
        <v>0.17</v>
      </c>
      <c r="E37" s="59">
        <v>0.16</v>
      </c>
      <c r="F37" s="59">
        <v>0.15</v>
      </c>
      <c r="G37" s="33">
        <v>0.16</v>
      </c>
      <c r="H37" s="33">
        <v>0.2</v>
      </c>
      <c r="I37" s="33">
        <v>0.12</v>
      </c>
      <c r="J37" s="33">
        <v>0.18</v>
      </c>
      <c r="K37" s="39"/>
      <c r="L37" s="33"/>
    </row>
    <row r="38" spans="1:12" x14ac:dyDescent="0.3">
      <c r="A38" s="42" t="s">
        <v>109</v>
      </c>
      <c r="B38" s="33">
        <v>0.3</v>
      </c>
      <c r="C38" s="33">
        <v>0.3</v>
      </c>
      <c r="D38" s="33">
        <v>0.28999999999999998</v>
      </c>
      <c r="E38" s="33">
        <v>0.27</v>
      </c>
      <c r="F38" s="33">
        <v>0.25</v>
      </c>
      <c r="G38" s="33">
        <v>0.25</v>
      </c>
      <c r="H38" s="33">
        <v>0.35</v>
      </c>
      <c r="I38" s="33">
        <v>0.2</v>
      </c>
      <c r="J38" s="33">
        <v>0.3</v>
      </c>
      <c r="K38" s="33"/>
      <c r="L38" s="33"/>
    </row>
    <row r="39" spans="1:12" x14ac:dyDescent="0.3">
      <c r="A39" s="51"/>
    </row>
    <row r="40" spans="1:12" x14ac:dyDescent="0.3">
      <c r="A40" s="85" t="s">
        <v>24</v>
      </c>
    </row>
    <row r="41" spans="1:12" x14ac:dyDescent="0.3">
      <c r="A41" s="19">
        <v>1</v>
      </c>
      <c r="B41" s="19" t="s">
        <v>123</v>
      </c>
    </row>
    <row r="42" spans="1:12" x14ac:dyDescent="0.3">
      <c r="A42" s="19">
        <v>2</v>
      </c>
    </row>
    <row r="43" spans="1:12" x14ac:dyDescent="0.3">
      <c r="A43" s="19">
        <v>3</v>
      </c>
    </row>
    <row r="46" spans="1:12" x14ac:dyDescent="0.3">
      <c r="A46" s="58" t="s">
        <v>25</v>
      </c>
    </row>
    <row r="47" spans="1:12" x14ac:dyDescent="0.3">
      <c r="A47" s="88" t="s">
        <v>7</v>
      </c>
      <c r="B47" s="19" t="s">
        <v>124</v>
      </c>
    </row>
    <row r="48" spans="1:12" x14ac:dyDescent="0.3">
      <c r="A48" s="88" t="s">
        <v>15</v>
      </c>
      <c r="B48" s="19" t="s">
        <v>125</v>
      </c>
    </row>
    <row r="49" spans="1:2" x14ac:dyDescent="0.3">
      <c r="A49" s="88" t="s">
        <v>12</v>
      </c>
      <c r="B49" s="19" t="s">
        <v>112</v>
      </c>
    </row>
    <row r="50" spans="1:2" x14ac:dyDescent="0.3">
      <c r="A50" s="88" t="s">
        <v>13</v>
      </c>
      <c r="B50" s="19" t="s">
        <v>126</v>
      </c>
    </row>
    <row r="51" spans="1:2" x14ac:dyDescent="0.3">
      <c r="A51" s="88" t="s">
        <v>16</v>
      </c>
      <c r="B51" s="19" t="s">
        <v>127</v>
      </c>
    </row>
    <row r="52" spans="1:2" x14ac:dyDescent="0.3">
      <c r="A52" s="88" t="s">
        <v>17</v>
      </c>
      <c r="B52" s="19" t="s">
        <v>128</v>
      </c>
    </row>
    <row r="53" spans="1:2" x14ac:dyDescent="0.3">
      <c r="A53" s="88" t="s">
        <v>18</v>
      </c>
      <c r="B53" s="19" t="s">
        <v>117</v>
      </c>
    </row>
    <row r="54" spans="1:2" x14ac:dyDescent="0.3">
      <c r="A54" s="88" t="s">
        <v>20</v>
      </c>
      <c r="B54" s="19" t="s">
        <v>129</v>
      </c>
    </row>
    <row r="55" spans="1:2" x14ac:dyDescent="0.3">
      <c r="A55" s="88" t="s">
        <v>19</v>
      </c>
      <c r="B55" s="19" t="s">
        <v>130</v>
      </c>
    </row>
    <row r="56" spans="1:2" x14ac:dyDescent="0.3">
      <c r="A56" s="88" t="s">
        <v>21</v>
      </c>
      <c r="B56" s="19" t="s">
        <v>131</v>
      </c>
    </row>
  </sheetData>
  <mergeCells count="3">
    <mergeCell ref="B2:L2"/>
    <mergeCell ref="G3:H3"/>
    <mergeCell ref="I3:J3"/>
  </mergeCells>
  <hyperlinks>
    <hyperlink ref="B2" location="INDEX" display="Oxy-fuel carbon caputre - Retrofit 3000 ton clinker per day cement kiln excluding ASU"/>
  </hyperlinks>
  <pageMargins left="0.25" right="0.25"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O56"/>
  <sheetViews>
    <sheetView zoomScale="89" zoomScaleNormal="89" workbookViewId="0"/>
  </sheetViews>
  <sheetFormatPr defaultColWidth="8.6640625" defaultRowHeight="14.4" x14ac:dyDescent="0.3"/>
  <cols>
    <col min="1" max="1" width="40.6640625" style="19" customWidth="1"/>
    <col min="2" max="10" width="8.5546875" style="19" customWidth="1"/>
    <col min="11" max="12" width="6.33203125" style="19" customWidth="1"/>
    <col min="13" max="13" width="8.6640625" style="19"/>
    <col min="14" max="14" width="10" style="19" bestFit="1" customWidth="1"/>
    <col min="15" max="15" width="8.88671875" style="19" bestFit="1" customWidth="1"/>
    <col min="16" max="16" width="10.109375" style="19" bestFit="1" customWidth="1"/>
    <col min="17" max="16384" width="8.6640625" style="19"/>
  </cols>
  <sheetData>
    <row r="1" spans="1:12" s="18" customFormat="1" x14ac:dyDescent="0.3"/>
    <row r="2" spans="1:12" ht="15.75" customHeight="1" x14ac:dyDescent="0.3">
      <c r="A2" s="20" t="s">
        <v>0</v>
      </c>
      <c r="B2" s="178" t="s">
        <v>132</v>
      </c>
      <c r="C2" s="183"/>
      <c r="D2" s="179"/>
      <c r="E2" s="179"/>
      <c r="F2" s="179"/>
      <c r="G2" s="179"/>
      <c r="H2" s="179"/>
      <c r="I2" s="179"/>
      <c r="J2" s="179"/>
      <c r="K2" s="179"/>
      <c r="L2" s="180"/>
    </row>
    <row r="3" spans="1:12" ht="15.75" customHeight="1" x14ac:dyDescent="0.3">
      <c r="A3" s="21"/>
      <c r="B3" s="22">
        <v>2020</v>
      </c>
      <c r="C3" s="22">
        <v>2025</v>
      </c>
      <c r="D3" s="23">
        <v>2030</v>
      </c>
      <c r="E3" s="23">
        <v>2040</v>
      </c>
      <c r="F3" s="24">
        <v>2050</v>
      </c>
      <c r="G3" s="184" t="s">
        <v>33</v>
      </c>
      <c r="H3" s="185"/>
      <c r="I3" s="181" t="s">
        <v>1</v>
      </c>
      <c r="J3" s="182"/>
      <c r="K3" s="23" t="s">
        <v>2</v>
      </c>
      <c r="L3" s="25" t="s">
        <v>3</v>
      </c>
    </row>
    <row r="4" spans="1:12" x14ac:dyDescent="0.3">
      <c r="A4" s="21"/>
      <c r="B4" s="26"/>
      <c r="C4" s="27"/>
      <c r="D4" s="28"/>
      <c r="E4" s="28"/>
      <c r="F4" s="28"/>
      <c r="G4" s="29" t="s">
        <v>4</v>
      </c>
      <c r="H4" s="29" t="s">
        <v>5</v>
      </c>
      <c r="I4" s="29" t="s">
        <v>4</v>
      </c>
      <c r="J4" s="29" t="s">
        <v>5</v>
      </c>
      <c r="K4" s="28"/>
      <c r="L4" s="30"/>
    </row>
    <row r="5" spans="1:12" x14ac:dyDescent="0.3">
      <c r="A5" s="31" t="s">
        <v>6</v>
      </c>
      <c r="B5" s="28"/>
      <c r="C5" s="28"/>
      <c r="D5" s="28"/>
      <c r="E5" s="28"/>
      <c r="F5" s="28"/>
      <c r="G5" s="28"/>
      <c r="H5" s="28"/>
      <c r="I5" s="28"/>
      <c r="J5" s="28"/>
      <c r="K5" s="28"/>
      <c r="L5" s="30"/>
    </row>
    <row r="6" spans="1:12" x14ac:dyDescent="0.3">
      <c r="A6" s="32" t="s">
        <v>34</v>
      </c>
      <c r="B6" s="33">
        <v>0.1</v>
      </c>
      <c r="C6" s="33">
        <v>0.2</v>
      </c>
      <c r="D6" s="33">
        <v>2</v>
      </c>
      <c r="E6" s="33">
        <v>50</v>
      </c>
      <c r="F6" s="33">
        <v>125</v>
      </c>
      <c r="G6" s="33">
        <v>0.1</v>
      </c>
      <c r="H6" s="33">
        <v>0.4</v>
      </c>
      <c r="I6" s="33">
        <v>50</v>
      </c>
      <c r="J6" s="33">
        <v>200</v>
      </c>
      <c r="K6" s="33" t="s">
        <v>7</v>
      </c>
      <c r="L6" s="33">
        <v>1</v>
      </c>
    </row>
    <row r="7" spans="1:12" x14ac:dyDescent="0.3">
      <c r="A7" s="62" t="s">
        <v>35</v>
      </c>
      <c r="B7" s="63"/>
      <c r="C7" s="63"/>
      <c r="D7" s="63"/>
      <c r="E7" s="63"/>
      <c r="F7" s="63"/>
      <c r="G7" s="63"/>
      <c r="H7" s="63"/>
      <c r="I7" s="63"/>
      <c r="J7" s="63"/>
      <c r="K7" s="63"/>
      <c r="L7" s="64"/>
    </row>
    <row r="8" spans="1:12" x14ac:dyDescent="0.3">
      <c r="A8" s="32" t="s">
        <v>133</v>
      </c>
      <c r="B8" s="65">
        <v>3300</v>
      </c>
      <c r="C8" s="65">
        <v>3300</v>
      </c>
      <c r="D8" s="39">
        <v>2800</v>
      </c>
      <c r="E8" s="39">
        <v>2400</v>
      </c>
      <c r="F8" s="39">
        <v>2100</v>
      </c>
      <c r="G8" s="39">
        <v>3000</v>
      </c>
      <c r="H8" s="39">
        <v>3600</v>
      </c>
      <c r="I8" s="39">
        <v>2000</v>
      </c>
      <c r="J8" s="39">
        <v>3000</v>
      </c>
      <c r="K8" s="39" t="s">
        <v>15</v>
      </c>
      <c r="L8" s="39"/>
    </row>
    <row r="9" spans="1:12" x14ac:dyDescent="0.3">
      <c r="A9" s="38" t="s">
        <v>39</v>
      </c>
      <c r="B9" s="75">
        <v>2.5</v>
      </c>
      <c r="C9" s="75">
        <v>2.5</v>
      </c>
      <c r="D9" s="86">
        <v>2</v>
      </c>
      <c r="E9" s="33">
        <v>1.5</v>
      </c>
      <c r="F9" s="33">
        <v>1.5</v>
      </c>
      <c r="G9" s="33">
        <v>1.5</v>
      </c>
      <c r="H9" s="33">
        <v>2.5</v>
      </c>
      <c r="I9" s="33">
        <v>1.4</v>
      </c>
      <c r="J9" s="86">
        <v>2</v>
      </c>
      <c r="K9" s="33" t="s">
        <v>12</v>
      </c>
      <c r="L9" s="33" t="s">
        <v>134</v>
      </c>
    </row>
    <row r="10" spans="1:12" x14ac:dyDescent="0.3">
      <c r="A10" s="40" t="s">
        <v>40</v>
      </c>
      <c r="B10" s="75">
        <v>0.35</v>
      </c>
      <c r="C10" s="75">
        <v>0.35</v>
      </c>
      <c r="D10" s="75">
        <v>0.32</v>
      </c>
      <c r="E10" s="75">
        <v>0.3</v>
      </c>
      <c r="F10" s="75">
        <v>0.28000000000000003</v>
      </c>
      <c r="G10" s="50">
        <v>0.2</v>
      </c>
      <c r="H10" s="50">
        <v>0.5</v>
      </c>
      <c r="I10" s="33">
        <v>0.25</v>
      </c>
      <c r="J10" s="33">
        <v>0.35</v>
      </c>
      <c r="K10" s="33" t="s">
        <v>13</v>
      </c>
      <c r="L10" s="33" t="s">
        <v>134</v>
      </c>
    </row>
    <row r="11" spans="1:12" x14ac:dyDescent="0.3">
      <c r="A11" s="32" t="s">
        <v>42</v>
      </c>
      <c r="B11" s="75"/>
      <c r="C11" s="75"/>
      <c r="D11" s="33"/>
      <c r="E11" s="33"/>
      <c r="F11" s="33"/>
      <c r="G11" s="33"/>
      <c r="H11" s="33"/>
      <c r="I11" s="33"/>
      <c r="J11" s="33"/>
      <c r="K11" s="33"/>
      <c r="L11" s="33"/>
    </row>
    <row r="12" spans="1:12" x14ac:dyDescent="0.3">
      <c r="A12" s="34" t="s">
        <v>43</v>
      </c>
      <c r="B12" s="48"/>
      <c r="C12" s="48"/>
      <c r="D12" s="48"/>
      <c r="E12" s="48"/>
      <c r="F12" s="48"/>
      <c r="G12" s="48"/>
      <c r="H12" s="48"/>
      <c r="I12" s="48"/>
      <c r="J12" s="48"/>
      <c r="K12" s="48"/>
      <c r="L12" s="49"/>
    </row>
    <row r="13" spans="1:12" x14ac:dyDescent="0.3">
      <c r="A13" s="42" t="s">
        <v>44</v>
      </c>
      <c r="B13" s="65">
        <v>99.9</v>
      </c>
      <c r="C13" s="65">
        <v>99.9</v>
      </c>
      <c r="D13" s="65">
        <v>99.9</v>
      </c>
      <c r="E13" s="65">
        <v>99.9</v>
      </c>
      <c r="F13" s="65">
        <v>99.9</v>
      </c>
      <c r="G13" s="39"/>
      <c r="H13" s="39"/>
      <c r="I13" s="39"/>
      <c r="J13" s="39"/>
      <c r="K13" s="39" t="s">
        <v>16</v>
      </c>
      <c r="L13" s="39">
        <v>2.4</v>
      </c>
    </row>
    <row r="14" spans="1:12" x14ac:dyDescent="0.3">
      <c r="A14" s="42" t="s">
        <v>45</v>
      </c>
      <c r="B14" s="65">
        <v>20</v>
      </c>
      <c r="C14" s="65">
        <v>20</v>
      </c>
      <c r="D14" s="65">
        <v>20</v>
      </c>
      <c r="E14" s="65">
        <v>20</v>
      </c>
      <c r="F14" s="39">
        <v>20</v>
      </c>
      <c r="G14" s="39"/>
      <c r="H14" s="39"/>
      <c r="I14" s="39"/>
      <c r="J14" s="39"/>
      <c r="K14" s="39"/>
      <c r="L14" s="39">
        <v>2</v>
      </c>
    </row>
    <row r="15" spans="1:12" x14ac:dyDescent="0.3">
      <c r="A15" s="42" t="s">
        <v>100</v>
      </c>
      <c r="B15" s="65">
        <v>1</v>
      </c>
      <c r="C15" s="65">
        <v>1</v>
      </c>
      <c r="D15" s="65">
        <v>1</v>
      </c>
      <c r="E15" s="65">
        <v>1</v>
      </c>
      <c r="F15" s="65">
        <v>1</v>
      </c>
      <c r="G15" s="39">
        <v>0.5</v>
      </c>
      <c r="H15" s="39">
        <v>1.5</v>
      </c>
      <c r="I15" s="39">
        <v>0.5</v>
      </c>
      <c r="J15" s="39">
        <v>1.5</v>
      </c>
      <c r="K15" s="39" t="s">
        <v>17</v>
      </c>
      <c r="L15" s="39">
        <v>1</v>
      </c>
    </row>
    <row r="16" spans="1:12" x14ac:dyDescent="0.3">
      <c r="A16" s="32" t="s">
        <v>47</v>
      </c>
      <c r="B16" s="75">
        <v>1.25</v>
      </c>
      <c r="C16" s="75">
        <v>1.25</v>
      </c>
      <c r="D16" s="33">
        <v>1</v>
      </c>
      <c r="E16" s="33">
        <v>0.75</v>
      </c>
      <c r="F16" s="33">
        <v>0.75</v>
      </c>
      <c r="G16" s="33">
        <v>0.75</v>
      </c>
      <c r="H16" s="75">
        <v>1.25</v>
      </c>
      <c r="I16" s="33">
        <v>0.7</v>
      </c>
      <c r="J16" s="33">
        <v>1</v>
      </c>
      <c r="K16" s="33" t="s">
        <v>18</v>
      </c>
      <c r="L16" s="33"/>
    </row>
    <row r="17" spans="1:15" x14ac:dyDescent="0.3">
      <c r="A17" s="36" t="s">
        <v>48</v>
      </c>
      <c r="B17" s="75">
        <v>50</v>
      </c>
      <c r="C17" s="75">
        <v>50</v>
      </c>
      <c r="D17" s="75">
        <v>50</v>
      </c>
      <c r="E17" s="75">
        <v>50</v>
      </c>
      <c r="F17" s="75">
        <v>50</v>
      </c>
      <c r="G17" s="33">
        <v>20</v>
      </c>
      <c r="H17" s="33">
        <v>70</v>
      </c>
      <c r="I17" s="33">
        <v>20</v>
      </c>
      <c r="J17" s="33">
        <v>70</v>
      </c>
      <c r="K17" s="33" t="s">
        <v>20</v>
      </c>
      <c r="L17" s="33"/>
    </row>
    <row r="18" spans="1:15" x14ac:dyDescent="0.3">
      <c r="A18" s="34" t="s">
        <v>50</v>
      </c>
      <c r="B18" s="75"/>
      <c r="C18" s="75"/>
      <c r="D18" s="33"/>
      <c r="E18" s="33"/>
      <c r="F18" s="33"/>
      <c r="G18" s="33"/>
      <c r="H18" s="33"/>
      <c r="I18" s="33"/>
      <c r="J18" s="33"/>
      <c r="K18" s="33"/>
      <c r="L18" s="33"/>
    </row>
    <row r="19" spans="1:15" x14ac:dyDescent="0.3">
      <c r="A19" s="32" t="s">
        <v>8</v>
      </c>
      <c r="B19" s="33">
        <v>5</v>
      </c>
      <c r="C19" s="33">
        <v>5</v>
      </c>
      <c r="D19" s="33">
        <v>3</v>
      </c>
      <c r="E19" s="33">
        <v>3</v>
      </c>
      <c r="F19" s="33">
        <v>3</v>
      </c>
      <c r="G19" s="33">
        <v>3</v>
      </c>
      <c r="H19" s="33">
        <v>3</v>
      </c>
      <c r="I19" s="33">
        <v>3</v>
      </c>
      <c r="J19" s="33">
        <v>3</v>
      </c>
      <c r="K19" s="33" t="s">
        <v>19</v>
      </c>
      <c r="L19" s="33"/>
    </row>
    <row r="20" spans="1:15" x14ac:dyDescent="0.3">
      <c r="A20" s="32" t="s">
        <v>9</v>
      </c>
      <c r="B20" s="75">
        <v>3</v>
      </c>
      <c r="C20" s="75">
        <v>3</v>
      </c>
      <c r="D20" s="75">
        <v>3</v>
      </c>
      <c r="E20" s="75">
        <v>3</v>
      </c>
      <c r="F20" s="75">
        <v>3</v>
      </c>
      <c r="G20" s="75">
        <v>3</v>
      </c>
      <c r="H20" s="75">
        <v>3</v>
      </c>
      <c r="I20" s="33">
        <v>3</v>
      </c>
      <c r="J20" s="33">
        <v>3</v>
      </c>
      <c r="K20" s="33" t="s">
        <v>19</v>
      </c>
      <c r="L20" s="33"/>
    </row>
    <row r="21" spans="1:15" x14ac:dyDescent="0.3">
      <c r="A21" s="32" t="s">
        <v>10</v>
      </c>
      <c r="B21" s="75">
        <v>20</v>
      </c>
      <c r="C21" s="75">
        <v>20</v>
      </c>
      <c r="D21" s="75">
        <v>20</v>
      </c>
      <c r="E21" s="75">
        <v>20</v>
      </c>
      <c r="F21" s="33">
        <v>20</v>
      </c>
      <c r="G21" s="33"/>
      <c r="H21" s="33"/>
      <c r="I21" s="33"/>
      <c r="J21" s="33"/>
      <c r="K21" s="33" t="s">
        <v>21</v>
      </c>
      <c r="L21" s="33">
        <v>4</v>
      </c>
    </row>
    <row r="22" spans="1:15" x14ac:dyDescent="0.3">
      <c r="A22" s="32" t="s">
        <v>11</v>
      </c>
      <c r="B22" s="33">
        <v>1</v>
      </c>
      <c r="C22" s="33">
        <v>1</v>
      </c>
      <c r="D22" s="33">
        <v>2</v>
      </c>
      <c r="E22" s="33">
        <v>2.5</v>
      </c>
      <c r="F22" s="33">
        <v>2.5</v>
      </c>
      <c r="G22" s="33">
        <v>0.75</v>
      </c>
      <c r="H22" s="33">
        <v>1.5</v>
      </c>
      <c r="I22" s="33">
        <v>1.5</v>
      </c>
      <c r="J22" s="33">
        <v>3</v>
      </c>
      <c r="K22" s="33" t="s">
        <v>22</v>
      </c>
      <c r="L22" s="33"/>
    </row>
    <row r="23" spans="1:15" x14ac:dyDescent="0.3">
      <c r="A23" s="44" t="s">
        <v>398</v>
      </c>
      <c r="B23" s="33"/>
      <c r="C23" s="33"/>
      <c r="D23" s="33"/>
      <c r="E23" s="33"/>
      <c r="F23" s="33"/>
      <c r="G23" s="33"/>
      <c r="H23" s="33"/>
      <c r="I23" s="33"/>
      <c r="J23" s="33"/>
      <c r="K23" s="33"/>
      <c r="L23" s="33"/>
    </row>
    <row r="24" spans="1:15" x14ac:dyDescent="0.3">
      <c r="A24" s="32" t="s">
        <v>51</v>
      </c>
      <c r="B24" s="39">
        <v>7</v>
      </c>
      <c r="C24" s="39">
        <v>7</v>
      </c>
      <c r="D24" s="39">
        <v>6</v>
      </c>
      <c r="E24" s="39">
        <v>5</v>
      </c>
      <c r="F24" s="59">
        <v>4</v>
      </c>
      <c r="G24" s="39">
        <v>6</v>
      </c>
      <c r="H24" s="39">
        <v>10</v>
      </c>
      <c r="I24" s="39">
        <v>3</v>
      </c>
      <c r="J24" s="59">
        <v>7</v>
      </c>
      <c r="K24" s="33" t="s">
        <v>23</v>
      </c>
      <c r="L24" s="39">
        <v>2</v>
      </c>
    </row>
    <row r="25" spans="1:15" x14ac:dyDescent="0.3">
      <c r="A25" s="36" t="s">
        <v>103</v>
      </c>
      <c r="B25" s="33"/>
      <c r="C25" s="33"/>
      <c r="D25" s="33"/>
      <c r="E25" s="33"/>
      <c r="F25" s="36"/>
      <c r="G25" s="33"/>
      <c r="H25" s="33"/>
      <c r="I25" s="33"/>
      <c r="J25" s="36"/>
      <c r="K25" s="47"/>
      <c r="L25" s="33"/>
    </row>
    <row r="26" spans="1:15" x14ac:dyDescent="0.3">
      <c r="A26" s="32" t="s">
        <v>104</v>
      </c>
      <c r="B26" s="33"/>
      <c r="C26" s="33"/>
      <c r="D26" s="33"/>
      <c r="E26" s="33"/>
      <c r="F26" s="32"/>
      <c r="G26" s="33"/>
      <c r="H26" s="33"/>
      <c r="I26" s="33"/>
      <c r="J26" s="32"/>
      <c r="K26" s="47"/>
      <c r="L26" s="33"/>
      <c r="O26" s="61"/>
    </row>
    <row r="27" spans="1:15" x14ac:dyDescent="0.3">
      <c r="A27" s="43" t="s">
        <v>135</v>
      </c>
      <c r="B27" s="77">
        <f>B24*0.037+(B24)/4*0.05</f>
        <v>0.34650000000000003</v>
      </c>
      <c r="C27" s="77">
        <f t="shared" ref="C27:J27" si="0">C24*0.037+(C24)/4*0.05</f>
        <v>0.34650000000000003</v>
      </c>
      <c r="D27" s="77">
        <f t="shared" si="0"/>
        <v>0.29699999999999999</v>
      </c>
      <c r="E27" s="77">
        <f t="shared" si="0"/>
        <v>0.2475</v>
      </c>
      <c r="F27" s="77">
        <f t="shared" si="0"/>
        <v>0.19800000000000001</v>
      </c>
      <c r="G27" s="77">
        <f t="shared" si="0"/>
        <v>0.29699999999999999</v>
      </c>
      <c r="H27" s="77">
        <f t="shared" si="0"/>
        <v>0.495</v>
      </c>
      <c r="I27" s="77">
        <f t="shared" si="0"/>
        <v>0.14849999999999999</v>
      </c>
      <c r="J27" s="77">
        <f t="shared" si="0"/>
        <v>0.34650000000000003</v>
      </c>
      <c r="K27" s="33" t="s">
        <v>26</v>
      </c>
      <c r="L27" s="39">
        <v>2</v>
      </c>
      <c r="O27" s="87"/>
    </row>
    <row r="28" spans="1:15" x14ac:dyDescent="0.3">
      <c r="A28" s="36" t="s">
        <v>136</v>
      </c>
      <c r="B28" s="33"/>
      <c r="C28" s="33"/>
      <c r="D28" s="33"/>
      <c r="E28" s="33"/>
      <c r="F28" s="36"/>
      <c r="G28" s="33"/>
      <c r="H28" s="33"/>
      <c r="I28" s="33"/>
      <c r="J28" s="36"/>
      <c r="K28" s="33" t="s">
        <v>27</v>
      </c>
      <c r="L28" s="33"/>
    </row>
    <row r="29" spans="1:15" x14ac:dyDescent="0.3">
      <c r="A29" s="42" t="s">
        <v>122</v>
      </c>
      <c r="B29" s="33"/>
      <c r="C29" s="33"/>
      <c r="D29" s="33"/>
      <c r="E29" s="33"/>
      <c r="F29" s="36"/>
      <c r="G29" s="33"/>
      <c r="H29" s="33"/>
      <c r="I29" s="33"/>
      <c r="J29" s="36"/>
      <c r="K29" s="33"/>
      <c r="L29" s="33"/>
    </row>
    <row r="30" spans="1:15" x14ac:dyDescent="0.3">
      <c r="A30" s="31" t="s">
        <v>60</v>
      </c>
      <c r="B30" s="48"/>
      <c r="C30" s="48"/>
      <c r="D30" s="48"/>
      <c r="E30" s="48"/>
      <c r="F30" s="48"/>
      <c r="G30" s="48"/>
      <c r="H30" s="48"/>
      <c r="I30" s="48"/>
      <c r="J30" s="48"/>
      <c r="K30" s="48"/>
      <c r="L30" s="49"/>
      <c r="O30" s="61"/>
    </row>
    <row r="31" spans="1:15" x14ac:dyDescent="0.3">
      <c r="A31" s="36" t="s">
        <v>137</v>
      </c>
      <c r="B31" s="33">
        <v>0.1</v>
      </c>
      <c r="C31" s="33">
        <v>0.1</v>
      </c>
      <c r="D31" s="33">
        <v>0.1</v>
      </c>
      <c r="E31" s="33">
        <v>0.05</v>
      </c>
      <c r="F31" s="37">
        <v>0.02</v>
      </c>
      <c r="G31" s="33">
        <v>0.02</v>
      </c>
      <c r="H31" s="33">
        <v>0.1</v>
      </c>
      <c r="I31" s="33">
        <v>0.05</v>
      </c>
      <c r="J31" s="37">
        <v>2E-3</v>
      </c>
      <c r="K31" s="33"/>
      <c r="L31" s="33">
        <v>1</v>
      </c>
    </row>
    <row r="32" spans="1:15" ht="20.399999999999999" x14ac:dyDescent="0.3">
      <c r="A32" s="36" t="s">
        <v>61</v>
      </c>
      <c r="B32" s="33">
        <v>0.15</v>
      </c>
      <c r="C32" s="33">
        <v>0.15</v>
      </c>
      <c r="D32" s="33">
        <v>0.15</v>
      </c>
      <c r="E32" s="33">
        <v>0.15</v>
      </c>
      <c r="F32" s="33">
        <v>0.15</v>
      </c>
      <c r="G32" s="33"/>
      <c r="H32" s="33"/>
      <c r="I32" s="33"/>
      <c r="J32" s="36"/>
      <c r="K32" s="33" t="s">
        <v>87</v>
      </c>
      <c r="L32" s="33"/>
    </row>
    <row r="33" spans="1:12" ht="20.399999999999999" x14ac:dyDescent="0.3">
      <c r="A33" s="32" t="s">
        <v>62</v>
      </c>
      <c r="B33" s="33">
        <v>0.2</v>
      </c>
      <c r="C33" s="33">
        <v>0.2</v>
      </c>
      <c r="D33" s="33">
        <v>0.2</v>
      </c>
      <c r="E33" s="33">
        <v>0.2</v>
      </c>
      <c r="F33" s="33">
        <v>0.2</v>
      </c>
      <c r="G33" s="33"/>
      <c r="H33" s="33"/>
      <c r="I33" s="33"/>
      <c r="J33" s="32"/>
      <c r="K33" s="33"/>
      <c r="L33" s="33"/>
    </row>
    <row r="34" spans="1:12" x14ac:dyDescent="0.3">
      <c r="A34" s="51"/>
    </row>
    <row r="35" spans="1:12" x14ac:dyDescent="0.3">
      <c r="A35" s="52" t="s">
        <v>24</v>
      </c>
    </row>
    <row r="36" spans="1:12" x14ac:dyDescent="0.3">
      <c r="A36" s="19">
        <v>1</v>
      </c>
      <c r="B36" s="19" t="s">
        <v>138</v>
      </c>
    </row>
    <row r="37" spans="1:12" x14ac:dyDescent="0.3">
      <c r="A37" s="19">
        <v>2</v>
      </c>
      <c r="B37" s="19" t="s">
        <v>139</v>
      </c>
    </row>
    <row r="38" spans="1:12" x14ac:dyDescent="0.3">
      <c r="A38" s="19">
        <v>3</v>
      </c>
      <c r="B38" s="19" t="s">
        <v>140</v>
      </c>
    </row>
    <row r="39" spans="1:12" x14ac:dyDescent="0.3">
      <c r="A39" s="19">
        <v>4</v>
      </c>
      <c r="B39" s="19" t="s">
        <v>141</v>
      </c>
    </row>
    <row r="41" spans="1:12" x14ac:dyDescent="0.3">
      <c r="A41" s="58" t="s">
        <v>25</v>
      </c>
    </row>
    <row r="42" spans="1:12" x14ac:dyDescent="0.3">
      <c r="A42" s="88" t="s">
        <v>7</v>
      </c>
      <c r="B42" s="19" t="s">
        <v>142</v>
      </c>
    </row>
    <row r="43" spans="1:12" x14ac:dyDescent="0.3">
      <c r="A43" s="88" t="s">
        <v>15</v>
      </c>
      <c r="B43" s="19" t="s">
        <v>143</v>
      </c>
    </row>
    <row r="44" spans="1:12" x14ac:dyDescent="0.3">
      <c r="A44" s="88" t="s">
        <v>12</v>
      </c>
      <c r="B44" s="19" t="s">
        <v>144</v>
      </c>
    </row>
    <row r="45" spans="1:12" x14ac:dyDescent="0.3">
      <c r="A45" s="88" t="s">
        <v>13</v>
      </c>
      <c r="B45" s="19" t="s">
        <v>145</v>
      </c>
    </row>
    <row r="46" spans="1:12" x14ac:dyDescent="0.3">
      <c r="A46" s="88" t="s">
        <v>16</v>
      </c>
      <c r="B46" s="19" t="s">
        <v>146</v>
      </c>
    </row>
    <row r="47" spans="1:12" x14ac:dyDescent="0.3">
      <c r="A47" s="88" t="s">
        <v>17</v>
      </c>
      <c r="B47" s="19" t="s">
        <v>147</v>
      </c>
    </row>
    <row r="48" spans="1:12" x14ac:dyDescent="0.3">
      <c r="A48" s="88" t="s">
        <v>18</v>
      </c>
      <c r="B48" s="19" t="s">
        <v>148</v>
      </c>
    </row>
    <row r="49" spans="1:2" x14ac:dyDescent="0.3">
      <c r="A49" s="88" t="s">
        <v>20</v>
      </c>
      <c r="B49" s="19" t="s">
        <v>149</v>
      </c>
    </row>
    <row r="50" spans="1:2" x14ac:dyDescent="0.3">
      <c r="A50" s="88" t="s">
        <v>19</v>
      </c>
      <c r="B50" s="19" t="s">
        <v>150</v>
      </c>
    </row>
    <row r="51" spans="1:2" x14ac:dyDescent="0.3">
      <c r="A51" s="88" t="s">
        <v>21</v>
      </c>
      <c r="B51" s="19" t="s">
        <v>151</v>
      </c>
    </row>
    <row r="52" spans="1:2" x14ac:dyDescent="0.3">
      <c r="A52" s="88" t="s">
        <v>22</v>
      </c>
      <c r="B52" s="19" t="s">
        <v>152</v>
      </c>
    </row>
    <row r="53" spans="1:2" x14ac:dyDescent="0.3">
      <c r="A53" s="88" t="s">
        <v>23</v>
      </c>
      <c r="B53" s="19" t="s">
        <v>153</v>
      </c>
    </row>
    <row r="54" spans="1:2" x14ac:dyDescent="0.3">
      <c r="A54" s="88" t="s">
        <v>26</v>
      </c>
      <c r="B54" s="19" t="s">
        <v>154</v>
      </c>
    </row>
    <row r="55" spans="1:2" x14ac:dyDescent="0.3">
      <c r="A55" s="88" t="s">
        <v>27</v>
      </c>
      <c r="B55" s="19" t="s">
        <v>155</v>
      </c>
    </row>
    <row r="56" spans="1:2" x14ac:dyDescent="0.3">
      <c r="A56" s="88" t="s">
        <v>87</v>
      </c>
      <c r="B56" s="19" t="s">
        <v>156</v>
      </c>
    </row>
  </sheetData>
  <mergeCells count="3">
    <mergeCell ref="B2:L2"/>
    <mergeCell ref="G3:H3"/>
    <mergeCell ref="I3:J3"/>
  </mergeCells>
  <hyperlinks>
    <hyperlink ref="B2" location="INDEX" display="Direct Air Capture Plant "/>
  </hyperlink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5"/>
  <sheetViews>
    <sheetView zoomScaleNormal="100" workbookViewId="0">
      <selection activeCell="B1" sqref="B1"/>
    </sheetView>
  </sheetViews>
  <sheetFormatPr defaultColWidth="9.33203125" defaultRowHeight="14.4" x14ac:dyDescent="0.3"/>
  <cols>
    <col min="1" max="1" width="2.33203125" style="2" bestFit="1" customWidth="1"/>
    <col min="2" max="2" width="56.109375" style="2" customWidth="1"/>
    <col min="3" max="5" width="9.33203125" style="2"/>
    <col min="6" max="7" width="10" style="2" bestFit="1" customWidth="1"/>
    <col min="8" max="16" width="9.33203125" style="2"/>
    <col min="17" max="17" width="30.6640625" style="2" customWidth="1"/>
    <col min="18" max="18" width="18.5546875" style="2" customWidth="1"/>
    <col min="19" max="19" width="14.44140625" style="2" customWidth="1"/>
    <col min="20" max="20" width="10.33203125" style="2" customWidth="1"/>
    <col min="21" max="21" width="34.5546875" style="2" customWidth="1"/>
    <col min="22" max="22" width="45.6640625" style="2" customWidth="1"/>
    <col min="23" max="16384" width="9.33203125" style="2"/>
  </cols>
  <sheetData>
    <row r="1" spans="2:17" ht="15" thickBot="1" x14ac:dyDescent="0.35">
      <c r="B1" s="110"/>
    </row>
    <row r="2" spans="2:17" ht="15" thickBot="1" x14ac:dyDescent="0.35">
      <c r="B2" s="109" t="s">
        <v>0</v>
      </c>
      <c r="C2" s="187" t="s">
        <v>190</v>
      </c>
      <c r="D2" s="188"/>
      <c r="E2" s="188"/>
      <c r="F2" s="188"/>
      <c r="G2" s="188"/>
      <c r="H2" s="188"/>
      <c r="I2" s="188"/>
      <c r="J2" s="188"/>
      <c r="K2" s="189"/>
      <c r="M2" s="108"/>
    </row>
    <row r="3" spans="2:17" x14ac:dyDescent="0.3">
      <c r="B3" s="190"/>
      <c r="C3" s="192">
        <v>2020</v>
      </c>
      <c r="D3" s="192">
        <v>2030</v>
      </c>
      <c r="E3" s="192">
        <v>2050</v>
      </c>
      <c r="F3" s="194" t="s">
        <v>189</v>
      </c>
      <c r="G3" s="195"/>
      <c r="H3" s="194" t="s">
        <v>1</v>
      </c>
      <c r="I3" s="195"/>
      <c r="J3" s="192" t="s">
        <v>2</v>
      </c>
      <c r="K3" s="192" t="s">
        <v>3</v>
      </c>
      <c r="M3" s="3"/>
      <c r="Q3" s="3"/>
    </row>
    <row r="4" spans="2:17" ht="15" thickBot="1" x14ac:dyDescent="0.35">
      <c r="B4" s="191"/>
      <c r="C4" s="193"/>
      <c r="D4" s="193"/>
      <c r="E4" s="193"/>
      <c r="F4" s="196"/>
      <c r="G4" s="197"/>
      <c r="H4" s="196"/>
      <c r="I4" s="197"/>
      <c r="J4" s="193"/>
      <c r="K4" s="193"/>
      <c r="Q4" s="3"/>
    </row>
    <row r="5" spans="2:17" ht="15" thickBot="1" x14ac:dyDescent="0.35">
      <c r="B5" s="97" t="s">
        <v>6</v>
      </c>
      <c r="C5" s="105"/>
      <c r="D5" s="105"/>
      <c r="E5" s="105"/>
      <c r="F5" s="107" t="s">
        <v>4</v>
      </c>
      <c r="G5" s="107" t="s">
        <v>5</v>
      </c>
      <c r="H5" s="107" t="s">
        <v>4</v>
      </c>
      <c r="I5" s="107" t="s">
        <v>5</v>
      </c>
      <c r="J5" s="105"/>
      <c r="K5" s="104"/>
      <c r="Q5" s="3"/>
    </row>
    <row r="6" spans="2:17" ht="15" thickBot="1" x14ac:dyDescent="0.35">
      <c r="B6" s="95" t="s">
        <v>188</v>
      </c>
      <c r="C6" s="94">
        <v>0.06</v>
      </c>
      <c r="D6" s="94">
        <v>0.06</v>
      </c>
      <c r="E6" s="94">
        <v>0.06</v>
      </c>
      <c r="F6" s="94">
        <v>0.05</v>
      </c>
      <c r="G6" s="94">
        <v>0.75</v>
      </c>
      <c r="H6" s="94">
        <v>0.05</v>
      </c>
      <c r="I6" s="94">
        <v>0.75</v>
      </c>
      <c r="J6" s="94" t="s">
        <v>7</v>
      </c>
      <c r="K6" s="94">
        <v>3</v>
      </c>
      <c r="Q6" s="3"/>
    </row>
    <row r="7" spans="2:17" ht="15" thickBot="1" x14ac:dyDescent="0.35">
      <c r="B7" s="95" t="s">
        <v>187</v>
      </c>
      <c r="C7" s="94">
        <v>0.04</v>
      </c>
      <c r="D7" s="94">
        <v>0.04</v>
      </c>
      <c r="E7" s="94">
        <v>0.04</v>
      </c>
      <c r="F7" s="94">
        <v>0.03</v>
      </c>
      <c r="G7" s="94">
        <v>0.05</v>
      </c>
      <c r="H7" s="94">
        <v>0.03</v>
      </c>
      <c r="I7" s="94">
        <v>0.05</v>
      </c>
      <c r="J7" s="94" t="s">
        <v>7</v>
      </c>
      <c r="K7" s="94">
        <v>3</v>
      </c>
      <c r="Q7" s="3"/>
    </row>
    <row r="8" spans="2:17" ht="15" thickBot="1" x14ac:dyDescent="0.35">
      <c r="B8" s="95" t="s">
        <v>186</v>
      </c>
      <c r="C8" s="94">
        <v>0.02</v>
      </c>
      <c r="D8" s="94">
        <v>0.02</v>
      </c>
      <c r="E8" s="94">
        <v>0.02</v>
      </c>
      <c r="F8" s="94">
        <v>1.4999999999999999E-2</v>
      </c>
      <c r="G8" s="94">
        <v>2.5000000000000001E-2</v>
      </c>
      <c r="H8" s="94">
        <v>1.4999999999999999E-2</v>
      </c>
      <c r="I8" s="94">
        <v>2.5000000000000001E-2</v>
      </c>
      <c r="J8" s="94" t="s">
        <v>7</v>
      </c>
      <c r="K8" s="94">
        <v>3</v>
      </c>
      <c r="Q8" s="3"/>
    </row>
    <row r="9" spans="2:17" ht="15" thickBot="1" x14ac:dyDescent="0.35">
      <c r="B9" s="95" t="s">
        <v>185</v>
      </c>
      <c r="C9" s="94">
        <v>50</v>
      </c>
      <c r="D9" s="94">
        <v>50</v>
      </c>
      <c r="E9" s="94">
        <v>50</v>
      </c>
      <c r="F9" s="94">
        <v>45</v>
      </c>
      <c r="G9" s="94">
        <v>55</v>
      </c>
      <c r="H9" s="94">
        <v>45</v>
      </c>
      <c r="I9" s="94">
        <v>55</v>
      </c>
      <c r="J9" s="94"/>
      <c r="K9" s="94">
        <v>1</v>
      </c>
      <c r="Q9" s="3"/>
    </row>
    <row r="10" spans="2:17" ht="15" thickBot="1" x14ac:dyDescent="0.35">
      <c r="B10" s="95" t="s">
        <v>11</v>
      </c>
      <c r="C10" s="94">
        <v>1</v>
      </c>
      <c r="D10" s="94">
        <v>1</v>
      </c>
      <c r="E10" s="94">
        <v>1</v>
      </c>
      <c r="F10" s="94">
        <v>0.7</v>
      </c>
      <c r="G10" s="94">
        <v>1.5</v>
      </c>
      <c r="H10" s="94">
        <v>0.5</v>
      </c>
      <c r="I10" s="94">
        <v>1.5</v>
      </c>
      <c r="J10" s="94"/>
      <c r="K10" s="94">
        <v>1</v>
      </c>
      <c r="M10" s="3"/>
      <c r="O10" s="3"/>
    </row>
    <row r="11" spans="2:17" ht="15" thickBot="1" x14ac:dyDescent="0.35">
      <c r="B11" s="97" t="s">
        <v>398</v>
      </c>
      <c r="C11" s="105"/>
      <c r="D11" s="105"/>
      <c r="E11" s="105"/>
      <c r="F11" s="105"/>
      <c r="G11" s="105"/>
      <c r="H11" s="105"/>
      <c r="I11" s="105"/>
      <c r="J11" s="105"/>
      <c r="K11" s="104"/>
      <c r="M11" s="3"/>
    </row>
    <row r="12" spans="2:17" ht="15" thickBot="1" x14ac:dyDescent="0.35">
      <c r="B12" s="106" t="s">
        <v>184</v>
      </c>
      <c r="C12" s="105"/>
      <c r="D12" s="105"/>
      <c r="E12" s="105"/>
      <c r="F12" s="105"/>
      <c r="G12" s="105"/>
      <c r="H12" s="105"/>
      <c r="I12" s="105"/>
      <c r="J12" s="105"/>
      <c r="K12" s="104"/>
    </row>
    <row r="13" spans="2:17" ht="16.2" customHeight="1" thickBot="1" x14ac:dyDescent="0.35">
      <c r="B13" s="100" t="s">
        <v>183</v>
      </c>
      <c r="C13" s="99">
        <v>15</v>
      </c>
      <c r="D13" s="99">
        <v>15</v>
      </c>
      <c r="E13" s="99">
        <v>15</v>
      </c>
      <c r="F13" s="99">
        <v>12</v>
      </c>
      <c r="G13" s="99">
        <v>20</v>
      </c>
      <c r="H13" s="99">
        <v>12</v>
      </c>
      <c r="I13" s="99">
        <v>20</v>
      </c>
      <c r="J13" s="94" t="s">
        <v>15</v>
      </c>
      <c r="K13" s="94">
        <v>3</v>
      </c>
    </row>
    <row r="14" spans="2:17" ht="15" thickBot="1" x14ac:dyDescent="0.35">
      <c r="B14" s="100" t="s">
        <v>182</v>
      </c>
      <c r="C14" s="99">
        <v>8</v>
      </c>
      <c r="D14" s="99">
        <v>8</v>
      </c>
      <c r="E14" s="99">
        <v>8</v>
      </c>
      <c r="F14" s="99">
        <v>6</v>
      </c>
      <c r="G14" s="99">
        <v>10</v>
      </c>
      <c r="H14" s="99">
        <v>6</v>
      </c>
      <c r="I14" s="99">
        <v>10</v>
      </c>
      <c r="J14" s="94" t="s">
        <v>15</v>
      </c>
      <c r="K14" s="94">
        <v>3</v>
      </c>
    </row>
    <row r="15" spans="2:17" ht="15" thickBot="1" x14ac:dyDescent="0.35">
      <c r="B15" s="100" t="s">
        <v>181</v>
      </c>
      <c r="C15" s="103">
        <v>2.2999999999999998</v>
      </c>
      <c r="D15" s="103">
        <v>2.2999999999999998</v>
      </c>
      <c r="E15" s="103">
        <v>2.2999999999999998</v>
      </c>
      <c r="F15" s="103">
        <v>1.8</v>
      </c>
      <c r="G15" s="99">
        <v>3</v>
      </c>
      <c r="H15" s="103">
        <v>1.8</v>
      </c>
      <c r="I15" s="99">
        <v>3</v>
      </c>
      <c r="J15" s="94" t="s">
        <v>15</v>
      </c>
      <c r="K15" s="94">
        <v>3</v>
      </c>
    </row>
    <row r="16" spans="2:17" ht="15" thickBot="1" x14ac:dyDescent="0.35">
      <c r="B16" s="100" t="s">
        <v>180</v>
      </c>
      <c r="C16" s="99">
        <v>4</v>
      </c>
      <c r="D16" s="99">
        <v>4</v>
      </c>
      <c r="E16" s="99">
        <v>4</v>
      </c>
      <c r="F16" s="99">
        <v>3</v>
      </c>
      <c r="G16" s="99">
        <v>7</v>
      </c>
      <c r="H16" s="99">
        <v>3</v>
      </c>
      <c r="I16" s="99">
        <v>7</v>
      </c>
      <c r="J16" s="94" t="s">
        <v>12</v>
      </c>
      <c r="K16" s="94">
        <v>2</v>
      </c>
      <c r="M16" s="102"/>
    </row>
    <row r="17" spans="1:12" ht="15" thickBot="1" x14ac:dyDescent="0.35">
      <c r="B17" s="100" t="s">
        <v>179</v>
      </c>
      <c r="C17" s="101">
        <v>75</v>
      </c>
      <c r="D17" s="101">
        <v>75</v>
      </c>
      <c r="E17" s="101">
        <v>75</v>
      </c>
      <c r="F17" s="101"/>
      <c r="G17" s="101"/>
      <c r="H17" s="101"/>
      <c r="I17" s="101"/>
      <c r="J17" s="94"/>
      <c r="K17" s="94">
        <v>1</v>
      </c>
    </row>
    <row r="18" spans="1:12" ht="15" thickBot="1" x14ac:dyDescent="0.35">
      <c r="B18" s="100" t="s">
        <v>178</v>
      </c>
      <c r="C18" s="101">
        <v>25</v>
      </c>
      <c r="D18" s="101">
        <v>25</v>
      </c>
      <c r="E18" s="101">
        <v>25</v>
      </c>
      <c r="F18" s="101"/>
      <c r="G18" s="101"/>
      <c r="H18" s="101"/>
      <c r="I18" s="101"/>
      <c r="J18" s="94"/>
      <c r="K18" s="94">
        <v>1</v>
      </c>
    </row>
    <row r="19" spans="1:12" ht="15" thickBot="1" x14ac:dyDescent="0.35">
      <c r="B19" s="100" t="s">
        <v>177</v>
      </c>
      <c r="C19" s="99">
        <v>4</v>
      </c>
      <c r="D19" s="99">
        <v>4</v>
      </c>
      <c r="E19" s="99">
        <v>4</v>
      </c>
      <c r="F19" s="94">
        <v>2</v>
      </c>
      <c r="G19" s="94">
        <v>6</v>
      </c>
      <c r="H19" s="94">
        <v>2</v>
      </c>
      <c r="I19" s="94">
        <v>6</v>
      </c>
      <c r="J19" s="94" t="s">
        <v>13</v>
      </c>
      <c r="K19" s="94">
        <v>3</v>
      </c>
    </row>
    <row r="20" spans="1:12" ht="15" thickBot="1" x14ac:dyDescent="0.35">
      <c r="B20" s="100" t="s">
        <v>176</v>
      </c>
      <c r="C20" s="99">
        <v>20</v>
      </c>
      <c r="D20" s="99">
        <v>20</v>
      </c>
      <c r="E20" s="99">
        <v>20</v>
      </c>
      <c r="F20" s="99">
        <v>10</v>
      </c>
      <c r="G20" s="99">
        <v>30</v>
      </c>
      <c r="H20" s="99">
        <v>10</v>
      </c>
      <c r="I20" s="99">
        <v>30</v>
      </c>
      <c r="J20" s="94" t="s">
        <v>16</v>
      </c>
      <c r="K20" s="94">
        <v>2</v>
      </c>
    </row>
    <row r="21" spans="1:12" ht="15" thickBot="1" x14ac:dyDescent="0.35">
      <c r="B21" s="100" t="s">
        <v>175</v>
      </c>
      <c r="C21" s="99">
        <v>0</v>
      </c>
      <c r="D21" s="99">
        <v>0</v>
      </c>
      <c r="E21" s="99">
        <v>0</v>
      </c>
      <c r="F21" s="98"/>
      <c r="G21" s="98"/>
      <c r="H21" s="98"/>
      <c r="I21" s="98"/>
      <c r="J21" s="94"/>
      <c r="K21" s="94"/>
    </row>
    <row r="22" spans="1:12" ht="15" thickBot="1" x14ac:dyDescent="0.35">
      <c r="B22" s="96"/>
      <c r="C22" s="94"/>
      <c r="D22" s="94"/>
      <c r="E22" s="94"/>
      <c r="F22" s="94"/>
      <c r="G22" s="94"/>
      <c r="H22" s="94"/>
      <c r="I22" s="94"/>
      <c r="J22" s="94"/>
      <c r="K22" s="94"/>
    </row>
    <row r="23" spans="1:12" ht="15" thickBot="1" x14ac:dyDescent="0.35">
      <c r="B23" s="97" t="s">
        <v>14</v>
      </c>
      <c r="C23" s="94"/>
      <c r="D23" s="94"/>
      <c r="E23" s="94"/>
      <c r="F23" s="94"/>
      <c r="G23" s="94"/>
      <c r="H23" s="94"/>
      <c r="I23" s="94"/>
      <c r="J23" s="94"/>
      <c r="K23" s="94"/>
    </row>
    <row r="24" spans="1:12" ht="15" thickBot="1" x14ac:dyDescent="0.35">
      <c r="B24" s="96"/>
      <c r="C24" s="94"/>
      <c r="D24" s="94"/>
      <c r="E24" s="94"/>
      <c r="F24" s="94"/>
      <c r="G24" s="94"/>
      <c r="H24" s="94"/>
      <c r="I24" s="94"/>
      <c r="J24" s="94"/>
      <c r="K24" s="94"/>
    </row>
    <row r="25" spans="1:12" ht="15" thickBot="1" x14ac:dyDescent="0.35">
      <c r="B25" s="95"/>
      <c r="C25" s="94"/>
      <c r="D25" s="94"/>
      <c r="E25" s="94"/>
      <c r="F25" s="94"/>
      <c r="G25" s="94"/>
      <c r="H25" s="94"/>
      <c r="I25" s="94"/>
      <c r="J25" s="94"/>
      <c r="K25" s="94"/>
    </row>
    <row r="26" spans="1:12" x14ac:dyDescent="0.3">
      <c r="B26" s="92" t="s">
        <v>174</v>
      </c>
    </row>
    <row r="27" spans="1:12" x14ac:dyDescent="0.3">
      <c r="A27" s="89">
        <v>1</v>
      </c>
      <c r="B27" s="186" t="s">
        <v>173</v>
      </c>
      <c r="C27" s="186"/>
      <c r="D27" s="186"/>
      <c r="E27" s="186"/>
      <c r="F27" s="186"/>
      <c r="G27" s="186"/>
      <c r="H27" s="186"/>
      <c r="I27" s="186"/>
      <c r="J27" s="186"/>
      <c r="K27" s="186"/>
    </row>
    <row r="28" spans="1:12" x14ac:dyDescent="0.3">
      <c r="A28" s="89">
        <v>2</v>
      </c>
      <c r="B28" s="186" t="s">
        <v>172</v>
      </c>
      <c r="C28" s="186"/>
      <c r="D28" s="186"/>
      <c r="E28" s="186"/>
      <c r="F28" s="186"/>
      <c r="G28" s="186"/>
      <c r="H28" s="186"/>
      <c r="I28" s="186"/>
      <c r="J28" s="186"/>
      <c r="K28" s="186"/>
    </row>
    <row r="29" spans="1:12" x14ac:dyDescent="0.3">
      <c r="A29" s="89">
        <v>3</v>
      </c>
      <c r="B29" s="93" t="s">
        <v>171</v>
      </c>
      <c r="C29" s="93"/>
      <c r="D29" s="93"/>
      <c r="E29" s="93"/>
      <c r="F29" s="93"/>
      <c r="G29" s="93"/>
      <c r="H29" s="93"/>
      <c r="I29" s="93"/>
      <c r="J29" s="93"/>
      <c r="K29" s="93"/>
    </row>
    <row r="30" spans="1:12" x14ac:dyDescent="0.3">
      <c r="A30" s="89"/>
      <c r="B30" s="186"/>
      <c r="C30" s="186"/>
      <c r="D30" s="186"/>
      <c r="E30" s="186"/>
      <c r="F30" s="186"/>
      <c r="G30" s="186"/>
      <c r="H30" s="186"/>
      <c r="I30" s="186"/>
      <c r="J30" s="186"/>
      <c r="K30" s="186"/>
    </row>
    <row r="31" spans="1:12" x14ac:dyDescent="0.3">
      <c r="A31" s="89"/>
      <c r="B31" s="92" t="s">
        <v>170</v>
      </c>
      <c r="C31" s="1"/>
      <c r="D31" s="1"/>
      <c r="E31" s="1"/>
      <c r="F31" s="1"/>
      <c r="G31" s="1"/>
      <c r="H31" s="1"/>
      <c r="I31" s="1"/>
      <c r="J31" s="1"/>
      <c r="K31" s="1"/>
      <c r="L31" s="1"/>
    </row>
    <row r="32" spans="1:12" s="90" customFormat="1" ht="26.7" customHeight="1" x14ac:dyDescent="0.3">
      <c r="A32" s="91" t="s">
        <v>7</v>
      </c>
      <c r="B32" s="186" t="s">
        <v>169</v>
      </c>
      <c r="C32" s="186"/>
      <c r="D32" s="186"/>
      <c r="E32" s="186"/>
      <c r="F32" s="186"/>
      <c r="G32" s="186"/>
      <c r="H32" s="186"/>
      <c r="I32" s="186"/>
      <c r="J32" s="186"/>
      <c r="K32" s="186"/>
    </row>
    <row r="33" spans="1:12" s="90" customFormat="1" ht="44.1" customHeight="1" x14ac:dyDescent="0.3">
      <c r="A33" s="91" t="s">
        <v>15</v>
      </c>
      <c r="B33" s="186" t="s">
        <v>168</v>
      </c>
      <c r="C33" s="186"/>
      <c r="D33" s="186"/>
      <c r="E33" s="186"/>
      <c r="F33" s="186"/>
      <c r="G33" s="186"/>
      <c r="H33" s="186"/>
      <c r="I33" s="186"/>
      <c r="J33" s="186"/>
      <c r="K33" s="186"/>
    </row>
    <row r="34" spans="1:12" s="90" customFormat="1" ht="24.9" customHeight="1" x14ac:dyDescent="0.3">
      <c r="A34" s="91" t="s">
        <v>12</v>
      </c>
      <c r="B34" s="186" t="s">
        <v>167</v>
      </c>
      <c r="C34" s="186"/>
      <c r="D34" s="186"/>
      <c r="E34" s="186"/>
      <c r="F34" s="186"/>
      <c r="G34" s="186"/>
      <c r="H34" s="186"/>
      <c r="I34" s="186"/>
      <c r="J34" s="186"/>
      <c r="K34" s="186"/>
    </row>
    <row r="35" spans="1:12" s="90" customFormat="1" ht="30" customHeight="1" x14ac:dyDescent="0.3">
      <c r="A35" s="91" t="s">
        <v>13</v>
      </c>
      <c r="B35" s="186" t="s">
        <v>166</v>
      </c>
      <c r="C35" s="186"/>
      <c r="D35" s="186"/>
      <c r="E35" s="186"/>
      <c r="F35" s="186"/>
      <c r="G35" s="186"/>
      <c r="H35" s="186"/>
      <c r="I35" s="186"/>
      <c r="J35" s="186"/>
      <c r="K35" s="186"/>
    </row>
    <row r="36" spans="1:12" s="90" customFormat="1" ht="12.75" customHeight="1" x14ac:dyDescent="0.3">
      <c r="A36" s="91" t="s">
        <v>16</v>
      </c>
      <c r="B36" s="186" t="s">
        <v>165</v>
      </c>
      <c r="C36" s="186"/>
      <c r="D36" s="186"/>
      <c r="E36" s="186"/>
      <c r="F36" s="186"/>
      <c r="G36" s="186"/>
      <c r="H36" s="186"/>
      <c r="I36" s="186"/>
      <c r="J36" s="186"/>
      <c r="K36" s="186"/>
    </row>
    <row r="37" spans="1:12" s="90" customFormat="1" x14ac:dyDescent="0.3">
      <c r="A37" s="91"/>
      <c r="B37" s="186"/>
      <c r="C37" s="186"/>
      <c r="D37" s="186"/>
      <c r="E37" s="186"/>
      <c r="F37" s="186"/>
      <c r="G37" s="186"/>
      <c r="H37" s="186"/>
      <c r="I37" s="186"/>
      <c r="J37" s="186"/>
      <c r="K37" s="186"/>
    </row>
    <row r="38" spans="1:12" s="90" customFormat="1" ht="15" customHeight="1" x14ac:dyDescent="0.3">
      <c r="A38" s="91"/>
      <c r="B38" s="186"/>
      <c r="C38" s="186"/>
      <c r="D38" s="186"/>
      <c r="E38" s="186"/>
      <c r="F38" s="186"/>
      <c r="G38" s="186"/>
      <c r="H38" s="186"/>
      <c r="I38" s="186"/>
      <c r="J38" s="186"/>
      <c r="K38" s="186"/>
    </row>
    <row r="39" spans="1:12" s="90" customFormat="1" ht="15" customHeight="1" x14ac:dyDescent="0.3">
      <c r="A39" s="91"/>
      <c r="B39" s="186"/>
      <c r="C39" s="186"/>
      <c r="D39" s="186"/>
      <c r="E39" s="186"/>
      <c r="F39" s="186"/>
      <c r="G39" s="186"/>
      <c r="H39" s="186"/>
      <c r="I39" s="186"/>
      <c r="J39" s="186"/>
      <c r="K39" s="186"/>
    </row>
    <row r="40" spans="1:12" s="90" customFormat="1" x14ac:dyDescent="0.3">
      <c r="A40" s="91"/>
    </row>
    <row r="41" spans="1:12" s="90" customFormat="1" ht="15" customHeight="1" x14ac:dyDescent="0.3">
      <c r="A41" s="91"/>
      <c r="B41" s="186"/>
      <c r="C41" s="186"/>
      <c r="D41" s="186"/>
      <c r="E41" s="186"/>
      <c r="F41" s="186"/>
      <c r="G41" s="186"/>
      <c r="H41" s="186"/>
      <c r="I41" s="186"/>
      <c r="J41" s="186"/>
      <c r="K41" s="186"/>
    </row>
    <row r="42" spans="1:12" s="90" customFormat="1" ht="39.75" customHeight="1" x14ac:dyDescent="0.3">
      <c r="A42" s="91"/>
      <c r="B42" s="186"/>
      <c r="C42" s="186"/>
      <c r="D42" s="186"/>
      <c r="E42" s="186"/>
      <c r="F42" s="186"/>
      <c r="G42" s="186"/>
      <c r="H42" s="186"/>
      <c r="I42" s="186"/>
      <c r="J42" s="186"/>
      <c r="K42" s="186"/>
    </row>
    <row r="43" spans="1:12" x14ac:dyDescent="0.3">
      <c r="A43" s="89"/>
    </row>
    <row r="44" spans="1:12" ht="36.75" customHeight="1" x14ac:dyDescent="0.3">
      <c r="A44" s="89"/>
      <c r="C44" s="186"/>
      <c r="D44" s="186"/>
      <c r="E44" s="186"/>
      <c r="F44" s="186"/>
      <c r="G44" s="186"/>
      <c r="H44" s="186"/>
      <c r="I44" s="186"/>
      <c r="J44" s="186"/>
      <c r="K44" s="186"/>
      <c r="L44" s="186"/>
    </row>
    <row r="45" spans="1:12" ht="39" customHeight="1" x14ac:dyDescent="0.3">
      <c r="A45" s="89"/>
      <c r="C45" s="186"/>
      <c r="D45" s="186"/>
      <c r="E45" s="186"/>
      <c r="F45" s="186"/>
      <c r="G45" s="186"/>
      <c r="H45" s="186"/>
      <c r="I45" s="186"/>
      <c r="J45" s="186"/>
      <c r="K45" s="186"/>
      <c r="L45" s="186"/>
    </row>
    <row r="46" spans="1:12" x14ac:dyDescent="0.3">
      <c r="A46" s="89"/>
    </row>
    <row r="47" spans="1:12" x14ac:dyDescent="0.3">
      <c r="A47" s="89"/>
    </row>
    <row r="48" spans="1:12" x14ac:dyDescent="0.3">
      <c r="A48" s="89"/>
    </row>
    <row r="49" spans="1:1" x14ac:dyDescent="0.3">
      <c r="A49" s="89"/>
    </row>
    <row r="50" spans="1:1" x14ac:dyDescent="0.3">
      <c r="A50" s="89"/>
    </row>
    <row r="51" spans="1:1" x14ac:dyDescent="0.3">
      <c r="A51" s="89"/>
    </row>
    <row r="52" spans="1:1" x14ac:dyDescent="0.3">
      <c r="A52" s="89"/>
    </row>
    <row r="53" spans="1:1" x14ac:dyDescent="0.3">
      <c r="A53" s="89"/>
    </row>
    <row r="54" spans="1:1" x14ac:dyDescent="0.3">
      <c r="A54" s="89"/>
    </row>
    <row r="55" spans="1:1" x14ac:dyDescent="0.3">
      <c r="A55" s="89"/>
    </row>
  </sheetData>
  <mergeCells count="24">
    <mergeCell ref="B42:K42"/>
    <mergeCell ref="C44:L44"/>
    <mergeCell ref="C45:L45"/>
    <mergeCell ref="B35:K35"/>
    <mergeCell ref="B36:K36"/>
    <mergeCell ref="B38:K38"/>
    <mergeCell ref="B39:K39"/>
    <mergeCell ref="B37:K37"/>
    <mergeCell ref="B41:K41"/>
    <mergeCell ref="B33:K33"/>
    <mergeCell ref="B34:K34"/>
    <mergeCell ref="C2:K2"/>
    <mergeCell ref="B3:B4"/>
    <mergeCell ref="C3:C4"/>
    <mergeCell ref="D3:D4"/>
    <mergeCell ref="E3:E4"/>
    <mergeCell ref="F3:G4"/>
    <mergeCell ref="H3:I4"/>
    <mergeCell ref="J3:J4"/>
    <mergeCell ref="K3:K4"/>
    <mergeCell ref="B27:K27"/>
    <mergeCell ref="B28:K28"/>
    <mergeCell ref="B30:K30"/>
    <mergeCell ref="B32:K32"/>
  </mergeCells>
  <hyperlinks>
    <hyperlink ref="C2" location="INDEX" display="CO2 pipeline transport "/>
  </hyperlinks>
  <pageMargins left="0.7" right="0.7" top="0.75" bottom="0.75" header="0.3" footer="0.3"/>
  <pageSetup paperSize="9" scale="2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zoomScaleNormal="100" workbookViewId="0">
      <selection activeCell="B11" sqref="B11"/>
    </sheetView>
  </sheetViews>
  <sheetFormatPr defaultColWidth="9.33203125" defaultRowHeight="14.4" x14ac:dyDescent="0.3"/>
  <cols>
    <col min="1" max="1" width="2.33203125" style="2" bestFit="1" customWidth="1"/>
    <col min="2" max="2" width="41" style="2" customWidth="1"/>
    <col min="3" max="5" width="9.33203125" style="2"/>
    <col min="6" max="7" width="10" style="2" bestFit="1" customWidth="1"/>
    <col min="8" max="9" width="9.33203125" style="2"/>
    <col min="10" max="10" width="12.5546875" style="2" customWidth="1"/>
    <col min="11" max="12" width="9.33203125" style="2"/>
    <col min="13" max="13" width="32.33203125" style="2" customWidth="1"/>
    <col min="14" max="14" width="29.33203125" style="2" customWidth="1"/>
    <col min="15" max="17" width="9.33203125" style="2"/>
    <col min="18" max="18" width="30.6640625" style="2" customWidth="1"/>
    <col min="19" max="19" width="29.33203125" style="2" customWidth="1"/>
    <col min="20" max="16384" width="9.33203125" style="2"/>
  </cols>
  <sheetData>
    <row r="1" spans="2:18" ht="15" thickBot="1" x14ac:dyDescent="0.35">
      <c r="B1" s="110"/>
    </row>
    <row r="2" spans="2:18" ht="15" thickBot="1" x14ac:dyDescent="0.35">
      <c r="B2" s="109" t="s">
        <v>0</v>
      </c>
      <c r="C2" s="187" t="s">
        <v>199</v>
      </c>
      <c r="D2" s="198"/>
      <c r="E2" s="198"/>
      <c r="F2" s="198"/>
      <c r="G2" s="198"/>
      <c r="H2" s="198"/>
      <c r="I2" s="198"/>
      <c r="J2" s="198"/>
      <c r="K2" s="199"/>
      <c r="M2" s="108"/>
      <c r="R2" s="113"/>
    </row>
    <row r="3" spans="2:18" x14ac:dyDescent="0.3">
      <c r="B3" s="190"/>
      <c r="C3" s="192">
        <v>2020</v>
      </c>
      <c r="D3" s="192">
        <v>2030</v>
      </c>
      <c r="E3" s="192">
        <v>2050</v>
      </c>
      <c r="F3" s="194" t="s">
        <v>189</v>
      </c>
      <c r="G3" s="195"/>
      <c r="H3" s="194" t="s">
        <v>1</v>
      </c>
      <c r="I3" s="195"/>
      <c r="J3" s="192" t="s">
        <v>2</v>
      </c>
      <c r="K3" s="192" t="s">
        <v>3</v>
      </c>
      <c r="R3" s="113"/>
    </row>
    <row r="4" spans="2:18" ht="15" thickBot="1" x14ac:dyDescent="0.35">
      <c r="B4" s="191"/>
      <c r="C4" s="193"/>
      <c r="D4" s="193"/>
      <c r="E4" s="193"/>
      <c r="F4" s="196"/>
      <c r="G4" s="197"/>
      <c r="H4" s="196"/>
      <c r="I4" s="197"/>
      <c r="J4" s="193"/>
      <c r="K4" s="193"/>
      <c r="R4" s="113"/>
    </row>
    <row r="5" spans="2:18" ht="15" thickBot="1" x14ac:dyDescent="0.35">
      <c r="B5" s="97" t="s">
        <v>6</v>
      </c>
      <c r="C5" s="105"/>
      <c r="D5" s="105"/>
      <c r="E5" s="105"/>
      <c r="F5" s="107" t="s">
        <v>4</v>
      </c>
      <c r="G5" s="107" t="s">
        <v>5</v>
      </c>
      <c r="H5" s="107" t="s">
        <v>4</v>
      </c>
      <c r="I5" s="107" t="s">
        <v>5</v>
      </c>
      <c r="J5" s="105"/>
      <c r="K5" s="104"/>
      <c r="P5" s="113"/>
    </row>
    <row r="6" spans="2:18" ht="15" thickBot="1" x14ac:dyDescent="0.35">
      <c r="B6" s="95"/>
      <c r="C6" s="115"/>
      <c r="D6" s="115"/>
      <c r="E6" s="115"/>
      <c r="F6" s="94"/>
      <c r="G6" s="94"/>
      <c r="H6" s="94"/>
      <c r="I6" s="94"/>
      <c r="J6" s="94"/>
      <c r="K6" s="94"/>
      <c r="P6" s="113"/>
    </row>
    <row r="7" spans="2:18" ht="15" thickBot="1" x14ac:dyDescent="0.35">
      <c r="B7" s="100" t="s">
        <v>198</v>
      </c>
      <c r="C7" s="114">
        <v>0.17</v>
      </c>
      <c r="D7" s="114">
        <v>0.16</v>
      </c>
      <c r="E7" s="114">
        <v>0.13</v>
      </c>
      <c r="F7" s="114"/>
      <c r="G7" s="114"/>
      <c r="H7" s="114"/>
      <c r="I7" s="114"/>
      <c r="J7" s="94" t="s">
        <v>7</v>
      </c>
      <c r="K7" s="94">
        <v>1</v>
      </c>
      <c r="P7" s="113"/>
    </row>
    <row r="8" spans="2:18" ht="15" thickBot="1" x14ac:dyDescent="0.35">
      <c r="B8" s="95" t="s">
        <v>185</v>
      </c>
      <c r="C8" s="94">
        <v>10</v>
      </c>
      <c r="D8" s="94">
        <v>10</v>
      </c>
      <c r="E8" s="94">
        <v>10</v>
      </c>
      <c r="F8" s="94"/>
      <c r="G8" s="94"/>
      <c r="H8" s="94"/>
      <c r="I8" s="94"/>
      <c r="J8" s="94" t="s">
        <v>15</v>
      </c>
      <c r="K8" s="94"/>
    </row>
    <row r="9" spans="2:18" ht="15" thickBot="1" x14ac:dyDescent="0.35">
      <c r="B9" s="112" t="s">
        <v>11</v>
      </c>
      <c r="C9" s="94">
        <v>0.5</v>
      </c>
      <c r="D9" s="94">
        <v>0.5</v>
      </c>
      <c r="E9" s="94">
        <v>0.5</v>
      </c>
      <c r="F9" s="94"/>
      <c r="G9" s="94"/>
      <c r="H9" s="94"/>
      <c r="I9" s="94"/>
      <c r="J9" s="94"/>
      <c r="K9" s="94"/>
    </row>
    <row r="10" spans="2:18" ht="15" thickBot="1" x14ac:dyDescent="0.35">
      <c r="B10" s="95"/>
      <c r="C10" s="94"/>
      <c r="D10" s="94"/>
      <c r="E10" s="94"/>
      <c r="F10" s="94"/>
      <c r="G10" s="94"/>
      <c r="H10" s="94"/>
      <c r="I10" s="94"/>
      <c r="J10" s="94"/>
      <c r="K10" s="94"/>
    </row>
    <row r="11" spans="2:18" ht="15" thickBot="1" x14ac:dyDescent="0.35">
      <c r="B11" s="97" t="s">
        <v>398</v>
      </c>
      <c r="C11" s="105"/>
      <c r="D11" s="105"/>
      <c r="E11" s="105"/>
      <c r="F11" s="105"/>
      <c r="G11" s="105"/>
      <c r="H11" s="105"/>
      <c r="I11" s="105"/>
      <c r="J11" s="105"/>
      <c r="K11" s="104"/>
    </row>
    <row r="12" spans="2:18" ht="15" customHeight="1" thickBot="1" x14ac:dyDescent="0.35">
      <c r="B12" s="111" t="s">
        <v>197</v>
      </c>
      <c r="C12" s="94">
        <v>3.8</v>
      </c>
      <c r="D12" s="94">
        <v>3.8</v>
      </c>
      <c r="E12" s="94">
        <v>3.8</v>
      </c>
      <c r="F12" s="94"/>
      <c r="G12" s="94"/>
      <c r="H12" s="94"/>
      <c r="I12" s="94"/>
      <c r="J12" s="94" t="s">
        <v>12</v>
      </c>
      <c r="K12" s="94">
        <v>2</v>
      </c>
    </row>
    <row r="13" spans="2:18" ht="15" customHeight="1" thickBot="1" x14ac:dyDescent="0.35">
      <c r="B13" s="111" t="s">
        <v>196</v>
      </c>
      <c r="C13" s="94">
        <v>0.14000000000000001</v>
      </c>
      <c r="D13" s="94">
        <v>0.14000000000000001</v>
      </c>
      <c r="E13" s="94">
        <v>0.14000000000000001</v>
      </c>
      <c r="F13" s="94"/>
      <c r="G13" s="94"/>
      <c r="H13" s="94"/>
      <c r="I13" s="94"/>
      <c r="J13" s="94" t="s">
        <v>12</v>
      </c>
      <c r="K13" s="94">
        <v>2</v>
      </c>
    </row>
    <row r="14" spans="2:18" ht="15" thickBot="1" x14ac:dyDescent="0.35">
      <c r="B14" s="111"/>
      <c r="C14" s="94"/>
      <c r="D14" s="94"/>
      <c r="E14" s="94"/>
      <c r="F14" s="94"/>
      <c r="G14" s="94"/>
      <c r="H14" s="94"/>
      <c r="I14" s="94"/>
      <c r="J14" s="94"/>
      <c r="K14" s="94"/>
    </row>
    <row r="15" spans="2:18" ht="15" thickBot="1" x14ac:dyDescent="0.35">
      <c r="B15" s="96"/>
      <c r="C15" s="94"/>
      <c r="D15" s="94"/>
      <c r="E15" s="94"/>
      <c r="F15" s="94"/>
      <c r="G15" s="94"/>
      <c r="H15" s="94"/>
      <c r="I15" s="94"/>
      <c r="J15" s="94"/>
      <c r="K15" s="94"/>
    </row>
    <row r="16" spans="2:18" ht="15" thickBot="1" x14ac:dyDescent="0.35">
      <c r="B16" s="97" t="s">
        <v>14</v>
      </c>
      <c r="C16" s="94"/>
      <c r="D16" s="94"/>
      <c r="E16" s="94"/>
      <c r="F16" s="94"/>
      <c r="G16" s="94"/>
      <c r="H16" s="94"/>
      <c r="I16" s="94"/>
      <c r="J16" s="94"/>
      <c r="K16" s="94"/>
    </row>
    <row r="17" spans="1:13" ht="15" thickBot="1" x14ac:dyDescent="0.35">
      <c r="B17" s="96"/>
      <c r="C17" s="94"/>
      <c r="D17" s="94"/>
      <c r="E17" s="94"/>
      <c r="F17" s="94"/>
      <c r="G17" s="94"/>
      <c r="H17" s="94"/>
      <c r="I17" s="94"/>
      <c r="J17" s="94"/>
      <c r="K17" s="94"/>
    </row>
    <row r="18" spans="1:13" ht="15" thickBot="1" x14ac:dyDescent="0.35">
      <c r="B18" s="95"/>
      <c r="C18" s="94"/>
      <c r="D18" s="94"/>
      <c r="E18" s="94"/>
      <c r="F18" s="94"/>
      <c r="G18" s="94"/>
      <c r="H18" s="94"/>
      <c r="I18" s="94"/>
      <c r="J18" s="94"/>
      <c r="K18" s="94"/>
    </row>
    <row r="19" spans="1:13" x14ac:dyDescent="0.3">
      <c r="B19" s="92" t="s">
        <v>174</v>
      </c>
    </row>
    <row r="20" spans="1:13" ht="15" customHeight="1" x14ac:dyDescent="0.3">
      <c r="A20" s="89">
        <v>1</v>
      </c>
      <c r="B20" s="200" t="s">
        <v>195</v>
      </c>
      <c r="C20" s="200"/>
      <c r="D20" s="200"/>
      <c r="E20" s="200"/>
      <c r="F20" s="200"/>
      <c r="G20" s="200"/>
      <c r="H20" s="200"/>
      <c r="I20" s="200"/>
      <c r="J20" s="200"/>
      <c r="K20" s="200"/>
    </row>
    <row r="21" spans="1:13" x14ac:dyDescent="0.3">
      <c r="A21" s="89">
        <v>2</v>
      </c>
      <c r="B21" s="200" t="s">
        <v>171</v>
      </c>
      <c r="C21" s="200"/>
      <c r="D21" s="200"/>
      <c r="E21" s="200"/>
      <c r="F21" s="200"/>
      <c r="G21" s="200"/>
      <c r="H21" s="200"/>
      <c r="I21" s="200"/>
      <c r="J21" s="200"/>
      <c r="K21" s="200"/>
    </row>
    <row r="22" spans="1:13" ht="23.25" customHeight="1" x14ac:dyDescent="0.3">
      <c r="A22" s="89"/>
      <c r="B22" s="92" t="s">
        <v>170</v>
      </c>
      <c r="C22" s="1"/>
      <c r="D22" s="1"/>
      <c r="E22" s="1"/>
      <c r="F22" s="1"/>
      <c r="G22" s="1"/>
      <c r="H22" s="1"/>
      <c r="I22" s="1"/>
      <c r="J22" s="1"/>
      <c r="K22" s="1"/>
      <c r="L22" s="1"/>
    </row>
    <row r="23" spans="1:13" x14ac:dyDescent="0.3">
      <c r="A23" s="91" t="s">
        <v>7</v>
      </c>
      <c r="B23" s="186" t="s">
        <v>194</v>
      </c>
      <c r="C23" s="186"/>
      <c r="D23" s="186"/>
      <c r="E23" s="186"/>
      <c r="F23" s="186"/>
      <c r="G23" s="186"/>
      <c r="H23" s="186"/>
      <c r="I23" s="186"/>
      <c r="J23" s="186"/>
      <c r="K23" s="186"/>
      <c r="L23" s="93"/>
    </row>
    <row r="24" spans="1:13" ht="15" customHeight="1" x14ac:dyDescent="0.3">
      <c r="A24" s="91" t="s">
        <v>15</v>
      </c>
      <c r="B24" s="186" t="s">
        <v>193</v>
      </c>
      <c r="C24" s="186"/>
      <c r="D24" s="186"/>
      <c r="E24" s="186"/>
      <c r="F24" s="186"/>
      <c r="G24" s="186"/>
      <c r="H24" s="186"/>
      <c r="I24" s="186"/>
      <c r="J24" s="186"/>
      <c r="K24" s="186"/>
      <c r="L24" s="93"/>
    </row>
    <row r="25" spans="1:13" ht="39.75" customHeight="1" x14ac:dyDescent="0.3">
      <c r="A25" s="91" t="s">
        <v>12</v>
      </c>
      <c r="B25" s="186" t="s">
        <v>192</v>
      </c>
      <c r="C25" s="186"/>
      <c r="D25" s="186"/>
      <c r="E25" s="186"/>
      <c r="F25" s="186"/>
      <c r="G25" s="186"/>
      <c r="H25" s="186"/>
      <c r="I25" s="186"/>
      <c r="J25" s="186"/>
      <c r="K25" s="186"/>
      <c r="L25" s="93"/>
    </row>
    <row r="26" spans="1:13" x14ac:dyDescent="0.3">
      <c r="A26" s="91" t="s">
        <v>13</v>
      </c>
      <c r="B26" s="186"/>
      <c r="C26" s="186"/>
      <c r="D26" s="186"/>
      <c r="E26" s="186"/>
      <c r="F26" s="186"/>
      <c r="G26" s="186"/>
      <c r="H26" s="186"/>
      <c r="I26" s="186"/>
      <c r="J26" s="186"/>
      <c r="K26" s="186"/>
      <c r="L26" s="93"/>
    </row>
    <row r="27" spans="1:13" x14ac:dyDescent="0.3">
      <c r="A27" s="91" t="s">
        <v>16</v>
      </c>
      <c r="B27" s="186"/>
      <c r="C27" s="186"/>
      <c r="D27" s="186"/>
      <c r="E27" s="186"/>
      <c r="F27" s="186"/>
      <c r="G27" s="186"/>
      <c r="H27" s="186"/>
      <c r="I27" s="186"/>
      <c r="J27" s="186"/>
      <c r="K27" s="186"/>
      <c r="L27" s="93"/>
    </row>
    <row r="28" spans="1:13" ht="14.25" customHeight="1" x14ac:dyDescent="0.3">
      <c r="A28" s="91"/>
      <c r="B28" s="186"/>
      <c r="C28" s="186"/>
      <c r="D28" s="186"/>
      <c r="E28" s="186"/>
      <c r="F28" s="186"/>
      <c r="G28" s="186"/>
      <c r="H28" s="186"/>
      <c r="I28" s="186"/>
      <c r="J28" s="186"/>
      <c r="K28" s="186"/>
      <c r="L28" s="93"/>
    </row>
    <row r="29" spans="1:13" ht="15" customHeight="1" x14ac:dyDescent="0.3">
      <c r="A29" s="91"/>
      <c r="B29" s="186"/>
      <c r="C29" s="186"/>
      <c r="D29" s="186"/>
      <c r="E29" s="186"/>
      <c r="F29" s="186"/>
      <c r="G29" s="186"/>
      <c r="H29" s="186"/>
      <c r="I29" s="186"/>
      <c r="J29" s="186"/>
      <c r="K29" s="186"/>
      <c r="L29" s="93"/>
    </row>
    <row r="30" spans="1:13" x14ac:dyDescent="0.3">
      <c r="A30" s="91"/>
      <c r="B30" s="186"/>
      <c r="C30" s="186"/>
      <c r="D30" s="186"/>
      <c r="E30" s="186"/>
      <c r="F30" s="186"/>
      <c r="G30" s="186"/>
      <c r="H30" s="186"/>
      <c r="I30" s="186"/>
      <c r="J30" s="186"/>
      <c r="K30" s="186"/>
      <c r="L30" s="93"/>
      <c r="M30" s="2" t="s">
        <v>191</v>
      </c>
    </row>
    <row r="31" spans="1:13" ht="15" customHeight="1" x14ac:dyDescent="0.3">
      <c r="A31" s="91"/>
      <c r="B31" s="186"/>
      <c r="C31" s="186"/>
      <c r="D31" s="186"/>
      <c r="E31" s="186"/>
      <c r="F31" s="186"/>
      <c r="G31" s="186"/>
      <c r="H31" s="186"/>
      <c r="I31" s="186"/>
      <c r="J31" s="186"/>
      <c r="K31" s="186"/>
      <c r="L31" s="93"/>
    </row>
  </sheetData>
  <mergeCells count="20">
    <mergeCell ref="B20:K20"/>
    <mergeCell ref="B21:K21"/>
    <mergeCell ref="B23:K23"/>
    <mergeCell ref="B24:K24"/>
    <mergeCell ref="B31:K31"/>
    <mergeCell ref="B25:K25"/>
    <mergeCell ref="B26:K26"/>
    <mergeCell ref="B27:K27"/>
    <mergeCell ref="B28:K28"/>
    <mergeCell ref="B29:K29"/>
    <mergeCell ref="B30:K30"/>
    <mergeCell ref="C2:K2"/>
    <mergeCell ref="B3:B4"/>
    <mergeCell ref="C3:C4"/>
    <mergeCell ref="D3:D4"/>
    <mergeCell ref="E3:E4"/>
    <mergeCell ref="F3:G4"/>
    <mergeCell ref="H3:I4"/>
    <mergeCell ref="J3:J4"/>
    <mergeCell ref="K3:K4"/>
  </mergeCells>
  <hyperlinks>
    <hyperlink ref="C2" location="INDEX" display="CO₂ road transport by tanker truck"/>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17</vt:i4>
      </vt:variant>
    </vt:vector>
  </HeadingPairs>
  <TitlesOfParts>
    <vt:vector size="48" baseType="lpstr">
      <vt:lpstr>Index</vt:lpstr>
      <vt:lpstr>401.a Post comb - small CHP</vt:lpstr>
      <vt:lpstr>401.b Post comb - Large biomass</vt:lpstr>
      <vt:lpstr>401.c Post comb - Cement kiln</vt:lpstr>
      <vt:lpstr>402.a Oxy-fuel- Large Biomass</vt:lpstr>
      <vt:lpstr>402.b Oxy-fuel Cement</vt:lpstr>
      <vt:lpstr>403.a Direct air capture</vt:lpstr>
      <vt:lpstr>421 co2 pipeline</vt:lpstr>
      <vt:lpstr>422 co2 road transport</vt:lpstr>
      <vt:lpstr>423 co2 ship transport</vt:lpstr>
      <vt:lpstr>co2 terminals</vt:lpstr>
      <vt:lpstr>451.1a 1 MTA Onshore</vt:lpstr>
      <vt:lpstr>451.1b 3 MTA Onshore</vt:lpstr>
      <vt:lpstr>451.1c 5 MTA Onshore</vt:lpstr>
      <vt:lpstr>451.2a 1 MTA Near shore </vt:lpstr>
      <vt:lpstr>451.2b 3 MTA Near shore </vt:lpstr>
      <vt:lpstr>451.2c 5 MTA Near shore</vt:lpstr>
      <vt:lpstr>451.3a 1 MTA Offshore</vt:lpstr>
      <vt:lpstr>451.3b 3 MTA Offshore </vt:lpstr>
      <vt:lpstr>451.3c 5 MTA Offshore</vt:lpstr>
      <vt:lpstr>451.3d 5 MTA Offshore - Reuse</vt:lpstr>
      <vt:lpstr>Input 1 MTA Onshore</vt:lpstr>
      <vt:lpstr>Input 3 MTA Onshore</vt:lpstr>
      <vt:lpstr>Input 5 MTA Onshore</vt:lpstr>
      <vt:lpstr>Input 1 MTA  Near shore</vt:lpstr>
      <vt:lpstr>Input 3 MTA  Near shore</vt:lpstr>
      <vt:lpstr>Input 5 MTA  Near shore</vt:lpstr>
      <vt:lpstr>Input 1 MTA  Offshore</vt:lpstr>
      <vt:lpstr>Input 3MTA  Offshore</vt:lpstr>
      <vt:lpstr>Input 5 MTA  Offshore</vt:lpstr>
      <vt:lpstr>Input 5 MTA Offshore - Reuse</vt:lpstr>
      <vt:lpstr>index</vt:lpstr>
      <vt:lpstr>'451.1a 1 MTA Onshore'!Print_Area</vt:lpstr>
      <vt:lpstr>'451.1b 3 MTA Onshore'!Print_Area</vt:lpstr>
      <vt:lpstr>'451.1c 5 MTA Onshore'!Print_Area</vt:lpstr>
      <vt:lpstr>'451.2a 1 MTA Near shore '!Print_Area</vt:lpstr>
      <vt:lpstr>'451.2b 3 MTA Near shore '!Print_Area</vt:lpstr>
      <vt:lpstr>'451.2c 5 MTA Near shore'!Print_Area</vt:lpstr>
      <vt:lpstr>'451.3a 1 MTA Offshore'!Print_Area</vt:lpstr>
      <vt:lpstr>'451.3b 3 MTA Offshore '!Print_Area</vt:lpstr>
      <vt:lpstr>'451.3c 5 MTA Offshore'!Print_Area</vt:lpstr>
      <vt:lpstr>'451.3d 5 MTA Offshore - Reuse'!Print_Area</vt:lpstr>
      <vt:lpstr>sheet33</vt:lpstr>
      <vt:lpstr>sheet34</vt:lpstr>
      <vt:lpstr>sheet35</vt:lpstr>
      <vt:lpstr>sheet36</vt:lpstr>
      <vt:lpstr>sheet37</vt:lpstr>
      <vt:lpstr>sheet38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 Bagge Mogensen | Viegand Maagøe</dc:creator>
  <cp:lastModifiedBy>Christoph Wolter</cp:lastModifiedBy>
  <dcterms:created xsi:type="dcterms:W3CDTF">2019-11-19T09:51:34Z</dcterms:created>
  <dcterms:modified xsi:type="dcterms:W3CDTF">2021-10-26T13:57:18Z</dcterms:modified>
</cp:coreProperties>
</file>