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731098/Library/CloudStorage/OneDrive-Aarhusuniversitet/01_AU_Research/02_GreenLab/PyPSA Model/Github upload_test_GL/data/"/>
    </mc:Choice>
  </mc:AlternateContent>
  <xr:revisionPtr revIDLastSave="0" documentId="13_ncr:1_{820E0913-7C8B-4D47-A4F2-F8681C44D888}" xr6:coauthVersionLast="47" xr6:coauthVersionMax="47" xr10:uidLastSave="{00000000-0000-0000-0000-000000000000}"/>
  <bookViews>
    <workbookView xWindow="6760" yWindow="760" windowWidth="22840" windowHeight="18880" activeTab="4" xr2:uid="{8A163641-094A-4E91-998B-38718FB15E01}"/>
  </bookViews>
  <sheets>
    <sheet name="Info" sheetId="16" r:id="rId1"/>
    <sheet name="Overview_2" sheetId="10" r:id="rId2"/>
    <sheet name="Overview_1" sheetId="15" r:id="rId3"/>
    <sheet name="Biogas skive" sheetId="5" r:id="rId4"/>
    <sheet name="SkyClean" sheetId="14" r:id="rId5"/>
    <sheet name="GreenHyScale" sheetId="3" r:id="rId6"/>
    <sheet name="Methanol plant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4" l="1"/>
  <c r="E2" i="5"/>
  <c r="C37" i="5"/>
  <c r="E5" i="10" l="1"/>
  <c r="F12" i="15"/>
  <c r="F11" i="15"/>
  <c r="F10" i="15"/>
  <c r="F9" i="15"/>
  <c r="F8" i="15"/>
  <c r="F7" i="15"/>
  <c r="F6" i="15"/>
  <c r="F5" i="15"/>
  <c r="F4" i="15"/>
  <c r="F3" i="15"/>
  <c r="F2" i="15"/>
  <c r="D12" i="15"/>
  <c r="D11" i="15"/>
  <c r="D10" i="15"/>
  <c r="D9" i="15"/>
  <c r="D8" i="15"/>
  <c r="D7" i="15"/>
  <c r="D6" i="15"/>
  <c r="D5" i="15"/>
  <c r="D4" i="15"/>
  <c r="D3" i="15"/>
  <c r="D2" i="15"/>
  <c r="C3" i="3"/>
  <c r="D3" i="3"/>
  <c r="E3" i="3"/>
  <c r="F3" i="3"/>
  <c r="G3" i="3"/>
  <c r="H3" i="3"/>
  <c r="I3" i="3"/>
  <c r="J3" i="3"/>
  <c r="K3" i="3"/>
  <c r="L3" i="3"/>
  <c r="B3" i="3"/>
  <c r="C12" i="15"/>
  <c r="C11" i="15"/>
  <c r="C10" i="15"/>
  <c r="C9" i="15"/>
  <c r="C8" i="15"/>
  <c r="C7" i="15"/>
  <c r="C6" i="15"/>
  <c r="C5" i="15"/>
  <c r="C4" i="15"/>
  <c r="C3" i="15"/>
  <c r="N18" i="15"/>
  <c r="M18" i="15"/>
  <c r="C13" i="15"/>
  <c r="F12" i="10"/>
  <c r="F3" i="10"/>
  <c r="F4" i="10"/>
  <c r="F5" i="10"/>
  <c r="F6" i="10"/>
  <c r="F7" i="10"/>
  <c r="F8" i="10"/>
  <c r="F9" i="10"/>
  <c r="F10" i="10"/>
  <c r="F11" i="10"/>
  <c r="F2" i="10"/>
  <c r="E7" i="10"/>
  <c r="E10" i="10"/>
  <c r="E12" i="10"/>
  <c r="D11" i="10"/>
  <c r="D12" i="10"/>
  <c r="D4" i="10"/>
  <c r="D6" i="10"/>
  <c r="D8" i="10"/>
  <c r="D9" i="10"/>
  <c r="D10" i="10"/>
  <c r="D3" i="10"/>
  <c r="C13" i="10"/>
  <c r="C12" i="10"/>
  <c r="C11" i="10"/>
  <c r="C10" i="10"/>
  <c r="C9" i="10"/>
  <c r="C8" i="10"/>
  <c r="C7" i="10"/>
  <c r="C6" i="10"/>
  <c r="C5" i="10"/>
  <c r="C4" i="10"/>
  <c r="C3" i="10"/>
  <c r="L1" i="7"/>
  <c r="K1" i="7"/>
  <c r="J1" i="7"/>
  <c r="I1" i="7"/>
  <c r="H1" i="7"/>
  <c r="G1" i="7"/>
  <c r="F1" i="7"/>
  <c r="E1" i="7"/>
  <c r="D1" i="7"/>
  <c r="C1" i="7"/>
  <c r="B1" i="7"/>
  <c r="L1" i="3"/>
  <c r="K1" i="3"/>
  <c r="J1" i="3"/>
  <c r="I1" i="3"/>
  <c r="H1" i="3"/>
  <c r="G1" i="3"/>
  <c r="F1" i="3"/>
  <c r="E1" i="3"/>
  <c r="D1" i="3"/>
  <c r="C1" i="3"/>
  <c r="B1" i="3"/>
  <c r="L1" i="14"/>
  <c r="K1" i="14"/>
  <c r="J1" i="14"/>
  <c r="I1" i="14"/>
  <c r="H1" i="14"/>
  <c r="G1" i="14"/>
  <c r="F1" i="14"/>
  <c r="E1" i="14"/>
  <c r="D1" i="14"/>
  <c r="C1" i="14"/>
  <c r="B1" i="14"/>
  <c r="L1" i="5"/>
  <c r="K1" i="5"/>
  <c r="J1" i="5"/>
  <c r="I1" i="5"/>
  <c r="H1" i="5"/>
  <c r="G1" i="5"/>
  <c r="F1" i="5"/>
  <c r="E1" i="5"/>
  <c r="D1" i="5"/>
  <c r="C1" i="5"/>
  <c r="B1" i="5"/>
  <c r="F3" i="14" l="1"/>
  <c r="G3" i="14"/>
  <c r="H3" i="14"/>
  <c r="B57" i="14"/>
  <c r="C54" i="14"/>
  <c r="C53" i="14"/>
  <c r="C48" i="14"/>
  <c r="C55" i="14" s="1"/>
  <c r="B11" i="14"/>
  <c r="C39" i="14" s="1"/>
  <c r="C35" i="14"/>
  <c r="B27" i="14"/>
  <c r="B26" i="14"/>
  <c r="B24" i="14"/>
  <c r="B25" i="14" s="1"/>
  <c r="B9" i="14"/>
  <c r="C17" i="14"/>
  <c r="C26" i="5"/>
  <c r="C24" i="5"/>
  <c r="C11" i="5"/>
  <c r="C47" i="5"/>
  <c r="C2" i="14" l="1"/>
  <c r="C3" i="14" s="1"/>
  <c r="B10" i="14"/>
  <c r="C46" i="14" s="1"/>
  <c r="B28" i="14"/>
  <c r="C25" i="5"/>
  <c r="C6" i="14" l="1"/>
  <c r="C40" i="14"/>
  <c r="C36" i="14" s="1"/>
  <c r="C49" i="14" s="1"/>
  <c r="C44" i="14"/>
  <c r="C50" i="14" l="1"/>
  <c r="C57" i="14" s="1"/>
  <c r="C56" i="14"/>
  <c r="C62" i="14"/>
  <c r="J2" i="14" s="1"/>
  <c r="J3" i="14" s="1"/>
  <c r="I2" i="14"/>
  <c r="I3" i="14" s="1"/>
  <c r="C5" i="5"/>
  <c r="C9" i="5" s="1"/>
  <c r="H2" i="5" l="1"/>
  <c r="E8" i="10" s="1"/>
  <c r="C27" i="5"/>
  <c r="C48" i="5"/>
  <c r="C26" i="7"/>
  <c r="D2" i="7" s="1"/>
  <c r="C49" i="5" l="1"/>
  <c r="C50" i="5" s="1"/>
  <c r="K2" i="7"/>
  <c r="C38" i="7"/>
  <c r="C51" i="5" l="1"/>
  <c r="E2" i="3"/>
  <c r="D5" i="10" s="1"/>
  <c r="C14" i="14" l="1"/>
  <c r="C19" i="14" s="1"/>
  <c r="C20" i="14" s="1"/>
  <c r="C2" i="10" s="1"/>
  <c r="C52" i="5"/>
  <c r="I2" i="5" s="1"/>
  <c r="E9" i="10" s="1"/>
  <c r="M80" i="7"/>
  <c r="J45" i="7"/>
  <c r="O56" i="7"/>
  <c r="N15" i="7"/>
  <c r="N14" i="7" s="1"/>
  <c r="N20" i="7"/>
  <c r="N18" i="7"/>
  <c r="N19" i="7" s="1"/>
  <c r="I19" i="7"/>
  <c r="E8" i="7"/>
  <c r="E7" i="7"/>
  <c r="B3" i="14" l="1"/>
  <c r="C2" i="15" s="1"/>
  <c r="E12" i="3"/>
  <c r="F9" i="3"/>
  <c r="G9" i="3" s="1"/>
  <c r="H9" i="3" s="1"/>
  <c r="C12" i="5" l="1"/>
  <c r="C8" i="3" l="1"/>
  <c r="L2" i="7" l="1"/>
  <c r="C19" i="7"/>
  <c r="C24" i="7" s="1"/>
  <c r="G34" i="7"/>
  <c r="G33" i="7"/>
  <c r="G32" i="7"/>
  <c r="G31" i="7"/>
  <c r="G30" i="7"/>
  <c r="C6" i="5"/>
  <c r="J3" i="7" l="1"/>
  <c r="L3" i="7"/>
  <c r="H3" i="7"/>
  <c r="I3" i="7"/>
  <c r="D3" i="7"/>
  <c r="K3" i="7"/>
  <c r="C2" i="7"/>
  <c r="C3" i="7" s="1"/>
  <c r="C22" i="7"/>
  <c r="C21" i="7"/>
  <c r="J17" i="7" s="1"/>
  <c r="K17" i="7" s="1"/>
  <c r="K19" i="7" s="1"/>
  <c r="L19" i="7" s="1"/>
  <c r="C23" i="7"/>
  <c r="B2" i="7" s="1"/>
  <c r="B3" i="7" s="1"/>
  <c r="C20" i="7"/>
  <c r="F2" i="7" s="1"/>
  <c r="F3" i="7" s="1"/>
  <c r="G6" i="5"/>
  <c r="B20" i="5"/>
  <c r="C17" i="5"/>
  <c r="L17" i="7" l="1"/>
  <c r="G2" i="7"/>
  <c r="G3" i="7" s="1"/>
  <c r="K2" i="5"/>
  <c r="E11" i="10" l="1"/>
  <c r="D25" i="5"/>
  <c r="C33" i="5"/>
  <c r="B2" i="5" s="1"/>
  <c r="J3" i="5"/>
  <c r="E10" i="15" s="1"/>
  <c r="K3" i="5"/>
  <c r="E11" i="15" s="1"/>
  <c r="G3" i="5"/>
  <c r="E7" i="15" s="1"/>
  <c r="L3" i="5"/>
  <c r="E12" i="15" s="1"/>
  <c r="H3" i="5"/>
  <c r="I3" i="5"/>
  <c r="E9" i="15" s="1"/>
  <c r="C35" i="5"/>
  <c r="C2" i="5" s="1"/>
  <c r="C13" i="5"/>
  <c r="C65" i="5"/>
  <c r="C43" i="5"/>
  <c r="C42" i="5"/>
  <c r="D49" i="5" l="1"/>
  <c r="E8" i="15"/>
  <c r="B3" i="5"/>
  <c r="E2" i="15" s="1"/>
  <c r="E2" i="10"/>
  <c r="C3" i="5"/>
  <c r="E3" i="15" s="1"/>
  <c r="E3" i="10"/>
  <c r="C30" i="7"/>
  <c r="C33" i="7" s="1"/>
  <c r="B2" i="3"/>
  <c r="D2" i="10" s="1"/>
  <c r="B32" i="7"/>
  <c r="C18" i="5"/>
  <c r="D2" i="5"/>
  <c r="C14" i="3"/>
  <c r="C15" i="3" s="1"/>
  <c r="D3" i="5" l="1"/>
  <c r="E4" i="15" s="1"/>
  <c r="E4" i="10"/>
  <c r="E3" i="5"/>
  <c r="E5" i="15" s="1"/>
  <c r="G2" i="3"/>
  <c r="D7" i="10" s="1"/>
  <c r="F2" i="5"/>
  <c r="C32" i="7"/>
  <c r="C43" i="7"/>
  <c r="C35" i="7"/>
  <c r="C37" i="7"/>
  <c r="F3" i="5" l="1"/>
  <c r="E6" i="15" s="1"/>
  <c r="E6" i="10"/>
  <c r="C40" i="7"/>
  <c r="G7" i="5"/>
  <c r="G8" i="5" s="1"/>
  <c r="G9" i="5" s="1"/>
  <c r="C21" i="5"/>
  <c r="C34" i="7"/>
  <c r="C42" i="7"/>
  <c r="C36" i="7"/>
  <c r="C41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tc={A0E51695-825A-5147-A6EB-85D79B64DDFE}</author>
    <author>tc={E7F008FC-9BE0-D843-9D2A-C7DE65646AF6}</author>
  </authors>
  <commentList>
    <comment ref="C21" authorId="0" shapeId="0" xr:uid="{A0E51695-825A-5147-A6EB-85D79B64DDFE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Comparison value is 0.09 in  Source:
 Danish Energy Agency, data_sheets_for_renewable_fuels.xlsx</t>
      </text>
    </comment>
    <comment ref="C40" authorId="1" shapeId="0" xr:uid="{E7F008FC-9BE0-D843-9D2A-C7DE65646AF6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Source:
 Danish Energy Agency, data_sheets_for_renewable_fuels.xlsx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tc={166D3125-93D4-BC47-90AE-9D24836634FD}</author>
  </authors>
  <commentList>
    <comment ref="A4" authorId="0" shapeId="0" xr:uid="{166D3125-93D4-BC47-90AE-9D24836634FD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assumption: 
the Offset CO2e is proportional tpo the biochar yield. The Offset CO2 is calcualted as CO2 that woudl be generated by combusiton of biochar.</t>
      </text>
    </comment>
  </commentList>
</comments>
</file>

<file path=xl/sharedStrings.xml><?xml version="1.0" encoding="utf-8"?>
<sst xmlns="http://schemas.openxmlformats.org/spreadsheetml/2006/main" count="433" uniqueCount="279">
  <si>
    <t>MW</t>
  </si>
  <si>
    <t>CO2 input</t>
  </si>
  <si>
    <t>t/h</t>
  </si>
  <si>
    <t>SkyClean</t>
  </si>
  <si>
    <t>GreenHyScale</t>
  </si>
  <si>
    <t>SkiveBiogas</t>
  </si>
  <si>
    <t>t/y</t>
  </si>
  <si>
    <t>H2 eff (LHV)</t>
  </si>
  <si>
    <t>SIZE (Electricity MW)</t>
  </si>
  <si>
    <t xml:space="preserve">Offset of CO2 tons </t>
  </si>
  <si>
    <t>tCO2/ y</t>
  </si>
  <si>
    <t>tCO2e/t dry biom</t>
  </si>
  <si>
    <t>Biochar</t>
  </si>
  <si>
    <t>PyrOil + PyroGas</t>
  </si>
  <si>
    <t>Input from GL: SIZE</t>
  </si>
  <si>
    <t>Input from GL</t>
  </si>
  <si>
    <t xml:space="preserve">Assumption </t>
  </si>
  <si>
    <t>Sequestred emissions (will be brought back to the soil )</t>
  </si>
  <si>
    <t>Sequestred + Avoided</t>
  </si>
  <si>
    <t>Avoided emissions (will be combusted but it Biogenic)</t>
  </si>
  <si>
    <t xml:space="preserve">tdry / h </t>
  </si>
  <si>
    <t>Biogas Skive</t>
  </si>
  <si>
    <t>Biomethane prod</t>
  </si>
  <si>
    <t>GWh/y</t>
  </si>
  <si>
    <t>MJ/kg</t>
  </si>
  <si>
    <t xml:space="preserve">LHV methane </t>
  </si>
  <si>
    <t>BioCH4 prod.</t>
  </si>
  <si>
    <t>Nm3/y</t>
  </si>
  <si>
    <t>MJ/Nm3</t>
  </si>
  <si>
    <t xml:space="preserve">Dry Biogas CH4% </t>
  </si>
  <si>
    <t xml:space="preserve">operation hour </t>
  </si>
  <si>
    <t>h/y</t>
  </si>
  <si>
    <t>Nm3/h</t>
  </si>
  <si>
    <t xml:space="preserve">Dry Biogas CO2% </t>
  </si>
  <si>
    <t>Dry Biogas nominal flow</t>
  </si>
  <si>
    <t>vol  %</t>
  </si>
  <si>
    <t>vol %</t>
  </si>
  <si>
    <t>Biogas production</t>
  </si>
  <si>
    <t>heat temperature</t>
  </si>
  <si>
    <t>C</t>
  </si>
  <si>
    <t>H2 LHV</t>
  </si>
  <si>
    <t xml:space="preserve">MW el </t>
  </si>
  <si>
    <t>%</t>
  </si>
  <si>
    <t xml:space="preserve">H2 energy </t>
  </si>
  <si>
    <t>H2 prod</t>
  </si>
  <si>
    <t xml:space="preserve">H2 input </t>
  </si>
  <si>
    <t>kg/h</t>
  </si>
  <si>
    <t>mol/mol</t>
  </si>
  <si>
    <t>H2/CO2 ratio</t>
  </si>
  <si>
    <t>Methanol output</t>
  </si>
  <si>
    <t>Gas-phase Methanol</t>
  </si>
  <si>
    <t xml:space="preserve">Heat demand </t>
  </si>
  <si>
    <t>Initial H2 pressure: 30 bars, CO2 pressure 1 bar</t>
  </si>
  <si>
    <t xml:space="preserve">Electricity demand </t>
  </si>
  <si>
    <t>Excess heat (comb waste streams)</t>
  </si>
  <si>
    <t>Cooling</t>
  </si>
  <si>
    <t xml:space="preserve">CO2 emissions </t>
  </si>
  <si>
    <t>Extra compresison power</t>
  </si>
  <si>
    <t>estimted 1% of HHV to comrpess form 20 bar to 30 bar</t>
  </si>
  <si>
    <t>Methanol plant</t>
  </si>
  <si>
    <t>Methanol</t>
  </si>
  <si>
    <t>CO2 pure</t>
  </si>
  <si>
    <t>Process</t>
  </si>
  <si>
    <t>biomass</t>
  </si>
  <si>
    <t>El2 bus</t>
  </si>
  <si>
    <t>H2</t>
  </si>
  <si>
    <t>Biomass</t>
  </si>
  <si>
    <t>CO2e bus</t>
  </si>
  <si>
    <t>bioCH4</t>
  </si>
  <si>
    <t>Electricity [MW]</t>
  </si>
  <si>
    <t>pure CO2 [t/h]</t>
  </si>
  <si>
    <t>Biomass [t/h]</t>
  </si>
  <si>
    <t>Bus Unit</t>
  </si>
  <si>
    <t>H2 [MW]</t>
  </si>
  <si>
    <t>BioCH4 [MW]</t>
  </si>
  <si>
    <t>LHV methanol</t>
  </si>
  <si>
    <t>LHV H2</t>
  </si>
  <si>
    <t>bus0</t>
  </si>
  <si>
    <t>Methanol [MW]</t>
  </si>
  <si>
    <t>kg/Nm3</t>
  </si>
  <si>
    <t xml:space="preserve">CO2 density in Normal  conditons </t>
  </si>
  <si>
    <t>C-Balance (back calc. of biomass moisture)</t>
  </si>
  <si>
    <t>Carbon in bioCH4</t>
  </si>
  <si>
    <t>Carbon in CO2</t>
  </si>
  <si>
    <t>Ch4 density in normal conditions</t>
  </si>
  <si>
    <t>tC/h</t>
  </si>
  <si>
    <t>Carbon in products</t>
  </si>
  <si>
    <t>tCO2/MWh ch4</t>
  </si>
  <si>
    <t>-</t>
  </si>
  <si>
    <t>Other data: source Danish Energy Agency, data_sheets_for_renewable_fuels.xlsx</t>
  </si>
  <si>
    <t>Compression 40bar for injection to the grid</t>
  </si>
  <si>
    <t xml:space="preserve">El demand upgrading </t>
  </si>
  <si>
    <t>kW/kWbginput</t>
  </si>
  <si>
    <t xml:space="preserve">El demand compression </t>
  </si>
  <si>
    <t>C in product / Biomass</t>
  </si>
  <si>
    <t>t/t</t>
  </si>
  <si>
    <t xml:space="preserve">Aux Electicity </t>
  </si>
  <si>
    <t xml:space="preserve">Aux electricity biogas plant </t>
  </si>
  <si>
    <t>Upgrading with Amine scrubber</t>
  </si>
  <si>
    <t>MeOH out</t>
  </si>
  <si>
    <t>CO2 in</t>
  </si>
  <si>
    <t xml:space="preserve">H2 in </t>
  </si>
  <si>
    <t>El in</t>
  </si>
  <si>
    <t>kWh/tMeOH</t>
  </si>
  <si>
    <t>Heat out</t>
  </si>
  <si>
    <t xml:space="preserve">Cooling need </t>
  </si>
  <si>
    <t>OLD ASSUMPTIONS</t>
  </si>
  <si>
    <t>SOURCE: Danish Energy Agency, data_sheets_for_renewable_fuels.xlsx</t>
  </si>
  <si>
    <t>Inputs</t>
  </si>
  <si>
    <t>CO2 Consumption, t/t Methanol</t>
  </si>
  <si>
    <t>Outputs</t>
  </si>
  <si>
    <t>District Heating Output, MWh/MWh Total input</t>
  </si>
  <si>
    <t>MeOH prod</t>
  </si>
  <si>
    <t xml:space="preserve">CO2 in </t>
  </si>
  <si>
    <t>LHV MeOH</t>
  </si>
  <si>
    <t>MWh/t</t>
  </si>
  <si>
    <t>H2 output</t>
  </si>
  <si>
    <t>kg/MWh input</t>
  </si>
  <si>
    <t>source</t>
  </si>
  <si>
    <t>max biomass</t>
  </si>
  <si>
    <t>kg/s</t>
  </si>
  <si>
    <t>mol/ t MeOH</t>
  </si>
  <si>
    <t>SIZE @ GL</t>
  </si>
  <si>
    <t xml:space="preserve">Includes ELECTROLYSIS AND COMPRESSION but it is unclear the intial pressure of H2 </t>
  </si>
  <si>
    <t>MeOH</t>
  </si>
  <si>
    <t>El</t>
  </si>
  <si>
    <t xml:space="preserve">Cost </t>
  </si>
  <si>
    <t>M€</t>
  </si>
  <si>
    <t>M€/MW</t>
  </si>
  <si>
    <t>com</t>
  </si>
  <si>
    <t>tot</t>
  </si>
  <si>
    <t>com/tot</t>
  </si>
  <si>
    <t>inv</t>
  </si>
  <si>
    <t>CO2</t>
  </si>
  <si>
    <t xml:space="preserve">Heat out for DH </t>
  </si>
  <si>
    <t>MW/Mwel</t>
  </si>
  <si>
    <t>ref technology database</t>
  </si>
  <si>
    <t>NM3/kg</t>
  </si>
  <si>
    <t>H2 STP density</t>
  </si>
  <si>
    <t>Comparison with Technology Data Catalogue based on Topsoe</t>
  </si>
  <si>
    <t xml:space="preserve">consumption per ton of AA grade Methanol </t>
  </si>
  <si>
    <t>El (kWh)</t>
  </si>
  <si>
    <t xml:space="preserve"> INC. Compressors based on partialy pressurized H2 and ambient pressure CO2</t>
  </si>
  <si>
    <t>LP steam (kg)</t>
  </si>
  <si>
    <t>CO2 - Nm3(kg)</t>
  </si>
  <si>
    <t>H2 Nm3</t>
  </si>
  <si>
    <t>Production epr ton of MeOH</t>
  </si>
  <si>
    <t>MP steam (kg ) 670</t>
  </si>
  <si>
    <t>NO COMP</t>
  </si>
  <si>
    <t>DAE CHECK</t>
  </si>
  <si>
    <t>OK</t>
  </si>
  <si>
    <t xml:space="preserve">NO compression </t>
  </si>
  <si>
    <t>(with compression 0,5 MWh/ton MeOH</t>
  </si>
  <si>
    <t>Electricity Consumption, MWh/t MeOH</t>
  </si>
  <si>
    <t>El in with COMPRESSION</t>
  </si>
  <si>
    <t>El in NO compression</t>
  </si>
  <si>
    <t>Heat in (MT)</t>
  </si>
  <si>
    <t>Hydrogen Consumption,MWh/t Methanol</t>
  </si>
  <si>
    <t>Heat out   150 C&gt;T&gt;80C</t>
  </si>
  <si>
    <t>Heat DH (T&gt; 80)</t>
  </si>
  <si>
    <t>MeOH(MWh/MWh total input)</t>
  </si>
  <si>
    <t>Heat out  T&gt; 150C</t>
  </si>
  <si>
    <t>heat losses</t>
  </si>
  <si>
    <t>xx/MWmeoh base</t>
  </si>
  <si>
    <t>Heat demand 200&gt;160C</t>
  </si>
  <si>
    <t>---------------------------------------------------------------</t>
  </si>
  <si>
    <t>ASSUMPTION BASED ON DEA FIG 7  - 65 HRT</t>
  </si>
  <si>
    <t xml:space="preserve">Centrifugal decanting - DM efficiency </t>
  </si>
  <si>
    <t xml:space="preserve">Biogas DM conversion </t>
  </si>
  <si>
    <t>DMfiber/DMdigestate</t>
  </si>
  <si>
    <t>DMtoBiogas/Dmbiomass</t>
  </si>
  <si>
    <t>DM in Biomass input</t>
  </si>
  <si>
    <t>https://www.sciencedirect.com/science/article/pii/S0306261916302240?via%3Dihub</t>
  </si>
  <si>
    <t>C%</t>
  </si>
  <si>
    <t>H%</t>
  </si>
  <si>
    <t>N%</t>
  </si>
  <si>
    <t>O% delta</t>
  </si>
  <si>
    <t>Ash%</t>
  </si>
  <si>
    <t>Nm3 CH4/ton</t>
  </si>
  <si>
    <t>yield CH4</t>
  </si>
  <si>
    <t>CH4 yield energy</t>
  </si>
  <si>
    <t>Energy DM fiber for pellets</t>
  </si>
  <si>
    <t>MW/MWch4</t>
  </si>
  <si>
    <t>LHV DM fibers</t>
  </si>
  <si>
    <t>HHV DM fibers</t>
  </si>
  <si>
    <t>Ultimate analysis DM fibers</t>
  </si>
  <si>
    <t>Heat drying</t>
  </si>
  <si>
    <t>kWh_el/m3</t>
  </si>
  <si>
    <t>MWh_th/t_h2o</t>
  </si>
  <si>
    <t>MJ/kg dry</t>
  </si>
  <si>
    <t>Digestate output</t>
  </si>
  <si>
    <t>tdigestate/tbiomass inp</t>
  </si>
  <si>
    <t>relative density digestate</t>
  </si>
  <si>
    <t>t/m3</t>
  </si>
  <si>
    <t>Digestate DM content</t>
  </si>
  <si>
    <t>tDM/tfibers</t>
  </si>
  <si>
    <t xml:space="preserve">DM Fibers after centrifugal decanting </t>
  </si>
  <si>
    <t>tDM/tdigestate</t>
  </si>
  <si>
    <t xml:space="preserve">Digestate flow </t>
  </si>
  <si>
    <t>t/h digestate</t>
  </si>
  <si>
    <t xml:space="preserve">Electricity for centrifugal decanting </t>
  </si>
  <si>
    <t>El. for centrifugal decanting</t>
  </si>
  <si>
    <t xml:space="preserve">Energy  demands pelletizaton </t>
  </si>
  <si>
    <t xml:space="preserve">20MW-&gt; 5t/h biomass-&gt; 4MW heat </t>
  </si>
  <si>
    <t>H/C mol ratio</t>
  </si>
  <si>
    <t>P%</t>
  </si>
  <si>
    <t>Pellets input AR LHV</t>
  </si>
  <si>
    <t xml:space="preserve">Q demand for electrical pyrolysis </t>
  </si>
  <si>
    <t>kWh/kg pellets 10% or 20%</t>
  </si>
  <si>
    <t>Digestate yield</t>
  </si>
  <si>
    <t xml:space="preserve">Digestate decanting and fiber separation </t>
  </si>
  <si>
    <t>Heat demand scrubber</t>
  </si>
  <si>
    <t>MWh/tinput</t>
  </si>
  <si>
    <t>Heat to process at 50 C</t>
  </si>
  <si>
    <t>Heat LT</t>
  </si>
  <si>
    <t>% biogas input energy</t>
  </si>
  <si>
    <t>Electricity demand inc. Comrpession 5 bar</t>
  </si>
  <si>
    <t xml:space="preserve">NOTE: NOT USED </t>
  </si>
  <si>
    <t>Digestate DM flow</t>
  </si>
  <si>
    <t>tDM/h</t>
  </si>
  <si>
    <t>DM digestate [t/h]</t>
  </si>
  <si>
    <t>%W</t>
  </si>
  <si>
    <t>DM digestate</t>
  </si>
  <si>
    <t>DM fibers</t>
  </si>
  <si>
    <t>MWhel/tDMfiber</t>
  </si>
  <si>
    <t>DMfiber/tfibers</t>
  </si>
  <si>
    <t>ref</t>
  </si>
  <si>
    <t>from biogas</t>
  </si>
  <si>
    <t>tentative</t>
  </si>
  <si>
    <t>DM pellets</t>
  </si>
  <si>
    <t>tDM/tpellets</t>
  </si>
  <si>
    <t>MWh_th/tDM</t>
  </si>
  <si>
    <t>Hear demand process</t>
  </si>
  <si>
    <t>% energy input</t>
  </si>
  <si>
    <t>MWh_th/tpellets</t>
  </si>
  <si>
    <t xml:space="preserve">Electrcity demand </t>
  </si>
  <si>
    <t>MWh_el/tpellets</t>
  </si>
  <si>
    <t>Carbon Balance</t>
  </si>
  <si>
    <t>C yield biochar</t>
  </si>
  <si>
    <t>Hear demand process (comb)</t>
  </si>
  <si>
    <t>Energy in biochar</t>
  </si>
  <si>
    <t>Energy in pyroOil and gas</t>
  </si>
  <si>
    <t>Losses</t>
  </si>
  <si>
    <t>% C DM fiber</t>
  </si>
  <si>
    <t>Pyrolysis process -  energy balance (LHV) - reference</t>
  </si>
  <si>
    <t>Pyrolysis process -  energy balance (LHV) - GLS</t>
  </si>
  <si>
    <t>MWbiochar/Mwpellets</t>
  </si>
  <si>
    <t>MWel/MWpellets</t>
  </si>
  <si>
    <t>Heat MT</t>
  </si>
  <si>
    <t>MW_t/Mwpellets</t>
  </si>
  <si>
    <t>assumption</t>
  </si>
  <si>
    <t>Mwel/Mwpellets</t>
  </si>
  <si>
    <t>MW (dry pellets)</t>
  </si>
  <si>
    <t>moisture pellets to pyrolysis</t>
  </si>
  <si>
    <t xml:space="preserve">Inputs Digestate DM </t>
  </si>
  <si>
    <t>tDMdigestet/tDMpellets</t>
  </si>
  <si>
    <t>tDMdigestet/tpellets</t>
  </si>
  <si>
    <t>t/hDMdigestet/MWpellets</t>
  </si>
  <si>
    <t>C biochar</t>
  </si>
  <si>
    <t>t/hC / MW pellets</t>
  </si>
  <si>
    <t xml:space="preserve">Coefficienct for Char stability in soil (100 yeaes) </t>
  </si>
  <si>
    <t>tC stored/tC biochar</t>
  </si>
  <si>
    <t>Heat DH</t>
  </si>
  <si>
    <t>specific to MW ch4</t>
  </si>
  <si>
    <t>Heat DH [MW 140-90 C]</t>
  </si>
  <si>
    <t>Heat LT [MW  90 - 50 C]</t>
  </si>
  <si>
    <t>MW_t/MW pellets</t>
  </si>
  <si>
    <t>Drying demand</t>
  </si>
  <si>
    <t>Drying</t>
  </si>
  <si>
    <t>Heat  MT [MW 180 - 150 C]</t>
  </si>
  <si>
    <t>CO2e [t/h]</t>
  </si>
  <si>
    <t>Overview_2</t>
  </si>
  <si>
    <t>Legend</t>
  </si>
  <si>
    <t>Overview_1</t>
  </si>
  <si>
    <t>sheet NOT read by PyPSA , it contains the in-out flows for each plant specific to bus 0</t>
  </si>
  <si>
    <t>sheet read by PyPSA , it contains the in-out flows for each plant AND the information about bus0</t>
  </si>
  <si>
    <t>Other sheets</t>
  </si>
  <si>
    <t xml:space="preserve">contain the energy and mass balance calculation for each plant </t>
  </si>
  <si>
    <t>Heat rejected 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</si>
</sst>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7"/>
      <color rgb="FF202124"/>
      <name val="Arial"/>
      <family val="2"/>
    </font>
    <font>
      <b/>
      <u/>
      <sz val="11"/>
      <color rgb="FFFF0000"/>
      <name val="Calibri"/>
      <family val="2"/>
      <scheme val="minor"/>
    </font>
    <font>
      <sz val="12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0"/>
      <color rgb="FF000000"/>
      <name val="Helvetica Neue"/>
      <family val="2"/>
    </font>
    <font>
      <u/>
      <sz val="11"/>
      <color theme="10"/>
      <name val="Calibri"/>
      <family val="2"/>
      <scheme val="minor"/>
    </font>
    <font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DADCE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0" fontId="0" fillId="0" borderId="8" xfId="0" applyBorder="1"/>
    <xf numFmtId="0" fontId="1" fillId="0" borderId="0" xfId="0" applyFont="1" applyAlignment="1">
      <alignment wrapText="1"/>
    </xf>
    <xf numFmtId="2" fontId="0" fillId="0" borderId="7" xfId="0" applyNumberFormat="1" applyBorder="1"/>
    <xf numFmtId="2" fontId="0" fillId="0" borderId="0" xfId="0" applyNumberFormat="1"/>
    <xf numFmtId="1" fontId="0" fillId="0" borderId="0" xfId="0" applyNumberFormat="1"/>
    <xf numFmtId="0" fontId="5" fillId="0" borderId="9" xfId="0" applyFont="1" applyBorder="1" applyAlignment="1">
      <alignment vertical="center" wrapText="1"/>
    </xf>
    <xf numFmtId="0" fontId="6" fillId="0" borderId="0" xfId="0" applyFont="1"/>
    <xf numFmtId="0" fontId="5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quotePrefix="1"/>
    <xf numFmtId="2" fontId="7" fillId="0" borderId="0" xfId="0" applyNumberFormat="1" applyFont="1"/>
    <xf numFmtId="0" fontId="8" fillId="0" borderId="0" xfId="0" applyFont="1" applyAlignment="1">
      <alignment wrapText="1"/>
    </xf>
    <xf numFmtId="10" fontId="0" fillId="0" borderId="0" xfId="0" applyNumberFormat="1"/>
    <xf numFmtId="9" fontId="0" fillId="0" borderId="0" xfId="0" applyNumberFormat="1"/>
    <xf numFmtId="0" fontId="10" fillId="0" borderId="10" xfId="0" applyFont="1" applyBorder="1"/>
    <xf numFmtId="0" fontId="9" fillId="0" borderId="10" xfId="0" applyFont="1" applyBorder="1"/>
    <xf numFmtId="0" fontId="1" fillId="0" borderId="7" xfId="0" applyFont="1" applyBorder="1"/>
    <xf numFmtId="165" fontId="0" fillId="0" borderId="7" xfId="0" applyNumberFormat="1" applyBorder="1"/>
    <xf numFmtId="0" fontId="11" fillId="0" borderId="0" xfId="0" applyFont="1"/>
    <xf numFmtId="0" fontId="12" fillId="0" borderId="0" xfId="0" applyFont="1"/>
    <xf numFmtId="0" fontId="10" fillId="0" borderId="0" xfId="0" applyFont="1"/>
    <xf numFmtId="0" fontId="0" fillId="0" borderId="10" xfId="0" applyBorder="1"/>
    <xf numFmtId="0" fontId="13" fillId="0" borderId="0" xfId="1"/>
    <xf numFmtId="164" fontId="14" fillId="0" borderId="0" xfId="0" applyNumberFormat="1" applyFont="1"/>
    <xf numFmtId="166" fontId="0" fillId="0" borderId="0" xfId="0" applyNumberFormat="1"/>
    <xf numFmtId="2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4.png"/><Relationship Id="rId7" Type="http://schemas.openxmlformats.org/officeDocument/2006/relationships/image" Target="../media/image11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50799</xdr:colOff>
      <xdr:row>10</xdr:row>
      <xdr:rowOff>135466</xdr:rowOff>
    </xdr:from>
    <xdr:to>
      <xdr:col>16</xdr:col>
      <xdr:colOff>12699</xdr:colOff>
      <xdr:row>26</xdr:row>
      <xdr:rowOff>194733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D1DBED1-B2C2-81EF-3748-D4F1FF1FA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2799" y="2497666"/>
          <a:ext cx="6159500" cy="31750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16</xdr:col>
      <xdr:colOff>69426</xdr:colOff>
      <xdr:row>62</xdr:row>
      <xdr:rowOff>148167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1364D5-5A21-B136-3D9A-3DD1A125A9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77867" y="6460067"/>
          <a:ext cx="6273800" cy="6184900"/>
        </a:xfrm>
        <a:prstGeom prst="rect">
          <a:avLst/>
        </a:prstGeom>
      </xdr:spPr>
    </xdr:pic>
    <xdr:clientData/>
  </xdr:twoCellAnchor>
  <xdr:twoCellAnchor editAs="oneCell">
    <xdr:from>
      <xdr:col>15</xdr:col>
      <xdr:colOff>345440</xdr:colOff>
      <xdr:row>31</xdr:row>
      <xdr:rowOff>0</xdr:rowOff>
    </xdr:from>
    <xdr:to>
      <xdr:col>26</xdr:col>
      <xdr:colOff>246379</xdr:colOff>
      <xdr:row>46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B9C5A4-DF5B-4433-9FB1-CE8D6B4F82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10560" y="6400800"/>
          <a:ext cx="7277100" cy="2971800"/>
        </a:xfrm>
        <a:prstGeom prst="rect">
          <a:avLst/>
        </a:prstGeom>
      </xdr:spPr>
    </xdr:pic>
    <xdr:clientData/>
  </xdr:twoCellAnchor>
  <xdr:twoCellAnchor editAs="oneCell">
    <xdr:from>
      <xdr:col>15</xdr:col>
      <xdr:colOff>518160</xdr:colOff>
      <xdr:row>47</xdr:row>
      <xdr:rowOff>71120</xdr:rowOff>
    </xdr:from>
    <xdr:to>
      <xdr:col>27</xdr:col>
      <xdr:colOff>245892</xdr:colOff>
      <xdr:row>63</xdr:row>
      <xdr:rowOff>124167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9066749-B8C7-134C-9FF3-301E93699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083280" y="9560560"/>
          <a:ext cx="7774452" cy="314168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4</xdr:col>
      <xdr:colOff>147320</xdr:colOff>
      <xdr:row>92</xdr:row>
      <xdr:rowOff>170181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FC523FC-8AE0-FC4D-BA70-A58AD786B3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2964160"/>
          <a:ext cx="6604000" cy="557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43005</xdr:colOff>
      <xdr:row>0</xdr:row>
      <xdr:rowOff>455117</xdr:rowOff>
    </xdr:from>
    <xdr:to>
      <xdr:col>30</xdr:col>
      <xdr:colOff>565630</xdr:colOff>
      <xdr:row>36</xdr:row>
      <xdr:rowOff>25105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A5B5B7-DCC4-F443-9D45-2F01F47F9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98737" y="455117"/>
          <a:ext cx="8607258" cy="6806407"/>
        </a:xfrm>
        <a:prstGeom prst="rect">
          <a:avLst/>
        </a:prstGeom>
      </xdr:spPr>
    </xdr:pic>
    <xdr:clientData/>
  </xdr:twoCellAnchor>
  <xdr:twoCellAnchor editAs="oneCell">
    <xdr:from>
      <xdr:col>15</xdr:col>
      <xdr:colOff>17892</xdr:colOff>
      <xdr:row>47</xdr:row>
      <xdr:rowOff>138288</xdr:rowOff>
    </xdr:from>
    <xdr:to>
      <xdr:col>31</xdr:col>
      <xdr:colOff>24122</xdr:colOff>
      <xdr:row>78</xdr:row>
      <xdr:rowOff>41880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3271816-F25E-AD45-9792-01686C576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69797" y="8181621"/>
          <a:ext cx="10650038" cy="5527879"/>
        </a:xfrm>
        <a:prstGeom prst="rect">
          <a:avLst/>
        </a:prstGeom>
      </xdr:spPr>
    </xdr:pic>
    <xdr:clientData/>
  </xdr:twoCellAnchor>
  <xdr:twoCellAnchor editAs="oneCell">
    <xdr:from>
      <xdr:col>33</xdr:col>
      <xdr:colOff>449383</xdr:colOff>
      <xdr:row>29</xdr:row>
      <xdr:rowOff>130237</xdr:rowOff>
    </xdr:from>
    <xdr:to>
      <xdr:col>45</xdr:col>
      <xdr:colOff>134912</xdr:colOff>
      <xdr:row>45</xdr:row>
      <xdr:rowOff>145770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10CB98C-D479-F041-9372-C85F51E20A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317460" y="5229775"/>
          <a:ext cx="7774452" cy="3141687"/>
        </a:xfrm>
        <a:prstGeom prst="rect">
          <a:avLst/>
        </a:prstGeom>
      </xdr:spPr>
    </xdr:pic>
    <xdr:clientData/>
  </xdr:twoCellAnchor>
  <xdr:twoCellAnchor editAs="oneCell">
    <xdr:from>
      <xdr:col>4</xdr:col>
      <xdr:colOff>166077</xdr:colOff>
      <xdr:row>30</xdr:row>
      <xdr:rowOff>125567</xdr:rowOff>
    </xdr:from>
    <xdr:to>
      <xdr:col>9</xdr:col>
      <xdr:colOff>126610</xdr:colOff>
      <xdr:row>45</xdr:row>
      <xdr:rowOff>134341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8456499-B8B4-DFCA-637A-636E17E98A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201117" y="5368127"/>
          <a:ext cx="5243733" cy="2904375"/>
        </a:xfrm>
        <a:prstGeom prst="rect">
          <a:avLst/>
        </a:prstGeom>
      </xdr:spPr>
    </xdr:pic>
    <xdr:clientData/>
  </xdr:twoCellAnchor>
  <xdr:twoCellAnchor editAs="oneCell">
    <xdr:from>
      <xdr:col>4</xdr:col>
      <xdr:colOff>576384</xdr:colOff>
      <xdr:row>21</xdr:row>
      <xdr:rowOff>97692</xdr:rowOff>
    </xdr:from>
    <xdr:to>
      <xdr:col>9</xdr:col>
      <xdr:colOff>467421</xdr:colOff>
      <xdr:row>27</xdr:row>
      <xdr:rowOff>156307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7A007A8-8042-BE5D-978F-8288AE0FE5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87999" y="4024923"/>
          <a:ext cx="5176191" cy="1230923"/>
        </a:xfrm>
        <a:prstGeom prst="rect">
          <a:avLst/>
        </a:prstGeom>
      </xdr:spPr>
    </xdr:pic>
    <xdr:clientData/>
  </xdr:twoCellAnchor>
  <xdr:twoCellAnchor editAs="oneCell">
    <xdr:from>
      <xdr:col>4</xdr:col>
      <xdr:colOff>673468</xdr:colOff>
      <xdr:row>10</xdr:row>
      <xdr:rowOff>31855</xdr:rowOff>
    </xdr:from>
    <xdr:to>
      <xdr:col>9</xdr:col>
      <xdr:colOff>132252</xdr:colOff>
      <xdr:row>18</xdr:row>
      <xdr:rowOff>183789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1B80825-A9B9-9BF7-7EDB-A805234770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703108" y="2388792"/>
          <a:ext cx="4744730" cy="1707970"/>
        </a:xfrm>
        <a:prstGeom prst="rect">
          <a:avLst/>
        </a:prstGeom>
      </xdr:spPr>
    </xdr:pic>
    <xdr:clientData/>
  </xdr:twoCellAnchor>
  <xdr:twoCellAnchor editAs="oneCell">
    <xdr:from>
      <xdr:col>9</xdr:col>
      <xdr:colOff>240885</xdr:colOff>
      <xdr:row>10</xdr:row>
      <xdr:rowOff>32094</xdr:rowOff>
    </xdr:from>
    <xdr:to>
      <xdr:col>14</xdr:col>
      <xdr:colOff>481206</xdr:colOff>
      <xdr:row>16</xdr:row>
      <xdr:rowOff>133622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416CDA2-7872-C403-C044-3DBAA1C776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556471" y="2389031"/>
          <a:ext cx="5675006" cy="1268555"/>
        </a:xfrm>
        <a:prstGeom prst="rect">
          <a:avLst/>
        </a:prstGeom>
      </xdr:spPr>
    </xdr:pic>
    <xdr:clientData/>
  </xdr:twoCellAnchor>
  <xdr:twoCellAnchor editAs="oneCell">
    <xdr:from>
      <xdr:col>9</xdr:col>
      <xdr:colOff>488461</xdr:colOff>
      <xdr:row>19</xdr:row>
      <xdr:rowOff>26411</xdr:rowOff>
    </xdr:from>
    <xdr:to>
      <xdr:col>14</xdr:col>
      <xdr:colOff>142628</xdr:colOff>
      <xdr:row>39</xdr:row>
      <xdr:rowOff>25476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8216598-3900-31AD-FA6B-FDC7A94E1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804047" y="3939384"/>
          <a:ext cx="5088852" cy="3889156"/>
        </a:xfrm>
        <a:prstGeom prst="rect">
          <a:avLst/>
        </a:prstGeom>
      </xdr:spPr>
    </xdr:pic>
    <xdr:clientData/>
  </xdr:twoCellAnchor>
  <xdr:twoCellAnchor editAs="oneCell">
    <xdr:from>
      <xdr:col>4</xdr:col>
      <xdr:colOff>365760</xdr:colOff>
      <xdr:row>48</xdr:row>
      <xdr:rowOff>101600</xdr:rowOff>
    </xdr:from>
    <xdr:to>
      <xdr:col>11</xdr:col>
      <xdr:colOff>52851</xdr:colOff>
      <xdr:row>64</xdr:row>
      <xdr:rowOff>154648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C53A9C5-82ED-8D4E-BCE9-BB5ECDD39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00800" y="8818880"/>
          <a:ext cx="7774452" cy="314168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666750</xdr:colOff>
      <xdr:row>0</xdr:row>
      <xdr:rowOff>254000</xdr:rowOff>
    </xdr:from>
    <xdr:to>
      <xdr:col>27</xdr:col>
      <xdr:colOff>86583</xdr:colOff>
      <xdr:row>30</xdr:row>
      <xdr:rowOff>116468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AD9F25-D574-48D7-8433-3D096D08C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41350" y="254000"/>
          <a:ext cx="9269952" cy="5819102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58</xdr:row>
      <xdr:rowOff>0</xdr:rowOff>
    </xdr:from>
    <xdr:to>
      <xdr:col>26</xdr:col>
      <xdr:colOff>903155</xdr:colOff>
      <xdr:row>80</xdr:row>
      <xdr:rowOff>62988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33BC68-E201-4475-994C-55629C6149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86800" y="6076950"/>
          <a:ext cx="8685714" cy="41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47</xdr:row>
      <xdr:rowOff>25400</xdr:rowOff>
    </xdr:from>
    <xdr:to>
      <xdr:col>10</xdr:col>
      <xdr:colOff>377480</xdr:colOff>
      <xdr:row>68</xdr:row>
      <xdr:rowOff>14757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3DA131-5C7F-419F-87A4-178FEF7D22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" y="4083050"/>
          <a:ext cx="8104762" cy="38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349250</xdr:colOff>
      <xdr:row>66</xdr:row>
      <xdr:rowOff>107950</xdr:rowOff>
    </xdr:from>
    <xdr:to>
      <xdr:col>10</xdr:col>
      <xdr:colOff>288613</xdr:colOff>
      <xdr:row>80</xdr:row>
      <xdr:rowOff>25089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89D9B5B-DD9C-4961-84C7-10526CFB4F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9250" y="7664450"/>
          <a:ext cx="7838095" cy="249523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lberto Alamia" id="{73DAE1C7-1893-41D9-AD2D-FF891690A672}" userId="S::au731098@uni.au.dk::aad2f28f-60f5-4dac-903c-3a978f0b8b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1" dT="2023-02-07T14:21:40.59" personId="{73DAE1C7-1893-41D9-AD2D-FF891690A672}" id="{A0E51695-825A-5147-A6EB-85D79B64DDFE}">
    <text>Comparison value is 0.09 in  Source:
 Danish Energy Agency, data_sheets_for_renewable_fuels.xlsx</text>
  </threadedComment>
  <threadedComment ref="C40" dT="2023-02-07T14:04:56.72" personId="{73DAE1C7-1893-41D9-AD2D-FF891690A672}" id="{E7F008FC-9BE0-D843-9D2A-C7DE65646AF6}">
    <text>Source:
 Danish Energy Agency, data_sheets_for_renewable_fuels.xlsx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4" dT="2022-11-16T15:15:59.60" personId="{73DAE1C7-1893-41D9-AD2D-FF891690A672}" id="{166D3125-93D4-BC47-90AE-9D24836634FD}">
    <text>assumption: 
the Offset CO2e is proportional tpo the biochar yield. The Offset CO2 is calcualted as CO2 that woudl be generated by combusiton of biochar.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sciencedirect.com/science/article/pii/S0306261916302240?via%3Dihub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43951-6CD8-8E4B-8EA7-764D617F3ECE}">
  <dimension ref="A2:B5"/>
  <sheetViews>
    <sheetView zoomScale="177" workbookViewId="0">
      <selection activeCell="C12" sqref="C12"/>
    </sheetView>
  </sheetViews>
  <sheetFormatPr baseColWidth="10" defaultRowHeight="15" x14ac:dyDescent="0.2"/>
  <sheetData>
    <row r="2" spans="1:2" x14ac:dyDescent="0.2">
      <c r="A2" s="1" t="s">
        <v>272</v>
      </c>
    </row>
    <row r="3" spans="1:2" x14ac:dyDescent="0.2">
      <c r="A3" t="s">
        <v>271</v>
      </c>
      <c r="B3" t="s">
        <v>275</v>
      </c>
    </row>
    <row r="4" spans="1:2" x14ac:dyDescent="0.2">
      <c r="A4" t="s">
        <v>273</v>
      </c>
      <c r="B4" t="s">
        <v>274</v>
      </c>
    </row>
    <row r="5" spans="1:2" x14ac:dyDescent="0.2">
      <c r="A5" t="s">
        <v>276</v>
      </c>
      <c r="B5" t="s">
        <v>277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E210E-5547-7B4C-A992-42B7D0DD9218}">
  <dimension ref="A1:F13"/>
  <sheetViews>
    <sheetView zoomScale="126" workbookViewId="0">
      <selection activeCell="E15" sqref="E15"/>
    </sheetView>
  </sheetViews>
  <sheetFormatPr baseColWidth="10" defaultColWidth="8.83203125" defaultRowHeight="15" x14ac:dyDescent="0.2"/>
  <cols>
    <col min="1" max="1" width="18.5" bestFit="1" customWidth="1"/>
    <col min="2" max="2" width="19.6640625" bestFit="1" customWidth="1"/>
    <col min="3" max="3" width="17.6640625" bestFit="1" customWidth="1"/>
    <col min="4" max="4" width="12" bestFit="1" customWidth="1"/>
    <col min="5" max="5" width="10.1640625" bestFit="1" customWidth="1"/>
    <col min="6" max="6" width="13.1640625" bestFit="1" customWidth="1"/>
    <col min="7" max="7" width="11.1640625" customWidth="1"/>
    <col min="8" max="8" width="15" customWidth="1"/>
    <col min="9" max="9" width="13.5" bestFit="1" customWidth="1"/>
    <col min="13" max="13" width="16.5" customWidth="1"/>
  </cols>
  <sheetData>
    <row r="1" spans="1:6" x14ac:dyDescent="0.2">
      <c r="A1" s="1" t="s">
        <v>62</v>
      </c>
      <c r="B1" s="1" t="s">
        <v>72</v>
      </c>
      <c r="C1" s="1" t="s">
        <v>3</v>
      </c>
      <c r="D1" s="1" t="s">
        <v>4</v>
      </c>
      <c r="E1" s="1" t="s">
        <v>5</v>
      </c>
      <c r="F1" s="1" t="s">
        <v>59</v>
      </c>
    </row>
    <row r="2" spans="1:6" ht="16" x14ac:dyDescent="0.2">
      <c r="A2" s="17" t="s">
        <v>64</v>
      </c>
      <c r="B2" s="17" t="s">
        <v>69</v>
      </c>
      <c r="C2" s="19">
        <f>SkyClean!B2</f>
        <v>-0.20106795170394104</v>
      </c>
      <c r="D2">
        <f>GreenHyScale!B2</f>
        <v>-100</v>
      </c>
      <c r="E2">
        <f>'Biogas skive'!B2</f>
        <v>-1.0931278538812785</v>
      </c>
      <c r="F2">
        <f>'Methanol plant'!B2</f>
        <v>-0.16245487364620939</v>
      </c>
    </row>
    <row r="3" spans="1:6" ht="32" x14ac:dyDescent="0.2">
      <c r="A3" s="17" t="s">
        <v>248</v>
      </c>
      <c r="B3" s="17" t="s">
        <v>269</v>
      </c>
      <c r="C3" s="19">
        <f>SkyClean!C2</f>
        <v>1.08</v>
      </c>
      <c r="D3">
        <f>GreenHyScale!C2</f>
        <v>0</v>
      </c>
      <c r="E3">
        <f>'Biogas skive'!C2</f>
        <v>-2.8116894977168947</v>
      </c>
      <c r="F3">
        <f>'Methanol plant'!C2</f>
        <v>-0.9422382671480144</v>
      </c>
    </row>
    <row r="4" spans="1:6" ht="32" x14ac:dyDescent="0.2">
      <c r="A4" s="17" t="s">
        <v>262</v>
      </c>
      <c r="B4" s="17" t="s">
        <v>264</v>
      </c>
      <c r="C4" s="19">
        <f>SkyClean!D2</f>
        <v>0</v>
      </c>
      <c r="D4">
        <f>GreenHyScale!D2</f>
        <v>0</v>
      </c>
      <c r="E4">
        <f>'Biogas skive'!D2</f>
        <v>0</v>
      </c>
      <c r="F4">
        <f>'Methanol plant'!D2</f>
        <v>0.25641025641025644</v>
      </c>
    </row>
    <row r="5" spans="1:6" ht="16" x14ac:dyDescent="0.2">
      <c r="A5" s="17" t="s">
        <v>214</v>
      </c>
      <c r="B5" s="27" t="s">
        <v>265</v>
      </c>
      <c r="C5">
        <f>SkyClean!E2</f>
        <v>0</v>
      </c>
      <c r="D5">
        <f>GreenHyScale!E2</f>
        <v>14.6</v>
      </c>
      <c r="E5">
        <f>'Biogas skive'!E2</f>
        <v>7.490106544901054E-2</v>
      </c>
      <c r="F5">
        <f>'Methanol plant'!E2</f>
        <v>0</v>
      </c>
    </row>
    <row r="6" spans="1:6" ht="16" x14ac:dyDescent="0.2">
      <c r="A6" s="17" t="s">
        <v>61</v>
      </c>
      <c r="B6" s="17" t="s">
        <v>70</v>
      </c>
      <c r="C6" s="19">
        <f>SkyClean!F2</f>
        <v>0</v>
      </c>
      <c r="D6">
        <f>GreenHyScale!F2</f>
        <v>0</v>
      </c>
      <c r="E6">
        <f>'Biogas skive'!F2</f>
        <v>2.6746048472075863</v>
      </c>
      <c r="F6">
        <f>'Methanol plant'!F2</f>
        <v>-2.2743682310469313</v>
      </c>
    </row>
    <row r="7" spans="1:6" ht="16" x14ac:dyDescent="0.2">
      <c r="A7" s="17" t="s">
        <v>65</v>
      </c>
      <c r="B7" s="17" t="s">
        <v>73</v>
      </c>
      <c r="C7" s="19">
        <f>SkyClean!G2</f>
        <v>0</v>
      </c>
      <c r="D7">
        <f>GreenHyScale!G2</f>
        <v>68</v>
      </c>
      <c r="E7">
        <f>'Biogas skive'!G2</f>
        <v>0</v>
      </c>
      <c r="F7">
        <f>'Methanol plant'!G2</f>
        <v>-10.397111913357401</v>
      </c>
    </row>
    <row r="8" spans="1:6" ht="16" x14ac:dyDescent="0.2">
      <c r="A8" s="17" t="s">
        <v>66</v>
      </c>
      <c r="B8" s="17" t="s">
        <v>71</v>
      </c>
      <c r="C8" s="19">
        <f>SkyClean!H2</f>
        <v>0</v>
      </c>
      <c r="D8">
        <f>GreenHyScale!H2</f>
        <v>0</v>
      </c>
      <c r="E8">
        <f>'Biogas skive'!H2</f>
        <v>-57.077625570776256</v>
      </c>
      <c r="F8">
        <f>'Methanol plant'!H2</f>
        <v>0</v>
      </c>
    </row>
    <row r="9" spans="1:6" ht="16" x14ac:dyDescent="0.2">
      <c r="A9" s="17" t="s">
        <v>222</v>
      </c>
      <c r="B9" s="17" t="s">
        <v>220</v>
      </c>
      <c r="C9" s="19">
        <f>SkyClean!I2</f>
        <v>-0.55316331384664219</v>
      </c>
      <c r="D9">
        <f>GreenHyScale!I2</f>
        <v>0</v>
      </c>
      <c r="E9">
        <f>'Biogas skive'!I2</f>
        <v>3.6767123287671239</v>
      </c>
      <c r="F9">
        <f>'Methanol plant'!I2</f>
        <v>0</v>
      </c>
    </row>
    <row r="10" spans="1:6" ht="16" x14ac:dyDescent="0.2">
      <c r="A10" s="17" t="s">
        <v>67</v>
      </c>
      <c r="B10" s="27" t="s">
        <v>270</v>
      </c>
      <c r="C10" s="19">
        <f>SkyClean!J2</f>
        <v>-0.49120902269581834</v>
      </c>
      <c r="D10">
        <f>GreenHyScale!J2</f>
        <v>0</v>
      </c>
      <c r="E10">
        <f>'Biogas skive'!J2</f>
        <v>0</v>
      </c>
      <c r="F10">
        <f>'Methanol plant'!J2</f>
        <v>0</v>
      </c>
    </row>
    <row r="11" spans="1:6" ht="16" x14ac:dyDescent="0.2">
      <c r="A11" s="17" t="s">
        <v>68</v>
      </c>
      <c r="B11" s="17" t="s">
        <v>74</v>
      </c>
      <c r="C11" s="19">
        <f>SkyClean!K2</f>
        <v>0</v>
      </c>
      <c r="D11">
        <f>GreenHyScale!K2</f>
        <v>0</v>
      </c>
      <c r="E11">
        <f>'Biogas skive'!K2</f>
        <v>27.24505327245053</v>
      </c>
      <c r="F11">
        <f>'Methanol plant'!K2</f>
        <v>0</v>
      </c>
    </row>
    <row r="12" spans="1:6" ht="16" x14ac:dyDescent="0.2">
      <c r="A12" s="17" t="s">
        <v>60</v>
      </c>
      <c r="B12" s="17" t="s">
        <v>78</v>
      </c>
      <c r="C12" s="19">
        <f>SkyClean!L2</f>
        <v>0</v>
      </c>
      <c r="D12">
        <f>GreenHyScale!L2</f>
        <v>0</v>
      </c>
      <c r="E12">
        <f>'Biogas skive'!L2</f>
        <v>0</v>
      </c>
      <c r="F12">
        <f>'Methanol plant'!L2</f>
        <v>9</v>
      </c>
    </row>
    <row r="13" spans="1:6" ht="16" x14ac:dyDescent="0.2">
      <c r="A13" s="1" t="s">
        <v>77</v>
      </c>
      <c r="B13" s="1"/>
      <c r="C13" s="24" t="str">
        <f>A9</f>
        <v>DM digestate</v>
      </c>
      <c r="D13" s="24" t="s">
        <v>64</v>
      </c>
      <c r="E13" s="24" t="s">
        <v>66</v>
      </c>
      <c r="F13" s="24" t="s">
        <v>61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41457-110F-344C-BE20-44E756D647F1}">
  <dimension ref="A1:N18"/>
  <sheetViews>
    <sheetView zoomScale="126" workbookViewId="0">
      <selection activeCell="E25" sqref="E25"/>
    </sheetView>
  </sheetViews>
  <sheetFormatPr baseColWidth="10" defaultColWidth="8.83203125" defaultRowHeight="15" x14ac:dyDescent="0.2"/>
  <cols>
    <col min="1" max="1" width="18.5" bestFit="1" customWidth="1"/>
    <col min="2" max="2" width="19.6640625" bestFit="1" customWidth="1"/>
    <col min="3" max="3" width="17.6640625" bestFit="1" customWidth="1"/>
    <col min="4" max="4" width="12" bestFit="1" customWidth="1"/>
    <col min="5" max="5" width="10.1640625" bestFit="1" customWidth="1"/>
    <col min="6" max="6" width="13.1640625" bestFit="1" customWidth="1"/>
    <col min="7" max="7" width="11.1640625" customWidth="1"/>
    <col min="8" max="8" width="15" customWidth="1"/>
    <col min="9" max="9" width="13.5" bestFit="1" customWidth="1"/>
    <col min="13" max="13" width="16.5" customWidth="1"/>
  </cols>
  <sheetData>
    <row r="1" spans="1:6" x14ac:dyDescent="0.2">
      <c r="A1" s="1" t="s">
        <v>62</v>
      </c>
      <c r="B1" s="1" t="s">
        <v>72</v>
      </c>
      <c r="C1" s="1" t="s">
        <v>3</v>
      </c>
      <c r="D1" s="1" t="s">
        <v>4</v>
      </c>
      <c r="E1" s="1" t="s">
        <v>5</v>
      </c>
      <c r="F1" s="1" t="s">
        <v>59</v>
      </c>
    </row>
    <row r="2" spans="1:6" ht="16" x14ac:dyDescent="0.2">
      <c r="A2" s="17" t="s">
        <v>64</v>
      </c>
      <c r="B2" s="17" t="s">
        <v>69</v>
      </c>
      <c r="C2" s="19">
        <f>SkyClean!B3</f>
        <v>-6.7022650567980346E-2</v>
      </c>
      <c r="D2">
        <f>GreenHyScale!B3</f>
        <v>1</v>
      </c>
      <c r="E2">
        <f>'Biogas skive'!B3</f>
        <v>-4.0122067039106146E-2</v>
      </c>
      <c r="F2">
        <f>'Methanol plant'!B3</f>
        <v>-1.8050541516245487E-2</v>
      </c>
    </row>
    <row r="3" spans="1:6" ht="32" x14ac:dyDescent="0.2">
      <c r="A3" s="17" t="s">
        <v>248</v>
      </c>
      <c r="B3" s="17" t="s">
        <v>269</v>
      </c>
      <c r="C3" s="19">
        <f>SkyClean!C3</f>
        <v>0.36000000000000004</v>
      </c>
      <c r="D3">
        <f>GreenHyScale!C3</f>
        <v>0</v>
      </c>
      <c r="E3">
        <f>'Biogas skive'!C3</f>
        <v>-0.1032</v>
      </c>
      <c r="F3">
        <f>'Methanol plant'!C3</f>
        <v>-0.10469314079422382</v>
      </c>
    </row>
    <row r="4" spans="1:6" ht="32" x14ac:dyDescent="0.2">
      <c r="A4" s="17" t="s">
        <v>262</v>
      </c>
      <c r="B4" s="17" t="s">
        <v>264</v>
      </c>
      <c r="C4" s="19">
        <f>SkyClean!D3</f>
        <v>0</v>
      </c>
      <c r="D4">
        <f>GreenHyScale!D3</f>
        <v>0</v>
      </c>
      <c r="E4">
        <f>'Biogas skive'!D3</f>
        <v>0</v>
      </c>
      <c r="F4">
        <f>'Methanol plant'!D3</f>
        <v>2.8490028490028494E-2</v>
      </c>
    </row>
    <row r="5" spans="1:6" ht="16" x14ac:dyDescent="0.2">
      <c r="A5" s="17" t="s">
        <v>214</v>
      </c>
      <c r="B5" s="27" t="s">
        <v>265</v>
      </c>
      <c r="C5">
        <f>SkyClean!E3</f>
        <v>0</v>
      </c>
      <c r="D5">
        <f>GreenHyScale!E3</f>
        <v>-0.14599999999999999</v>
      </c>
      <c r="E5">
        <f>'Biogas skive'!E3</f>
        <v>2.7491620111731803E-3</v>
      </c>
      <c r="F5">
        <f>'Methanol plant'!E3</f>
        <v>0</v>
      </c>
    </row>
    <row r="6" spans="1:6" ht="16" x14ac:dyDescent="0.2">
      <c r="A6" s="17" t="s">
        <v>61</v>
      </c>
      <c r="B6" s="17" t="s">
        <v>70</v>
      </c>
      <c r="C6" s="19">
        <f>SkyClean!F3</f>
        <v>0</v>
      </c>
      <c r="D6">
        <f>GreenHyScale!F3</f>
        <v>0</v>
      </c>
      <c r="E6">
        <f>'Biogas skive'!F3</f>
        <v>9.8168457241082932E-2</v>
      </c>
      <c r="F6">
        <f>'Methanol plant'!F3</f>
        <v>-0.25270758122743681</v>
      </c>
    </row>
    <row r="7" spans="1:6" ht="16" x14ac:dyDescent="0.2">
      <c r="A7" s="17" t="s">
        <v>65</v>
      </c>
      <c r="B7" s="17" t="s">
        <v>73</v>
      </c>
      <c r="C7" s="19">
        <f>SkyClean!G3</f>
        <v>0</v>
      </c>
      <c r="D7">
        <f>GreenHyScale!G3</f>
        <v>-0.68</v>
      </c>
      <c r="E7">
        <f>'Biogas skive'!G3</f>
        <v>0</v>
      </c>
      <c r="F7">
        <f>'Methanol plant'!G3</f>
        <v>-1.1552346570397112</v>
      </c>
    </row>
    <row r="8" spans="1:6" ht="16" x14ac:dyDescent="0.2">
      <c r="A8" s="17" t="s">
        <v>66</v>
      </c>
      <c r="B8" s="17" t="s">
        <v>71</v>
      </c>
      <c r="C8" s="19">
        <f>SkyClean!H3</f>
        <v>0</v>
      </c>
      <c r="D8">
        <f>GreenHyScale!H3</f>
        <v>0</v>
      </c>
      <c r="E8">
        <f>'Biogas skive'!H3</f>
        <v>-2.0949720670391065</v>
      </c>
      <c r="F8">
        <f>'Methanol plant'!H3</f>
        <v>0</v>
      </c>
    </row>
    <row r="9" spans="1:6" ht="16" x14ac:dyDescent="0.2">
      <c r="A9" s="17" t="s">
        <v>222</v>
      </c>
      <c r="B9" s="17" t="s">
        <v>220</v>
      </c>
      <c r="C9" s="19">
        <f>SkyClean!I3</f>
        <v>-0.18438777128221406</v>
      </c>
      <c r="D9">
        <f>GreenHyScale!I3</f>
        <v>0</v>
      </c>
      <c r="E9">
        <f>'Biogas skive'!I3</f>
        <v>0.1349497206703911</v>
      </c>
      <c r="F9">
        <f>'Methanol plant'!I3</f>
        <v>0</v>
      </c>
    </row>
    <row r="10" spans="1:6" ht="16" x14ac:dyDescent="0.2">
      <c r="A10" s="17" t="s">
        <v>67</v>
      </c>
      <c r="B10" s="27" t="s">
        <v>270</v>
      </c>
      <c r="C10" s="19">
        <f>SkyClean!J3</f>
        <v>-0.16373634089860611</v>
      </c>
      <c r="D10">
        <f>GreenHyScale!J3</f>
        <v>0</v>
      </c>
      <c r="E10">
        <f>'Biogas skive'!J3</f>
        <v>0</v>
      </c>
      <c r="F10">
        <f>'Methanol plant'!J3</f>
        <v>0</v>
      </c>
    </row>
    <row r="11" spans="1:6" ht="16" x14ac:dyDescent="0.2">
      <c r="A11" s="17" t="s">
        <v>68</v>
      </c>
      <c r="B11" s="17" t="s">
        <v>74</v>
      </c>
      <c r="C11" s="19">
        <f>SkyClean!K3</f>
        <v>0</v>
      </c>
      <c r="D11">
        <f>GreenHyScale!K3</f>
        <v>0</v>
      </c>
      <c r="E11">
        <f>'Biogas skive'!K3</f>
        <v>1</v>
      </c>
      <c r="F11">
        <f>'Methanol plant'!K3</f>
        <v>0</v>
      </c>
    </row>
    <row r="12" spans="1:6" ht="16" x14ac:dyDescent="0.2">
      <c r="A12" s="17" t="s">
        <v>60</v>
      </c>
      <c r="B12" s="17" t="s">
        <v>78</v>
      </c>
      <c r="C12" s="19">
        <f>SkyClean!L3</f>
        <v>0</v>
      </c>
      <c r="D12">
        <f>GreenHyScale!L3</f>
        <v>0</v>
      </c>
      <c r="E12">
        <f>'Biogas skive'!L3</f>
        <v>0</v>
      </c>
      <c r="F12">
        <f>'Methanol plant'!L3</f>
        <v>1</v>
      </c>
    </row>
    <row r="13" spans="1:6" ht="16" x14ac:dyDescent="0.2">
      <c r="A13" s="1" t="s">
        <v>77</v>
      </c>
      <c r="B13" s="1"/>
      <c r="C13" s="24" t="str">
        <f>A9</f>
        <v>DM digestate</v>
      </c>
      <c r="D13" s="24" t="s">
        <v>64</v>
      </c>
      <c r="E13" s="24" t="s">
        <v>66</v>
      </c>
      <c r="F13" s="24" t="s">
        <v>61</v>
      </c>
    </row>
    <row r="14" spans="1:6" x14ac:dyDescent="0.2">
      <c r="A14" s="1"/>
      <c r="B14" s="1"/>
      <c r="C14" s="24"/>
      <c r="D14" s="24"/>
      <c r="E14" s="24"/>
      <c r="F14" s="24"/>
    </row>
    <row r="18" spans="13:14" x14ac:dyDescent="0.2">
      <c r="M18">
        <f>'Biogas skive'!M2</f>
        <v>0</v>
      </c>
      <c r="N18">
        <f>'Biogas skive'!N2</f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75E0B-F2C9-4DE3-BF3C-58B1C5E5A4F3}">
  <dimension ref="A1:P66"/>
  <sheetViews>
    <sheetView zoomScale="150" workbookViewId="0">
      <selection activeCell="D4" sqref="D4"/>
    </sheetView>
  </sheetViews>
  <sheetFormatPr baseColWidth="10" defaultColWidth="8.83203125" defaultRowHeight="15" x14ac:dyDescent="0.2"/>
  <cols>
    <col min="1" max="1" width="34.1640625" bestFit="1" customWidth="1"/>
    <col min="2" max="2" width="19.1640625" customWidth="1"/>
    <col min="3" max="3" width="15.5" bestFit="1" customWidth="1"/>
    <col min="4" max="4" width="16" customWidth="1"/>
    <col min="5" max="5" width="14.6640625" customWidth="1"/>
    <col min="7" max="7" width="12.1640625" bestFit="1" customWidth="1"/>
    <col min="8" max="8" width="12.6640625" bestFit="1" customWidth="1"/>
    <col min="9" max="9" width="12.6640625" customWidth="1"/>
    <col min="10" max="10" width="17.1640625" bestFit="1" customWidth="1"/>
    <col min="11" max="11" width="13.5" bestFit="1" customWidth="1"/>
    <col min="12" max="12" width="14.6640625" bestFit="1" customWidth="1"/>
    <col min="13" max="13" width="9.1640625" bestFit="1" customWidth="1"/>
  </cols>
  <sheetData>
    <row r="1" spans="1:16" s="1" customFormat="1" ht="32" x14ac:dyDescent="0.2">
      <c r="A1" s="1" t="s">
        <v>62</v>
      </c>
      <c r="B1" s="17" t="str">
        <f>Overview_2!B2</f>
        <v>Electricity [MW]</v>
      </c>
      <c r="C1" s="17" t="str">
        <f>Overview_2!B3</f>
        <v>Heat  MT [MW 180 - 150 C]</v>
      </c>
      <c r="D1" s="17" t="str">
        <f>Overview_2!B4</f>
        <v>Heat DH [MW 140-90 C]</v>
      </c>
      <c r="E1" s="17" t="str">
        <f>Overview_2!B5</f>
        <v>Heat LT [MW  90 - 50 C]</v>
      </c>
      <c r="F1" s="17" t="str">
        <f>Overview_2!B6</f>
        <v>pure CO2 [t/h]</v>
      </c>
      <c r="G1" s="17" t="str">
        <f>Overview_2!B7</f>
        <v>H2 [MW]</v>
      </c>
      <c r="H1" s="17" t="str">
        <f>Overview_2!B8</f>
        <v>Biomass [t/h]</v>
      </c>
      <c r="I1" s="17" t="str">
        <f>Overview_2!B9</f>
        <v>DM digestate [t/h]</v>
      </c>
      <c r="J1" s="17" t="str">
        <f>Overview_2!B10</f>
        <v>CO2e [t/h]</v>
      </c>
      <c r="K1" s="17" t="str">
        <f>Overview_2!B11</f>
        <v>BioCH4 [MW]</v>
      </c>
      <c r="L1" s="27" t="str">
        <f>Overview_2!B12</f>
        <v>Methanol [MW]</v>
      </c>
      <c r="P1" s="1" t="s">
        <v>77</v>
      </c>
    </row>
    <row r="2" spans="1:16" x14ac:dyDescent="0.2">
      <c r="A2" s="1" t="s">
        <v>21</v>
      </c>
      <c r="B2" s="7">
        <f>-(C25+C33)</f>
        <v>-1.0931278538812785</v>
      </c>
      <c r="C2">
        <f>-C35</f>
        <v>-2.8116894977168947</v>
      </c>
      <c r="D2" s="5">
        <f>K32</f>
        <v>0</v>
      </c>
      <c r="E2" s="19">
        <f>C37-C27</f>
        <v>7.490106544901054E-2</v>
      </c>
      <c r="F2">
        <f>C18*C17*C19/1000*0.98</f>
        <v>2.6746048472075863</v>
      </c>
      <c r="G2">
        <v>0</v>
      </c>
      <c r="H2">
        <f>-C11</f>
        <v>-57.077625570776256</v>
      </c>
      <c r="I2">
        <f>C52</f>
        <v>3.6767123287671239</v>
      </c>
      <c r="J2">
        <v>0</v>
      </c>
      <c r="K2">
        <f>C6/C4*1000</f>
        <v>27.24505327245053</v>
      </c>
      <c r="L2">
        <v>0</v>
      </c>
    </row>
    <row r="3" spans="1:16" x14ac:dyDescent="0.2">
      <c r="A3" s="1" t="s">
        <v>263</v>
      </c>
      <c r="B3">
        <f t="shared" ref="B3:L3" si="0">B2/$K$2</f>
        <v>-4.0122067039106146E-2</v>
      </c>
      <c r="C3">
        <f t="shared" si="0"/>
        <v>-0.1032</v>
      </c>
      <c r="D3">
        <f t="shared" si="0"/>
        <v>0</v>
      </c>
      <c r="E3">
        <f t="shared" si="0"/>
        <v>2.7491620111731803E-3</v>
      </c>
      <c r="F3">
        <f t="shared" si="0"/>
        <v>9.8168457241082932E-2</v>
      </c>
      <c r="G3">
        <f t="shared" si="0"/>
        <v>0</v>
      </c>
      <c r="H3">
        <f t="shared" si="0"/>
        <v>-2.0949720670391065</v>
      </c>
      <c r="I3">
        <f t="shared" si="0"/>
        <v>0.1349497206703911</v>
      </c>
      <c r="J3">
        <f t="shared" si="0"/>
        <v>0</v>
      </c>
      <c r="K3">
        <f t="shared" si="0"/>
        <v>1</v>
      </c>
      <c r="L3">
        <f t="shared" si="0"/>
        <v>0</v>
      </c>
    </row>
    <row r="4" spans="1:16" x14ac:dyDescent="0.2">
      <c r="A4" t="s">
        <v>30</v>
      </c>
      <c r="B4" t="s">
        <v>31</v>
      </c>
      <c r="C4" s="3">
        <v>8760</v>
      </c>
    </row>
    <row r="5" spans="1:16" x14ac:dyDescent="0.2">
      <c r="A5" t="s">
        <v>26</v>
      </c>
      <c r="B5" t="s">
        <v>27</v>
      </c>
      <c r="C5" s="2">
        <f>24*1000000</f>
        <v>24000000</v>
      </c>
      <c r="E5" s="1" t="s">
        <v>81</v>
      </c>
      <c r="J5" s="2" t="s">
        <v>14</v>
      </c>
    </row>
    <row r="6" spans="1:16" x14ac:dyDescent="0.2">
      <c r="A6" t="s">
        <v>22</v>
      </c>
      <c r="B6" t="s">
        <v>23</v>
      </c>
      <c r="C6" s="20">
        <f>C5*C8/3600/1000</f>
        <v>238.66666666666663</v>
      </c>
      <c r="E6" t="s">
        <v>82</v>
      </c>
      <c r="F6" t="s">
        <v>85</v>
      </c>
      <c r="G6">
        <f>C5/C4*C20/1000*12/16</f>
        <v>1.3767123287671235</v>
      </c>
      <c r="J6" s="4" t="s">
        <v>15</v>
      </c>
    </row>
    <row r="7" spans="1:16" x14ac:dyDescent="0.2">
      <c r="A7" t="s">
        <v>25</v>
      </c>
      <c r="B7" t="s">
        <v>24</v>
      </c>
      <c r="C7">
        <v>50</v>
      </c>
      <c r="E7" t="s">
        <v>83</v>
      </c>
      <c r="F7" t="s">
        <v>2</v>
      </c>
      <c r="G7">
        <f>F2*12/44</f>
        <v>0.72943768560206901</v>
      </c>
      <c r="J7" s="3" t="s">
        <v>16</v>
      </c>
    </row>
    <row r="8" spans="1:16" x14ac:dyDescent="0.2">
      <c r="A8" t="s">
        <v>25</v>
      </c>
      <c r="B8" t="s">
        <v>28</v>
      </c>
      <c r="C8">
        <v>35.799999999999997</v>
      </c>
      <c r="E8" t="s">
        <v>86</v>
      </c>
      <c r="F8" t="s">
        <v>2</v>
      </c>
      <c r="G8">
        <f>G7+G6</f>
        <v>2.1061500143691925</v>
      </c>
    </row>
    <row r="9" spans="1:16" x14ac:dyDescent="0.2">
      <c r="A9" t="s">
        <v>179</v>
      </c>
      <c r="B9" t="s">
        <v>178</v>
      </c>
      <c r="C9">
        <f>C5/C10</f>
        <v>48</v>
      </c>
      <c r="D9" s="1"/>
      <c r="E9" t="s">
        <v>94</v>
      </c>
      <c r="F9" t="s">
        <v>95</v>
      </c>
      <c r="G9">
        <f>G8/ABS(H2)</f>
        <v>3.689974825174825E-2</v>
      </c>
      <c r="H9" s="1"/>
      <c r="I9" s="1"/>
      <c r="J9" s="1"/>
      <c r="K9" s="1"/>
      <c r="L9" s="1"/>
      <c r="M9" s="1"/>
    </row>
    <row r="10" spans="1:16" x14ac:dyDescent="0.2">
      <c r="A10" t="s">
        <v>63</v>
      </c>
      <c r="B10" s="25" t="s">
        <v>6</v>
      </c>
      <c r="C10">
        <v>500000</v>
      </c>
      <c r="E10" s="1"/>
      <c r="F10" s="1"/>
    </row>
    <row r="11" spans="1:16" x14ac:dyDescent="0.2">
      <c r="A11" t="s">
        <v>63</v>
      </c>
      <c r="B11" t="s">
        <v>2</v>
      </c>
      <c r="C11">
        <f>C10/C4</f>
        <v>57.077625570776256</v>
      </c>
      <c r="H11" s="5"/>
      <c r="I11" s="5"/>
      <c r="J11" s="5"/>
      <c r="K11" s="19"/>
    </row>
    <row r="12" spans="1:16" x14ac:dyDescent="0.2">
      <c r="A12" t="s">
        <v>119</v>
      </c>
      <c r="B12" t="s">
        <v>6</v>
      </c>
      <c r="C12">
        <f>500*1000</f>
        <v>500000</v>
      </c>
      <c r="H12" s="5"/>
      <c r="I12" s="5"/>
      <c r="J12" s="5"/>
      <c r="K12" s="19"/>
    </row>
    <row r="13" spans="1:16" x14ac:dyDescent="0.2">
      <c r="A13" t="s">
        <v>180</v>
      </c>
      <c r="B13" t="s">
        <v>115</v>
      </c>
      <c r="C13">
        <f>-K2/H2</f>
        <v>0.47733333333333328</v>
      </c>
      <c r="H13" s="5"/>
      <c r="I13" s="5"/>
      <c r="J13" s="5"/>
      <c r="K13" s="19"/>
    </row>
    <row r="14" spans="1:16" x14ac:dyDescent="0.2">
      <c r="H14" s="5"/>
      <c r="I14" s="5"/>
      <c r="J14" s="5"/>
      <c r="K14" s="19"/>
    </row>
    <row r="15" spans="1:16" x14ac:dyDescent="0.2">
      <c r="A15" s="1" t="s">
        <v>37</v>
      </c>
      <c r="H15" s="5"/>
      <c r="I15" s="5"/>
      <c r="J15" s="5"/>
      <c r="K15" s="19"/>
    </row>
    <row r="16" spans="1:16" x14ac:dyDescent="0.2">
      <c r="A16" t="s">
        <v>29</v>
      </c>
      <c r="B16" t="s">
        <v>35</v>
      </c>
      <c r="C16" s="3">
        <v>0.65</v>
      </c>
    </row>
    <row r="17" spans="1:4" x14ac:dyDescent="0.2">
      <c r="A17" t="s">
        <v>33</v>
      </c>
      <c r="B17" t="s">
        <v>36</v>
      </c>
      <c r="C17" s="3">
        <f>1-C16</f>
        <v>0.35</v>
      </c>
    </row>
    <row r="18" spans="1:4" x14ac:dyDescent="0.2">
      <c r="A18" t="s">
        <v>34</v>
      </c>
      <c r="B18" t="s">
        <v>32</v>
      </c>
      <c r="C18" s="20">
        <f>C5/C4/C16</f>
        <v>4214.9631190727077</v>
      </c>
    </row>
    <row r="19" spans="1:4" x14ac:dyDescent="0.2">
      <c r="A19" t="s">
        <v>80</v>
      </c>
      <c r="B19" t="s">
        <v>79</v>
      </c>
      <c r="C19">
        <v>1.85</v>
      </c>
    </row>
    <row r="20" spans="1:4" x14ac:dyDescent="0.2">
      <c r="A20" t="s">
        <v>84</v>
      </c>
      <c r="B20" t="str">
        <f>B19</f>
        <v>kg/Nm3</v>
      </c>
      <c r="C20">
        <v>0.67</v>
      </c>
    </row>
    <row r="21" spans="1:4" x14ac:dyDescent="0.2">
      <c r="A21" t="s">
        <v>87</v>
      </c>
      <c r="B21" t="s">
        <v>88</v>
      </c>
      <c r="C21">
        <f>F2/K2</f>
        <v>9.8168457241082932E-2</v>
      </c>
    </row>
    <row r="23" spans="1:4" x14ac:dyDescent="0.2">
      <c r="A23" s="1" t="s">
        <v>89</v>
      </c>
    </row>
    <row r="24" spans="1:4" x14ac:dyDescent="0.2">
      <c r="A24" s="1" t="s">
        <v>97</v>
      </c>
      <c r="B24" t="s">
        <v>212</v>
      </c>
      <c r="C24">
        <f>10.13/1000</f>
        <v>1.013E-2</v>
      </c>
    </row>
    <row r="25" spans="1:4" x14ac:dyDescent="0.2">
      <c r="A25" s="1" t="s">
        <v>96</v>
      </c>
      <c r="B25" t="s">
        <v>0</v>
      </c>
      <c r="C25">
        <f>C24*C11</f>
        <v>0.57819634703196343</v>
      </c>
      <c r="D25">
        <f>C25/K2</f>
        <v>2.1222067039106146E-2</v>
      </c>
    </row>
    <row r="26" spans="1:4" x14ac:dyDescent="0.2">
      <c r="A26" s="1" t="s">
        <v>213</v>
      </c>
      <c r="B26" t="s">
        <v>212</v>
      </c>
      <c r="C26">
        <f xml:space="preserve"> 23.7/1000</f>
        <v>2.3699999999999999E-2</v>
      </c>
    </row>
    <row r="27" spans="1:4" x14ac:dyDescent="0.2">
      <c r="A27" s="1" t="s">
        <v>213</v>
      </c>
      <c r="B27" t="s">
        <v>0</v>
      </c>
      <c r="C27" s="40">
        <f>C26*C11</f>
        <v>1.3527397260273972</v>
      </c>
    </row>
    <row r="28" spans="1:4" x14ac:dyDescent="0.2">
      <c r="A28" s="1"/>
    </row>
    <row r="29" spans="1:4" x14ac:dyDescent="0.2">
      <c r="A29" s="1"/>
    </row>
    <row r="30" spans="1:4" x14ac:dyDescent="0.2">
      <c r="A30" s="1" t="s">
        <v>98</v>
      </c>
    </row>
    <row r="31" spans="1:4" x14ac:dyDescent="0.2">
      <c r="A31" t="s">
        <v>38</v>
      </c>
      <c r="B31" t="s">
        <v>39</v>
      </c>
      <c r="C31">
        <v>140</v>
      </c>
    </row>
    <row r="32" spans="1:4" x14ac:dyDescent="0.2">
      <c r="A32" t="s">
        <v>216</v>
      </c>
      <c r="B32" t="s">
        <v>215</v>
      </c>
      <c r="C32" s="28">
        <v>1.89E-2</v>
      </c>
    </row>
    <row r="33" spans="1:4" x14ac:dyDescent="0.2">
      <c r="A33" t="s">
        <v>216</v>
      </c>
      <c r="B33" t="s">
        <v>0</v>
      </c>
      <c r="C33">
        <f>C32*K2</f>
        <v>0.51493150684931499</v>
      </c>
    </row>
    <row r="34" spans="1:4" x14ac:dyDescent="0.2">
      <c r="A34" t="s">
        <v>211</v>
      </c>
      <c r="B34" t="s">
        <v>215</v>
      </c>
      <c r="C34" s="28">
        <v>0.1032</v>
      </c>
    </row>
    <row r="35" spans="1:4" x14ac:dyDescent="0.2">
      <c r="A35" t="s">
        <v>211</v>
      </c>
      <c r="B35" t="s">
        <v>0</v>
      </c>
      <c r="C35">
        <f>C34*K2</f>
        <v>2.8116894977168947</v>
      </c>
    </row>
    <row r="36" spans="1:4" x14ac:dyDescent="0.2">
      <c r="A36" t="s">
        <v>278</v>
      </c>
      <c r="B36" t="s">
        <v>215</v>
      </c>
      <c r="C36" s="28">
        <v>5.2400000000000002E-2</v>
      </c>
    </row>
    <row r="37" spans="1:4" x14ac:dyDescent="0.2">
      <c r="A37" t="s">
        <v>278</v>
      </c>
      <c r="B37" t="s">
        <v>0</v>
      </c>
      <c r="C37">
        <f>C36*K2</f>
        <v>1.4276407914764078</v>
      </c>
    </row>
    <row r="39" spans="1:4" x14ac:dyDescent="0.2">
      <c r="A39" s="1" t="s">
        <v>90</v>
      </c>
      <c r="B39" s="1" t="s">
        <v>217</v>
      </c>
    </row>
    <row r="40" spans="1:4" x14ac:dyDescent="0.2">
      <c r="A40" t="s">
        <v>91</v>
      </c>
      <c r="B40" t="s">
        <v>92</v>
      </c>
      <c r="C40" s="28"/>
    </row>
    <row r="41" spans="1:4" x14ac:dyDescent="0.2">
      <c r="A41" t="s">
        <v>93</v>
      </c>
      <c r="B41" t="s">
        <v>92</v>
      </c>
      <c r="C41" s="29">
        <v>0.01</v>
      </c>
    </row>
    <row r="42" spans="1:4" x14ac:dyDescent="0.2">
      <c r="A42" t="s">
        <v>91</v>
      </c>
      <c r="B42" t="s">
        <v>0</v>
      </c>
      <c r="C42">
        <f>K2*C40</f>
        <v>0</v>
      </c>
    </row>
    <row r="43" spans="1:4" x14ac:dyDescent="0.2">
      <c r="A43" t="s">
        <v>93</v>
      </c>
      <c r="B43" t="s">
        <v>0</v>
      </c>
      <c r="C43">
        <f>C41*K2</f>
        <v>0.27245053272450531</v>
      </c>
    </row>
    <row r="45" spans="1:4" x14ac:dyDescent="0.2">
      <c r="A45" s="25" t="s">
        <v>165</v>
      </c>
    </row>
    <row r="46" spans="1:4" x14ac:dyDescent="0.2">
      <c r="A46" s="1" t="s">
        <v>190</v>
      </c>
    </row>
    <row r="47" spans="1:4" x14ac:dyDescent="0.2">
      <c r="A47" t="s">
        <v>171</v>
      </c>
      <c r="B47" t="s">
        <v>42</v>
      </c>
      <c r="C47">
        <f>0.12</f>
        <v>0.12</v>
      </c>
      <c r="D47" t="s">
        <v>166</v>
      </c>
    </row>
    <row r="48" spans="1:4" x14ac:dyDescent="0.2">
      <c r="A48" t="s">
        <v>168</v>
      </c>
      <c r="B48" t="s">
        <v>170</v>
      </c>
      <c r="C48">
        <f>C5*1.158/1000/(C47*C10)</f>
        <v>0.46319999999999995</v>
      </c>
    </row>
    <row r="49" spans="1:4" x14ac:dyDescent="0.2">
      <c r="A49" t="s">
        <v>209</v>
      </c>
      <c r="B49" t="s">
        <v>191</v>
      </c>
      <c r="C49">
        <f>1-C47*C48</f>
        <v>0.94441600000000003</v>
      </c>
      <c r="D49">
        <f>H3*C49</f>
        <v>-1.9785251396648049</v>
      </c>
    </row>
    <row r="50" spans="1:4" x14ac:dyDescent="0.2">
      <c r="A50" t="s">
        <v>198</v>
      </c>
      <c r="B50" t="s">
        <v>199</v>
      </c>
      <c r="C50">
        <f>C49*-H2</f>
        <v>53.905022831050232</v>
      </c>
    </row>
    <row r="51" spans="1:4" x14ac:dyDescent="0.2">
      <c r="A51" t="s">
        <v>194</v>
      </c>
      <c r="B51" t="s">
        <v>197</v>
      </c>
      <c r="C51">
        <f>C47*(1-C48)/C49</f>
        <v>6.820723071188968E-2</v>
      </c>
    </row>
    <row r="52" spans="1:4" x14ac:dyDescent="0.2">
      <c r="A52" t="s">
        <v>218</v>
      </c>
      <c r="B52" t="s">
        <v>219</v>
      </c>
      <c r="C52">
        <f>C51*C50</f>
        <v>3.6767123287671239</v>
      </c>
    </row>
    <row r="65" spans="1:3" x14ac:dyDescent="0.2">
      <c r="A65" t="s">
        <v>181</v>
      </c>
      <c r="B65" t="s">
        <v>182</v>
      </c>
      <c r="C65" s="1" t="e">
        <f>SkyClean!#REF!/3.6*#REF!</f>
        <v>#REF!</v>
      </c>
    </row>
    <row r="66" spans="1:3" x14ac:dyDescent="0.2">
      <c r="A66" t="s">
        <v>196</v>
      </c>
      <c r="B66" t="s">
        <v>195</v>
      </c>
      <c r="C66">
        <v>0.74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2682E-1E84-5746-8DAC-9AA485F5E0D0}">
  <dimension ref="A1:AC75"/>
  <sheetViews>
    <sheetView tabSelected="1" zoomScale="150" zoomScaleNormal="130" workbookViewId="0">
      <selection activeCell="B3" sqref="B3"/>
    </sheetView>
  </sheetViews>
  <sheetFormatPr baseColWidth="10" defaultColWidth="8.83203125" defaultRowHeight="15" x14ac:dyDescent="0.2"/>
  <cols>
    <col min="1" max="1" width="34" bestFit="1" customWidth="1"/>
    <col min="2" max="2" width="17.5" customWidth="1"/>
    <col min="3" max="3" width="16.33203125" bestFit="1" customWidth="1"/>
    <col min="4" max="4" width="13.5" bestFit="1" customWidth="1"/>
    <col min="5" max="5" width="13.33203125" bestFit="1" customWidth="1"/>
    <col min="6" max="7" width="13.33203125" customWidth="1"/>
    <col min="8" max="8" width="15.33203125" customWidth="1"/>
    <col min="9" max="9" width="14" bestFit="1" customWidth="1"/>
    <col min="10" max="10" width="22.1640625" bestFit="1" customWidth="1"/>
    <col min="11" max="11" width="14.6640625" bestFit="1" customWidth="1"/>
    <col min="12" max="12" width="13.1640625" bestFit="1" customWidth="1"/>
    <col min="13" max="13" width="10.83203125" bestFit="1" customWidth="1"/>
    <col min="14" max="14" width="10.33203125" bestFit="1" customWidth="1"/>
    <col min="15" max="15" width="13.1640625" bestFit="1" customWidth="1"/>
  </cols>
  <sheetData>
    <row r="1" spans="1:29" s="1" customFormat="1" ht="32" x14ac:dyDescent="0.2">
      <c r="A1" s="1" t="s">
        <v>62</v>
      </c>
      <c r="B1" s="17" t="str">
        <f>Overview_2!B2</f>
        <v>Electricity [MW]</v>
      </c>
      <c r="C1" s="17" t="str">
        <f>Overview_2!B3</f>
        <v>Heat  MT [MW 180 - 150 C]</v>
      </c>
      <c r="D1" s="17" t="str">
        <f>Overview_2!B4</f>
        <v>Heat DH [MW 140-90 C]</v>
      </c>
      <c r="E1" s="17" t="str">
        <f>Overview_2!B5</f>
        <v>Heat LT [MW  90 - 50 C]</v>
      </c>
      <c r="F1" s="17" t="str">
        <f>Overview_2!B6</f>
        <v>pure CO2 [t/h]</v>
      </c>
      <c r="G1" s="17" t="str">
        <f>Overview_2!B7</f>
        <v>H2 [MW]</v>
      </c>
      <c r="H1" s="17" t="str">
        <f>Overview_2!B8</f>
        <v>Biomass [t/h]</v>
      </c>
      <c r="I1" s="17" t="str">
        <f>Overview_2!B9</f>
        <v>DM digestate [t/h]</v>
      </c>
      <c r="J1" s="17" t="str">
        <f>Overview_2!B10</f>
        <v>CO2e [t/h]</v>
      </c>
      <c r="K1" s="17" t="str">
        <f>Overview_2!B11</f>
        <v>BioCH4 [MW]</v>
      </c>
      <c r="L1" s="27" t="str">
        <f>Overview_2!B12</f>
        <v>Methanol [MW]</v>
      </c>
      <c r="P1" s="1" t="s">
        <v>77</v>
      </c>
    </row>
    <row r="2" spans="1:29" x14ac:dyDescent="0.2">
      <c r="A2" s="1" t="s">
        <v>3</v>
      </c>
      <c r="B2">
        <f>-(C20+C53)*C5</f>
        <v>-0.20106795170394104</v>
      </c>
      <c r="C2">
        <f>C55*C5</f>
        <v>1.08</v>
      </c>
      <c r="D2">
        <v>0</v>
      </c>
      <c r="E2">
        <v>0</v>
      </c>
      <c r="F2">
        <v>0</v>
      </c>
      <c r="G2">
        <v>0</v>
      </c>
      <c r="H2">
        <v>0</v>
      </c>
      <c r="I2" s="5">
        <f>-C40</f>
        <v>-0.55316331384664219</v>
      </c>
      <c r="J2" s="5">
        <f>-C62*C66*C5</f>
        <v>-0.49120902269581834</v>
      </c>
      <c r="K2" s="19">
        <v>0</v>
      </c>
      <c r="L2">
        <v>0</v>
      </c>
      <c r="O2" s="6"/>
      <c r="P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">
      <c r="B3">
        <f>B2/$C$5</f>
        <v>-6.7022650567980346E-2</v>
      </c>
      <c r="C3">
        <f>C2/$C$5</f>
        <v>0.36000000000000004</v>
      </c>
      <c r="D3">
        <v>0</v>
      </c>
      <c r="E3">
        <v>0</v>
      </c>
      <c r="F3">
        <f>F2/$C$5</f>
        <v>0</v>
      </c>
      <c r="G3">
        <f>G2/$C$5</f>
        <v>0</v>
      </c>
      <c r="H3">
        <f>H2/$C$5</f>
        <v>0</v>
      </c>
      <c r="I3">
        <f>I2/$C$5</f>
        <v>-0.18438777128221406</v>
      </c>
      <c r="J3">
        <f>J2/$C$5</f>
        <v>-0.16373634089860611</v>
      </c>
      <c r="K3">
        <v>0</v>
      </c>
      <c r="L3">
        <v>0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">
      <c r="A4" t="s">
        <v>9</v>
      </c>
      <c r="B4" t="s">
        <v>10</v>
      </c>
      <c r="C4" s="2">
        <v>5000</v>
      </c>
      <c r="D4" t="s">
        <v>18</v>
      </c>
      <c r="I4" t="s">
        <v>203</v>
      </c>
      <c r="L4" s="2" t="s">
        <v>14</v>
      </c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">
      <c r="A5" s="1" t="s">
        <v>206</v>
      </c>
      <c r="B5" t="s">
        <v>252</v>
      </c>
      <c r="C5" s="2">
        <v>3</v>
      </c>
      <c r="I5" t="s">
        <v>207</v>
      </c>
      <c r="L5" s="4" t="s">
        <v>15</v>
      </c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">
      <c r="A6" s="1" t="s">
        <v>206</v>
      </c>
      <c r="B6" t="s">
        <v>20</v>
      </c>
      <c r="C6" s="5">
        <f>C5/B10*3.6</f>
        <v>0.67574430419505815</v>
      </c>
      <c r="I6" t="s">
        <v>208</v>
      </c>
      <c r="L6" s="3" t="s">
        <v>16</v>
      </c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">
      <c r="A7" t="s">
        <v>12</v>
      </c>
      <c r="B7" t="s">
        <v>11</v>
      </c>
      <c r="C7" s="4">
        <v>0.8</v>
      </c>
      <c r="D7" t="s">
        <v>17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x14ac:dyDescent="0.2">
      <c r="A8" t="s">
        <v>13</v>
      </c>
      <c r="B8" t="s">
        <v>11</v>
      </c>
      <c r="C8" s="4">
        <v>0.5</v>
      </c>
      <c r="D8" t="s">
        <v>19</v>
      </c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x14ac:dyDescent="0.2">
      <c r="A9" t="s">
        <v>184</v>
      </c>
      <c r="B9">
        <f>15.9*1000/900</f>
        <v>17.666666666666668</v>
      </c>
      <c r="C9" t="s">
        <v>189</v>
      </c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x14ac:dyDescent="0.2">
      <c r="A10" t="s">
        <v>183</v>
      </c>
      <c r="B10">
        <f>B9-(B25*18/2 + B11)*(2.441)</f>
        <v>15.982376666666669</v>
      </c>
      <c r="C10" t="s">
        <v>189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x14ac:dyDescent="0.2">
      <c r="A11" t="s">
        <v>253</v>
      </c>
      <c r="B11" s="29">
        <f>1-C33</f>
        <v>0.19999999999999996</v>
      </c>
      <c r="C11" t="s">
        <v>221</v>
      </c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x14ac:dyDescent="0.2">
      <c r="B12" s="29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x14ac:dyDescent="0.2">
      <c r="A13" s="1" t="s">
        <v>210</v>
      </c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x14ac:dyDescent="0.2">
      <c r="A14" t="s">
        <v>222</v>
      </c>
      <c r="B14" t="s">
        <v>197</v>
      </c>
      <c r="C14">
        <f>'Biogas skive'!C51</f>
        <v>6.820723071188968E-2</v>
      </c>
      <c r="D14" t="s">
        <v>227</v>
      </c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 x14ac:dyDescent="0.2">
      <c r="A15" t="s">
        <v>167</v>
      </c>
      <c r="B15" t="s">
        <v>169</v>
      </c>
      <c r="C15">
        <v>0.50900000000000001</v>
      </c>
      <c r="D15" t="s">
        <v>226</v>
      </c>
      <c r="E15" s="1"/>
      <c r="J15" s="1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29" x14ac:dyDescent="0.2">
      <c r="A16" t="s">
        <v>223</v>
      </c>
      <c r="B16" t="s">
        <v>225</v>
      </c>
      <c r="C16">
        <v>0.26</v>
      </c>
      <c r="D16" t="s">
        <v>226</v>
      </c>
      <c r="F16" s="1"/>
      <c r="G16" s="1"/>
      <c r="H16" s="1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x14ac:dyDescent="0.2">
      <c r="A17" t="s">
        <v>192</v>
      </c>
      <c r="B17" t="s">
        <v>193</v>
      </c>
      <c r="C17">
        <f>714/600</f>
        <v>1.19</v>
      </c>
      <c r="D17" t="s">
        <v>226</v>
      </c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x14ac:dyDescent="0.2">
      <c r="A18" t="s">
        <v>200</v>
      </c>
      <c r="B18" t="s">
        <v>187</v>
      </c>
      <c r="C18">
        <v>3.5</v>
      </c>
      <c r="D18" t="s">
        <v>226</v>
      </c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x14ac:dyDescent="0.2">
      <c r="A19" t="s">
        <v>201</v>
      </c>
      <c r="B19" t="s">
        <v>224</v>
      </c>
      <c r="C19">
        <f>C17*C18/(C14*C15)/1000</f>
        <v>0.11996838330810437</v>
      </c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x14ac:dyDescent="0.2">
      <c r="A20" t="s">
        <v>201</v>
      </c>
      <c r="B20" t="s">
        <v>251</v>
      </c>
      <c r="C20" s="1">
        <f>C19/(B10/3.6)</f>
        <v>2.7022650567980339E-2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x14ac:dyDescent="0.2">
      <c r="C21" s="1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x14ac:dyDescent="0.2">
      <c r="A22" s="1" t="s">
        <v>185</v>
      </c>
      <c r="B22" t="s">
        <v>228</v>
      </c>
      <c r="O22" s="5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x14ac:dyDescent="0.2">
      <c r="A23" t="s">
        <v>177</v>
      </c>
      <c r="B23">
        <v>0.15</v>
      </c>
      <c r="O23" s="5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x14ac:dyDescent="0.2">
      <c r="A24" t="s">
        <v>173</v>
      </c>
      <c r="B24" s="5">
        <f>392/900</f>
        <v>0.43555555555555553</v>
      </c>
      <c r="O24" s="5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x14ac:dyDescent="0.2">
      <c r="A25" t="s">
        <v>174</v>
      </c>
      <c r="B25" s="5">
        <f>B24/12*B29</f>
        <v>5.4444444444444434E-2</v>
      </c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x14ac:dyDescent="0.2">
      <c r="A26" t="s">
        <v>175</v>
      </c>
      <c r="B26">
        <f>5/1000*9/15</f>
        <v>3.0000000000000001E-3</v>
      </c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x14ac:dyDescent="0.2">
      <c r="A27" t="s">
        <v>205</v>
      </c>
      <c r="B27">
        <f>1/1000*9/15</f>
        <v>6.0000000000000006E-4</v>
      </c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x14ac:dyDescent="0.2">
      <c r="A28" t="s">
        <v>176</v>
      </c>
      <c r="B28" s="5">
        <f>1-SUM(B23:B27)</f>
        <v>0.35640000000000005</v>
      </c>
      <c r="E28" s="1"/>
      <c r="F28" s="1"/>
      <c r="G28" s="1"/>
      <c r="H28" s="1"/>
      <c r="J28" s="1"/>
      <c r="K28" s="1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x14ac:dyDescent="0.2">
      <c r="A29" t="s">
        <v>204</v>
      </c>
      <c r="B29">
        <v>1.5</v>
      </c>
      <c r="F29" s="5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x14ac:dyDescent="0.2">
      <c r="A30" s="38" t="s">
        <v>172</v>
      </c>
      <c r="F30" s="5"/>
      <c r="H30" s="5"/>
      <c r="I30" s="5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x14ac:dyDescent="0.2">
      <c r="F31" s="39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x14ac:dyDescent="0.2">
      <c r="A32" s="1" t="s">
        <v>202</v>
      </c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x14ac:dyDescent="0.2">
      <c r="A33" t="s">
        <v>229</v>
      </c>
      <c r="B33" t="s">
        <v>230</v>
      </c>
      <c r="C33">
        <v>0.8</v>
      </c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x14ac:dyDescent="0.2">
      <c r="A34" t="s">
        <v>186</v>
      </c>
      <c r="B34" t="s">
        <v>188</v>
      </c>
      <c r="C34">
        <v>1</v>
      </c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x14ac:dyDescent="0.2">
      <c r="A35" t="s">
        <v>186</v>
      </c>
      <c r="B35" t="s">
        <v>231</v>
      </c>
      <c r="C35">
        <f>((1-C16)/C16 - (1-C33)/C33)*C34</f>
        <v>2.5961538461538458</v>
      </c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x14ac:dyDescent="0.2">
      <c r="A36" t="s">
        <v>186</v>
      </c>
      <c r="B36" t="s">
        <v>266</v>
      </c>
      <c r="C36">
        <f>C35*C40</f>
        <v>1.4360970647941671</v>
      </c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x14ac:dyDescent="0.2"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x14ac:dyDescent="0.2">
      <c r="A38" s="1" t="s">
        <v>254</v>
      </c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x14ac:dyDescent="0.2">
      <c r="A39" t="s">
        <v>255</v>
      </c>
      <c r="B39" t="s">
        <v>256</v>
      </c>
      <c r="C39">
        <f>1/C15/(1-B11)</f>
        <v>2.4557956777996068</v>
      </c>
    </row>
    <row r="40" spans="1:29" x14ac:dyDescent="0.2">
      <c r="A40" t="s">
        <v>257</v>
      </c>
      <c r="B40" t="s">
        <v>257</v>
      </c>
      <c r="C40" s="1">
        <f>C39/B10*3.6</f>
        <v>0.55316331384664219</v>
      </c>
    </row>
    <row r="42" spans="1:29" x14ac:dyDescent="0.2">
      <c r="A42" s="1" t="s">
        <v>244</v>
      </c>
    </row>
    <row r="43" spans="1:29" x14ac:dyDescent="0.2">
      <c r="A43" t="s">
        <v>239</v>
      </c>
      <c r="B43" t="s">
        <v>233</v>
      </c>
      <c r="C43" s="29">
        <v>0.13</v>
      </c>
    </row>
    <row r="44" spans="1:29" x14ac:dyDescent="0.2">
      <c r="A44" t="s">
        <v>232</v>
      </c>
      <c r="B44" t="s">
        <v>234</v>
      </c>
      <c r="C44">
        <f>B10*C43/3.6</f>
        <v>0.57714137962962975</v>
      </c>
    </row>
    <row r="45" spans="1:29" x14ac:dyDescent="0.2">
      <c r="A45" t="s">
        <v>235</v>
      </c>
      <c r="B45" t="s">
        <v>233</v>
      </c>
      <c r="C45" s="29">
        <v>0.04</v>
      </c>
    </row>
    <row r="46" spans="1:29" x14ac:dyDescent="0.2">
      <c r="A46" t="s">
        <v>235</v>
      </c>
      <c r="B46" t="s">
        <v>236</v>
      </c>
      <c r="C46">
        <f>B10*C45/3.6</f>
        <v>0.177581962962963</v>
      </c>
    </row>
    <row r="47" spans="1:29" x14ac:dyDescent="0.2">
      <c r="A47" t="s">
        <v>240</v>
      </c>
      <c r="B47" t="s">
        <v>233</v>
      </c>
      <c r="C47" s="29">
        <v>0.38</v>
      </c>
    </row>
    <row r="48" spans="1:29" x14ac:dyDescent="0.2">
      <c r="A48" t="s">
        <v>241</v>
      </c>
      <c r="B48" t="s">
        <v>233</v>
      </c>
      <c r="C48" s="28">
        <f>19%+17%</f>
        <v>0.36</v>
      </c>
      <c r="D48" s="28"/>
    </row>
    <row r="49" spans="1:4" x14ac:dyDescent="0.2">
      <c r="A49" t="s">
        <v>267</v>
      </c>
      <c r="B49" t="s">
        <v>233</v>
      </c>
      <c r="C49" s="29">
        <f>C36/B10</f>
        <v>8.9855038130175896E-2</v>
      </c>
    </row>
    <row r="50" spans="1:4" x14ac:dyDescent="0.2">
      <c r="A50" t="s">
        <v>242</v>
      </c>
      <c r="B50" t="s">
        <v>233</v>
      </c>
      <c r="C50" s="29">
        <f>1-(SUM(C47:C49)+C43)</f>
        <v>4.0144961869824081E-2</v>
      </c>
      <c r="D50" t="s">
        <v>250</v>
      </c>
    </row>
    <row r="51" spans="1:4" x14ac:dyDescent="0.2">
      <c r="C51" s="29"/>
    </row>
    <row r="52" spans="1:4" x14ac:dyDescent="0.2">
      <c r="A52" s="1" t="s">
        <v>245</v>
      </c>
      <c r="C52" s="29"/>
    </row>
    <row r="53" spans="1:4" x14ac:dyDescent="0.2">
      <c r="A53" t="s">
        <v>235</v>
      </c>
      <c r="B53" t="s">
        <v>247</v>
      </c>
      <c r="C53">
        <f>C45</f>
        <v>0.04</v>
      </c>
    </row>
    <row r="54" spans="1:4" x14ac:dyDescent="0.2">
      <c r="A54" t="s">
        <v>240</v>
      </c>
      <c r="B54" t="s">
        <v>246</v>
      </c>
      <c r="C54">
        <f>C47</f>
        <v>0.38</v>
      </c>
    </row>
    <row r="55" spans="1:4" x14ac:dyDescent="0.2">
      <c r="A55" t="s">
        <v>248</v>
      </c>
      <c r="B55" t="s">
        <v>249</v>
      </c>
      <c r="C55" s="1">
        <f>C48</f>
        <v>0.36</v>
      </c>
    </row>
    <row r="56" spans="1:4" x14ac:dyDescent="0.2">
      <c r="A56" s="1" t="s">
        <v>268</v>
      </c>
      <c r="B56" t="s">
        <v>249</v>
      </c>
      <c r="C56" s="41">
        <f>C49</f>
        <v>8.9855038130175896E-2</v>
      </c>
    </row>
    <row r="57" spans="1:4" x14ac:dyDescent="0.2">
      <c r="A57" s="1" t="s">
        <v>242</v>
      </c>
      <c r="B57" t="str">
        <f>B56</f>
        <v>MW_t/Mwpellets</v>
      </c>
      <c r="C57" s="41">
        <f>C50</f>
        <v>4.0144961869824081E-2</v>
      </c>
    </row>
    <row r="58" spans="1:4" x14ac:dyDescent="0.2">
      <c r="A58" s="1"/>
      <c r="C58" s="29"/>
    </row>
    <row r="60" spans="1:4" x14ac:dyDescent="0.2">
      <c r="A60" s="1" t="s">
        <v>237</v>
      </c>
    </row>
    <row r="61" spans="1:4" x14ac:dyDescent="0.2">
      <c r="A61" t="s">
        <v>238</v>
      </c>
      <c r="B61" t="s">
        <v>243</v>
      </c>
      <c r="C61">
        <v>0.37</v>
      </c>
    </row>
    <row r="62" spans="1:4" x14ac:dyDescent="0.2">
      <c r="A62" s="1" t="s">
        <v>258</v>
      </c>
      <c r="B62" t="s">
        <v>259</v>
      </c>
      <c r="C62">
        <f>C61*C40</f>
        <v>0.20467042612325761</v>
      </c>
    </row>
    <row r="65" spans="1:4" x14ac:dyDescent="0.2">
      <c r="A65" s="1"/>
    </row>
    <row r="66" spans="1:4" x14ac:dyDescent="0.2">
      <c r="A66" s="1" t="s">
        <v>260</v>
      </c>
      <c r="B66" t="s">
        <v>261</v>
      </c>
      <c r="C66">
        <v>0.8</v>
      </c>
      <c r="D66" t="s">
        <v>226</v>
      </c>
    </row>
    <row r="69" spans="1:4" x14ac:dyDescent="0.2">
      <c r="B69" s="5"/>
    </row>
    <row r="73" spans="1:4" x14ac:dyDescent="0.2">
      <c r="B73" s="5"/>
    </row>
    <row r="75" spans="1:4" x14ac:dyDescent="0.2">
      <c r="A75" s="38"/>
    </row>
  </sheetData>
  <hyperlinks>
    <hyperlink ref="A30" r:id="rId1" xr:uid="{181DEAC6-4F4C-DB4C-8571-5F9D4A094E28}"/>
  </hyperlinks>
  <pageMargins left="0.7" right="0.7" top="0.75" bottom="0.75" header="0.3" footer="0.3"/>
  <pageSetup orientation="portrait" horizontalDpi="1200" verticalDpi="1200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43A11-6238-4592-842C-C437441707C8}">
  <dimension ref="A1:P21"/>
  <sheetViews>
    <sheetView zoomScale="141" workbookViewId="0">
      <selection activeCell="F6" sqref="F6"/>
    </sheetView>
  </sheetViews>
  <sheetFormatPr baseColWidth="10" defaultColWidth="8.83203125" defaultRowHeight="15" x14ac:dyDescent="0.2"/>
  <cols>
    <col min="1" max="1" width="18" bestFit="1" customWidth="1"/>
    <col min="3" max="3" width="15.5" bestFit="1" customWidth="1"/>
  </cols>
  <sheetData>
    <row r="1" spans="1:16" s="1" customFormat="1" ht="48" x14ac:dyDescent="0.2">
      <c r="A1" s="1" t="s">
        <v>62</v>
      </c>
      <c r="B1" s="17" t="str">
        <f>Overview_2!B2</f>
        <v>Electricity [MW]</v>
      </c>
      <c r="C1" s="17" t="str">
        <f>Overview_2!B3</f>
        <v>Heat  MT [MW 180 - 150 C]</v>
      </c>
      <c r="D1" s="17" t="str">
        <f>Overview_2!B4</f>
        <v>Heat DH [MW 140-90 C]</v>
      </c>
      <c r="E1" s="17" t="str">
        <f>Overview_2!B5</f>
        <v>Heat LT [MW  90 - 50 C]</v>
      </c>
      <c r="F1" s="17" t="str">
        <f>Overview_2!B6</f>
        <v>pure CO2 [t/h]</v>
      </c>
      <c r="G1" s="17" t="str">
        <f>Overview_2!B7</f>
        <v>H2 [MW]</v>
      </c>
      <c r="H1" s="17" t="str">
        <f>Overview_2!B8</f>
        <v>Biomass [t/h]</v>
      </c>
      <c r="I1" s="17" t="str">
        <f>Overview_2!B9</f>
        <v>DM digestate [t/h]</v>
      </c>
      <c r="J1" s="17" t="str">
        <f>Overview_2!B10</f>
        <v>CO2e [t/h]</v>
      </c>
      <c r="K1" s="17" t="str">
        <f>Overview_2!B11</f>
        <v>BioCH4 [MW]</v>
      </c>
      <c r="L1" s="27" t="str">
        <f>Overview_2!B12</f>
        <v>Methanol [MW]</v>
      </c>
      <c r="P1" s="1" t="s">
        <v>77</v>
      </c>
    </row>
    <row r="2" spans="1:16" x14ac:dyDescent="0.2">
      <c r="A2" s="1" t="s">
        <v>4</v>
      </c>
      <c r="B2">
        <f>-C5</f>
        <v>-100</v>
      </c>
      <c r="D2">
        <v>0</v>
      </c>
      <c r="E2">
        <f>C5*C17</f>
        <v>14.6</v>
      </c>
      <c r="F2">
        <v>0</v>
      </c>
      <c r="G2">
        <f>C14</f>
        <v>68</v>
      </c>
      <c r="K2">
        <v>0</v>
      </c>
    </row>
    <row r="3" spans="1:16" x14ac:dyDescent="0.2">
      <c r="A3" s="1"/>
      <c r="B3">
        <f>B2/$B$2</f>
        <v>1</v>
      </c>
      <c r="C3">
        <f t="shared" ref="C3:L3" si="0">C2/$B$2</f>
        <v>0</v>
      </c>
      <c r="D3">
        <f t="shared" si="0"/>
        <v>0</v>
      </c>
      <c r="E3">
        <f t="shared" si="0"/>
        <v>-0.14599999999999999</v>
      </c>
      <c r="F3">
        <f t="shared" si="0"/>
        <v>0</v>
      </c>
      <c r="G3">
        <f t="shared" si="0"/>
        <v>-0.68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</row>
    <row r="4" spans="1:16" x14ac:dyDescent="0.2">
      <c r="A4" s="34" t="s">
        <v>107</v>
      </c>
    </row>
    <row r="5" spans="1:16" x14ac:dyDescent="0.2">
      <c r="A5" t="s">
        <v>8</v>
      </c>
      <c r="B5" t="s">
        <v>41</v>
      </c>
      <c r="C5" s="2">
        <v>100</v>
      </c>
    </row>
    <row r="6" spans="1:16" x14ac:dyDescent="0.2">
      <c r="A6" t="s">
        <v>7</v>
      </c>
      <c r="B6" t="s">
        <v>42</v>
      </c>
      <c r="C6" s="4">
        <v>0.68</v>
      </c>
      <c r="D6" t="s">
        <v>118</v>
      </c>
    </row>
    <row r="7" spans="1:16" x14ac:dyDescent="0.2">
      <c r="A7" t="s">
        <v>116</v>
      </c>
      <c r="B7" t="s">
        <v>117</v>
      </c>
      <c r="C7">
        <v>20.399999999999999</v>
      </c>
      <c r="D7" t="s">
        <v>118</v>
      </c>
    </row>
    <row r="8" spans="1:16" x14ac:dyDescent="0.2">
      <c r="A8" t="s">
        <v>44</v>
      </c>
      <c r="B8" t="s">
        <v>2</v>
      </c>
      <c r="C8">
        <f>C7/1000*C5</f>
        <v>2.0399999999999996</v>
      </c>
      <c r="E8" t="s">
        <v>2</v>
      </c>
      <c r="F8" t="s">
        <v>46</v>
      </c>
      <c r="G8" t="s">
        <v>120</v>
      </c>
      <c r="H8" t="s">
        <v>0</v>
      </c>
    </row>
    <row r="9" spans="1:16" x14ac:dyDescent="0.2">
      <c r="E9">
        <v>0.53300000000000003</v>
      </c>
      <c r="F9">
        <f>E9*1000</f>
        <v>533</v>
      </c>
      <c r="G9">
        <f>F9/3600</f>
        <v>0.14805555555555555</v>
      </c>
      <c r="H9">
        <f>G9*C10</f>
        <v>17.766666666666666</v>
      </c>
    </row>
    <row r="10" spans="1:16" x14ac:dyDescent="0.2">
      <c r="A10" t="s">
        <v>40</v>
      </c>
      <c r="B10" t="s">
        <v>24</v>
      </c>
      <c r="C10">
        <v>120</v>
      </c>
    </row>
    <row r="11" spans="1:16" x14ac:dyDescent="0.2">
      <c r="A11" t="s">
        <v>40</v>
      </c>
      <c r="B11" t="s">
        <v>28</v>
      </c>
      <c r="C11">
        <v>10.8</v>
      </c>
    </row>
    <row r="12" spans="1:16" x14ac:dyDescent="0.2">
      <c r="E12">
        <f>E9/3.6*C10</f>
        <v>17.766666666666666</v>
      </c>
    </row>
    <row r="14" spans="1:16" x14ac:dyDescent="0.2">
      <c r="A14" t="s">
        <v>43</v>
      </c>
      <c r="B14" t="s">
        <v>0</v>
      </c>
      <c r="C14">
        <f>C6*C5</f>
        <v>68</v>
      </c>
    </row>
    <row r="15" spans="1:16" x14ac:dyDescent="0.2">
      <c r="A15" t="s">
        <v>44</v>
      </c>
      <c r="B15" t="s">
        <v>32</v>
      </c>
      <c r="C15">
        <f>C14/C11*3600</f>
        <v>22666.666666666664</v>
      </c>
    </row>
    <row r="17" spans="1:4" x14ac:dyDescent="0.2">
      <c r="A17" t="s">
        <v>134</v>
      </c>
      <c r="B17" t="s">
        <v>135</v>
      </c>
      <c r="C17">
        <v>0.14599999999999999</v>
      </c>
      <c r="D17" t="s">
        <v>136</v>
      </c>
    </row>
    <row r="19" spans="1:4" x14ac:dyDescent="0.2">
      <c r="A19" s="2" t="s">
        <v>14</v>
      </c>
    </row>
    <row r="20" spans="1:4" x14ac:dyDescent="0.2">
      <c r="A20" s="4" t="s">
        <v>15</v>
      </c>
    </row>
    <row r="21" spans="1:4" x14ac:dyDescent="0.2">
      <c r="A21" s="3" t="s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CE6C3-A3F8-4DCB-815A-9CF2A7EA1077}">
  <dimension ref="A1:AA80"/>
  <sheetViews>
    <sheetView zoomScale="125" workbookViewId="0">
      <selection activeCell="B2" sqref="B2"/>
    </sheetView>
  </sheetViews>
  <sheetFormatPr baseColWidth="10" defaultColWidth="8.83203125" defaultRowHeight="15" x14ac:dyDescent="0.2"/>
  <cols>
    <col min="1" max="1" width="26.6640625" customWidth="1"/>
    <col min="3" max="3" width="15.5" bestFit="1" customWidth="1"/>
    <col min="5" max="5" width="9.1640625" bestFit="1" customWidth="1"/>
    <col min="10" max="11" width="9.6640625" bestFit="1" customWidth="1"/>
    <col min="17" max="17" width="25.33203125" customWidth="1"/>
    <col min="27" max="27" width="15.5" bestFit="1" customWidth="1"/>
  </cols>
  <sheetData>
    <row r="1" spans="1:16" s="1" customFormat="1" ht="48" x14ac:dyDescent="0.2">
      <c r="A1" s="1" t="s">
        <v>62</v>
      </c>
      <c r="B1" s="17" t="str">
        <f>Overview_2!B2</f>
        <v>Electricity [MW]</v>
      </c>
      <c r="C1" s="17" t="str">
        <f>Overview_2!B3</f>
        <v>Heat  MT [MW 180 - 150 C]</v>
      </c>
      <c r="D1" s="17" t="str">
        <f>Overview_2!B4</f>
        <v>Heat DH [MW 140-90 C]</v>
      </c>
      <c r="E1" s="17" t="str">
        <f>Overview_2!B5</f>
        <v>Heat LT [MW  90 - 50 C]</v>
      </c>
      <c r="F1" s="17" t="str">
        <f>Overview_2!B6</f>
        <v>pure CO2 [t/h]</v>
      </c>
      <c r="G1" s="17" t="str">
        <f>Overview_2!B7</f>
        <v>H2 [MW]</v>
      </c>
      <c r="H1" s="17" t="str">
        <f>Overview_2!B8</f>
        <v>Biomass [t/h]</v>
      </c>
      <c r="I1" s="17" t="str">
        <f>Overview_2!B9</f>
        <v>DM digestate [t/h]</v>
      </c>
      <c r="J1" s="17" t="str">
        <f>Overview_2!B10</f>
        <v>CO2e [t/h]</v>
      </c>
      <c r="K1" s="17" t="str">
        <f>Overview_2!B11</f>
        <v>BioCH4 [MW]</v>
      </c>
      <c r="L1" s="27" t="str">
        <f>Overview_2!B12</f>
        <v>Methanol [MW]</v>
      </c>
      <c r="P1" s="1" t="s">
        <v>77</v>
      </c>
    </row>
    <row r="2" spans="1:16" x14ac:dyDescent="0.2">
      <c r="A2" s="1" t="s">
        <v>50</v>
      </c>
      <c r="B2" s="7">
        <f>-C23</f>
        <v>-0.16245487364620939</v>
      </c>
      <c r="C2">
        <f>-C24</f>
        <v>-0.9422382671480144</v>
      </c>
      <c r="D2" s="19">
        <f>C26</f>
        <v>0.25641025641025644</v>
      </c>
      <c r="E2">
        <v>0</v>
      </c>
      <c r="F2">
        <f>-C20</f>
        <v>-2.2743682310469313</v>
      </c>
      <c r="G2">
        <f>-C21</f>
        <v>-10.397111913357401</v>
      </c>
      <c r="H2">
        <v>0</v>
      </c>
      <c r="I2">
        <v>0</v>
      </c>
      <c r="J2">
        <v>0</v>
      </c>
      <c r="K2" s="5">
        <f>C25</f>
        <v>0</v>
      </c>
      <c r="L2">
        <f>C17</f>
        <v>9</v>
      </c>
    </row>
    <row r="3" spans="1:16" x14ac:dyDescent="0.2">
      <c r="A3" s="1" t="s">
        <v>163</v>
      </c>
      <c r="B3" s="7">
        <f>B2/$L$2</f>
        <v>-1.8050541516245487E-2</v>
      </c>
      <c r="C3" s="7">
        <f>C2/$L$2</f>
        <v>-0.10469314079422382</v>
      </c>
      <c r="D3" s="7">
        <f>D2/$L$2</f>
        <v>2.8490028490028494E-2</v>
      </c>
      <c r="E3">
        <v>0</v>
      </c>
      <c r="F3" s="7">
        <f t="shared" ref="F3:L3" si="0">F2/$L$2</f>
        <v>-0.25270758122743681</v>
      </c>
      <c r="G3" s="7">
        <f t="shared" si="0"/>
        <v>-1.1552346570397112</v>
      </c>
      <c r="H3" s="7">
        <f t="shared" si="0"/>
        <v>0</v>
      </c>
      <c r="I3" s="7">
        <f t="shared" si="0"/>
        <v>0</v>
      </c>
      <c r="J3" s="7">
        <f t="shared" si="0"/>
        <v>0</v>
      </c>
      <c r="K3" s="7">
        <f t="shared" si="0"/>
        <v>0</v>
      </c>
      <c r="L3" s="7">
        <f t="shared" si="0"/>
        <v>1</v>
      </c>
      <c r="M3" s="7"/>
      <c r="N3" s="7"/>
    </row>
    <row r="4" spans="1:16" x14ac:dyDescent="0.2">
      <c r="A4" s="34" t="s">
        <v>107</v>
      </c>
      <c r="B4" s="7"/>
      <c r="I4" s="5"/>
      <c r="J4" s="19"/>
    </row>
    <row r="5" spans="1:16" x14ac:dyDescent="0.2">
      <c r="A5" s="1"/>
      <c r="B5" s="7"/>
      <c r="I5" s="5"/>
      <c r="J5" s="19"/>
      <c r="K5" s="2"/>
    </row>
    <row r="6" spans="1:16" x14ac:dyDescent="0.2">
      <c r="A6" s="31" t="s">
        <v>108</v>
      </c>
      <c r="B6" s="30"/>
      <c r="E6" t="s">
        <v>121</v>
      </c>
      <c r="J6" s="19"/>
      <c r="K6" s="4"/>
    </row>
    <row r="7" spans="1:16" x14ac:dyDescent="0.2">
      <c r="A7" s="30" t="s">
        <v>109</v>
      </c>
      <c r="B7" s="30">
        <v>1.4</v>
      </c>
      <c r="E7">
        <f>B7/44</f>
        <v>3.1818181818181815E-2</v>
      </c>
      <c r="J7" s="19"/>
      <c r="K7" s="4"/>
    </row>
    <row r="8" spans="1:16" x14ac:dyDescent="0.2">
      <c r="A8" s="30" t="s">
        <v>157</v>
      </c>
      <c r="B8" s="30">
        <v>6.4</v>
      </c>
      <c r="E8">
        <f>B8/2</f>
        <v>3.2</v>
      </c>
      <c r="J8" s="19"/>
      <c r="K8" s="3"/>
    </row>
    <row r="9" spans="1:16" x14ac:dyDescent="0.2">
      <c r="A9" s="30" t="s">
        <v>153</v>
      </c>
      <c r="B9" s="30">
        <v>0.1</v>
      </c>
      <c r="E9" s="2" t="s">
        <v>151</v>
      </c>
      <c r="F9" t="s">
        <v>152</v>
      </c>
      <c r="J9" s="19"/>
    </row>
    <row r="10" spans="1:16" x14ac:dyDescent="0.2">
      <c r="A10" t="s">
        <v>164</v>
      </c>
      <c r="B10" s="36">
        <v>0.57999999999999996</v>
      </c>
      <c r="J10" s="19"/>
    </row>
    <row r="11" spans="1:16" x14ac:dyDescent="0.2">
      <c r="A11" s="31" t="s">
        <v>110</v>
      </c>
      <c r="B11" s="30"/>
    </row>
    <row r="12" spans="1:16" x14ac:dyDescent="0.2">
      <c r="A12" s="30" t="s">
        <v>162</v>
      </c>
      <c r="B12" s="30">
        <v>0.02</v>
      </c>
    </row>
    <row r="13" spans="1:16" x14ac:dyDescent="0.2">
      <c r="A13" s="30" t="s">
        <v>111</v>
      </c>
      <c r="B13" s="30">
        <v>0.2</v>
      </c>
      <c r="J13" s="5"/>
      <c r="K13" s="19"/>
    </row>
    <row r="14" spans="1:16" x14ac:dyDescent="0.2">
      <c r="A14" s="30" t="s">
        <v>160</v>
      </c>
      <c r="B14" s="30">
        <v>0.78</v>
      </c>
      <c r="I14" t="s">
        <v>126</v>
      </c>
      <c r="J14" s="5"/>
      <c r="K14" s="19"/>
      <c r="N14">
        <f>N15/N16</f>
        <v>0.62931034482758619</v>
      </c>
      <c r="O14" t="s">
        <v>132</v>
      </c>
      <c r="P14" t="s">
        <v>131</v>
      </c>
    </row>
    <row r="15" spans="1:16" x14ac:dyDescent="0.2">
      <c r="I15" t="s">
        <v>124</v>
      </c>
      <c r="J15" s="5" t="s">
        <v>65</v>
      </c>
      <c r="K15" s="19" t="s">
        <v>125</v>
      </c>
      <c r="L15" t="s">
        <v>133</v>
      </c>
      <c r="N15">
        <f>7.3</f>
        <v>7.3</v>
      </c>
      <c r="O15" t="s">
        <v>127</v>
      </c>
      <c r="P15" t="s">
        <v>129</v>
      </c>
    </row>
    <row r="16" spans="1:16" x14ac:dyDescent="0.2">
      <c r="A16" s="1" t="s">
        <v>122</v>
      </c>
      <c r="B16" s="7"/>
      <c r="D16" t="s">
        <v>149</v>
      </c>
      <c r="I16" t="s">
        <v>0</v>
      </c>
      <c r="J16" s="5" t="s">
        <v>0</v>
      </c>
      <c r="K16" s="19" t="s">
        <v>0</v>
      </c>
      <c r="L16" t="s">
        <v>2</v>
      </c>
      <c r="N16">
        <v>11.6</v>
      </c>
      <c r="O16" t="s">
        <v>127</v>
      </c>
      <c r="P16" t="s">
        <v>130</v>
      </c>
    </row>
    <row r="17" spans="1:15" x14ac:dyDescent="0.2">
      <c r="A17" s="1" t="s">
        <v>112</v>
      </c>
      <c r="B17" s="7" t="s">
        <v>0</v>
      </c>
      <c r="C17" s="2">
        <v>9</v>
      </c>
      <c r="I17">
        <v>1</v>
      </c>
      <c r="J17" s="5">
        <f>C21/C17</f>
        <v>1.1552346570397112</v>
      </c>
      <c r="K17" s="19">
        <f>J17/0.68</f>
        <v>1.698874495646634</v>
      </c>
      <c r="L17">
        <f>C20/C17</f>
        <v>0.25270758122743681</v>
      </c>
      <c r="N17">
        <v>2.4740000000000002</v>
      </c>
      <c r="O17" t="s">
        <v>2</v>
      </c>
    </row>
    <row r="18" spans="1:15" x14ac:dyDescent="0.2">
      <c r="A18" s="1" t="s">
        <v>114</v>
      </c>
      <c r="B18" t="s">
        <v>115</v>
      </c>
      <c r="C18">
        <v>5.54</v>
      </c>
      <c r="I18">
        <v>1552339</v>
      </c>
      <c r="J18" s="5"/>
      <c r="K18" s="19">
        <v>964645</v>
      </c>
      <c r="N18">
        <f>N17*C18</f>
        <v>13.705960000000001</v>
      </c>
      <c r="O18" t="s">
        <v>0</v>
      </c>
    </row>
    <row r="19" spans="1:15" x14ac:dyDescent="0.2">
      <c r="A19" s="1" t="s">
        <v>112</v>
      </c>
      <c r="B19" t="s">
        <v>2</v>
      </c>
      <c r="C19">
        <f>C17/C18</f>
        <v>1.6245487364620939</v>
      </c>
      <c r="I19">
        <f>I18*I17</f>
        <v>1552339</v>
      </c>
      <c r="J19" s="5"/>
      <c r="K19" s="19">
        <f>K18*K17</f>
        <v>1638810.7878530473</v>
      </c>
      <c r="L19" s="19">
        <f>I19-K19</f>
        <v>-86471.787853047252</v>
      </c>
      <c r="N19">
        <f>N16/N18</f>
        <v>0.84634713657416183</v>
      </c>
      <c r="O19" t="s">
        <v>128</v>
      </c>
    </row>
    <row r="20" spans="1:15" x14ac:dyDescent="0.2">
      <c r="A20" s="1" t="s">
        <v>113</v>
      </c>
      <c r="B20" s="7" t="s">
        <v>2</v>
      </c>
      <c r="C20">
        <f>B7*C19</f>
        <v>2.2743682310469313</v>
      </c>
      <c r="D20" t="s">
        <v>150</v>
      </c>
      <c r="J20" s="5"/>
      <c r="K20" s="19"/>
      <c r="N20" s="35">
        <f>704056*0.000001</f>
        <v>0.70405600000000002</v>
      </c>
      <c r="O20" t="s">
        <v>128</v>
      </c>
    </row>
    <row r="21" spans="1:15" x14ac:dyDescent="0.2">
      <c r="A21" s="1" t="s">
        <v>101</v>
      </c>
      <c r="B21" s="7" t="s">
        <v>0</v>
      </c>
      <c r="C21">
        <f>B8*C19</f>
        <v>10.397111913357401</v>
      </c>
      <c r="J21" s="5"/>
      <c r="K21" s="19"/>
    </row>
    <row r="22" spans="1:15" x14ac:dyDescent="0.2">
      <c r="A22" s="1" t="s">
        <v>154</v>
      </c>
      <c r="B22" s="7" t="s">
        <v>0</v>
      </c>
      <c r="C22">
        <f>0.5*C19</f>
        <v>0.81227436823104693</v>
      </c>
      <c r="E22" t="s">
        <v>123</v>
      </c>
      <c r="I22" s="5"/>
      <c r="J22" s="19"/>
    </row>
    <row r="23" spans="1:15" x14ac:dyDescent="0.2">
      <c r="A23" s="1" t="s">
        <v>155</v>
      </c>
      <c r="B23" s="7" t="s">
        <v>0</v>
      </c>
      <c r="C23">
        <f>B9*C19</f>
        <v>0.16245487364620939</v>
      </c>
      <c r="I23" s="5"/>
      <c r="J23" s="19"/>
    </row>
    <row r="24" spans="1:15" x14ac:dyDescent="0.2">
      <c r="A24" s="1" t="s">
        <v>156</v>
      </c>
      <c r="B24" s="7" t="s">
        <v>0</v>
      </c>
      <c r="C24">
        <f>B10*C19</f>
        <v>0.9422382671480144</v>
      </c>
      <c r="D24" s="37"/>
      <c r="I24" s="5"/>
      <c r="J24" s="19"/>
    </row>
    <row r="25" spans="1:15" x14ac:dyDescent="0.2">
      <c r="A25" s="1" t="s">
        <v>161</v>
      </c>
      <c r="B25" s="7" t="s">
        <v>0</v>
      </c>
      <c r="C25">
        <v>0</v>
      </c>
      <c r="D25" s="37"/>
      <c r="J25" s="19"/>
    </row>
    <row r="26" spans="1:15" x14ac:dyDescent="0.2">
      <c r="A26" s="1" t="s">
        <v>158</v>
      </c>
      <c r="B26" s="7" t="s">
        <v>0</v>
      </c>
      <c r="C26">
        <f>B13/B14</f>
        <v>0.25641025641025644</v>
      </c>
      <c r="D26" s="37"/>
      <c r="J26" s="19"/>
    </row>
    <row r="27" spans="1:15" ht="16" thickBot="1" x14ac:dyDescent="0.25">
      <c r="A27" s="32" t="s">
        <v>159</v>
      </c>
      <c r="B27" s="33" t="s">
        <v>0</v>
      </c>
      <c r="C27" s="14">
        <v>0</v>
      </c>
      <c r="D27" s="37"/>
      <c r="E27" s="14"/>
      <c r="F27" s="14"/>
      <c r="G27" s="14"/>
      <c r="H27" s="14"/>
      <c r="I27" s="15"/>
      <c r="J27" s="18"/>
      <c r="K27" s="14"/>
      <c r="L27" s="14"/>
      <c r="M27" s="14"/>
      <c r="N27" s="14"/>
      <c r="O27" s="14"/>
    </row>
    <row r="28" spans="1:15" x14ac:dyDescent="0.2">
      <c r="A28" s="1" t="s">
        <v>106</v>
      </c>
    </row>
    <row r="29" spans="1:15" x14ac:dyDescent="0.2">
      <c r="A29" t="s">
        <v>48</v>
      </c>
      <c r="B29" t="s">
        <v>47</v>
      </c>
      <c r="C29" s="3">
        <v>3</v>
      </c>
      <c r="E29" t="s">
        <v>99</v>
      </c>
      <c r="F29" t="s">
        <v>2</v>
      </c>
      <c r="G29">
        <v>1</v>
      </c>
    </row>
    <row r="30" spans="1:15" ht="16" thickBot="1" x14ac:dyDescent="0.25">
      <c r="A30" t="s">
        <v>45</v>
      </c>
      <c r="B30" t="s">
        <v>32</v>
      </c>
      <c r="C30" s="3">
        <f>C31*3600/GreenHyScale!C11</f>
        <v>5000</v>
      </c>
      <c r="D30" s="21"/>
      <c r="E30" t="s">
        <v>100</v>
      </c>
      <c r="F30" t="s">
        <v>2</v>
      </c>
      <c r="G30">
        <f>3882/2275*G29</f>
        <v>1.7063736263736264</v>
      </c>
    </row>
    <row r="31" spans="1:15" x14ac:dyDescent="0.2">
      <c r="A31" t="s">
        <v>45</v>
      </c>
      <c r="B31" t="s">
        <v>0</v>
      </c>
      <c r="C31" s="3">
        <v>15</v>
      </c>
      <c r="D31" s="23"/>
      <c r="E31" t="s">
        <v>101</v>
      </c>
      <c r="F31" t="s">
        <v>2</v>
      </c>
      <c r="G31">
        <f>533/2275*G29</f>
        <v>0.23428571428571429</v>
      </c>
    </row>
    <row r="32" spans="1:15" x14ac:dyDescent="0.2">
      <c r="A32" t="s">
        <v>1</v>
      </c>
      <c r="B32" t="str">
        <f>B30</f>
        <v>Nm3/h</v>
      </c>
      <c r="C32">
        <f>C30/C29</f>
        <v>1666.6666666666667</v>
      </c>
      <c r="E32" t="s">
        <v>102</v>
      </c>
      <c r="F32" t="s">
        <v>103</v>
      </c>
      <c r="G32">
        <f>624*G29</f>
        <v>624</v>
      </c>
    </row>
    <row r="33" spans="1:27" x14ac:dyDescent="0.2">
      <c r="A33" t="s">
        <v>45</v>
      </c>
      <c r="B33" t="s">
        <v>46</v>
      </c>
      <c r="C33">
        <f>C30*0.08077</f>
        <v>403.84999999999997</v>
      </c>
      <c r="E33" t="s">
        <v>104</v>
      </c>
      <c r="F33" t="s">
        <v>103</v>
      </c>
      <c r="G33">
        <f>2697*G29</f>
        <v>2697</v>
      </c>
    </row>
    <row r="34" spans="1:27" x14ac:dyDescent="0.2">
      <c r="A34" t="s">
        <v>1</v>
      </c>
      <c r="B34" t="s">
        <v>46</v>
      </c>
      <c r="C34">
        <f>C32*1.773</f>
        <v>2955</v>
      </c>
      <c r="E34" t="s">
        <v>105</v>
      </c>
      <c r="F34" t="s">
        <v>103</v>
      </c>
      <c r="G34">
        <f>2960*G29</f>
        <v>2960</v>
      </c>
    </row>
    <row r="35" spans="1:27" x14ac:dyDescent="0.2">
      <c r="A35" t="s">
        <v>49</v>
      </c>
      <c r="B35" t="s">
        <v>46</v>
      </c>
      <c r="C35">
        <f>2275*C33/533</f>
        <v>1723.7499999999998</v>
      </c>
    </row>
    <row r="36" spans="1:27" ht="16" thickBot="1" x14ac:dyDescent="0.25">
      <c r="A36" t="s">
        <v>49</v>
      </c>
      <c r="B36" t="s">
        <v>0</v>
      </c>
      <c r="C36">
        <f>C35*20.1/3600</f>
        <v>9.624270833333334</v>
      </c>
    </row>
    <row r="37" spans="1:27" x14ac:dyDescent="0.2">
      <c r="A37" t="s">
        <v>56</v>
      </c>
      <c r="B37" t="s">
        <v>46</v>
      </c>
      <c r="C37">
        <f>560*C33/533</f>
        <v>424.30769230769226</v>
      </c>
      <c r="Q37" s="8" t="s">
        <v>139</v>
      </c>
      <c r="R37" s="9"/>
      <c r="S37" s="9"/>
      <c r="T37" s="9"/>
      <c r="U37" s="9"/>
      <c r="V37" s="9"/>
      <c r="W37" s="9"/>
      <c r="X37" s="9"/>
      <c r="Y37" s="10"/>
    </row>
    <row r="38" spans="1:27" x14ac:dyDescent="0.2">
      <c r="A38" t="s">
        <v>138</v>
      </c>
      <c r="B38" t="s">
        <v>137</v>
      </c>
      <c r="C38">
        <f>1/0.08375</f>
        <v>11.940298507462686</v>
      </c>
      <c r="Q38" s="11"/>
      <c r="Y38" s="12"/>
    </row>
    <row r="39" spans="1:27" x14ac:dyDescent="0.2">
      <c r="A39" t="s">
        <v>51</v>
      </c>
      <c r="B39" t="s">
        <v>0</v>
      </c>
      <c r="C39">
        <v>0</v>
      </c>
      <c r="Q39" s="11"/>
      <c r="Y39" s="12"/>
    </row>
    <row r="40" spans="1:27" x14ac:dyDescent="0.2">
      <c r="A40" t="s">
        <v>53</v>
      </c>
      <c r="B40" t="s">
        <v>0</v>
      </c>
      <c r="C40">
        <f>C35/1000*0.624</f>
        <v>1.0756199999999998</v>
      </c>
      <c r="D40" s="22" t="s">
        <v>52</v>
      </c>
      <c r="Q40" s="11"/>
      <c r="Y40" s="12"/>
    </row>
    <row r="41" spans="1:27" x14ac:dyDescent="0.2">
      <c r="A41" t="s">
        <v>54</v>
      </c>
      <c r="B41" t="s">
        <v>0</v>
      </c>
      <c r="C41">
        <f>C35/1000*2.697</f>
        <v>4.6489537499999996</v>
      </c>
      <c r="Q41" s="11" t="s">
        <v>140</v>
      </c>
      <c r="Y41" s="12"/>
      <c r="AA41" s="1"/>
    </row>
    <row r="42" spans="1:27" x14ac:dyDescent="0.2">
      <c r="A42" t="s">
        <v>55</v>
      </c>
      <c r="B42" t="s">
        <v>0</v>
      </c>
      <c r="C42">
        <f>C35/1000*2.96</f>
        <v>5.1022999999999987</v>
      </c>
      <c r="Q42" s="11" t="s">
        <v>141</v>
      </c>
      <c r="R42">
        <v>500</v>
      </c>
      <c r="S42" t="s">
        <v>142</v>
      </c>
      <c r="Y42" s="12"/>
      <c r="AA42" s="11"/>
    </row>
    <row r="43" spans="1:27" x14ac:dyDescent="0.2">
      <c r="A43" t="s">
        <v>57</v>
      </c>
      <c r="B43" t="s">
        <v>0</v>
      </c>
      <c r="C43">
        <f>1.4*C33/3600</f>
        <v>0.15705277777777774</v>
      </c>
      <c r="D43" t="s">
        <v>58</v>
      </c>
      <c r="Q43" t="s">
        <v>141</v>
      </c>
      <c r="R43">
        <v>100</v>
      </c>
      <c r="S43" t="s">
        <v>148</v>
      </c>
      <c r="Y43" s="12"/>
      <c r="AA43" s="11"/>
    </row>
    <row r="44" spans="1:27" x14ac:dyDescent="0.2">
      <c r="Q44" s="11" t="s">
        <v>143</v>
      </c>
      <c r="R44">
        <v>1600</v>
      </c>
      <c r="Y44" s="12"/>
      <c r="AA44" s="11"/>
    </row>
    <row r="45" spans="1:27" ht="16" x14ac:dyDescent="0.2">
      <c r="A45" t="s">
        <v>75</v>
      </c>
      <c r="B45" t="s">
        <v>24</v>
      </c>
      <c r="C45" s="26">
        <v>19.09</v>
      </c>
      <c r="J45">
        <f>2474*5.54/1000</f>
        <v>13.705960000000001</v>
      </c>
      <c r="Q45" s="11" t="s">
        <v>144</v>
      </c>
      <c r="R45">
        <v>715</v>
      </c>
      <c r="S45">
        <v>1400</v>
      </c>
      <c r="Y45" s="12"/>
      <c r="AA45" s="11"/>
    </row>
    <row r="46" spans="1:27" x14ac:dyDescent="0.2">
      <c r="A46" t="s">
        <v>76</v>
      </c>
      <c r="B46" t="s">
        <v>24</v>
      </c>
      <c r="Q46" s="11" t="s">
        <v>145</v>
      </c>
      <c r="R46">
        <v>2130</v>
      </c>
      <c r="Y46" s="12"/>
    </row>
    <row r="47" spans="1:27" x14ac:dyDescent="0.2">
      <c r="Q47" s="11" t="s">
        <v>146</v>
      </c>
      <c r="Y47" s="12"/>
    </row>
    <row r="48" spans="1:27" ht="16" thickBot="1" x14ac:dyDescent="0.25">
      <c r="Q48" s="13" t="s">
        <v>147</v>
      </c>
      <c r="R48" s="14"/>
      <c r="S48" s="14"/>
      <c r="T48" s="14"/>
      <c r="U48" s="14"/>
      <c r="V48" s="14"/>
      <c r="W48" s="14"/>
      <c r="X48" s="14"/>
      <c r="Y48" s="16"/>
      <c r="AA48" s="13"/>
    </row>
    <row r="56" spans="15:15" x14ac:dyDescent="0.2">
      <c r="O56">
        <f>533</f>
        <v>533</v>
      </c>
    </row>
    <row r="80" spans="13:13" x14ac:dyDescent="0.2">
      <c r="M80">
        <f>0.625*2.474</f>
        <v>1.5462500000000001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Overview_2</vt:lpstr>
      <vt:lpstr>Overview_1</vt:lpstr>
      <vt:lpstr>Biogas skive</vt:lpstr>
      <vt:lpstr>SkyClean</vt:lpstr>
      <vt:lpstr>GreenHyScale</vt:lpstr>
      <vt:lpstr>Methanol plant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Alamia</dc:creator>
  <cp:lastModifiedBy>Alberto Alamia</cp:lastModifiedBy>
  <dcterms:created xsi:type="dcterms:W3CDTF">2022-11-16T13:32:27Z</dcterms:created>
  <dcterms:modified xsi:type="dcterms:W3CDTF">2024-02-01T16:41:52Z</dcterms:modified>
</cp:coreProperties>
</file>