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38400" windowHeight="16755" activeTab="5"/>
  </bookViews>
  <sheets>
    <sheet name="Esempio" sheetId="1" r:id="rId1"/>
    <sheet name="AO_CSV" sheetId="2" r:id="rId2"/>
    <sheet name="Giocatore1" sheetId="6" r:id="rId3"/>
    <sheet name="Giocatore2" sheetId="7" r:id="rId4"/>
    <sheet name="Analisi" sheetId="8" r:id="rId5"/>
    <sheet name="Annotazioni" sheetId="9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76" i="8" l="1"/>
  <c r="Q175" i="8"/>
  <c r="P175" i="8"/>
  <c r="R175" i="8" s="1"/>
  <c r="P174" i="8"/>
  <c r="K192" i="8"/>
  <c r="L192" i="8"/>
  <c r="K193" i="8"/>
  <c r="L193" i="8"/>
  <c r="L191" i="8"/>
  <c r="K191" i="8"/>
  <c r="L183" i="8"/>
  <c r="K185" i="8"/>
  <c r="K184" i="8"/>
  <c r="L184" i="8"/>
  <c r="L185" i="8"/>
  <c r="M185" i="8" s="1"/>
  <c r="L186" i="8"/>
  <c r="M184" i="8"/>
  <c r="K183" i="8"/>
  <c r="L176" i="8"/>
  <c r="L175" i="8"/>
  <c r="L174" i="8"/>
  <c r="K176" i="8"/>
  <c r="K175" i="8"/>
  <c r="K174" i="8"/>
  <c r="K159" i="8"/>
  <c r="Q174" i="8" l="1"/>
  <c r="R174" i="8" s="1"/>
  <c r="Q176" i="8"/>
  <c r="R176" i="8" s="1"/>
  <c r="M191" i="8"/>
  <c r="K186" i="8"/>
  <c r="M183" i="8"/>
  <c r="M186" i="8" s="1"/>
  <c r="L177" i="8"/>
  <c r="M175" i="8"/>
  <c r="M176" i="8"/>
  <c r="K177" i="8"/>
  <c r="M174" i="8"/>
  <c r="L154" i="8"/>
  <c r="L155" i="8"/>
  <c r="L161" i="8" s="1"/>
  <c r="L153" i="8"/>
  <c r="L159" i="8"/>
  <c r="K160" i="8"/>
  <c r="L160" i="8"/>
  <c r="K161" i="8"/>
  <c r="M154" i="8"/>
  <c r="N154" i="8" s="1"/>
  <c r="K153" i="8"/>
  <c r="K154" i="8"/>
  <c r="K155" i="8"/>
  <c r="K81" i="8"/>
  <c r="K80" i="8"/>
  <c r="K79" i="8"/>
  <c r="L147" i="8"/>
  <c r="L148" i="8"/>
  <c r="L146" i="8"/>
  <c r="M147" i="8"/>
  <c r="K147" i="8"/>
  <c r="M148" i="8"/>
  <c r="K148" i="8"/>
  <c r="M146" i="8"/>
  <c r="K146" i="8"/>
  <c r="G259" i="8"/>
  <c r="P124" i="8"/>
  <c r="Q126" i="8"/>
  <c r="P126" i="8"/>
  <c r="R126" i="8" s="1"/>
  <c r="P125" i="8"/>
  <c r="Q125" i="8" s="1"/>
  <c r="R125" i="8" s="1"/>
  <c r="Q124" i="8"/>
  <c r="R124" i="8"/>
  <c r="K140" i="8"/>
  <c r="L140" i="8"/>
  <c r="K141" i="8"/>
  <c r="L141" i="8"/>
  <c r="L139" i="8"/>
  <c r="K139" i="8"/>
  <c r="K135" i="8"/>
  <c r="K134" i="8"/>
  <c r="K133" i="8"/>
  <c r="L134" i="8"/>
  <c r="L135" i="8"/>
  <c r="M135" i="8" s="1"/>
  <c r="L133" i="8"/>
  <c r="M134" i="8"/>
  <c r="L126" i="8"/>
  <c r="K126" i="8"/>
  <c r="L125" i="8"/>
  <c r="K125" i="8"/>
  <c r="L124" i="8"/>
  <c r="K124" i="8"/>
  <c r="F257" i="8"/>
  <c r="G257" i="8"/>
  <c r="F258" i="8"/>
  <c r="G258" i="8"/>
  <c r="G255" i="8"/>
  <c r="F255" i="8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L102" i="8"/>
  <c r="L101" i="8"/>
  <c r="L100" i="8"/>
  <c r="K102" i="8"/>
  <c r="K101" i="8"/>
  <c r="K100" i="8"/>
  <c r="B257" i="8"/>
  <c r="B258" i="8"/>
  <c r="D257" i="8"/>
  <c r="D258" i="8"/>
  <c r="E258" i="8"/>
  <c r="E257" i="8"/>
  <c r="E255" i="8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M72" i="8"/>
  <c r="L72" i="8"/>
  <c r="K72" i="8"/>
  <c r="N72" i="8" s="1"/>
  <c r="M71" i="8"/>
  <c r="L71" i="8"/>
  <c r="K71" i="8"/>
  <c r="L70" i="8"/>
  <c r="M70" i="8"/>
  <c r="K70" i="8"/>
  <c r="M177" i="8" l="1"/>
  <c r="M160" i="8"/>
  <c r="M155" i="8"/>
  <c r="M153" i="8"/>
  <c r="M159" i="8" s="1"/>
  <c r="N153" i="8"/>
  <c r="M156" i="8"/>
  <c r="L156" i="8"/>
  <c r="K156" i="8"/>
  <c r="L149" i="8"/>
  <c r="N147" i="8"/>
  <c r="K149" i="8"/>
  <c r="N148" i="8"/>
  <c r="M149" i="8"/>
  <c r="N146" i="8"/>
  <c r="M139" i="8"/>
  <c r="M126" i="8"/>
  <c r="L127" i="8"/>
  <c r="M125" i="8"/>
  <c r="M124" i="8"/>
  <c r="K127" i="8"/>
  <c r="M73" i="8"/>
  <c r="M102" i="8"/>
  <c r="L103" i="8"/>
  <c r="K103" i="8"/>
  <c r="M101" i="8"/>
  <c r="M100" i="8"/>
  <c r="N70" i="8"/>
  <c r="N71" i="8"/>
  <c r="L73" i="8"/>
  <c r="K73" i="8"/>
  <c r="L46" i="8"/>
  <c r="K46" i="8"/>
  <c r="L47" i="8"/>
  <c r="K47" i="8"/>
  <c r="L45" i="8"/>
  <c r="K45" i="8"/>
  <c r="K41" i="8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L6" i="8"/>
  <c r="L5" i="8"/>
  <c r="L4" i="8"/>
  <c r="K5" i="8"/>
  <c r="K6" i="8"/>
  <c r="K4" i="8"/>
  <c r="B255" i="8"/>
  <c r="C255" i="8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B2" i="7"/>
  <c r="B3" i="7"/>
  <c r="B4" i="7"/>
  <c r="B5" i="7"/>
  <c r="B6" i="7"/>
  <c r="B7" i="7"/>
  <c r="B8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3" i="6"/>
  <c r="B3" i="6"/>
  <c r="C3" i="6"/>
  <c r="A4" i="6"/>
  <c r="B4" i="6"/>
  <c r="C4" i="6"/>
  <c r="A5" i="6"/>
  <c r="B5" i="6"/>
  <c r="C5" i="6"/>
  <c r="A6" i="6"/>
  <c r="B6" i="6"/>
  <c r="C6" i="6"/>
  <c r="A7" i="6"/>
  <c r="B7" i="6"/>
  <c r="C7" i="6"/>
  <c r="A8" i="6"/>
  <c r="B8" i="6"/>
  <c r="C8" i="6"/>
  <c r="A9" i="6"/>
  <c r="B9" i="6"/>
  <c r="C9" i="6"/>
  <c r="A10" i="6"/>
  <c r="B10" i="6"/>
  <c r="C10" i="6"/>
  <c r="A11" i="6"/>
  <c r="B11" i="6"/>
  <c r="C11" i="6"/>
  <c r="A12" i="6"/>
  <c r="B12" i="6"/>
  <c r="C12" i="6"/>
  <c r="A13" i="6"/>
  <c r="B13" i="6"/>
  <c r="C13" i="6"/>
  <c r="A14" i="6"/>
  <c r="B14" i="6"/>
  <c r="C14" i="6"/>
  <c r="A15" i="6"/>
  <c r="B15" i="6"/>
  <c r="C15" i="6"/>
  <c r="A16" i="6"/>
  <c r="B16" i="6"/>
  <c r="C16" i="6"/>
  <c r="A17" i="6"/>
  <c r="B17" i="6"/>
  <c r="C17" i="6"/>
  <c r="A18" i="6"/>
  <c r="B18" i="6"/>
  <c r="C18" i="6"/>
  <c r="A19" i="6"/>
  <c r="B19" i="6"/>
  <c r="C19" i="6"/>
  <c r="A20" i="6"/>
  <c r="B20" i="6"/>
  <c r="C20" i="6"/>
  <c r="A21" i="6"/>
  <c r="B21" i="6"/>
  <c r="C21" i="6"/>
  <c r="A22" i="6"/>
  <c r="B22" i="6"/>
  <c r="C22" i="6"/>
  <c r="A23" i="6"/>
  <c r="B23" i="6"/>
  <c r="C23" i="6"/>
  <c r="A24" i="6"/>
  <c r="B24" i="6"/>
  <c r="C24" i="6"/>
  <c r="A25" i="6"/>
  <c r="B25" i="6"/>
  <c r="C25" i="6"/>
  <c r="A26" i="6"/>
  <c r="B26" i="6"/>
  <c r="C26" i="6"/>
  <c r="A27" i="6"/>
  <c r="B27" i="6"/>
  <c r="C27" i="6"/>
  <c r="A28" i="6"/>
  <c r="B28" i="6"/>
  <c r="C28" i="6"/>
  <c r="A29" i="6"/>
  <c r="B29" i="6"/>
  <c r="C29" i="6"/>
  <c r="A30" i="6"/>
  <c r="B30" i="6"/>
  <c r="C30" i="6"/>
  <c r="A31" i="6"/>
  <c r="B31" i="6"/>
  <c r="C31" i="6"/>
  <c r="A32" i="6"/>
  <c r="B32" i="6"/>
  <c r="C32" i="6"/>
  <c r="A33" i="6"/>
  <c r="B33" i="6"/>
  <c r="C33" i="6"/>
  <c r="A34" i="6"/>
  <c r="B34" i="6"/>
  <c r="C34" i="6"/>
  <c r="A35" i="6"/>
  <c r="B35" i="6"/>
  <c r="C35" i="6"/>
  <c r="A36" i="6"/>
  <c r="B36" i="6"/>
  <c r="C36" i="6"/>
  <c r="A37" i="6"/>
  <c r="B37" i="6"/>
  <c r="C37" i="6"/>
  <c r="A38" i="6"/>
  <c r="B38" i="6"/>
  <c r="C38" i="6"/>
  <c r="A39" i="6"/>
  <c r="B39" i="6"/>
  <c r="C39" i="6"/>
  <c r="A40" i="6"/>
  <c r="B40" i="6"/>
  <c r="C40" i="6"/>
  <c r="A41" i="6"/>
  <c r="B41" i="6"/>
  <c r="C41" i="6"/>
  <c r="A42" i="6"/>
  <c r="B42" i="6"/>
  <c r="C42" i="6"/>
  <c r="A43" i="6"/>
  <c r="B43" i="6"/>
  <c r="C43" i="6"/>
  <c r="A44" i="6"/>
  <c r="B44" i="6"/>
  <c r="C44" i="6"/>
  <c r="A45" i="6"/>
  <c r="B45" i="6"/>
  <c r="C45" i="6"/>
  <c r="A46" i="6"/>
  <c r="B46" i="6"/>
  <c r="C46" i="6"/>
  <c r="A47" i="6"/>
  <c r="B47" i="6"/>
  <c r="C47" i="6"/>
  <c r="A48" i="6"/>
  <c r="B48" i="6"/>
  <c r="C48" i="6"/>
  <c r="A49" i="6"/>
  <c r="B49" i="6"/>
  <c r="C49" i="6"/>
  <c r="A50" i="6"/>
  <c r="B50" i="6"/>
  <c r="C50" i="6"/>
  <c r="A51" i="6"/>
  <c r="B51" i="6"/>
  <c r="C51" i="6"/>
  <c r="A52" i="6"/>
  <c r="B52" i="6"/>
  <c r="C52" i="6"/>
  <c r="A53" i="6"/>
  <c r="B53" i="6"/>
  <c r="C53" i="6"/>
  <c r="A54" i="6"/>
  <c r="B54" i="6"/>
  <c r="C54" i="6"/>
  <c r="A55" i="6"/>
  <c r="B55" i="6"/>
  <c r="C55" i="6"/>
  <c r="A56" i="6"/>
  <c r="B56" i="6"/>
  <c r="C56" i="6"/>
  <c r="A57" i="6"/>
  <c r="B57" i="6"/>
  <c r="C57" i="6"/>
  <c r="A58" i="6"/>
  <c r="B58" i="6"/>
  <c r="C58" i="6"/>
  <c r="A59" i="6"/>
  <c r="B59" i="6"/>
  <c r="C59" i="6"/>
  <c r="A60" i="6"/>
  <c r="B60" i="6"/>
  <c r="C60" i="6"/>
  <c r="A61" i="6"/>
  <c r="B61" i="6"/>
  <c r="C61" i="6"/>
  <c r="A62" i="6"/>
  <c r="B62" i="6"/>
  <c r="C62" i="6"/>
  <c r="A63" i="6"/>
  <c r="B63" i="6"/>
  <c r="C63" i="6"/>
  <c r="A64" i="6"/>
  <c r="B64" i="6"/>
  <c r="C64" i="6"/>
  <c r="A65" i="6"/>
  <c r="B65" i="6"/>
  <c r="C65" i="6"/>
  <c r="A66" i="6"/>
  <c r="B66" i="6"/>
  <c r="C66" i="6"/>
  <c r="A67" i="6"/>
  <c r="B67" i="6"/>
  <c r="C67" i="6"/>
  <c r="A68" i="6"/>
  <c r="B68" i="6"/>
  <c r="C68" i="6"/>
  <c r="A69" i="6"/>
  <c r="B69" i="6"/>
  <c r="C69" i="6"/>
  <c r="A70" i="6"/>
  <c r="B70" i="6"/>
  <c r="C70" i="6"/>
  <c r="A71" i="6"/>
  <c r="B71" i="6"/>
  <c r="C71" i="6"/>
  <c r="A72" i="6"/>
  <c r="B72" i="6"/>
  <c r="C72" i="6"/>
  <c r="A73" i="6"/>
  <c r="B73" i="6"/>
  <c r="C73" i="6"/>
  <c r="A74" i="6"/>
  <c r="B74" i="6"/>
  <c r="C74" i="6"/>
  <c r="A75" i="6"/>
  <c r="B75" i="6"/>
  <c r="C75" i="6"/>
  <c r="A76" i="6"/>
  <c r="B76" i="6"/>
  <c r="C76" i="6"/>
  <c r="A77" i="6"/>
  <c r="B77" i="6"/>
  <c r="C77" i="6"/>
  <c r="A78" i="6"/>
  <c r="B78" i="6"/>
  <c r="C78" i="6"/>
  <c r="A79" i="6"/>
  <c r="B79" i="6"/>
  <c r="C79" i="6"/>
  <c r="A80" i="6"/>
  <c r="B80" i="6"/>
  <c r="C80" i="6"/>
  <c r="A81" i="6"/>
  <c r="B81" i="6"/>
  <c r="C81" i="6"/>
  <c r="A82" i="6"/>
  <c r="B82" i="6"/>
  <c r="C82" i="6"/>
  <c r="A83" i="6"/>
  <c r="B83" i="6"/>
  <c r="C83" i="6"/>
  <c r="A84" i="6"/>
  <c r="B84" i="6"/>
  <c r="C84" i="6"/>
  <c r="A85" i="6"/>
  <c r="B85" i="6"/>
  <c r="C85" i="6"/>
  <c r="A86" i="6"/>
  <c r="B86" i="6"/>
  <c r="C86" i="6"/>
  <c r="A87" i="6"/>
  <c r="B87" i="6"/>
  <c r="C87" i="6"/>
  <c r="A88" i="6"/>
  <c r="B88" i="6"/>
  <c r="C88" i="6"/>
  <c r="A89" i="6"/>
  <c r="B89" i="6"/>
  <c r="C89" i="6"/>
  <c r="A90" i="6"/>
  <c r="B90" i="6"/>
  <c r="C90" i="6"/>
  <c r="A91" i="6"/>
  <c r="B91" i="6"/>
  <c r="C91" i="6"/>
  <c r="A92" i="6"/>
  <c r="B92" i="6"/>
  <c r="C92" i="6"/>
  <c r="A93" i="6"/>
  <c r="B93" i="6"/>
  <c r="C93" i="6"/>
  <c r="A94" i="6"/>
  <c r="B94" i="6"/>
  <c r="C94" i="6"/>
  <c r="A95" i="6"/>
  <c r="B95" i="6"/>
  <c r="C95" i="6"/>
  <c r="A96" i="6"/>
  <c r="B96" i="6"/>
  <c r="C96" i="6"/>
  <c r="A97" i="6"/>
  <c r="B97" i="6"/>
  <c r="C97" i="6"/>
  <c r="A98" i="6"/>
  <c r="B98" i="6"/>
  <c r="C98" i="6"/>
  <c r="A99" i="6"/>
  <c r="B99" i="6"/>
  <c r="C99" i="6"/>
  <c r="A100" i="6"/>
  <c r="B100" i="6"/>
  <c r="C100" i="6"/>
  <c r="A101" i="6"/>
  <c r="B101" i="6"/>
  <c r="C101" i="6"/>
  <c r="A102" i="6"/>
  <c r="B102" i="6"/>
  <c r="C102" i="6"/>
  <c r="A103" i="6"/>
  <c r="B103" i="6"/>
  <c r="C103" i="6"/>
  <c r="A104" i="6"/>
  <c r="B104" i="6"/>
  <c r="C104" i="6"/>
  <c r="A105" i="6"/>
  <c r="B105" i="6"/>
  <c r="C105" i="6"/>
  <c r="A106" i="6"/>
  <c r="B106" i="6"/>
  <c r="C106" i="6"/>
  <c r="A107" i="6"/>
  <c r="B107" i="6"/>
  <c r="C107" i="6"/>
  <c r="A108" i="6"/>
  <c r="B108" i="6"/>
  <c r="C108" i="6"/>
  <c r="A109" i="6"/>
  <c r="B109" i="6"/>
  <c r="C109" i="6"/>
  <c r="A110" i="6"/>
  <c r="B110" i="6"/>
  <c r="C110" i="6"/>
  <c r="A111" i="6"/>
  <c r="B111" i="6"/>
  <c r="C111" i="6"/>
  <c r="A112" i="6"/>
  <c r="B112" i="6"/>
  <c r="C112" i="6"/>
  <c r="A113" i="6"/>
  <c r="B113" i="6"/>
  <c r="C113" i="6"/>
  <c r="A114" i="6"/>
  <c r="B114" i="6"/>
  <c r="C114" i="6"/>
  <c r="A115" i="6"/>
  <c r="B115" i="6"/>
  <c r="C115" i="6"/>
  <c r="A116" i="6"/>
  <c r="B116" i="6"/>
  <c r="C116" i="6"/>
  <c r="A117" i="6"/>
  <c r="B117" i="6"/>
  <c r="C117" i="6"/>
  <c r="A118" i="6"/>
  <c r="B118" i="6"/>
  <c r="C118" i="6"/>
  <c r="A119" i="6"/>
  <c r="B119" i="6"/>
  <c r="C119" i="6"/>
  <c r="A120" i="6"/>
  <c r="B120" i="6"/>
  <c r="C120" i="6"/>
  <c r="A121" i="6"/>
  <c r="B121" i="6"/>
  <c r="C121" i="6"/>
  <c r="A122" i="6"/>
  <c r="B122" i="6"/>
  <c r="C122" i="6"/>
  <c r="A123" i="6"/>
  <c r="B123" i="6"/>
  <c r="C123" i="6"/>
  <c r="A124" i="6"/>
  <c r="B124" i="6"/>
  <c r="C124" i="6"/>
  <c r="A125" i="6"/>
  <c r="B125" i="6"/>
  <c r="C125" i="6"/>
  <c r="A126" i="6"/>
  <c r="B126" i="6"/>
  <c r="C126" i="6"/>
  <c r="A127" i="6"/>
  <c r="B127" i="6"/>
  <c r="C127" i="6"/>
  <c r="C2" i="6"/>
  <c r="B2" i="6"/>
  <c r="A2" i="6"/>
  <c r="B138" i="2"/>
  <c r="K128" i="2"/>
  <c r="C136" i="2"/>
  <c r="B134" i="2"/>
  <c r="AC130" i="2"/>
  <c r="K130" i="2"/>
  <c r="AC128" i="2"/>
  <c r="AP128" i="2"/>
  <c r="N155" i="8" l="1"/>
  <c r="N156" i="8" s="1"/>
  <c r="M161" i="8"/>
  <c r="N159" i="8" s="1"/>
  <c r="N149" i="8"/>
  <c r="M127" i="8"/>
  <c r="L129" i="8" s="1"/>
  <c r="N73" i="8"/>
  <c r="K88" i="8" s="1"/>
  <c r="L81" i="8"/>
  <c r="L88" i="8" s="1"/>
  <c r="M103" i="8"/>
  <c r="K110" i="8" s="1"/>
  <c r="M47" i="8"/>
  <c r="P47" i="8" s="1"/>
  <c r="Q47" i="8" s="1"/>
  <c r="R47" i="8" s="1"/>
  <c r="K48" i="8"/>
  <c r="L80" i="8"/>
  <c r="L79" i="8"/>
  <c r="L86" i="8" s="1"/>
  <c r="L48" i="8"/>
  <c r="M46" i="8"/>
  <c r="M45" i="8"/>
  <c r="M6" i="8"/>
  <c r="K7" i="8"/>
  <c r="L7" i="8"/>
  <c r="M4" i="8"/>
  <c r="P4" i="8" s="1"/>
  <c r="M5" i="8"/>
  <c r="P5" i="8" s="1"/>
  <c r="M16" i="1"/>
  <c r="K16" i="1"/>
  <c r="I16" i="1"/>
  <c r="G16" i="1"/>
  <c r="D12" i="1"/>
  <c r="D11" i="1"/>
  <c r="C12" i="1"/>
  <c r="E12" i="1" s="1"/>
  <c r="C11" i="1"/>
  <c r="C13" i="1" s="1"/>
  <c r="D8" i="1"/>
  <c r="D7" i="1"/>
  <c r="D6" i="1"/>
  <c r="F4" i="1"/>
  <c r="E4" i="1"/>
  <c r="D4" i="1"/>
  <c r="C4" i="1"/>
  <c r="E3" i="1"/>
  <c r="E2" i="1"/>
  <c r="K129" i="8" l="1"/>
  <c r="K111" i="8"/>
  <c r="L111" i="8" s="1"/>
  <c r="L118" i="8" s="1"/>
  <c r="K109" i="8"/>
  <c r="K116" i="8" s="1"/>
  <c r="K105" i="8"/>
  <c r="K117" i="8"/>
  <c r="M110" i="8"/>
  <c r="L110" i="8"/>
  <c r="L117" i="8" s="1"/>
  <c r="K112" i="8"/>
  <c r="M111" i="8"/>
  <c r="K118" i="8"/>
  <c r="M81" i="8"/>
  <c r="M88" i="8" s="1"/>
  <c r="L105" i="8"/>
  <c r="M79" i="8"/>
  <c r="M86" i="8" s="1"/>
  <c r="M80" i="8"/>
  <c r="M87" i="8" s="1"/>
  <c r="K86" i="8"/>
  <c r="K82" i="8"/>
  <c r="L82" i="8"/>
  <c r="L87" i="8"/>
  <c r="P46" i="8"/>
  <c r="Q46" i="8" s="1"/>
  <c r="R46" i="8" s="1"/>
  <c r="P45" i="8"/>
  <c r="Q45" i="8" s="1"/>
  <c r="K87" i="8"/>
  <c r="M48" i="8"/>
  <c r="K50" i="8" s="1"/>
  <c r="Q4" i="8"/>
  <c r="R4" i="8" s="1"/>
  <c r="Q5" i="8"/>
  <c r="R5" i="8"/>
  <c r="M7" i="8"/>
  <c r="K9" i="8" s="1"/>
  <c r="K14" i="8" s="1"/>
  <c r="P6" i="8"/>
  <c r="D13" i="1"/>
  <c r="F13" i="1" s="1"/>
  <c r="E11" i="1"/>
  <c r="E13" i="1" s="1"/>
  <c r="N79" i="8" l="1"/>
  <c r="L109" i="8"/>
  <c r="M109" i="8" s="1"/>
  <c r="N80" i="8"/>
  <c r="L112" i="8"/>
  <c r="N81" i="8"/>
  <c r="N82" i="8" s="1"/>
  <c r="M112" i="8"/>
  <c r="M82" i="8"/>
  <c r="N86" i="8"/>
  <c r="K55" i="8"/>
  <c r="K54" i="8"/>
  <c r="K53" i="8"/>
  <c r="L50" i="8"/>
  <c r="R45" i="8"/>
  <c r="L9" i="8"/>
  <c r="K12" i="8"/>
  <c r="K18" i="8" s="1"/>
  <c r="L14" i="8"/>
  <c r="K20" i="8"/>
  <c r="Q6" i="8"/>
  <c r="R6" i="8" s="1"/>
  <c r="K13" i="8"/>
  <c r="L116" i="8" l="1"/>
  <c r="M116" i="8" s="1"/>
  <c r="L12" i="8"/>
  <c r="M12" i="8" s="1"/>
  <c r="K59" i="8"/>
  <c r="L53" i="8"/>
  <c r="K60" i="8"/>
  <c r="L54" i="8"/>
  <c r="L60" i="8" s="1"/>
  <c r="L55" i="8"/>
  <c r="K61" i="8"/>
  <c r="L13" i="8"/>
  <c r="L15" i="8" s="1"/>
  <c r="K19" i="8"/>
  <c r="L18" i="8"/>
  <c r="K15" i="8"/>
  <c r="M14" i="8"/>
  <c r="L20" i="8"/>
  <c r="M54" i="8" l="1"/>
  <c r="M55" i="8"/>
  <c r="L61" i="8"/>
  <c r="L56" i="8"/>
  <c r="L59" i="8"/>
  <c r="M13" i="8"/>
  <c r="M15" i="8" s="1"/>
  <c r="L19" i="8"/>
  <c r="M18" i="8" s="1"/>
  <c r="K56" i="8"/>
  <c r="M53" i="8"/>
  <c r="M59" i="8" l="1"/>
  <c r="M56" i="8"/>
  <c r="K136" i="8"/>
  <c r="L136" i="8"/>
  <c r="M133" i="8" l="1"/>
  <c r="M136" i="8" s="1"/>
</calcChain>
</file>

<file path=xl/sharedStrings.xml><?xml version="1.0" encoding="utf-8"?>
<sst xmlns="http://schemas.openxmlformats.org/spreadsheetml/2006/main" count="1516" uniqueCount="327">
  <si>
    <t>xmicina</t>
  </si>
  <si>
    <t>streptomicini</t>
  </si>
  <si>
    <t>guariti</t>
  </si>
  <si>
    <t>non-guariti</t>
  </si>
  <si>
    <t>totale</t>
  </si>
  <si>
    <t>Trattamento Efficace</t>
  </si>
  <si>
    <t>Trattamento Inefficace</t>
  </si>
  <si>
    <t>grado di liberta chi-quadro =</t>
  </si>
  <si>
    <t>(Osservato-Test)2</t>
  </si>
  <si>
    <t>Test</t>
  </si>
  <si>
    <t>ꭓ2=∑</t>
  </si>
  <si>
    <t>Osservato:</t>
  </si>
  <si>
    <t>Test:</t>
  </si>
  <si>
    <t>+</t>
  </si>
  <si>
    <t>=</t>
  </si>
  <si>
    <r>
      <t>(numero-righe-1)x(numero-colonne-1)=</t>
    </r>
    <r>
      <rPr>
        <b/>
        <sz val="11"/>
        <color theme="1"/>
        <rFont val="Calibri"/>
        <family val="2"/>
        <scheme val="minor"/>
      </rPr>
      <t>1</t>
    </r>
  </si>
  <si>
    <t>tabella chi-quadro</t>
  </si>
  <si>
    <t>gradi</t>
  </si>
  <si>
    <t>la differenza è significativa tra i due gruppi a livello di probabilità del 5%</t>
  </si>
  <si>
    <t>Player1</t>
  </si>
  <si>
    <t>Player2</t>
  </si>
  <si>
    <t>Round</t>
  </si>
  <si>
    <t>Result</t>
  </si>
  <si>
    <t>FNL1</t>
  </si>
  <si>
    <t>FNL2</t>
  </si>
  <si>
    <t>FSP.1</t>
  </si>
  <si>
    <t>FSW.1</t>
  </si>
  <si>
    <t>SSP.1</t>
  </si>
  <si>
    <t>SSW.1</t>
  </si>
  <si>
    <t>ACE.1</t>
  </si>
  <si>
    <t>DBF.1</t>
  </si>
  <si>
    <t>WNR.1</t>
  </si>
  <si>
    <t>UFE.1</t>
  </si>
  <si>
    <t>BPC.1</t>
  </si>
  <si>
    <t>BPW.1</t>
  </si>
  <si>
    <t>NPA.1</t>
  </si>
  <si>
    <t>NPW.1</t>
  </si>
  <si>
    <t>TPW.1</t>
  </si>
  <si>
    <t>ST1.1</t>
  </si>
  <si>
    <t>ST2.1</t>
  </si>
  <si>
    <t>ST3.1</t>
  </si>
  <si>
    <t>ST4.1</t>
  </si>
  <si>
    <t>ST5.1</t>
  </si>
  <si>
    <t>FSP.2</t>
  </si>
  <si>
    <t>FSW.2</t>
  </si>
  <si>
    <t>SSP.2</t>
  </si>
  <si>
    <t>SSW.2</t>
  </si>
  <si>
    <t>ACE.2</t>
  </si>
  <si>
    <t>DBF.2</t>
  </si>
  <si>
    <t>WNR.2</t>
  </si>
  <si>
    <t>UFE.2</t>
  </si>
  <si>
    <t>BPC.2</t>
  </si>
  <si>
    <t>BPW.2</t>
  </si>
  <si>
    <t>NPA.2</t>
  </si>
  <si>
    <t>NPW.2</t>
  </si>
  <si>
    <t>TPW.2</t>
  </si>
  <si>
    <t>ST1.2</t>
  </si>
  <si>
    <t>ST2.2</t>
  </si>
  <si>
    <t>ST3.2</t>
  </si>
  <si>
    <t>ST4.2</t>
  </si>
  <si>
    <t>ST5.2</t>
  </si>
  <si>
    <t>Lukas Lacko</t>
  </si>
  <si>
    <t>Novak Djokovic</t>
  </si>
  <si>
    <t>NA</t>
  </si>
  <si>
    <t>Leonardo Mayer</t>
  </si>
  <si>
    <t>Albert Montanes</t>
  </si>
  <si>
    <t>Marcos Baghdatis</t>
  </si>
  <si>
    <t>Denis Istomin</t>
  </si>
  <si>
    <t>Dmitry Tursunov</t>
  </si>
  <si>
    <t>Michael Russell</t>
  </si>
  <si>
    <t>Juan Monaco</t>
  </si>
  <si>
    <t>Ernests Gulbis</t>
  </si>
  <si>
    <t>Santiago Giraldo</t>
  </si>
  <si>
    <t>Sam Querrey</t>
  </si>
  <si>
    <t>Dudi Sela</t>
  </si>
  <si>
    <t>Jarkko Nieminen</t>
  </si>
  <si>
    <t>Fabio Fognini</t>
  </si>
  <si>
    <t>Alex Bogomolov Jr.</t>
  </si>
  <si>
    <t>David Guez</t>
  </si>
  <si>
    <t>Richard Gasquet</t>
  </si>
  <si>
    <t>Nikolay Davydenko</t>
  </si>
  <si>
    <t>Lukasz Kubot</t>
  </si>
  <si>
    <t>Pablo Carreno Busta</t>
  </si>
  <si>
    <t>Julien Benneteau</t>
  </si>
  <si>
    <t>Tommy Robredo</t>
  </si>
  <si>
    <t>Lukas Rosol</t>
  </si>
  <si>
    <t>Samuel Groth</t>
  </si>
  <si>
    <t>Vasek Pospisil</t>
  </si>
  <si>
    <t>Nicolas Mahut</t>
  </si>
  <si>
    <t>Matthew Ebden</t>
  </si>
  <si>
    <t>Alejandro Falla</t>
  </si>
  <si>
    <t>Mikhail Kukushkin</t>
  </si>
  <si>
    <t>Stanislas Wawrinka</t>
  </si>
  <si>
    <t>Andrey Golubev</t>
  </si>
  <si>
    <t>Alejandro Gonzalez</t>
  </si>
  <si>
    <t>David Ferrer</t>
  </si>
  <si>
    <t>Steve Johnson</t>
  </si>
  <si>
    <t>Adrian Mannarino</t>
  </si>
  <si>
    <t>Ricardas Berankis</t>
  </si>
  <si>
    <t>Alexandr Dolgopolov</t>
  </si>
  <si>
    <t>Jeremy Chardy</t>
  </si>
  <si>
    <t>Jesse Huta Galung</t>
  </si>
  <si>
    <t>Jordan Thompson</t>
  </si>
  <si>
    <t>Jerzy Janowicz</t>
  </si>
  <si>
    <t>Albert Ramos</t>
  </si>
  <si>
    <t>Pablo Andujar</t>
  </si>
  <si>
    <t>Florian Mayer</t>
  </si>
  <si>
    <t>Denis Kudla</t>
  </si>
  <si>
    <t>Mikhail Youzhny</t>
  </si>
  <si>
    <t>Jan-Lennard Struff</t>
  </si>
  <si>
    <t>Guillermo Garcia-Lopez</t>
  </si>
  <si>
    <t>Tommy Haas</t>
  </si>
  <si>
    <t>Carlos Berlocq</t>
  </si>
  <si>
    <t>Edouard Roger-Vasselin</t>
  </si>
  <si>
    <t>Dominic Thiem</t>
  </si>
  <si>
    <t>Joao Sousa</t>
  </si>
  <si>
    <t>Kevin Anderson</t>
  </si>
  <si>
    <t>Jiri Vesely</t>
  </si>
  <si>
    <t>Ivo Karlovic</t>
  </si>
  <si>
    <t>Ivan Dodig</t>
  </si>
  <si>
    <t>Jan Hajek</t>
  </si>
  <si>
    <t>Damir Dzumhur</t>
  </si>
  <si>
    <t>Di Wu</t>
  </si>
  <si>
    <t>Kenny De Schepper</t>
  </si>
  <si>
    <t>Tomas Berdych</t>
  </si>
  <si>
    <t>Aleksandr Nedovyesov</t>
  </si>
  <si>
    <t>James Duckworth</t>
  </si>
  <si>
    <t>Roger Federer</t>
  </si>
  <si>
    <t>Radek Stepanek</t>
  </si>
  <si>
    <t>Blaz Kavcic</t>
  </si>
  <si>
    <t>Teymuraz Gabashvili</t>
  </si>
  <si>
    <t>Sergiy Stakhovsky</t>
  </si>
  <si>
    <t>Fernando Verdasco</t>
  </si>
  <si>
    <t>Ze Zhang</t>
  </si>
  <si>
    <t>Daniel Brands</t>
  </si>
  <si>
    <t>Gilles Simon</t>
  </si>
  <si>
    <t>Marin Cilic</t>
  </si>
  <si>
    <t>Marcel Granollers</t>
  </si>
  <si>
    <t>Thomaz Bellucci</t>
  </si>
  <si>
    <t>Julian Reister</t>
  </si>
  <si>
    <t>Jo-Wilfried Tsonga</t>
  </si>
  <si>
    <t>Filippo Volandri</t>
  </si>
  <si>
    <t>Martin Klizan</t>
  </si>
  <si>
    <t>John Isner</t>
  </si>
  <si>
    <t>Blaz Rola</t>
  </si>
  <si>
    <t>Federico Delbonis</t>
  </si>
  <si>
    <t>Michal Przysiezny</t>
  </si>
  <si>
    <t>Horacio Zeballos</t>
  </si>
  <si>
    <t>Stephane Robert</t>
  </si>
  <si>
    <t>Aljaz Bedene</t>
  </si>
  <si>
    <t>Somdev Devvarman</t>
  </si>
  <si>
    <t>Feliciano Lopez</t>
  </si>
  <si>
    <t>Michael Berrer</t>
  </si>
  <si>
    <t>Michael Llodra</t>
  </si>
  <si>
    <t>Vincent Millot</t>
  </si>
  <si>
    <t>Wayne Odesnik</t>
  </si>
  <si>
    <t>Andy Murray</t>
  </si>
  <si>
    <t>Go Soeda</t>
  </si>
  <si>
    <t>Rhyne Williams</t>
  </si>
  <si>
    <t>Juan Martin Del Potro</t>
  </si>
  <si>
    <t>Roberto Bautista Agut</t>
  </si>
  <si>
    <t>Tim Smyczek</t>
  </si>
  <si>
    <t>Nick Kyrgios</t>
  </si>
  <si>
    <t>Benjamin Becker</t>
  </si>
  <si>
    <t>Benoit Paire</t>
  </si>
  <si>
    <t>Frank Dancevic</t>
  </si>
  <si>
    <t>Bradley Klahn</t>
  </si>
  <si>
    <t>Grigor Dimitrov</t>
  </si>
  <si>
    <t>Jimmy Wang</t>
  </si>
  <si>
    <t>Yen-Hsun Lu</t>
  </si>
  <si>
    <t>Peter Gojowczyk</t>
  </si>
  <si>
    <t>Victor Hanescu</t>
  </si>
  <si>
    <t>Milos Raonic</t>
  </si>
  <si>
    <t>Daniel Gimeno-Traver</t>
  </si>
  <si>
    <t>Marinko Matosevic</t>
  </si>
  <si>
    <t>Kei Nishikori</t>
  </si>
  <si>
    <t>Dusan Lajovic</t>
  </si>
  <si>
    <t>Lucas Pouille</t>
  </si>
  <si>
    <t>Robin Haase</t>
  </si>
  <si>
    <t>Donald Young</t>
  </si>
  <si>
    <t>Andreas Seppi</t>
  </si>
  <si>
    <t>Lleyton Hewitt</t>
  </si>
  <si>
    <t>Ryan Harrison</t>
  </si>
  <si>
    <t>Gael Monfils</t>
  </si>
  <si>
    <t>Tobias Kamke</t>
  </si>
  <si>
    <t>Jack Sock</t>
  </si>
  <si>
    <t>Thanasi Kokkinakis</t>
  </si>
  <si>
    <t>Igor Sijsling</t>
  </si>
  <si>
    <t>Rafael Nadal</t>
  </si>
  <si>
    <t>Bernard Tomic</t>
  </si>
  <si>
    <t>Totale</t>
  </si>
  <si>
    <t>Num.Max Ace</t>
  </si>
  <si>
    <t>Num.Min Ace</t>
  </si>
  <si>
    <t>Giocatori</t>
  </si>
  <si>
    <t>Partite</t>
  </si>
  <si>
    <t>N.Totale di Aces</t>
  </si>
  <si>
    <t>Aces Totali - Media a partita</t>
  </si>
  <si>
    <t>ottengo range di 3:</t>
  </si>
  <si>
    <t>Basso</t>
  </si>
  <si>
    <t>Medio</t>
  </si>
  <si>
    <t>Alto</t>
  </si>
  <si>
    <t>0-14</t>
  </si>
  <si>
    <t>15-25</t>
  </si>
  <si>
    <t>26-41</t>
  </si>
  <si>
    <t>Player</t>
  </si>
  <si>
    <t>Aces</t>
  </si>
  <si>
    <t>Vittoria</t>
  </si>
  <si>
    <t>No</t>
  </si>
  <si>
    <t>Si</t>
  </si>
  <si>
    <t>Giocatore</t>
  </si>
  <si>
    <t>Aces (discretizzati)</t>
  </si>
  <si>
    <t>Vittoria=SI</t>
  </si>
  <si>
    <t>Vittoria=No</t>
  </si>
  <si>
    <t>%</t>
  </si>
  <si>
    <t>Osservati</t>
  </si>
  <si>
    <t>% Vittorie/Sconfitte</t>
  </si>
  <si>
    <t>Gradi = 2</t>
  </si>
  <si>
    <t>χ²</t>
  </si>
  <si>
    <t>Categoria</t>
  </si>
  <si>
    <t>Contributo a χ²</t>
  </si>
  <si>
    <t>Significato</t>
  </si>
  <si>
    <t>Basso / Sì</t>
  </si>
  <si>
    <t>Meno vittorie del previsto</t>
  </si>
  <si>
    <t>Basso / No</t>
  </si>
  <si>
    <t>Più sconfitte del previsto</t>
  </si>
  <si>
    <t>Medio / Sì</t>
  </si>
  <si>
    <t>Più vittorie del previsto</t>
  </si>
  <si>
    <t>Medio / No</t>
  </si>
  <si>
    <t>Meno sconfitte del previsto</t>
  </si>
  <si>
    <t>Alto / Sì</t>
  </si>
  <si>
    <t>Molto vicino all'atteso</t>
  </si>
  <si>
    <t>Alto / No</t>
  </si>
  <si>
    <t>Anche questo vicino all'atteso</t>
  </si>
  <si>
    <t>FirstServe</t>
  </si>
  <si>
    <t>FirstServer</t>
  </si>
  <si>
    <t>Media FirstServe %</t>
  </si>
  <si>
    <t>Basso [0-14]</t>
  </si>
  <si>
    <t>Medio [15-25]</t>
  </si>
  <si>
    <t>Alto [26-41]</t>
  </si>
  <si>
    <t>Basso [0-54]</t>
  </si>
  <si>
    <t>Medio [55-64]</t>
  </si>
  <si>
    <t>Alto [65-100]</t>
  </si>
  <si>
    <t>Aces → Vittoria</t>
  </si>
  <si>
    <t>FirstServe% → Vittoria</t>
  </si>
  <si>
    <t>FirstServe% → Aces</t>
  </si>
  <si>
    <t>Osservato</t>
  </si>
  <si>
    <r>
      <t xml:space="preserve">Le differenze tra osservato e atteso </t>
    </r>
    <r>
      <rPr>
        <b/>
        <sz val="11"/>
        <color theme="1"/>
        <rFont val="Calibri"/>
        <family val="2"/>
        <scheme val="minor"/>
      </rPr>
      <t>non sono abbastanza grandi</t>
    </r>
    <r>
      <rPr>
        <sz val="11"/>
        <color theme="1"/>
        <rFont val="Calibri"/>
        <family val="2"/>
        <scheme val="minor"/>
      </rPr>
      <t xml:space="preserve"> da essere statisticamente significative</t>
    </r>
  </si>
  <si>
    <r>
      <t xml:space="preserve">Mostrano </t>
    </r>
    <r>
      <rPr>
        <b/>
        <sz val="11"/>
        <color theme="1"/>
        <rFont val="Calibri"/>
        <family val="2"/>
        <scheme val="minor"/>
      </rPr>
      <t>un leggero aumento della probabilità di vittoria</t>
    </r>
    <r>
      <rPr>
        <sz val="11"/>
        <color theme="1"/>
        <rFont val="Calibri"/>
        <family val="2"/>
        <scheme val="minor"/>
      </rPr>
      <t xml:space="preserve"> con l'aumentare di FirstServe%</t>
    </r>
  </si>
  <si>
    <r>
      <t xml:space="preserve">Non è </t>
    </r>
    <r>
      <rPr>
        <b/>
        <sz val="11"/>
        <color theme="1"/>
        <rFont val="Calibri"/>
        <family val="2"/>
        <scheme val="minor"/>
      </rPr>
      <t>forte a livello statistico</t>
    </r>
  </si>
  <si>
    <t>FS\Aces</t>
  </si>
  <si>
    <t>Gradi=4</t>
  </si>
  <si>
    <t>non essendoci relazione statistica ne con aces ne con vittoria non creo arco.</t>
  </si>
  <si>
    <t>χ² = 84.16</t>
  </si>
  <si>
    <t>ServeWon</t>
  </si>
  <si>
    <t>ServeWon → Vittoria</t>
  </si>
  <si>
    <t>Max</t>
  </si>
  <si>
    <t>Min</t>
  </si>
  <si>
    <t>Basso [0-56]</t>
  </si>
  <si>
    <t>Medio [57-115]</t>
  </si>
  <si>
    <t>Alto [116-171]</t>
  </si>
  <si>
    <t>Gradi=2</t>
  </si>
  <si>
    <t>"Chi fa più ace ha maggiori probabilità di vincere"</t>
  </si>
  <si>
    <t>"Chi ha un % di first serve più alto vince più partite"</t>
  </si>
  <si>
    <t>"Chi fa più vincenti al servizio ha più probabilità di vincere"</t>
  </si>
  <si>
    <t>Ip Teoriche:</t>
  </si>
  <si>
    <t>BreakPointCreati</t>
  </si>
  <si>
    <t>BreakPointWon</t>
  </si>
  <si>
    <t>BreakPointCreated → Vittoria</t>
  </si>
  <si>
    <t>Basso [0-3]</t>
  </si>
  <si>
    <t>Medio [4-7]</t>
  </si>
  <si>
    <t>Alto [8-11]</t>
  </si>
  <si>
    <t>"Chi crea più break point ha più probabilità di vincere"</t>
  </si>
  <si>
    <t>"Chi vince più break point ha più probabilità di vincere"</t>
  </si>
  <si>
    <t>BreakPointCreated → BreakPointWon</t>
  </si>
  <si>
    <t>BPC\BPW</t>
  </si>
  <si>
    <t>Basso [0-9]</t>
  </si>
  <si>
    <t>Medio [10-17]</t>
  </si>
  <si>
    <t>Alto [18-28]</t>
  </si>
  <si>
    <t>χ² = 103.21</t>
  </si>
  <si>
    <t>&gt; 9.49</t>
  </si>
  <si>
    <t>Rifiutiamo indipendenza</t>
  </si>
  <si>
    <t>Relazione confermata</t>
  </si>
  <si>
    <t>Le frequenze osservate e quelle attese sono molto simili</t>
  </si>
  <si>
    <t>Le differenze rilevate non hanno valenza statistica</t>
  </si>
  <si>
    <r>
      <t xml:space="preserve">Non c’è </t>
    </r>
    <r>
      <rPr>
        <b/>
        <sz val="11"/>
        <color theme="1"/>
        <rFont val="Calibri"/>
        <family val="2"/>
        <scheme val="minor"/>
      </rPr>
      <t>una relazione statisticamente significativa</t>
    </r>
    <r>
      <rPr>
        <sz val="11"/>
        <color theme="1"/>
        <rFont val="Calibri"/>
        <family val="2"/>
        <scheme val="minor"/>
      </rPr>
      <t xml:space="preserve"> tra </t>
    </r>
    <r>
      <rPr>
        <sz val="10"/>
        <color theme="1"/>
        <rFont val="Arial Unicode MS"/>
      </rPr>
      <t>FirstServe%</t>
    </r>
    <r>
      <rPr>
        <sz val="11"/>
        <color theme="1"/>
        <rFont val="Calibri"/>
        <family val="2"/>
        <scheme val="minor"/>
      </rPr>
      <t xml:space="preserve"> e </t>
    </r>
    <r>
      <rPr>
        <sz val="10"/>
        <color theme="1"/>
        <rFont val="Arial Unicode MS"/>
      </rPr>
      <t>Aces</t>
    </r>
    <r>
      <rPr>
        <sz val="11"/>
        <color theme="1"/>
        <rFont val="Calibri"/>
        <family val="2"/>
        <scheme val="minor"/>
      </rPr>
      <t xml:space="preserve"> nel tuo dataset</t>
    </r>
  </si>
  <si>
    <r>
      <t xml:space="preserve">Il test </t>
    </r>
    <r>
      <rPr>
        <b/>
        <sz val="11"/>
        <color theme="1"/>
        <rFont val="Calibri"/>
        <family val="2"/>
        <scheme val="minor"/>
      </rPr>
      <t>non conferma pienamente la tesi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"chi fa più ace vince di più"</t>
    </r>
    <r>
      <rPr>
        <sz val="11"/>
        <color theme="1"/>
        <rFont val="Calibri"/>
        <family val="2"/>
        <scheme val="minor"/>
      </rPr>
      <t>,</t>
    </r>
  </si>
  <si>
    <r>
      <t xml:space="preserve">ma </t>
    </r>
    <r>
      <rPr>
        <b/>
        <sz val="11"/>
        <color theme="1"/>
        <rFont val="Calibri"/>
        <family val="2"/>
        <scheme val="minor"/>
      </rPr>
      <t>esiste una relazione significativa</t>
    </r>
    <r>
      <rPr>
        <sz val="11"/>
        <color theme="1"/>
        <rFont val="Calibri"/>
        <family val="2"/>
        <scheme val="minor"/>
      </rPr>
      <t xml:space="preserve"> tra il numero di ace e la probabilità di vittoria</t>
    </r>
  </si>
  <si>
    <r>
      <t xml:space="preserve">C’è </t>
    </r>
    <r>
      <rPr>
        <b/>
        <sz val="11"/>
        <color theme="1"/>
        <rFont val="Calibri"/>
        <family val="2"/>
        <scheme val="minor"/>
      </rPr>
      <t>una relazione statisticamente significativa</t>
    </r>
    <r>
      <rPr>
        <sz val="11"/>
        <color theme="1"/>
        <rFont val="Calibri"/>
        <family val="2"/>
        <scheme val="minor"/>
      </rPr>
      <t xml:space="preserve"> tra </t>
    </r>
    <r>
      <rPr>
        <b/>
        <sz val="11"/>
        <color theme="1"/>
        <rFont val="Calibri"/>
        <family val="2"/>
        <scheme val="minor"/>
      </rPr>
      <t>numero di ace</t>
    </r>
    <r>
      <rPr>
        <sz val="11"/>
        <color theme="1"/>
        <rFont val="Calibri"/>
        <family val="2"/>
        <scheme val="minor"/>
      </rPr>
      <t xml:space="preserve"> e </t>
    </r>
    <r>
      <rPr>
        <b/>
        <sz val="11"/>
        <color theme="1"/>
        <rFont val="Calibri"/>
        <family val="2"/>
        <scheme val="minor"/>
      </rPr>
      <t>esito della partita</t>
    </r>
  </si>
  <si>
    <t>Relazione forte e statisticamente significativa</t>
  </si>
  <si>
    <t>includonella rete</t>
  </si>
  <si>
    <t>Conferma ipotesi iniziale: “più ace → più probabilità di vincere”</t>
  </si>
  <si>
    <t>Non significativa</t>
  </si>
  <si>
    <t>Nessuna evidenza di correlazione</t>
  </si>
  <si>
    <t>Ancora meno significativa</t>
  </si>
  <si>
    <t>Nessuna relazione nemmeno indiretta</t>
  </si>
  <si>
    <t>Il test del chi-quadro lo conferma con grande evidenza</t>
  </si>
  <si>
    <r>
      <t xml:space="preserve">✔️ </t>
    </r>
    <r>
      <rPr>
        <b/>
        <sz val="11"/>
        <color theme="1"/>
        <rFont val="Calibri"/>
        <family val="2"/>
        <scheme val="minor"/>
      </rPr>
      <t>Chi crea più break point tende a vincerne di più</t>
    </r>
  </si>
  <si>
    <r>
      <t xml:space="preserve">✔️ Relazione </t>
    </r>
    <r>
      <rPr>
        <b/>
        <sz val="11"/>
        <color theme="1"/>
        <rFont val="Calibri"/>
        <family val="2"/>
        <scheme val="minor"/>
      </rPr>
      <t>forte e significativa</t>
    </r>
  </si>
  <si>
    <r>
      <t xml:space="preserve">✔️ Il tuo arco </t>
    </r>
    <r>
      <rPr>
        <sz val="10"/>
        <color theme="1"/>
        <rFont val="Arial Unicode MS"/>
        <family val="2"/>
      </rPr>
      <t>BreakPointCreated → BreakPointWon</t>
    </r>
    <r>
      <rPr>
        <sz val="11"/>
        <color theme="1"/>
        <rFont val="Calibri"/>
        <family val="2"/>
        <scheme val="minor"/>
      </rPr>
      <t xml:space="preserve"> è </t>
    </r>
    <r>
      <rPr>
        <b/>
        <sz val="11"/>
        <color theme="1"/>
        <rFont val="Calibri"/>
        <family val="2"/>
        <scheme val="minor"/>
      </rPr>
      <t>giustificato pienamente</t>
    </r>
    <r>
      <rPr>
        <sz val="11"/>
        <color theme="1"/>
        <rFont val="Calibri"/>
        <family val="2"/>
        <scheme val="minor"/>
      </rPr>
      <t xml:space="preserve"> nella rete bayesiana</t>
    </r>
  </si>
  <si>
    <t>Chi crea più break point tende a vincerne di più</t>
  </si>
  <si>
    <t>BreakPointWon → Vittoria</t>
  </si>
  <si>
    <r>
      <t xml:space="preserve"> </t>
    </r>
    <r>
      <rPr>
        <b/>
        <sz val="11"/>
        <color theme="1"/>
        <rFont val="Calibri"/>
        <family val="2"/>
        <scheme val="minor"/>
      </rPr>
      <t>χ² = 45.99 &gt; 5.99</t>
    </r>
    <r>
      <rPr>
        <sz val="11"/>
        <color theme="1"/>
        <rFont val="Calibri"/>
        <family val="2"/>
        <scheme val="minor"/>
      </rPr>
      <t xml:space="preserve"> → Rifiutiamo l’ipotesi di indipendenza</t>
    </r>
  </si>
  <si>
    <r>
      <rPr>
        <b/>
        <sz val="11"/>
        <color theme="1"/>
        <rFont val="Calibri"/>
        <family val="2"/>
        <scheme val="minor"/>
      </rPr>
      <t xml:space="preserve">Confermata la relazione tra </t>
    </r>
    <r>
      <rPr>
        <b/>
        <sz val="10"/>
        <color theme="1"/>
        <rFont val="Arial Unicode MS"/>
        <family val="2"/>
      </rPr>
      <t>BreakPointWon</t>
    </r>
    <r>
      <rPr>
        <b/>
        <sz val="11"/>
        <color theme="1"/>
        <rFont val="Calibri"/>
        <family val="2"/>
        <scheme val="minor"/>
      </rPr>
      <t xml:space="preserve"> e </t>
    </r>
    <r>
      <rPr>
        <b/>
        <sz val="10"/>
        <color theme="1"/>
        <rFont val="Arial Unicode MS"/>
        <family val="2"/>
      </rPr>
      <t>Vittoria</t>
    </r>
  </si>
  <si>
    <t>test valori attesi - modello teorico neutro</t>
  </si>
  <si>
    <t xml:space="preserve">   Vittoria</t>
  </si>
  <si>
    <t>BreakPointCreated</t>
  </si>
  <si>
    <t>▲</t>
  </si>
  <si>
    <t>▼</t>
  </si>
  <si>
    <t>Riepilogo:</t>
  </si>
  <si>
    <t>Aces (Basso/Medio/Alto)</t>
  </si>
  <si>
    <t>BreakPointVinti</t>
  </si>
  <si>
    <t>BreakPointCreati → Vittoria</t>
  </si>
  <si>
    <t>BreakPointCreati → BreakPointVinti</t>
  </si>
  <si>
    <t>BreakPointVinti → Vittoria</t>
  </si>
  <si>
    <t>Discretizzazione delle variabili</t>
  </si>
  <si>
    <t>escluso dalla rete %FirstServer e Punti al servizio perché irrilevanti statisticamente</t>
  </si>
  <si>
    <t>Tabelle osservate e attese</t>
  </si>
  <si>
    <t>Costruzione della rete bayesiana con gli archi validi rimanenti</t>
  </si>
  <si>
    <r>
      <t>χ² = 3.96</t>
    </r>
    <r>
      <rPr>
        <sz val="11"/>
        <color theme="1"/>
        <rFont val="Book Antiqua"/>
        <family val="1"/>
      </rPr>
      <t xml:space="preserve"> (con 2 gradi di libertà)</t>
    </r>
  </si>
  <si>
    <r>
      <t>χ² = 1.80</t>
    </r>
    <r>
      <rPr>
        <sz val="11"/>
        <color theme="1"/>
        <rFont val="Book Antiqua"/>
        <family val="1"/>
      </rPr>
      <t xml:space="preserve"> (con 4 gradi di libertà)</t>
    </r>
  </si>
  <si>
    <r>
      <t xml:space="preserve">Esiste una </t>
    </r>
    <r>
      <rPr>
        <b/>
        <sz val="11"/>
        <color theme="1"/>
        <rFont val="Book Antiqua"/>
        <family val="1"/>
      </rPr>
      <t>relazione fortissima e statisticamente significativa</t>
    </r>
    <r>
      <rPr>
        <sz val="11"/>
        <color theme="1"/>
        <rFont val="Book Antiqua"/>
        <family val="1"/>
      </rPr>
      <t xml:space="preserve"> tra il numero di break point creati e la probabilità di vittoria.</t>
    </r>
  </si>
  <si>
    <r>
      <t xml:space="preserve">Relazione </t>
    </r>
    <r>
      <rPr>
        <b/>
        <sz val="11"/>
        <color theme="1"/>
        <rFont val="Book Antiqua"/>
        <family val="1"/>
      </rPr>
      <t>forte e significativa</t>
    </r>
  </si>
  <si>
    <r>
      <t xml:space="preserve">arco </t>
    </r>
    <r>
      <rPr>
        <sz val="10"/>
        <color theme="1"/>
        <rFont val="Book Antiqua"/>
        <family val="1"/>
      </rPr>
      <t>BreakPointCreated → BreakPointWon</t>
    </r>
    <r>
      <rPr>
        <sz val="11"/>
        <color theme="1"/>
        <rFont val="Book Antiqua"/>
        <family val="1"/>
      </rPr>
      <t xml:space="preserve"> è </t>
    </r>
    <r>
      <rPr>
        <b/>
        <sz val="11"/>
        <color theme="1"/>
        <rFont val="Book Antiqua"/>
        <family val="1"/>
      </rPr>
      <t>giustificato pienamente</t>
    </r>
    <r>
      <rPr>
        <sz val="11"/>
        <color theme="1"/>
        <rFont val="Book Antiqua"/>
        <family val="1"/>
      </rPr>
      <t xml:space="preserve"> nella rete bayesiana</t>
    </r>
  </si>
  <si>
    <r>
      <t xml:space="preserve">ricostruito il dataset per </t>
    </r>
    <r>
      <rPr>
        <b/>
        <sz val="11"/>
        <color theme="1"/>
        <rFont val="Book Antiqua"/>
        <family val="1"/>
      </rPr>
      <t>giocatore singolo per partita</t>
    </r>
  </si>
  <si>
    <r>
      <t xml:space="preserve">creato le </t>
    </r>
    <r>
      <rPr>
        <b/>
        <sz val="11"/>
        <color theme="1"/>
        <rFont val="Book Antiqua"/>
        <family val="1"/>
      </rPr>
      <t>tabelle di contingenza</t>
    </r>
  </si>
  <si>
    <r>
      <t xml:space="preserve">calcolato i </t>
    </r>
    <r>
      <rPr>
        <b/>
        <sz val="11"/>
        <color theme="1"/>
        <rFont val="Book Antiqua"/>
        <family val="1"/>
      </rPr>
      <t>valori attesi + chi-quadro</t>
    </r>
  </si>
  <si>
    <r>
      <t xml:space="preserve">verificato </t>
    </r>
    <r>
      <rPr>
        <b/>
        <sz val="11"/>
        <color theme="1"/>
        <rFont val="Book Antiqua"/>
        <family val="1"/>
      </rPr>
      <t>relazioni statisticamente significative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</si>
</sst>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_-* #,##0\ _€_-;\-* #,##0\ _€_-;_-* &quot;-&quot;??\ _€_-;_-@_-"/>
    <numFmt numFmtId="165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Arial Unicode MS"/>
    </font>
    <font>
      <sz val="10"/>
      <color theme="1"/>
      <name val="Arial Unicode MS"/>
      <family val="2"/>
    </font>
    <font>
      <b/>
      <sz val="10"/>
      <color theme="1"/>
      <name val="Arial Unicode MS"/>
      <family val="2"/>
    </font>
    <font>
      <b/>
      <sz val="10"/>
      <color theme="1"/>
      <name val="Book Antiqua"/>
      <family val="1"/>
    </font>
    <font>
      <sz val="11"/>
      <color theme="1"/>
      <name val="Book Antiqua"/>
      <family val="1"/>
    </font>
    <font>
      <b/>
      <sz val="11"/>
      <color theme="1"/>
      <name val="Book Antiqua"/>
      <family val="1"/>
    </font>
    <font>
      <sz val="10"/>
      <color theme="1"/>
      <name val="Book Antiqua"/>
      <family val="1"/>
    </font>
    <font>
      <b/>
      <sz val="14"/>
      <color theme="1"/>
      <name val="Book Antiqua"/>
      <family val="1"/>
    </font>
    <font>
      <b/>
      <sz val="13.5"/>
      <color theme="1"/>
      <name val="Book Antiqua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9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6" fillId="0" borderId="0" xfId="0" applyFont="1" applyAlignment="1">
      <alignment horizontal="right"/>
    </xf>
    <xf numFmtId="43" fontId="0" fillId="0" borderId="0" xfId="2" applyFont="1"/>
    <xf numFmtId="164" fontId="0" fillId="0" borderId="0" xfId="2" applyNumberFormat="1" applyFont="1"/>
    <xf numFmtId="1" fontId="0" fillId="0" borderId="0" xfId="0" applyNumberFormat="1" applyAlignment="1">
      <alignment horizontal="center" vertical="center"/>
    </xf>
    <xf numFmtId="0" fontId="2" fillId="0" borderId="0" xfId="0" applyFont="1"/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9" xfId="0" applyFont="1" applyBorder="1" applyAlignment="1">
      <alignment horizontal="right"/>
    </xf>
    <xf numFmtId="0" fontId="5" fillId="0" borderId="10" xfId="0" applyFont="1" applyBorder="1" applyAlignment="1">
      <alignment horizontal="right"/>
    </xf>
    <xf numFmtId="0" fontId="0" fillId="0" borderId="12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0" borderId="15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18" xfId="0" applyFont="1" applyBorder="1" applyAlignment="1">
      <alignment horizontal="right"/>
    </xf>
    <xf numFmtId="0" fontId="5" fillId="0" borderId="19" xfId="0" applyFont="1" applyBorder="1" applyAlignment="1">
      <alignment horizontal="right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5" fillId="0" borderId="22" xfId="0" applyFont="1" applyBorder="1" applyAlignment="1">
      <alignment horizontal="right"/>
    </xf>
    <xf numFmtId="0" fontId="5" fillId="0" borderId="11" xfId="0" applyFont="1" applyBorder="1" applyAlignment="1">
      <alignment horizontal="right"/>
    </xf>
    <xf numFmtId="9" fontId="0" fillId="0" borderId="0" xfId="1" applyFont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43" fontId="0" fillId="0" borderId="26" xfId="2" applyFont="1" applyBorder="1"/>
    <xf numFmtId="43" fontId="0" fillId="0" borderId="29" xfId="2" applyFont="1" applyBorder="1"/>
    <xf numFmtId="43" fontId="0" fillId="0" borderId="30" xfId="2" applyFont="1" applyBorder="1"/>
    <xf numFmtId="43" fontId="0" fillId="0" borderId="31" xfId="2" applyFont="1" applyBorder="1"/>
    <xf numFmtId="43" fontId="0" fillId="0" borderId="32" xfId="2" applyFont="1" applyBorder="1"/>
    <xf numFmtId="43" fontId="0" fillId="0" borderId="33" xfId="2" applyFont="1" applyBorder="1"/>
    <xf numFmtId="43" fontId="0" fillId="0" borderId="0" xfId="0" applyNumberFormat="1"/>
    <xf numFmtId="9" fontId="0" fillId="0" borderId="7" xfId="1" applyFont="1" applyBorder="1" applyAlignment="1">
      <alignment horizontal="center" vertical="center"/>
    </xf>
    <xf numFmtId="9" fontId="0" fillId="0" borderId="13" xfId="1" applyFont="1" applyBorder="1" applyAlignment="1">
      <alignment horizontal="center" vertical="center"/>
    </xf>
    <xf numFmtId="9" fontId="2" fillId="0" borderId="9" xfId="1" applyFont="1" applyBorder="1" applyAlignment="1">
      <alignment horizontal="center" vertical="center"/>
    </xf>
    <xf numFmtId="9" fontId="2" fillId="0" borderId="10" xfId="1" applyFont="1" applyBorder="1" applyAlignment="1">
      <alignment horizontal="center" vertical="center"/>
    </xf>
    <xf numFmtId="9" fontId="2" fillId="0" borderId="0" xfId="1" applyFont="1" applyBorder="1" applyAlignment="1">
      <alignment horizontal="center" vertical="center"/>
    </xf>
    <xf numFmtId="9" fontId="0" fillId="0" borderId="24" xfId="1" applyFont="1" applyBorder="1" applyAlignment="1">
      <alignment horizontal="center" vertical="center"/>
    </xf>
    <xf numFmtId="9" fontId="0" fillId="0" borderId="23" xfId="1" applyFont="1" applyBorder="1" applyAlignment="1">
      <alignment horizontal="center" vertical="center"/>
    </xf>
    <xf numFmtId="9" fontId="2" fillId="0" borderId="11" xfId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35" xfId="0" applyBorder="1"/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right"/>
    </xf>
    <xf numFmtId="0" fontId="0" fillId="0" borderId="35" xfId="0" applyBorder="1" applyAlignment="1">
      <alignment horizontal="center" vertical="center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vertical="center"/>
    </xf>
    <xf numFmtId="0" fontId="0" fillId="0" borderId="36" xfId="0" applyBorder="1"/>
    <xf numFmtId="0" fontId="5" fillId="0" borderId="34" xfId="0" applyFont="1" applyBorder="1" applyAlignment="1">
      <alignment horizontal="right"/>
    </xf>
    <xf numFmtId="0" fontId="5" fillId="0" borderId="27" xfId="0" applyFont="1" applyBorder="1" applyAlignment="1">
      <alignment horizontal="right"/>
    </xf>
    <xf numFmtId="0" fontId="0" fillId="0" borderId="37" xfId="0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0" borderId="39" xfId="0" applyFont="1" applyBorder="1"/>
    <xf numFmtId="0" fontId="2" fillId="0" borderId="27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164" fontId="0" fillId="0" borderId="0" xfId="2" applyNumberFormat="1" applyFont="1" applyAlignment="1">
      <alignment horizontal="center"/>
    </xf>
    <xf numFmtId="164" fontId="0" fillId="0" borderId="0" xfId="2" applyNumberFormat="1" applyFont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5" fillId="0" borderId="28" xfId="0" applyFont="1" applyBorder="1" applyAlignment="1">
      <alignment horizontal="right"/>
    </xf>
    <xf numFmtId="2" fontId="0" fillId="0" borderId="24" xfId="0" applyNumberFormat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2" fillId="0" borderId="0" xfId="0" applyFont="1" applyAlignment="1"/>
    <xf numFmtId="0" fontId="0" fillId="0" borderId="0" xfId="0" applyNumberFormat="1"/>
    <xf numFmtId="0" fontId="3" fillId="0" borderId="0" xfId="0" applyFont="1" applyAlignment="1">
      <alignment horizontal="right"/>
    </xf>
    <xf numFmtId="165" fontId="0" fillId="0" borderId="7" xfId="0" applyNumberFormat="1" applyBorder="1" applyAlignment="1">
      <alignment horizontal="center" vertical="center"/>
    </xf>
    <xf numFmtId="165" fontId="0" fillId="0" borderId="24" xfId="0" applyNumberFormat="1" applyBorder="1" applyAlignment="1">
      <alignment horizontal="center" vertical="center"/>
    </xf>
    <xf numFmtId="2" fontId="0" fillId="0" borderId="0" xfId="2" applyNumberFormat="1" applyFont="1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2" fillId="0" borderId="39" xfId="0" applyNumberFormat="1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2" fillId="0" borderId="0" xfId="0" applyFont="1" applyAlignment="1">
      <alignment horizontal="center"/>
    </xf>
    <xf numFmtId="0" fontId="0" fillId="0" borderId="25" xfId="0" applyBorder="1" applyAlignment="1">
      <alignment horizontal="center"/>
    </xf>
    <xf numFmtId="0" fontId="5" fillId="0" borderId="25" xfId="0" applyFont="1" applyBorder="1" applyAlignment="1">
      <alignment horizontal="center"/>
    </xf>
    <xf numFmtId="2" fontId="2" fillId="0" borderId="34" xfId="0" applyNumberFormat="1" applyFont="1" applyBorder="1" applyAlignment="1">
      <alignment horizontal="center" vertical="center"/>
    </xf>
    <xf numFmtId="2" fontId="2" fillId="0" borderId="27" xfId="0" applyNumberFormat="1" applyFont="1" applyBorder="1" applyAlignment="1">
      <alignment horizontal="center" vertical="center"/>
    </xf>
    <xf numFmtId="2" fontId="2" fillId="0" borderId="28" xfId="0" applyNumberFormat="1" applyFont="1" applyBorder="1" applyAlignment="1">
      <alignment horizontal="center" vertical="center"/>
    </xf>
    <xf numFmtId="2" fontId="2" fillId="3" borderId="34" xfId="0" applyNumberFormat="1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3" fontId="2" fillId="3" borderId="34" xfId="1" applyNumberFormat="1" applyFont="1" applyFill="1" applyBorder="1" applyAlignment="1">
      <alignment horizontal="center" vertical="center"/>
    </xf>
    <xf numFmtId="43" fontId="2" fillId="3" borderId="27" xfId="1" applyNumberFormat="1" applyFont="1" applyFill="1" applyBorder="1" applyAlignment="1">
      <alignment horizontal="center" vertical="center"/>
    </xf>
    <xf numFmtId="43" fontId="2" fillId="3" borderId="28" xfId="1" applyNumberFormat="1" applyFont="1" applyFill="1" applyBorder="1" applyAlignment="1">
      <alignment horizontal="center" vertical="center"/>
    </xf>
    <xf numFmtId="43" fontId="3" fillId="2" borderId="34" xfId="1" applyNumberFormat="1" applyFont="1" applyFill="1" applyBorder="1" applyAlignment="1">
      <alignment horizontal="center" vertical="center"/>
    </xf>
    <xf numFmtId="43" fontId="3" fillId="2" borderId="27" xfId="1" applyNumberFormat="1" applyFont="1" applyFill="1" applyBorder="1" applyAlignment="1">
      <alignment horizontal="center" vertical="center"/>
    </xf>
    <xf numFmtId="43" fontId="3" fillId="2" borderId="28" xfId="1" applyNumberFormat="1" applyFont="1" applyFill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43" fontId="2" fillId="3" borderId="34" xfId="2" applyFont="1" applyFill="1" applyBorder="1" applyAlignment="1">
      <alignment horizontal="center" vertical="center"/>
    </xf>
    <xf numFmtId="43" fontId="2" fillId="3" borderId="27" xfId="2" applyFont="1" applyFill="1" applyBorder="1" applyAlignment="1">
      <alignment horizontal="center" vertical="center"/>
    </xf>
    <xf numFmtId="43" fontId="2" fillId="3" borderId="28" xfId="2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horizontal="left" vertical="center" indent="1"/>
    </xf>
    <xf numFmtId="0" fontId="12" fillId="0" borderId="0" xfId="0" applyFont="1" applyAlignment="1">
      <alignment horizontal="left" vertical="center" indent="1"/>
    </xf>
    <xf numFmtId="0" fontId="11" fillId="0" borderId="0" xfId="0" applyFont="1" applyAlignment="1">
      <alignment horizontal="center"/>
    </xf>
    <xf numFmtId="0" fontId="11" fillId="0" borderId="38" xfId="0" applyFont="1" applyBorder="1" applyAlignment="1">
      <alignment horizontal="center"/>
    </xf>
    <xf numFmtId="0" fontId="11" fillId="0" borderId="39" xfId="0" applyFont="1" applyBorder="1" applyAlignment="1">
      <alignment horizontal="center"/>
    </xf>
    <xf numFmtId="0" fontId="11" fillId="0" borderId="41" xfId="0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left"/>
    </xf>
    <xf numFmtId="0" fontId="14" fillId="0" borderId="0" xfId="0" applyFont="1"/>
    <xf numFmtId="0" fontId="15" fillId="0" borderId="0" xfId="0" applyFont="1" applyAlignment="1">
      <alignment vertical="center"/>
    </xf>
    <xf numFmtId="0" fontId="13" fillId="0" borderId="0" xfId="0" applyFont="1" applyAlignment="1">
      <alignment horizontal="left" vertical="center" indent="2"/>
    </xf>
    <xf numFmtId="0" fontId="11" fillId="0" borderId="0" xfId="0" applyFont="1" applyAlignment="1">
      <alignment horizontal="left" vertical="center" indent="2"/>
    </xf>
  </cellXfs>
  <cellStyles count="3">
    <cellStyle name="Migliaia" xfId="2" builtinId="3"/>
    <cellStyle name="Normale" xfId="0" builtinId="0"/>
    <cellStyle name="Percentuale" xfId="1" builtinId="5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</dxf>
    <dxf>
      <numFmt numFmtId="1" formatCode="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_-* #,##0\ _€_-;\-* #,##0\ _€_-;_-* &quot;-&quot;??\ _€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a1" displayName="Tabella1" ref="A1:AP128" totalsRowCount="1">
  <autoFilter ref="A1:AP127"/>
  <tableColumns count="42">
    <tableColumn id="1" name="Player1" totalsRowLabel="Totale" dataDxfId="19"/>
    <tableColumn id="2" name="Player2" dataDxfId="18"/>
    <tableColumn id="3" name="Round"/>
    <tableColumn id="4" name="Result"/>
    <tableColumn id="5" name="FNL1"/>
    <tableColumn id="6" name="FNL2"/>
    <tableColumn id="7" name="FSP.1"/>
    <tableColumn id="8" name="FSW.1"/>
    <tableColumn id="9" name="SSP.1"/>
    <tableColumn id="10" name="SSW.1"/>
    <tableColumn id="11" name="ACE.1" totalsRowFunction="max"/>
    <tableColumn id="12" name="DBF.1"/>
    <tableColumn id="13" name="WNR.1"/>
    <tableColumn id="14" name="UFE.1"/>
    <tableColumn id="15" name="BPC.1"/>
    <tableColumn id="16" name="BPW.1"/>
    <tableColumn id="17" name="NPA.1"/>
    <tableColumn id="18" name="NPW.1"/>
    <tableColumn id="19" name="TPW.1"/>
    <tableColumn id="20" name="ST1.1"/>
    <tableColumn id="21" name="ST2.1"/>
    <tableColumn id="22" name="ST3.1"/>
    <tableColumn id="23" name="ST4.1"/>
    <tableColumn id="24" name="ST5.1"/>
    <tableColumn id="25" name="FSP.2"/>
    <tableColumn id="26" name="FSW.2"/>
    <tableColumn id="27" name="SSP.2"/>
    <tableColumn id="28" name="SSW.2"/>
    <tableColumn id="29" name="ACE.2" totalsRowFunction="average"/>
    <tableColumn id="30" name="DBF.2"/>
    <tableColumn id="31" name="WNR.2"/>
    <tableColumn id="32" name="UFE.2"/>
    <tableColumn id="33" name="BPC.2"/>
    <tableColumn id="34" name="BPW.2"/>
    <tableColumn id="35" name="NPA.2"/>
    <tableColumn id="36" name="NPW.2"/>
    <tableColumn id="37" name="TPW.2"/>
    <tableColumn id="38" name="ST1.2"/>
    <tableColumn id="39" name="ST2.2"/>
    <tableColumn id="40" name="ST3.2"/>
    <tableColumn id="41" name="ST4.2"/>
    <tableColumn id="42" name="ST5.2" totalsRowFunction="c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ella4" displayName="Tabella4" ref="A1:G127" totalsRowShown="0">
  <autoFilter ref="A1:G127"/>
  <tableColumns count="7">
    <tableColumn id="1" name="Player">
      <calculatedColumnFormula>Tabella1[[#This Row],[Player1]]</calculatedColumnFormula>
    </tableColumn>
    <tableColumn id="2" name="Aces">
      <calculatedColumnFormula>Tabella1[[#This Row],[ACE.1]]</calculatedColumnFormula>
    </tableColumn>
    <tableColumn id="3" name="Vittoria">
      <calculatedColumnFormula>IF(Tabella1[[#This Row],[Result]]=0,"No","Si")</calculatedColumnFormula>
    </tableColumn>
    <tableColumn id="4" name="FirstServe" dataDxfId="17">
      <calculatedColumnFormula>Tabella1[[#This Row],[FSP.1]]</calculatedColumnFormula>
    </tableColumn>
    <tableColumn id="5" name="ServeWon" dataDxfId="16">
      <calculatedColumnFormula>Tabella1[[#This Row],[FSW.1]]+Tabella1[[#This Row],[SSW.1]]</calculatedColumnFormula>
    </tableColumn>
    <tableColumn id="6" name="BreakPointCreati" dataDxfId="15">
      <calculatedColumnFormula>Tabella1[[#This Row],[BPC.1]]</calculatedColumnFormula>
    </tableColumn>
    <tableColumn id="7" name="BreakPointWon" dataDxfId="14">
      <calculatedColumnFormula>Tabella1[[#This Row],[BPW.1]]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ella3" displayName="Tabella3" ref="A1:G127" totalsRowShown="0">
  <autoFilter ref="A1:G127"/>
  <tableColumns count="7">
    <tableColumn id="1" name="Player" dataDxfId="13">
      <calculatedColumnFormula>Tabella1[[#This Row],[Player2]]</calculatedColumnFormula>
    </tableColumn>
    <tableColumn id="2" name="Aces" dataDxfId="12" dataCellStyle="Migliaia">
      <calculatedColumnFormula>Tabella1[[#This Row],[ACE.2]]</calculatedColumnFormula>
    </tableColumn>
    <tableColumn id="3" name="Vittoria" dataDxfId="11">
      <calculatedColumnFormula>IF(Tabella1[[#This Row],[Result]]=1,"No","Si")</calculatedColumnFormula>
    </tableColumn>
    <tableColumn id="4" name="FirstServer" dataDxfId="10">
      <calculatedColumnFormula>Tabella1[[#This Row],[FSP.2]]</calculatedColumnFormula>
    </tableColumn>
    <tableColumn id="5" name="ServeWon" dataDxfId="9">
      <calculatedColumnFormula>Tabella1[[#This Row],[FSW.2]]+Tabella1[[#This Row],[SSW.2]]</calculatedColumnFormula>
    </tableColumn>
    <tableColumn id="6" name="BreakPointCreati" dataDxfId="8">
      <calculatedColumnFormula>Tabella1[[#This Row],[BPC.2]]</calculatedColumnFormula>
    </tableColumn>
    <tableColumn id="7" name="BreakPointWon" dataDxfId="7">
      <calculatedColumnFormula>Tabella1[[#This Row],[BPW.2]]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ella5" displayName="Tabella5" ref="A2:G255" totalsRowCount="1">
  <autoFilter ref="A2:G254"/>
  <sortState ref="A3:G254">
    <sortCondition ref="A2:A254"/>
  </sortState>
  <tableColumns count="7">
    <tableColumn id="1" name="Giocatore" totalsRowLabel="Totale"/>
    <tableColumn id="2" name="Aces" totalsRowFunction="sum" dataDxfId="6" totalsRowDxfId="5"/>
    <tableColumn id="3" name="Vittoria" totalsRowFunction="count"/>
    <tableColumn id="4" name="FirstServer" dataDxfId="4"/>
    <tableColumn id="5" name="ServeWon" totalsRowFunction="average" dataDxfId="3" totalsRowDxfId="2" dataCellStyle="Migliaia"/>
    <tableColumn id="6" name="BreakPointCreati" totalsRowFunction="average" dataDxfId="1" dataCellStyle="Migliaia"/>
    <tableColumn id="7" name="BreakPointWon" totalsRowFunction="average" dataDxfId="0" dataCellStyle="Migliai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D44" sqref="D44"/>
    </sheetView>
  </sheetViews>
  <sheetFormatPr defaultRowHeight="15" x14ac:dyDescent="0.25"/>
  <cols>
    <col min="1" max="1" width="9.140625" style="1"/>
    <col min="2" max="2" width="12.85546875" style="1" bestFit="1" customWidth="1"/>
    <col min="3" max="3" width="7.5703125" style="1" bestFit="1" customWidth="1"/>
    <col min="4" max="4" width="12" style="1" bestFit="1" customWidth="1"/>
    <col min="5" max="5" width="6.7109375" style="1" bestFit="1" customWidth="1"/>
    <col min="6" max="6" width="9.140625" style="1"/>
    <col min="7" max="7" width="10.7109375" style="1" bestFit="1" customWidth="1"/>
    <col min="8" max="8" width="2" style="1" bestFit="1" customWidth="1"/>
    <col min="9" max="9" width="10.7109375" style="1" bestFit="1" customWidth="1"/>
    <col min="10" max="10" width="2" style="1" bestFit="1" customWidth="1"/>
    <col min="11" max="11" width="10.7109375" style="1" bestFit="1" customWidth="1"/>
    <col min="12" max="12" width="2" style="1" bestFit="1" customWidth="1"/>
    <col min="13" max="13" width="10.7109375" style="1" bestFit="1" customWidth="1"/>
    <col min="14" max="14" width="2" style="1" bestFit="1" customWidth="1"/>
    <col min="15" max="16384" width="9.140625" style="1"/>
  </cols>
  <sheetData>
    <row r="1" spans="2:15" x14ac:dyDescent="0.25">
      <c r="B1" s="1" t="s">
        <v>11</v>
      </c>
      <c r="C1" s="1" t="s">
        <v>2</v>
      </c>
      <c r="D1" s="1" t="s">
        <v>3</v>
      </c>
      <c r="E1" s="10" t="s">
        <v>4</v>
      </c>
    </row>
    <row r="2" spans="2:15" x14ac:dyDescent="0.25">
      <c r="B2" s="3" t="s">
        <v>0</v>
      </c>
      <c r="C2" s="2">
        <v>52</v>
      </c>
      <c r="D2" s="2">
        <v>10</v>
      </c>
      <c r="E2" s="9">
        <f>SUM(C2:D2)</f>
        <v>62</v>
      </c>
    </row>
    <row r="3" spans="2:15" x14ac:dyDescent="0.25">
      <c r="B3" s="3" t="s">
        <v>1</v>
      </c>
      <c r="C3" s="2">
        <v>40</v>
      </c>
      <c r="D3" s="2">
        <v>21</v>
      </c>
      <c r="E3" s="9">
        <f>SUM(C3:D3)</f>
        <v>61</v>
      </c>
    </row>
    <row r="4" spans="2:15" x14ac:dyDescent="0.25">
      <c r="B4" s="7" t="s">
        <v>4</v>
      </c>
      <c r="C4" s="8">
        <f>SUM(C2:C3)</f>
        <v>92</v>
      </c>
      <c r="D4" s="8">
        <f>SUM(D2:D3)</f>
        <v>31</v>
      </c>
      <c r="E4" s="9">
        <f>SUM(E2:E3)</f>
        <v>123</v>
      </c>
      <c r="F4" s="9">
        <f>C4+D4</f>
        <v>123</v>
      </c>
    </row>
    <row r="6" spans="2:15" x14ac:dyDescent="0.25">
      <c r="B6" s="1" t="s">
        <v>5</v>
      </c>
      <c r="D6" s="5">
        <f>C4/E4</f>
        <v>0.74796747967479671</v>
      </c>
    </row>
    <row r="7" spans="2:15" x14ac:dyDescent="0.25">
      <c r="B7" s="1" t="s">
        <v>6</v>
      </c>
      <c r="D7" s="5">
        <f>D4/E4</f>
        <v>0.25203252032520324</v>
      </c>
    </row>
    <row r="8" spans="2:15" x14ac:dyDescent="0.25">
      <c r="D8" s="6">
        <f>SUM(D6:D7)</f>
        <v>1</v>
      </c>
    </row>
    <row r="10" spans="2:15" x14ac:dyDescent="0.25">
      <c r="B10" s="1" t="s">
        <v>12</v>
      </c>
      <c r="C10" s="1" t="s">
        <v>2</v>
      </c>
      <c r="D10" s="1" t="s">
        <v>3</v>
      </c>
      <c r="E10" s="10" t="s">
        <v>4</v>
      </c>
    </row>
    <row r="11" spans="2:15" x14ac:dyDescent="0.25">
      <c r="B11" s="3" t="s">
        <v>0</v>
      </c>
      <c r="C11" s="11">
        <f>$D$6*E2</f>
        <v>46.373983739837399</v>
      </c>
      <c r="D11" s="11">
        <f>$D$7*E2</f>
        <v>15.626016260162601</v>
      </c>
      <c r="E11" s="9">
        <f>SUM(C11:D11)</f>
        <v>62</v>
      </c>
    </row>
    <row r="12" spans="2:15" x14ac:dyDescent="0.25">
      <c r="B12" s="3" t="s">
        <v>1</v>
      </c>
      <c r="C12" s="11">
        <f>$D$6*E3</f>
        <v>45.626016260162601</v>
      </c>
      <c r="D12" s="11">
        <f>$D$7*E3</f>
        <v>15.373983739837398</v>
      </c>
      <c r="E12" s="9">
        <f>SUM(C12:D12)</f>
        <v>61</v>
      </c>
    </row>
    <row r="13" spans="2:15" x14ac:dyDescent="0.25">
      <c r="B13" s="7" t="s">
        <v>4</v>
      </c>
      <c r="C13" s="8">
        <f>SUM(C11:C12)</f>
        <v>92</v>
      </c>
      <c r="D13" s="8">
        <f>SUM(D11:D12)</f>
        <v>31</v>
      </c>
      <c r="E13" s="8">
        <f>SUM(E11:E12)</f>
        <v>123</v>
      </c>
      <c r="F13" s="9">
        <f>C13+D13</f>
        <v>123</v>
      </c>
    </row>
    <row r="16" spans="2:15" x14ac:dyDescent="0.25">
      <c r="B16" s="110" t="s">
        <v>10</v>
      </c>
      <c r="C16" s="108" t="s">
        <v>8</v>
      </c>
      <c r="D16" s="108"/>
      <c r="E16" s="108"/>
      <c r="G16" s="13" t="str">
        <f>"(52-46,37)2"</f>
        <v>(52-46,37)2</v>
      </c>
      <c r="H16" s="104" t="s">
        <v>13</v>
      </c>
      <c r="I16" s="13" t="str">
        <f>"(10-15,63)2"</f>
        <v>(10-15,63)2</v>
      </c>
      <c r="J16" s="104" t="s">
        <v>13</v>
      </c>
      <c r="K16" s="13" t="str">
        <f>"(40-45,63)2"</f>
        <v>(40-45,63)2</v>
      </c>
      <c r="L16" s="104" t="s">
        <v>13</v>
      </c>
      <c r="M16" s="13" t="str">
        <f>"(21-15,37)2"</f>
        <v>(21-15,37)2</v>
      </c>
      <c r="N16" s="104" t="s">
        <v>14</v>
      </c>
      <c r="O16" s="106">
        <v>5.46</v>
      </c>
    </row>
    <row r="17" spans="1:15" x14ac:dyDescent="0.25">
      <c r="B17" s="110"/>
      <c r="C17" s="109" t="s">
        <v>9</v>
      </c>
      <c r="D17" s="109"/>
      <c r="E17" s="109"/>
      <c r="G17" s="1">
        <v>46.37</v>
      </c>
      <c r="H17" s="105"/>
      <c r="I17" s="1">
        <v>15.63</v>
      </c>
      <c r="J17" s="105"/>
      <c r="K17" s="1">
        <v>45.63</v>
      </c>
      <c r="L17" s="105"/>
      <c r="M17" s="1">
        <v>15.37</v>
      </c>
      <c r="N17" s="105"/>
      <c r="O17" s="106"/>
    </row>
    <row r="20" spans="1:15" x14ac:dyDescent="0.25">
      <c r="A20" s="107" t="s">
        <v>7</v>
      </c>
      <c r="B20" s="107"/>
      <c r="C20" s="107"/>
      <c r="D20" s="12" t="s">
        <v>15</v>
      </c>
    </row>
    <row r="22" spans="1:15" x14ac:dyDescent="0.25">
      <c r="B22" s="105" t="s">
        <v>16</v>
      </c>
      <c r="C22" s="105"/>
      <c r="D22" s="105"/>
    </row>
    <row r="23" spans="1:15" x14ac:dyDescent="0.25">
      <c r="B23" s="1" t="s">
        <v>17</v>
      </c>
      <c r="C23" s="4">
        <v>0.05</v>
      </c>
      <c r="D23" s="4">
        <v>0.01</v>
      </c>
    </row>
    <row r="24" spans="1:15" x14ac:dyDescent="0.25">
      <c r="B24" s="1">
        <v>1</v>
      </c>
      <c r="C24" s="14">
        <v>3.8410000000000002</v>
      </c>
      <c r="D24" s="1">
        <v>6.6349999999999998</v>
      </c>
    </row>
    <row r="26" spans="1:15" x14ac:dyDescent="0.25">
      <c r="B26" s="12" t="s">
        <v>18</v>
      </c>
    </row>
  </sheetData>
  <mergeCells count="10">
    <mergeCell ref="L16:L17"/>
    <mergeCell ref="N16:N17"/>
    <mergeCell ref="O16:O17"/>
    <mergeCell ref="B22:D22"/>
    <mergeCell ref="A20:C20"/>
    <mergeCell ref="C16:E16"/>
    <mergeCell ref="C17:E17"/>
    <mergeCell ref="B16:B17"/>
    <mergeCell ref="H16:H17"/>
    <mergeCell ref="J16:J1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41"/>
  <sheetViews>
    <sheetView topLeftCell="C1" workbookViewId="0">
      <selection activeCell="B127" sqref="B127"/>
    </sheetView>
  </sheetViews>
  <sheetFormatPr defaultRowHeight="15" x14ac:dyDescent="0.25"/>
  <cols>
    <col min="1" max="1" width="26" bestFit="1" customWidth="1"/>
    <col min="2" max="2" width="22.42578125" bestFit="1" customWidth="1"/>
    <col min="3" max="3" width="9" bestFit="1" customWidth="1"/>
    <col min="4" max="4" width="8.7109375" customWidth="1"/>
    <col min="5" max="6" width="7.42578125" customWidth="1"/>
    <col min="7" max="7" width="7.85546875" customWidth="1"/>
    <col min="8" max="8" width="8.7109375" customWidth="1"/>
    <col min="9" max="9" width="7.85546875" customWidth="1"/>
    <col min="10" max="10" width="8.7109375" customWidth="1"/>
    <col min="11" max="12" width="8.140625" customWidth="1"/>
    <col min="13" max="13" width="9.28515625" customWidth="1"/>
    <col min="14" max="15" width="8.140625" customWidth="1"/>
    <col min="16" max="16" width="9" customWidth="1"/>
    <col min="17" max="17" width="8.5703125" customWidth="1"/>
    <col min="18" max="18" width="9.28515625" customWidth="1"/>
    <col min="19" max="19" width="8.85546875" customWidth="1"/>
    <col min="20" max="24" width="7.7109375" customWidth="1"/>
    <col min="25" max="25" width="7.85546875" customWidth="1"/>
    <col min="26" max="26" width="8.7109375" customWidth="1"/>
    <col min="27" max="27" width="7.85546875" customWidth="1"/>
    <col min="28" max="28" width="8.7109375" customWidth="1"/>
    <col min="29" max="30" width="8.140625" customWidth="1"/>
    <col min="31" max="31" width="9.28515625" customWidth="1"/>
    <col min="32" max="33" width="8.140625" customWidth="1"/>
    <col min="34" max="34" width="9" customWidth="1"/>
    <col min="35" max="35" width="8.5703125" customWidth="1"/>
    <col min="36" max="36" width="9.28515625" customWidth="1"/>
    <col min="37" max="37" width="8.85546875" customWidth="1"/>
    <col min="38" max="42" width="7.7109375" customWidth="1"/>
  </cols>
  <sheetData>
    <row r="1" spans="1:42" x14ac:dyDescent="0.25">
      <c r="A1" s="16" t="s">
        <v>19</v>
      </c>
      <c r="B1" s="16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  <c r="Y1" t="s">
        <v>43</v>
      </c>
      <c r="Z1" t="s">
        <v>44</v>
      </c>
      <c r="AA1" t="s">
        <v>45</v>
      </c>
      <c r="AB1" t="s">
        <v>46</v>
      </c>
      <c r="AC1" t="s">
        <v>47</v>
      </c>
      <c r="AD1" t="s">
        <v>48</v>
      </c>
      <c r="AE1" t="s">
        <v>49</v>
      </c>
      <c r="AF1" t="s">
        <v>50</v>
      </c>
      <c r="AG1" t="s">
        <v>51</v>
      </c>
      <c r="AH1" t="s">
        <v>52</v>
      </c>
      <c r="AI1" t="s">
        <v>53</v>
      </c>
      <c r="AJ1" t="s">
        <v>54</v>
      </c>
      <c r="AK1" t="s">
        <v>55</v>
      </c>
      <c r="AL1" t="s">
        <v>56</v>
      </c>
      <c r="AM1" t="s">
        <v>57</v>
      </c>
      <c r="AN1" t="s">
        <v>58</v>
      </c>
      <c r="AO1" t="s">
        <v>59</v>
      </c>
      <c r="AP1" t="s">
        <v>60</v>
      </c>
    </row>
    <row r="2" spans="1:42" x14ac:dyDescent="0.25">
      <c r="A2" s="16" t="s">
        <v>61</v>
      </c>
      <c r="B2" s="16" t="s">
        <v>62</v>
      </c>
      <c r="C2">
        <v>1</v>
      </c>
      <c r="D2">
        <v>0</v>
      </c>
      <c r="E2">
        <v>0</v>
      </c>
      <c r="F2">
        <v>3</v>
      </c>
      <c r="G2">
        <v>61</v>
      </c>
      <c r="H2">
        <v>35</v>
      </c>
      <c r="I2">
        <v>39</v>
      </c>
      <c r="J2">
        <v>18</v>
      </c>
      <c r="K2">
        <v>5</v>
      </c>
      <c r="L2">
        <v>1</v>
      </c>
      <c r="M2">
        <v>17</v>
      </c>
      <c r="N2">
        <v>29</v>
      </c>
      <c r="O2">
        <v>1</v>
      </c>
      <c r="P2">
        <v>3</v>
      </c>
      <c r="Q2">
        <v>8</v>
      </c>
      <c r="R2">
        <v>11</v>
      </c>
      <c r="S2">
        <v>70</v>
      </c>
      <c r="T2">
        <v>3</v>
      </c>
      <c r="U2">
        <v>6</v>
      </c>
      <c r="V2">
        <v>1</v>
      </c>
      <c r="W2" t="s">
        <v>63</v>
      </c>
      <c r="X2" t="s">
        <v>63</v>
      </c>
      <c r="Y2">
        <v>68</v>
      </c>
      <c r="Z2">
        <v>45</v>
      </c>
      <c r="AA2">
        <v>32</v>
      </c>
      <c r="AB2">
        <v>17</v>
      </c>
      <c r="AC2">
        <v>10</v>
      </c>
      <c r="AD2">
        <v>0</v>
      </c>
      <c r="AE2">
        <v>40</v>
      </c>
      <c r="AF2">
        <v>30</v>
      </c>
      <c r="AG2">
        <v>4</v>
      </c>
      <c r="AH2">
        <v>8</v>
      </c>
      <c r="AI2">
        <v>8</v>
      </c>
      <c r="AJ2">
        <v>9</v>
      </c>
      <c r="AK2">
        <v>101</v>
      </c>
      <c r="AL2">
        <v>6</v>
      </c>
      <c r="AM2">
        <v>7</v>
      </c>
      <c r="AN2">
        <v>6</v>
      </c>
      <c r="AO2" t="s">
        <v>63</v>
      </c>
      <c r="AP2" t="s">
        <v>63</v>
      </c>
    </row>
    <row r="3" spans="1:42" x14ac:dyDescent="0.25">
      <c r="A3" s="16" t="s">
        <v>64</v>
      </c>
      <c r="B3" s="16" t="s">
        <v>65</v>
      </c>
      <c r="C3">
        <v>1</v>
      </c>
      <c r="D3">
        <v>1</v>
      </c>
      <c r="E3">
        <v>3</v>
      </c>
      <c r="F3">
        <v>0</v>
      </c>
      <c r="G3">
        <v>61</v>
      </c>
      <c r="H3">
        <v>31</v>
      </c>
      <c r="I3">
        <v>39</v>
      </c>
      <c r="J3">
        <v>13</v>
      </c>
      <c r="K3">
        <v>13</v>
      </c>
      <c r="L3">
        <v>1</v>
      </c>
      <c r="M3">
        <v>13</v>
      </c>
      <c r="N3">
        <v>1</v>
      </c>
      <c r="O3">
        <v>7</v>
      </c>
      <c r="P3">
        <v>14</v>
      </c>
      <c r="S3">
        <v>80</v>
      </c>
      <c r="T3">
        <v>6</v>
      </c>
      <c r="U3">
        <v>6</v>
      </c>
      <c r="V3">
        <v>6</v>
      </c>
      <c r="W3" t="s">
        <v>63</v>
      </c>
      <c r="X3" t="s">
        <v>63</v>
      </c>
      <c r="Y3">
        <v>60</v>
      </c>
      <c r="Z3">
        <v>23</v>
      </c>
      <c r="AA3">
        <v>40</v>
      </c>
      <c r="AB3">
        <v>9</v>
      </c>
      <c r="AC3">
        <v>1</v>
      </c>
      <c r="AD3">
        <v>4</v>
      </c>
      <c r="AE3">
        <v>1</v>
      </c>
      <c r="AF3">
        <v>4</v>
      </c>
      <c r="AG3">
        <v>0</v>
      </c>
      <c r="AH3">
        <v>0</v>
      </c>
      <c r="AK3">
        <v>42</v>
      </c>
      <c r="AL3">
        <v>1</v>
      </c>
      <c r="AM3">
        <v>3</v>
      </c>
      <c r="AN3">
        <v>1</v>
      </c>
      <c r="AO3" t="s">
        <v>63</v>
      </c>
      <c r="AP3" t="s">
        <v>63</v>
      </c>
    </row>
    <row r="4" spans="1:42" x14ac:dyDescent="0.25">
      <c r="A4" s="16" t="s">
        <v>66</v>
      </c>
      <c r="B4" s="16" t="s">
        <v>67</v>
      </c>
      <c r="C4">
        <v>1</v>
      </c>
      <c r="D4">
        <v>0</v>
      </c>
      <c r="E4">
        <v>0</v>
      </c>
      <c r="F4">
        <v>3</v>
      </c>
      <c r="G4">
        <v>52</v>
      </c>
      <c r="H4">
        <v>53</v>
      </c>
      <c r="I4">
        <v>48</v>
      </c>
      <c r="J4">
        <v>20</v>
      </c>
      <c r="K4">
        <v>8</v>
      </c>
      <c r="L4">
        <v>4</v>
      </c>
      <c r="M4">
        <v>37</v>
      </c>
      <c r="N4">
        <v>50</v>
      </c>
      <c r="O4">
        <v>1</v>
      </c>
      <c r="P4">
        <v>9</v>
      </c>
      <c r="Q4">
        <v>16</v>
      </c>
      <c r="R4">
        <v>23</v>
      </c>
      <c r="S4">
        <v>106</v>
      </c>
      <c r="T4">
        <v>4</v>
      </c>
      <c r="U4">
        <v>5</v>
      </c>
      <c r="V4">
        <v>4</v>
      </c>
      <c r="W4" t="s">
        <v>63</v>
      </c>
      <c r="X4" t="s">
        <v>63</v>
      </c>
      <c r="Y4">
        <v>77</v>
      </c>
      <c r="Z4">
        <v>57</v>
      </c>
      <c r="AA4">
        <v>23</v>
      </c>
      <c r="AB4">
        <v>15</v>
      </c>
      <c r="AC4">
        <v>9</v>
      </c>
      <c r="AD4">
        <v>1</v>
      </c>
      <c r="AE4">
        <v>41</v>
      </c>
      <c r="AF4">
        <v>41</v>
      </c>
      <c r="AG4">
        <v>4</v>
      </c>
      <c r="AH4">
        <v>13</v>
      </c>
      <c r="AI4">
        <v>12</v>
      </c>
      <c r="AJ4">
        <v>16</v>
      </c>
      <c r="AK4">
        <v>126</v>
      </c>
      <c r="AL4">
        <v>6</v>
      </c>
      <c r="AM4">
        <v>7</v>
      </c>
      <c r="AN4">
        <v>6</v>
      </c>
      <c r="AO4" t="s">
        <v>63</v>
      </c>
      <c r="AP4" t="s">
        <v>63</v>
      </c>
    </row>
    <row r="5" spans="1:42" x14ac:dyDescent="0.25">
      <c r="A5" s="16" t="s">
        <v>68</v>
      </c>
      <c r="B5" s="16" t="s">
        <v>69</v>
      </c>
      <c r="C5">
        <v>1</v>
      </c>
      <c r="D5">
        <v>1</v>
      </c>
      <c r="E5">
        <v>3</v>
      </c>
      <c r="F5">
        <v>0</v>
      </c>
      <c r="G5">
        <v>53</v>
      </c>
      <c r="H5">
        <v>39</v>
      </c>
      <c r="I5">
        <v>47</v>
      </c>
      <c r="J5">
        <v>24</v>
      </c>
      <c r="K5">
        <v>8</v>
      </c>
      <c r="L5">
        <v>6</v>
      </c>
      <c r="M5">
        <v>8</v>
      </c>
      <c r="N5">
        <v>6</v>
      </c>
      <c r="O5">
        <v>6</v>
      </c>
      <c r="P5">
        <v>9</v>
      </c>
      <c r="S5">
        <v>104</v>
      </c>
      <c r="T5">
        <v>6</v>
      </c>
      <c r="U5">
        <v>6</v>
      </c>
      <c r="V5">
        <v>6</v>
      </c>
      <c r="W5" t="s">
        <v>63</v>
      </c>
      <c r="X5" t="s">
        <v>63</v>
      </c>
      <c r="Y5">
        <v>50</v>
      </c>
      <c r="Z5">
        <v>24</v>
      </c>
      <c r="AA5">
        <v>50</v>
      </c>
      <c r="AB5">
        <v>19</v>
      </c>
      <c r="AC5">
        <v>1</v>
      </c>
      <c r="AD5">
        <v>8</v>
      </c>
      <c r="AE5">
        <v>1</v>
      </c>
      <c r="AF5">
        <v>8</v>
      </c>
      <c r="AG5">
        <v>1</v>
      </c>
      <c r="AH5">
        <v>7</v>
      </c>
      <c r="AK5">
        <v>79</v>
      </c>
      <c r="AL5">
        <v>2</v>
      </c>
      <c r="AM5">
        <v>2</v>
      </c>
      <c r="AN5">
        <v>3</v>
      </c>
      <c r="AO5" t="s">
        <v>63</v>
      </c>
      <c r="AP5" t="s">
        <v>63</v>
      </c>
    </row>
    <row r="6" spans="1:42" x14ac:dyDescent="0.25">
      <c r="A6" s="16" t="s">
        <v>70</v>
      </c>
      <c r="B6" s="16" t="s">
        <v>71</v>
      </c>
      <c r="C6">
        <v>1</v>
      </c>
      <c r="D6">
        <v>0</v>
      </c>
      <c r="E6">
        <v>1</v>
      </c>
      <c r="F6">
        <v>3</v>
      </c>
      <c r="G6">
        <v>76</v>
      </c>
      <c r="H6">
        <v>63</v>
      </c>
      <c r="I6">
        <v>24</v>
      </c>
      <c r="J6">
        <v>12</v>
      </c>
      <c r="K6">
        <v>0</v>
      </c>
      <c r="L6">
        <v>4</v>
      </c>
      <c r="M6">
        <v>16</v>
      </c>
      <c r="N6">
        <v>35</v>
      </c>
      <c r="O6">
        <v>3</v>
      </c>
      <c r="P6">
        <v>12</v>
      </c>
      <c r="Q6">
        <v>9</v>
      </c>
      <c r="R6">
        <v>13</v>
      </c>
      <c r="S6">
        <v>128</v>
      </c>
      <c r="T6">
        <v>6</v>
      </c>
      <c r="U6">
        <v>4</v>
      </c>
      <c r="V6">
        <v>6</v>
      </c>
      <c r="W6">
        <v>2</v>
      </c>
      <c r="X6" t="s">
        <v>63</v>
      </c>
      <c r="Y6">
        <v>53</v>
      </c>
      <c r="Z6">
        <v>59</v>
      </c>
      <c r="AA6">
        <v>47</v>
      </c>
      <c r="AB6">
        <v>32</v>
      </c>
      <c r="AC6">
        <v>17</v>
      </c>
      <c r="AD6">
        <v>11</v>
      </c>
      <c r="AE6">
        <v>59</v>
      </c>
      <c r="AF6">
        <v>79</v>
      </c>
      <c r="AG6">
        <v>3</v>
      </c>
      <c r="AH6">
        <v>5</v>
      </c>
      <c r="AI6">
        <v>16</v>
      </c>
      <c r="AJ6">
        <v>28</v>
      </c>
      <c r="AK6">
        <v>127</v>
      </c>
      <c r="AL6">
        <v>1</v>
      </c>
      <c r="AM6">
        <v>6</v>
      </c>
      <c r="AN6">
        <v>7</v>
      </c>
      <c r="AO6">
        <v>6</v>
      </c>
      <c r="AP6" t="s">
        <v>63</v>
      </c>
    </row>
    <row r="7" spans="1:42" x14ac:dyDescent="0.25">
      <c r="A7" s="16" t="s">
        <v>72</v>
      </c>
      <c r="B7" s="16" t="s">
        <v>73</v>
      </c>
      <c r="C7">
        <v>1</v>
      </c>
      <c r="D7">
        <v>0</v>
      </c>
      <c r="E7">
        <v>1</v>
      </c>
      <c r="F7">
        <v>3</v>
      </c>
      <c r="G7">
        <v>65</v>
      </c>
      <c r="H7">
        <v>51</v>
      </c>
      <c r="I7">
        <v>35</v>
      </c>
      <c r="J7">
        <v>22</v>
      </c>
      <c r="K7">
        <v>9</v>
      </c>
      <c r="L7">
        <v>3</v>
      </c>
      <c r="M7">
        <v>35</v>
      </c>
      <c r="N7">
        <v>41</v>
      </c>
      <c r="O7">
        <v>2</v>
      </c>
      <c r="P7">
        <v>7</v>
      </c>
      <c r="Q7">
        <v>6</v>
      </c>
      <c r="R7">
        <v>12</v>
      </c>
      <c r="S7">
        <v>108</v>
      </c>
      <c r="T7">
        <v>3</v>
      </c>
      <c r="U7">
        <v>2</v>
      </c>
      <c r="V7">
        <v>6</v>
      </c>
      <c r="W7">
        <v>6</v>
      </c>
      <c r="X7" t="s">
        <v>63</v>
      </c>
      <c r="Y7">
        <v>63</v>
      </c>
      <c r="Z7">
        <v>60</v>
      </c>
      <c r="AA7">
        <v>37</v>
      </c>
      <c r="AB7">
        <v>22</v>
      </c>
      <c r="AC7">
        <v>24</v>
      </c>
      <c r="AD7">
        <v>4</v>
      </c>
      <c r="AE7">
        <v>47</v>
      </c>
      <c r="AF7">
        <v>45</v>
      </c>
      <c r="AG7">
        <v>4</v>
      </c>
      <c r="AH7">
        <v>7</v>
      </c>
      <c r="AI7">
        <v>14</v>
      </c>
      <c r="AJ7">
        <v>17</v>
      </c>
      <c r="AK7">
        <v>122</v>
      </c>
      <c r="AL7">
        <v>6</v>
      </c>
      <c r="AM7">
        <v>6</v>
      </c>
      <c r="AN7">
        <v>3</v>
      </c>
      <c r="AO7">
        <v>7</v>
      </c>
      <c r="AP7" t="s">
        <v>63</v>
      </c>
    </row>
    <row r="8" spans="1:42" x14ac:dyDescent="0.25">
      <c r="A8" s="16" t="s">
        <v>74</v>
      </c>
      <c r="B8" s="16" t="s">
        <v>75</v>
      </c>
      <c r="C8">
        <v>1</v>
      </c>
      <c r="D8">
        <v>0</v>
      </c>
      <c r="E8">
        <v>2</v>
      </c>
      <c r="F8">
        <v>3</v>
      </c>
      <c r="G8">
        <v>68</v>
      </c>
      <c r="H8">
        <v>73</v>
      </c>
      <c r="I8">
        <v>32</v>
      </c>
      <c r="J8">
        <v>24</v>
      </c>
      <c r="K8">
        <v>5</v>
      </c>
      <c r="L8">
        <v>3</v>
      </c>
      <c r="M8">
        <v>41</v>
      </c>
      <c r="N8">
        <v>50</v>
      </c>
      <c r="O8">
        <v>9</v>
      </c>
      <c r="P8">
        <v>17</v>
      </c>
      <c r="Q8">
        <v>14</v>
      </c>
      <c r="R8">
        <v>30</v>
      </c>
      <c r="S8">
        <v>173</v>
      </c>
      <c r="T8">
        <v>6</v>
      </c>
      <c r="U8">
        <v>6</v>
      </c>
      <c r="V8">
        <v>7</v>
      </c>
      <c r="W8">
        <v>3</v>
      </c>
      <c r="X8">
        <v>3</v>
      </c>
      <c r="Y8">
        <v>60</v>
      </c>
      <c r="Z8">
        <v>66</v>
      </c>
      <c r="AA8">
        <v>40</v>
      </c>
      <c r="AB8">
        <v>34</v>
      </c>
      <c r="AC8">
        <v>2</v>
      </c>
      <c r="AD8">
        <v>6</v>
      </c>
      <c r="AE8">
        <v>57</v>
      </c>
      <c r="AF8">
        <v>72</v>
      </c>
      <c r="AG8">
        <v>10</v>
      </c>
      <c r="AH8">
        <v>17</v>
      </c>
      <c r="AI8">
        <v>25</v>
      </c>
      <c r="AJ8">
        <v>36</v>
      </c>
      <c r="AK8">
        <v>173</v>
      </c>
      <c r="AL8">
        <v>3</v>
      </c>
      <c r="AM8">
        <v>7</v>
      </c>
      <c r="AN8">
        <v>6</v>
      </c>
      <c r="AO8">
        <v>6</v>
      </c>
      <c r="AP8">
        <v>6</v>
      </c>
    </row>
    <row r="9" spans="1:42" x14ac:dyDescent="0.25">
      <c r="A9" s="16" t="s">
        <v>76</v>
      </c>
      <c r="B9" s="16" t="s">
        <v>77</v>
      </c>
      <c r="C9">
        <v>1</v>
      </c>
      <c r="D9">
        <v>1</v>
      </c>
      <c r="E9">
        <v>2</v>
      </c>
      <c r="F9">
        <v>0</v>
      </c>
      <c r="G9">
        <v>47</v>
      </c>
      <c r="H9">
        <v>18</v>
      </c>
      <c r="I9">
        <v>53</v>
      </c>
      <c r="J9">
        <v>15</v>
      </c>
      <c r="K9">
        <v>3</v>
      </c>
      <c r="L9">
        <v>4</v>
      </c>
      <c r="M9">
        <v>21</v>
      </c>
      <c r="N9">
        <v>31</v>
      </c>
      <c r="O9">
        <v>6</v>
      </c>
      <c r="P9">
        <v>20</v>
      </c>
      <c r="Q9">
        <v>6</v>
      </c>
      <c r="R9">
        <v>9</v>
      </c>
      <c r="S9">
        <v>78</v>
      </c>
      <c r="T9">
        <v>6</v>
      </c>
      <c r="U9">
        <v>6</v>
      </c>
      <c r="V9" t="s">
        <v>63</v>
      </c>
      <c r="W9" t="s">
        <v>63</v>
      </c>
      <c r="X9" t="s">
        <v>63</v>
      </c>
      <c r="Y9">
        <v>54</v>
      </c>
      <c r="Z9">
        <v>26</v>
      </c>
      <c r="AA9">
        <v>46</v>
      </c>
      <c r="AB9">
        <v>13</v>
      </c>
      <c r="AC9">
        <v>0</v>
      </c>
      <c r="AD9">
        <v>11</v>
      </c>
      <c r="AE9">
        <v>11</v>
      </c>
      <c r="AF9">
        <v>46</v>
      </c>
      <c r="AG9">
        <v>2</v>
      </c>
      <c r="AH9">
        <v>6</v>
      </c>
      <c r="AI9">
        <v>8</v>
      </c>
      <c r="AJ9">
        <v>12</v>
      </c>
      <c r="AK9">
        <v>61</v>
      </c>
      <c r="AL9">
        <v>3</v>
      </c>
      <c r="AM9">
        <v>2</v>
      </c>
      <c r="AN9" t="s">
        <v>63</v>
      </c>
      <c r="AO9" t="s">
        <v>63</v>
      </c>
      <c r="AP9" t="s">
        <v>63</v>
      </c>
    </row>
    <row r="10" spans="1:42" x14ac:dyDescent="0.25">
      <c r="A10" s="16" t="s">
        <v>78</v>
      </c>
      <c r="B10" s="16" t="s">
        <v>79</v>
      </c>
      <c r="C10">
        <v>1</v>
      </c>
      <c r="D10">
        <v>0</v>
      </c>
      <c r="E10">
        <v>0</v>
      </c>
      <c r="F10">
        <v>3</v>
      </c>
      <c r="G10">
        <v>64</v>
      </c>
      <c r="H10">
        <v>26</v>
      </c>
      <c r="I10">
        <v>36</v>
      </c>
      <c r="J10">
        <v>12</v>
      </c>
      <c r="K10">
        <v>3</v>
      </c>
      <c r="M10">
        <v>20</v>
      </c>
      <c r="N10">
        <v>39</v>
      </c>
      <c r="O10">
        <v>3</v>
      </c>
      <c r="P10">
        <v>7</v>
      </c>
      <c r="Q10">
        <v>5</v>
      </c>
      <c r="R10">
        <v>14</v>
      </c>
      <c r="S10">
        <v>67</v>
      </c>
      <c r="T10">
        <v>5</v>
      </c>
      <c r="U10">
        <v>4</v>
      </c>
      <c r="V10">
        <v>1</v>
      </c>
      <c r="W10" t="s">
        <v>63</v>
      </c>
      <c r="X10" t="s">
        <v>63</v>
      </c>
      <c r="Y10">
        <v>67</v>
      </c>
      <c r="Z10">
        <v>42</v>
      </c>
      <c r="AA10">
        <v>33</v>
      </c>
      <c r="AB10">
        <v>14</v>
      </c>
      <c r="AC10">
        <v>12</v>
      </c>
      <c r="AE10">
        <v>32</v>
      </c>
      <c r="AF10">
        <v>20</v>
      </c>
      <c r="AG10">
        <v>7</v>
      </c>
      <c r="AH10">
        <v>10</v>
      </c>
      <c r="AI10">
        <v>8</v>
      </c>
      <c r="AJ10">
        <v>11</v>
      </c>
      <c r="AK10">
        <v>94</v>
      </c>
      <c r="AL10">
        <v>7</v>
      </c>
      <c r="AM10">
        <v>6</v>
      </c>
      <c r="AN10">
        <v>6</v>
      </c>
      <c r="AO10" t="s">
        <v>63</v>
      </c>
      <c r="AP10" t="s">
        <v>63</v>
      </c>
    </row>
    <row r="11" spans="1:42" x14ac:dyDescent="0.25">
      <c r="A11" s="16" t="s">
        <v>80</v>
      </c>
      <c r="B11" s="16" t="s">
        <v>81</v>
      </c>
      <c r="C11">
        <v>1</v>
      </c>
      <c r="D11">
        <v>1</v>
      </c>
      <c r="E11">
        <v>3</v>
      </c>
      <c r="F11">
        <v>2</v>
      </c>
      <c r="G11">
        <v>77</v>
      </c>
      <c r="H11">
        <v>76</v>
      </c>
      <c r="I11">
        <v>23</v>
      </c>
      <c r="J11">
        <v>11</v>
      </c>
      <c r="K11">
        <v>6</v>
      </c>
      <c r="L11">
        <v>4</v>
      </c>
      <c r="M11">
        <v>6</v>
      </c>
      <c r="N11">
        <v>4</v>
      </c>
      <c r="O11">
        <v>7</v>
      </c>
      <c r="P11">
        <v>24</v>
      </c>
      <c r="S11">
        <v>162</v>
      </c>
      <c r="T11">
        <v>3</v>
      </c>
      <c r="U11">
        <v>6</v>
      </c>
      <c r="V11">
        <v>3</v>
      </c>
      <c r="W11">
        <v>6</v>
      </c>
      <c r="X11">
        <v>6</v>
      </c>
      <c r="Y11">
        <v>60</v>
      </c>
      <c r="Z11">
        <v>68</v>
      </c>
      <c r="AA11">
        <v>40</v>
      </c>
      <c r="AB11">
        <v>25</v>
      </c>
      <c r="AC11">
        <v>8</v>
      </c>
      <c r="AD11">
        <v>12</v>
      </c>
      <c r="AE11">
        <v>8</v>
      </c>
      <c r="AF11">
        <v>12</v>
      </c>
      <c r="AG11">
        <v>6</v>
      </c>
      <c r="AH11">
        <v>14</v>
      </c>
      <c r="AK11">
        <v>141</v>
      </c>
      <c r="AL11">
        <v>6</v>
      </c>
      <c r="AM11">
        <v>3</v>
      </c>
      <c r="AN11">
        <v>6</v>
      </c>
      <c r="AO11">
        <v>3</v>
      </c>
      <c r="AP11">
        <v>4</v>
      </c>
    </row>
    <row r="12" spans="1:42" x14ac:dyDescent="0.25">
      <c r="A12" s="16" t="s">
        <v>82</v>
      </c>
      <c r="B12" s="16" t="s">
        <v>83</v>
      </c>
      <c r="C12">
        <v>1</v>
      </c>
      <c r="D12">
        <v>0</v>
      </c>
      <c r="E12">
        <v>2</v>
      </c>
      <c r="F12">
        <v>3</v>
      </c>
      <c r="G12">
        <v>53</v>
      </c>
      <c r="H12">
        <v>46</v>
      </c>
      <c r="I12">
        <v>47</v>
      </c>
      <c r="J12">
        <v>35</v>
      </c>
      <c r="K12">
        <v>7</v>
      </c>
      <c r="L12">
        <v>7</v>
      </c>
      <c r="M12">
        <v>47</v>
      </c>
      <c r="N12">
        <v>58</v>
      </c>
      <c r="O12">
        <v>4</v>
      </c>
      <c r="P12">
        <v>5</v>
      </c>
      <c r="Q12">
        <v>19</v>
      </c>
      <c r="R12">
        <v>33</v>
      </c>
      <c r="S12">
        <v>126</v>
      </c>
      <c r="T12">
        <v>3</v>
      </c>
      <c r="U12">
        <v>6</v>
      </c>
      <c r="V12">
        <v>6</v>
      </c>
      <c r="W12">
        <v>1</v>
      </c>
      <c r="X12">
        <v>2</v>
      </c>
      <c r="Y12">
        <v>66</v>
      </c>
      <c r="Z12">
        <v>62</v>
      </c>
      <c r="AA12">
        <v>34</v>
      </c>
      <c r="AB12">
        <v>24</v>
      </c>
      <c r="AC12">
        <v>16</v>
      </c>
      <c r="AD12">
        <v>4</v>
      </c>
      <c r="AE12">
        <v>49</v>
      </c>
      <c r="AF12">
        <v>46</v>
      </c>
      <c r="AG12">
        <v>7</v>
      </c>
      <c r="AH12">
        <v>19</v>
      </c>
      <c r="AI12">
        <v>30</v>
      </c>
      <c r="AJ12">
        <v>43</v>
      </c>
      <c r="AK12">
        <v>152</v>
      </c>
      <c r="AL12">
        <v>6</v>
      </c>
      <c r="AM12">
        <v>3</v>
      </c>
      <c r="AN12">
        <v>4</v>
      </c>
      <c r="AO12">
        <v>6</v>
      </c>
      <c r="AP12">
        <v>6</v>
      </c>
    </row>
    <row r="13" spans="1:42" x14ac:dyDescent="0.25">
      <c r="A13" s="16" t="s">
        <v>84</v>
      </c>
      <c r="B13" s="16" t="s">
        <v>85</v>
      </c>
      <c r="C13">
        <v>1</v>
      </c>
      <c r="D13">
        <v>1</v>
      </c>
      <c r="E13">
        <v>3</v>
      </c>
      <c r="F13">
        <v>2</v>
      </c>
      <c r="G13">
        <v>57</v>
      </c>
      <c r="H13">
        <v>62</v>
      </c>
      <c r="I13">
        <v>43</v>
      </c>
      <c r="J13">
        <v>43</v>
      </c>
      <c r="K13">
        <v>13</v>
      </c>
      <c r="L13">
        <v>0</v>
      </c>
      <c r="M13">
        <v>50</v>
      </c>
      <c r="N13">
        <v>38</v>
      </c>
      <c r="O13">
        <v>6</v>
      </c>
      <c r="P13">
        <v>18</v>
      </c>
      <c r="Q13">
        <v>15</v>
      </c>
      <c r="R13">
        <v>19</v>
      </c>
      <c r="S13">
        <v>177</v>
      </c>
      <c r="T13">
        <v>6</v>
      </c>
      <c r="U13">
        <v>6</v>
      </c>
      <c r="V13">
        <v>3</v>
      </c>
      <c r="W13">
        <v>7</v>
      </c>
      <c r="X13">
        <v>8</v>
      </c>
      <c r="Y13">
        <v>51</v>
      </c>
      <c r="Z13">
        <v>72</v>
      </c>
      <c r="AA13">
        <v>49</v>
      </c>
      <c r="AB13">
        <v>41</v>
      </c>
      <c r="AC13">
        <v>11</v>
      </c>
      <c r="AD13">
        <v>12</v>
      </c>
      <c r="AE13">
        <v>82</v>
      </c>
      <c r="AF13">
        <v>96</v>
      </c>
      <c r="AG13">
        <v>3</v>
      </c>
      <c r="AH13">
        <v>7</v>
      </c>
      <c r="AI13">
        <v>28</v>
      </c>
      <c r="AJ13">
        <v>44</v>
      </c>
      <c r="AK13">
        <v>152</v>
      </c>
      <c r="AL13">
        <v>1</v>
      </c>
      <c r="AM13">
        <v>7</v>
      </c>
      <c r="AN13">
        <v>6</v>
      </c>
      <c r="AO13">
        <v>6</v>
      </c>
      <c r="AP13">
        <v>6</v>
      </c>
    </row>
    <row r="14" spans="1:42" x14ac:dyDescent="0.25">
      <c r="A14" s="16" t="s">
        <v>86</v>
      </c>
      <c r="B14" s="16" t="s">
        <v>87</v>
      </c>
      <c r="C14">
        <v>1</v>
      </c>
      <c r="D14">
        <v>0</v>
      </c>
      <c r="E14">
        <v>0</v>
      </c>
      <c r="F14">
        <v>3</v>
      </c>
      <c r="G14">
        <v>65</v>
      </c>
      <c r="H14">
        <v>40</v>
      </c>
      <c r="I14">
        <v>35</v>
      </c>
      <c r="J14">
        <v>17</v>
      </c>
      <c r="K14">
        <v>16</v>
      </c>
      <c r="L14">
        <v>4</v>
      </c>
      <c r="M14">
        <v>35</v>
      </c>
      <c r="N14">
        <v>25</v>
      </c>
      <c r="O14">
        <v>0</v>
      </c>
      <c r="P14">
        <v>2</v>
      </c>
      <c r="Q14">
        <v>20</v>
      </c>
      <c r="R14">
        <v>43</v>
      </c>
      <c r="S14">
        <v>74</v>
      </c>
      <c r="T14">
        <v>4</v>
      </c>
      <c r="U14">
        <v>3</v>
      </c>
      <c r="V14">
        <v>4</v>
      </c>
      <c r="W14" t="s">
        <v>63</v>
      </c>
      <c r="X14" t="s">
        <v>63</v>
      </c>
      <c r="Y14">
        <v>67</v>
      </c>
      <c r="Z14">
        <v>45</v>
      </c>
      <c r="AA14">
        <v>33</v>
      </c>
      <c r="AB14">
        <v>13</v>
      </c>
      <c r="AC14">
        <v>6</v>
      </c>
      <c r="AD14">
        <v>4</v>
      </c>
      <c r="AE14">
        <v>31</v>
      </c>
      <c r="AF14">
        <v>17</v>
      </c>
      <c r="AG14">
        <v>4</v>
      </c>
      <c r="AH14">
        <v>10</v>
      </c>
      <c r="AI14">
        <v>6</v>
      </c>
      <c r="AJ14">
        <v>10</v>
      </c>
      <c r="AK14">
        <v>94</v>
      </c>
      <c r="AL14">
        <v>6</v>
      </c>
      <c r="AM14">
        <v>6</v>
      </c>
      <c r="AN14">
        <v>6</v>
      </c>
      <c r="AO14" t="s">
        <v>63</v>
      </c>
      <c r="AP14" t="s">
        <v>63</v>
      </c>
    </row>
    <row r="15" spans="1:42" x14ac:dyDescent="0.25">
      <c r="A15" s="16" t="s">
        <v>88</v>
      </c>
      <c r="B15" s="16" t="s">
        <v>89</v>
      </c>
      <c r="C15">
        <v>1</v>
      </c>
      <c r="D15">
        <v>0</v>
      </c>
      <c r="E15">
        <v>2</v>
      </c>
      <c r="F15">
        <v>3</v>
      </c>
      <c r="G15">
        <v>64</v>
      </c>
      <c r="H15">
        <v>63</v>
      </c>
      <c r="I15">
        <v>36</v>
      </c>
      <c r="J15">
        <v>23</v>
      </c>
      <c r="K15">
        <v>7</v>
      </c>
      <c r="L15">
        <v>4</v>
      </c>
      <c r="M15">
        <v>49</v>
      </c>
      <c r="N15">
        <v>57</v>
      </c>
      <c r="O15">
        <v>6</v>
      </c>
      <c r="P15">
        <v>15</v>
      </c>
      <c r="Q15">
        <v>24</v>
      </c>
      <c r="R15">
        <v>46</v>
      </c>
      <c r="S15">
        <v>137</v>
      </c>
      <c r="T15">
        <v>3</v>
      </c>
      <c r="U15">
        <v>5</v>
      </c>
      <c r="V15">
        <v>6</v>
      </c>
      <c r="W15">
        <v>6</v>
      </c>
      <c r="X15">
        <v>3</v>
      </c>
      <c r="Y15">
        <v>67</v>
      </c>
      <c r="Z15">
        <v>58</v>
      </c>
      <c r="AA15">
        <v>33</v>
      </c>
      <c r="AB15">
        <v>23</v>
      </c>
      <c r="AC15">
        <v>7</v>
      </c>
      <c r="AD15">
        <v>7</v>
      </c>
      <c r="AE15">
        <v>45</v>
      </c>
      <c r="AF15">
        <v>55</v>
      </c>
      <c r="AG15">
        <v>6</v>
      </c>
      <c r="AH15">
        <v>12</v>
      </c>
      <c r="AI15">
        <v>28</v>
      </c>
      <c r="AJ15">
        <v>37</v>
      </c>
      <c r="AK15">
        <v>131</v>
      </c>
      <c r="AL15">
        <v>6</v>
      </c>
      <c r="AM15">
        <v>7</v>
      </c>
      <c r="AN15">
        <v>4</v>
      </c>
      <c r="AO15">
        <v>0</v>
      </c>
      <c r="AP15">
        <v>6</v>
      </c>
    </row>
    <row r="16" spans="1:42" x14ac:dyDescent="0.25">
      <c r="A16" s="16" t="s">
        <v>90</v>
      </c>
      <c r="B16" s="16" t="s">
        <v>91</v>
      </c>
      <c r="C16">
        <v>1</v>
      </c>
      <c r="D16">
        <v>1</v>
      </c>
      <c r="E16">
        <v>3</v>
      </c>
      <c r="F16">
        <v>1</v>
      </c>
      <c r="G16">
        <v>60</v>
      </c>
      <c r="H16">
        <v>50</v>
      </c>
      <c r="I16">
        <v>40</v>
      </c>
      <c r="J16">
        <v>23</v>
      </c>
      <c r="K16">
        <v>4</v>
      </c>
      <c r="L16">
        <v>2</v>
      </c>
      <c r="M16">
        <v>4</v>
      </c>
      <c r="N16">
        <v>2</v>
      </c>
      <c r="O16">
        <v>10</v>
      </c>
      <c r="P16">
        <v>28</v>
      </c>
      <c r="S16">
        <v>151</v>
      </c>
      <c r="T16">
        <v>6</v>
      </c>
      <c r="U16">
        <v>6</v>
      </c>
      <c r="V16">
        <v>6</v>
      </c>
      <c r="W16">
        <v>6</v>
      </c>
      <c r="X16" t="s">
        <v>63</v>
      </c>
      <c r="Y16">
        <v>55</v>
      </c>
      <c r="Z16">
        <v>55</v>
      </c>
      <c r="AA16">
        <v>45</v>
      </c>
      <c r="AB16">
        <v>23</v>
      </c>
      <c r="AC16">
        <v>2</v>
      </c>
      <c r="AD16">
        <v>3</v>
      </c>
      <c r="AE16">
        <v>2</v>
      </c>
      <c r="AF16">
        <v>3</v>
      </c>
      <c r="AG16">
        <v>4</v>
      </c>
      <c r="AH16">
        <v>14</v>
      </c>
      <c r="AK16">
        <v>128</v>
      </c>
      <c r="AL16">
        <v>7</v>
      </c>
      <c r="AM16">
        <v>2</v>
      </c>
      <c r="AN16">
        <v>2</v>
      </c>
      <c r="AO16">
        <v>3</v>
      </c>
      <c r="AP16" t="s">
        <v>63</v>
      </c>
    </row>
    <row r="17" spans="1:42" x14ac:dyDescent="0.25">
      <c r="A17" s="16" t="s">
        <v>92</v>
      </c>
      <c r="B17" s="16" t="s">
        <v>93</v>
      </c>
      <c r="C17">
        <v>1</v>
      </c>
      <c r="D17">
        <v>1</v>
      </c>
      <c r="E17">
        <v>2</v>
      </c>
      <c r="F17">
        <v>0</v>
      </c>
      <c r="G17">
        <v>63</v>
      </c>
      <c r="H17">
        <v>20</v>
      </c>
      <c r="I17">
        <v>37</v>
      </c>
      <c r="J17">
        <v>6</v>
      </c>
      <c r="K17">
        <v>4</v>
      </c>
      <c r="L17">
        <v>1</v>
      </c>
      <c r="M17">
        <v>23</v>
      </c>
      <c r="N17">
        <v>11</v>
      </c>
      <c r="O17">
        <v>4</v>
      </c>
      <c r="P17">
        <v>9</v>
      </c>
      <c r="Q17">
        <v>13</v>
      </c>
      <c r="R17">
        <v>14</v>
      </c>
      <c r="S17">
        <v>54</v>
      </c>
      <c r="T17">
        <v>6</v>
      </c>
      <c r="U17">
        <v>4</v>
      </c>
      <c r="V17" t="s">
        <v>63</v>
      </c>
      <c r="W17" t="s">
        <v>63</v>
      </c>
      <c r="X17" t="s">
        <v>63</v>
      </c>
      <c r="Y17">
        <v>64</v>
      </c>
      <c r="Z17">
        <v>18</v>
      </c>
      <c r="AA17">
        <v>36</v>
      </c>
      <c r="AB17">
        <v>10</v>
      </c>
      <c r="AC17">
        <v>0</v>
      </c>
      <c r="AD17">
        <v>0</v>
      </c>
      <c r="AE17">
        <v>8</v>
      </c>
      <c r="AF17">
        <v>15</v>
      </c>
      <c r="AG17">
        <v>1</v>
      </c>
      <c r="AH17">
        <v>2</v>
      </c>
      <c r="AI17">
        <v>6</v>
      </c>
      <c r="AJ17">
        <v>12</v>
      </c>
      <c r="AK17">
        <v>37</v>
      </c>
      <c r="AL17">
        <v>4</v>
      </c>
      <c r="AM17">
        <v>1</v>
      </c>
      <c r="AN17" t="s">
        <v>63</v>
      </c>
      <c r="AO17" t="s">
        <v>63</v>
      </c>
      <c r="AP17" t="s">
        <v>63</v>
      </c>
    </row>
    <row r="18" spans="1:42" x14ac:dyDescent="0.25">
      <c r="A18" s="16" t="s">
        <v>94</v>
      </c>
      <c r="B18" s="16" t="s">
        <v>95</v>
      </c>
      <c r="C18">
        <v>1</v>
      </c>
      <c r="D18">
        <v>0</v>
      </c>
      <c r="E18">
        <v>0</v>
      </c>
      <c r="F18">
        <v>3</v>
      </c>
      <c r="G18">
        <v>68</v>
      </c>
      <c r="H18">
        <v>34</v>
      </c>
      <c r="I18">
        <v>32</v>
      </c>
      <c r="J18">
        <v>7</v>
      </c>
      <c r="K18">
        <v>2</v>
      </c>
      <c r="L18">
        <v>4</v>
      </c>
      <c r="M18">
        <v>22</v>
      </c>
      <c r="N18">
        <v>41</v>
      </c>
      <c r="O18">
        <v>5</v>
      </c>
      <c r="P18">
        <v>7</v>
      </c>
      <c r="Q18">
        <v>11</v>
      </c>
      <c r="R18">
        <v>21</v>
      </c>
      <c r="S18">
        <v>75</v>
      </c>
      <c r="T18">
        <v>3</v>
      </c>
      <c r="U18">
        <v>4</v>
      </c>
      <c r="V18">
        <v>4</v>
      </c>
      <c r="W18" t="s">
        <v>63</v>
      </c>
      <c r="X18" t="s">
        <v>63</v>
      </c>
      <c r="Y18">
        <v>53</v>
      </c>
      <c r="Z18">
        <v>28</v>
      </c>
      <c r="AA18">
        <v>47</v>
      </c>
      <c r="AB18">
        <v>21</v>
      </c>
      <c r="AC18">
        <v>2</v>
      </c>
      <c r="AD18">
        <v>6</v>
      </c>
      <c r="AE18">
        <v>33</v>
      </c>
      <c r="AF18">
        <v>30</v>
      </c>
      <c r="AG18">
        <v>8</v>
      </c>
      <c r="AH18">
        <v>12</v>
      </c>
      <c r="AI18">
        <v>18</v>
      </c>
      <c r="AJ18">
        <v>22</v>
      </c>
      <c r="AK18">
        <v>96</v>
      </c>
      <c r="AL18">
        <v>6</v>
      </c>
      <c r="AM18">
        <v>6</v>
      </c>
      <c r="AN18">
        <v>6</v>
      </c>
      <c r="AO18" t="s">
        <v>63</v>
      </c>
      <c r="AP18" t="s">
        <v>63</v>
      </c>
    </row>
    <row r="19" spans="1:42" x14ac:dyDescent="0.25">
      <c r="A19" s="16" t="s">
        <v>96</v>
      </c>
      <c r="B19" s="16" t="s">
        <v>97</v>
      </c>
      <c r="C19">
        <v>1</v>
      </c>
      <c r="D19">
        <v>0</v>
      </c>
      <c r="E19">
        <v>2</v>
      </c>
      <c r="F19">
        <v>3</v>
      </c>
      <c r="G19">
        <v>53</v>
      </c>
      <c r="H19">
        <v>50</v>
      </c>
      <c r="I19">
        <v>47</v>
      </c>
      <c r="J19">
        <v>28</v>
      </c>
      <c r="K19">
        <v>21</v>
      </c>
      <c r="L19">
        <v>12</v>
      </c>
      <c r="M19">
        <v>21</v>
      </c>
      <c r="N19">
        <v>12</v>
      </c>
      <c r="O19">
        <v>4</v>
      </c>
      <c r="P19">
        <v>6</v>
      </c>
      <c r="S19">
        <v>129</v>
      </c>
      <c r="T19">
        <v>6</v>
      </c>
      <c r="U19">
        <v>3</v>
      </c>
      <c r="V19">
        <v>0</v>
      </c>
      <c r="W19">
        <v>7</v>
      </c>
      <c r="X19">
        <v>4</v>
      </c>
      <c r="Y19">
        <v>58</v>
      </c>
      <c r="Z19">
        <v>52</v>
      </c>
      <c r="AA19">
        <v>42</v>
      </c>
      <c r="AB19">
        <v>37</v>
      </c>
      <c r="AC19">
        <v>3</v>
      </c>
      <c r="AD19">
        <v>3</v>
      </c>
      <c r="AE19">
        <v>3</v>
      </c>
      <c r="AF19">
        <v>3</v>
      </c>
      <c r="AG19">
        <v>7</v>
      </c>
      <c r="AH19">
        <v>11</v>
      </c>
      <c r="AK19">
        <v>142</v>
      </c>
      <c r="AL19">
        <v>3</v>
      </c>
      <c r="AM19">
        <v>6</v>
      </c>
      <c r="AN19">
        <v>6</v>
      </c>
      <c r="AO19">
        <v>5</v>
      </c>
      <c r="AP19">
        <v>6</v>
      </c>
    </row>
    <row r="20" spans="1:42" x14ac:dyDescent="0.25">
      <c r="A20" s="16" t="s">
        <v>98</v>
      </c>
      <c r="B20" s="16" t="s">
        <v>99</v>
      </c>
      <c r="C20">
        <v>1</v>
      </c>
      <c r="D20">
        <v>0</v>
      </c>
      <c r="E20">
        <v>0</v>
      </c>
      <c r="F20">
        <v>3</v>
      </c>
      <c r="G20">
        <v>50</v>
      </c>
      <c r="H20">
        <v>39</v>
      </c>
      <c r="I20">
        <v>50</v>
      </c>
      <c r="J20">
        <v>26</v>
      </c>
      <c r="K20">
        <v>10</v>
      </c>
      <c r="L20">
        <v>3</v>
      </c>
      <c r="M20">
        <v>28</v>
      </c>
      <c r="N20">
        <v>38</v>
      </c>
      <c r="O20">
        <v>1</v>
      </c>
      <c r="P20">
        <v>3</v>
      </c>
      <c r="Q20">
        <v>17</v>
      </c>
      <c r="R20">
        <v>31</v>
      </c>
      <c r="S20">
        <v>91</v>
      </c>
      <c r="T20">
        <v>5</v>
      </c>
      <c r="U20">
        <v>5</v>
      </c>
      <c r="V20">
        <v>2</v>
      </c>
      <c r="W20" t="s">
        <v>63</v>
      </c>
      <c r="X20" t="s">
        <v>63</v>
      </c>
      <c r="Y20">
        <v>58</v>
      </c>
      <c r="Z20">
        <v>42</v>
      </c>
      <c r="AA20">
        <v>42</v>
      </c>
      <c r="AB20">
        <v>23</v>
      </c>
      <c r="AC20">
        <v>7</v>
      </c>
      <c r="AD20">
        <v>4</v>
      </c>
      <c r="AE20">
        <v>37</v>
      </c>
      <c r="AF20">
        <v>31</v>
      </c>
      <c r="AG20">
        <v>5</v>
      </c>
      <c r="AH20">
        <v>16</v>
      </c>
      <c r="AI20">
        <v>12</v>
      </c>
      <c r="AJ20">
        <v>12</v>
      </c>
      <c r="AK20">
        <v>114</v>
      </c>
      <c r="AL20">
        <v>7</v>
      </c>
      <c r="AM20">
        <v>7</v>
      </c>
      <c r="AN20">
        <v>6</v>
      </c>
      <c r="AO20" t="s">
        <v>63</v>
      </c>
      <c r="AP20" t="s">
        <v>63</v>
      </c>
    </row>
    <row r="21" spans="1:42" x14ac:dyDescent="0.25">
      <c r="A21" s="16" t="s">
        <v>100</v>
      </c>
      <c r="B21" s="16" t="s">
        <v>101</v>
      </c>
      <c r="C21">
        <v>1</v>
      </c>
      <c r="D21">
        <v>1</v>
      </c>
      <c r="E21">
        <v>3</v>
      </c>
      <c r="F21">
        <v>0</v>
      </c>
      <c r="G21">
        <v>66</v>
      </c>
      <c r="H21">
        <v>46</v>
      </c>
      <c r="I21">
        <v>34</v>
      </c>
      <c r="J21">
        <v>16</v>
      </c>
      <c r="K21">
        <v>9</v>
      </c>
      <c r="L21">
        <v>2</v>
      </c>
      <c r="M21">
        <v>31</v>
      </c>
      <c r="N21">
        <v>27</v>
      </c>
      <c r="O21">
        <v>4</v>
      </c>
      <c r="P21">
        <v>9</v>
      </c>
      <c r="Q21">
        <v>12</v>
      </c>
      <c r="R21">
        <v>13</v>
      </c>
      <c r="S21">
        <v>94</v>
      </c>
      <c r="T21">
        <v>6</v>
      </c>
      <c r="U21">
        <v>6</v>
      </c>
      <c r="V21">
        <v>6</v>
      </c>
      <c r="W21" t="s">
        <v>63</v>
      </c>
      <c r="X21" t="s">
        <v>63</v>
      </c>
      <c r="Y21">
        <v>57</v>
      </c>
      <c r="Z21">
        <v>41</v>
      </c>
      <c r="AA21">
        <v>43</v>
      </c>
      <c r="AB21">
        <v>13</v>
      </c>
      <c r="AC21">
        <v>9</v>
      </c>
      <c r="AD21">
        <v>7</v>
      </c>
      <c r="AE21">
        <v>30</v>
      </c>
      <c r="AF21">
        <v>33</v>
      </c>
      <c r="AG21">
        <v>0</v>
      </c>
      <c r="AH21">
        <v>5</v>
      </c>
      <c r="AI21">
        <v>14</v>
      </c>
      <c r="AJ21">
        <v>17</v>
      </c>
      <c r="AK21">
        <v>80</v>
      </c>
      <c r="AL21">
        <v>2</v>
      </c>
      <c r="AM21">
        <v>4</v>
      </c>
      <c r="AN21">
        <v>4</v>
      </c>
      <c r="AO21" t="s">
        <v>63</v>
      </c>
      <c r="AP21" t="s">
        <v>63</v>
      </c>
    </row>
    <row r="22" spans="1:42" x14ac:dyDescent="0.25">
      <c r="A22" s="16" t="s">
        <v>102</v>
      </c>
      <c r="B22" s="16" t="s">
        <v>103</v>
      </c>
      <c r="C22">
        <v>1</v>
      </c>
      <c r="D22">
        <v>0</v>
      </c>
      <c r="E22">
        <v>2</v>
      </c>
      <c r="F22">
        <v>3</v>
      </c>
      <c r="G22">
        <v>60</v>
      </c>
      <c r="H22">
        <v>58</v>
      </c>
      <c r="I22">
        <v>40</v>
      </c>
      <c r="J22">
        <v>21</v>
      </c>
      <c r="K22">
        <v>13</v>
      </c>
      <c r="L22">
        <v>8</v>
      </c>
      <c r="M22">
        <v>40</v>
      </c>
      <c r="N22">
        <v>36</v>
      </c>
      <c r="O22">
        <v>3</v>
      </c>
      <c r="P22">
        <v>10</v>
      </c>
      <c r="Q22">
        <v>18</v>
      </c>
      <c r="R22">
        <v>28</v>
      </c>
      <c r="S22">
        <v>140</v>
      </c>
      <c r="T22">
        <v>6</v>
      </c>
      <c r="U22">
        <v>6</v>
      </c>
      <c r="V22">
        <v>4</v>
      </c>
      <c r="W22">
        <v>2</v>
      </c>
      <c r="X22">
        <v>1</v>
      </c>
      <c r="Y22">
        <v>64</v>
      </c>
      <c r="Z22">
        <v>74</v>
      </c>
      <c r="AA22">
        <v>36</v>
      </c>
      <c r="AB22">
        <v>27</v>
      </c>
      <c r="AC22">
        <v>18</v>
      </c>
      <c r="AD22">
        <v>11</v>
      </c>
      <c r="AE22">
        <v>62</v>
      </c>
      <c r="AF22">
        <v>64</v>
      </c>
      <c r="AG22">
        <v>5</v>
      </c>
      <c r="AH22">
        <v>9</v>
      </c>
      <c r="AI22">
        <v>31</v>
      </c>
      <c r="AJ22">
        <v>46</v>
      </c>
      <c r="AK22">
        <v>153</v>
      </c>
      <c r="AL22">
        <v>1</v>
      </c>
      <c r="AM22">
        <v>4</v>
      </c>
      <c r="AN22">
        <v>6</v>
      </c>
      <c r="AO22">
        <v>6</v>
      </c>
      <c r="AP22">
        <v>6</v>
      </c>
    </row>
    <row r="23" spans="1:42" x14ac:dyDescent="0.25">
      <c r="A23" s="16" t="s">
        <v>104</v>
      </c>
      <c r="B23" s="16" t="s">
        <v>105</v>
      </c>
      <c r="C23">
        <v>1</v>
      </c>
      <c r="D23">
        <v>0</v>
      </c>
      <c r="E23">
        <v>0</v>
      </c>
      <c r="F23">
        <v>3</v>
      </c>
      <c r="G23">
        <v>61</v>
      </c>
      <c r="H23">
        <v>32</v>
      </c>
      <c r="I23">
        <v>39</v>
      </c>
      <c r="J23">
        <v>10</v>
      </c>
      <c r="K23">
        <v>2</v>
      </c>
      <c r="L23">
        <v>3</v>
      </c>
      <c r="M23">
        <v>2</v>
      </c>
      <c r="N23">
        <v>3</v>
      </c>
      <c r="O23">
        <v>3</v>
      </c>
      <c r="P23">
        <v>7</v>
      </c>
      <c r="S23">
        <v>77</v>
      </c>
      <c r="T23">
        <v>4</v>
      </c>
      <c r="U23">
        <v>2</v>
      </c>
      <c r="V23">
        <v>4</v>
      </c>
      <c r="W23" t="s">
        <v>63</v>
      </c>
      <c r="X23" t="s">
        <v>63</v>
      </c>
      <c r="Y23">
        <v>73</v>
      </c>
      <c r="Z23">
        <v>40</v>
      </c>
      <c r="AA23">
        <v>27</v>
      </c>
      <c r="AB23">
        <v>15</v>
      </c>
      <c r="AC23">
        <v>2</v>
      </c>
      <c r="AD23">
        <v>1</v>
      </c>
      <c r="AE23">
        <v>2</v>
      </c>
      <c r="AF23">
        <v>1</v>
      </c>
      <c r="AG23">
        <v>7</v>
      </c>
      <c r="AH23">
        <v>12</v>
      </c>
      <c r="AK23">
        <v>97</v>
      </c>
      <c r="AL23">
        <v>6</v>
      </c>
      <c r="AM23">
        <v>6</v>
      </c>
      <c r="AN23">
        <v>6</v>
      </c>
      <c r="AO23" t="s">
        <v>63</v>
      </c>
      <c r="AP23" t="s">
        <v>63</v>
      </c>
    </row>
    <row r="24" spans="1:42" x14ac:dyDescent="0.25">
      <c r="A24" s="16" t="s">
        <v>106</v>
      </c>
      <c r="B24" s="16" t="s">
        <v>107</v>
      </c>
      <c r="C24">
        <v>1</v>
      </c>
      <c r="D24">
        <v>1</v>
      </c>
      <c r="E24">
        <v>3</v>
      </c>
      <c r="F24">
        <v>0</v>
      </c>
      <c r="G24">
        <v>58</v>
      </c>
      <c r="H24">
        <v>36</v>
      </c>
      <c r="I24">
        <v>42</v>
      </c>
      <c r="J24">
        <v>22</v>
      </c>
      <c r="K24">
        <v>6</v>
      </c>
      <c r="L24">
        <v>1</v>
      </c>
      <c r="M24">
        <v>25</v>
      </c>
      <c r="N24">
        <v>23</v>
      </c>
      <c r="O24">
        <v>5</v>
      </c>
      <c r="P24">
        <v>11</v>
      </c>
      <c r="Q24">
        <v>11</v>
      </c>
      <c r="R24">
        <v>14</v>
      </c>
      <c r="S24">
        <v>101</v>
      </c>
      <c r="T24">
        <v>6</v>
      </c>
      <c r="U24">
        <v>6</v>
      </c>
      <c r="V24">
        <v>6</v>
      </c>
      <c r="W24" t="s">
        <v>63</v>
      </c>
      <c r="X24" t="s">
        <v>63</v>
      </c>
      <c r="Y24">
        <v>59</v>
      </c>
      <c r="Z24">
        <v>35</v>
      </c>
      <c r="AA24">
        <v>41</v>
      </c>
      <c r="AB24">
        <v>18</v>
      </c>
      <c r="AC24">
        <v>1</v>
      </c>
      <c r="AD24">
        <v>2</v>
      </c>
      <c r="AE24">
        <v>31</v>
      </c>
      <c r="AF24">
        <v>45</v>
      </c>
      <c r="AG24">
        <v>1</v>
      </c>
      <c r="AH24">
        <v>3</v>
      </c>
      <c r="AI24">
        <v>12</v>
      </c>
      <c r="AJ24">
        <v>20</v>
      </c>
      <c r="AK24">
        <v>78</v>
      </c>
      <c r="AL24">
        <v>4</v>
      </c>
      <c r="AM24">
        <v>2</v>
      </c>
      <c r="AN24">
        <v>4</v>
      </c>
      <c r="AO24" t="s">
        <v>63</v>
      </c>
      <c r="AP24" t="s">
        <v>63</v>
      </c>
    </row>
    <row r="25" spans="1:42" x14ac:dyDescent="0.25">
      <c r="A25" s="16" t="s">
        <v>108</v>
      </c>
      <c r="B25" s="16" t="s">
        <v>109</v>
      </c>
      <c r="C25">
        <v>1</v>
      </c>
      <c r="D25">
        <v>1</v>
      </c>
      <c r="E25">
        <v>3</v>
      </c>
      <c r="F25">
        <v>0</v>
      </c>
      <c r="G25">
        <v>69</v>
      </c>
      <c r="H25">
        <v>39</v>
      </c>
      <c r="I25">
        <v>31</v>
      </c>
      <c r="J25">
        <v>17</v>
      </c>
      <c r="K25">
        <v>5</v>
      </c>
      <c r="L25">
        <v>2</v>
      </c>
      <c r="M25">
        <v>11</v>
      </c>
      <c r="N25">
        <v>30</v>
      </c>
      <c r="O25">
        <v>7</v>
      </c>
      <c r="P25">
        <v>9</v>
      </c>
      <c r="Q25">
        <v>5</v>
      </c>
      <c r="R25">
        <v>8</v>
      </c>
      <c r="S25">
        <v>95</v>
      </c>
      <c r="T25">
        <v>6</v>
      </c>
      <c r="U25">
        <v>6</v>
      </c>
      <c r="V25">
        <v>6</v>
      </c>
      <c r="W25" t="s">
        <v>63</v>
      </c>
      <c r="X25" t="s">
        <v>63</v>
      </c>
      <c r="Y25">
        <v>49</v>
      </c>
      <c r="Z25">
        <v>24</v>
      </c>
      <c r="AA25">
        <v>51</v>
      </c>
      <c r="AB25">
        <v>12</v>
      </c>
      <c r="AC25">
        <v>2</v>
      </c>
      <c r="AD25">
        <v>8</v>
      </c>
      <c r="AE25">
        <v>20</v>
      </c>
      <c r="AF25">
        <v>61</v>
      </c>
      <c r="AG25">
        <v>2</v>
      </c>
      <c r="AH25">
        <v>5</v>
      </c>
      <c r="AI25">
        <v>15</v>
      </c>
      <c r="AJ25">
        <v>22</v>
      </c>
      <c r="AK25">
        <v>66</v>
      </c>
      <c r="AL25">
        <v>1</v>
      </c>
      <c r="AM25">
        <v>4</v>
      </c>
      <c r="AN25">
        <v>2</v>
      </c>
      <c r="AO25" t="s">
        <v>63</v>
      </c>
      <c r="AP25" t="s">
        <v>63</v>
      </c>
    </row>
    <row r="26" spans="1:42" x14ac:dyDescent="0.25">
      <c r="A26" s="16" t="s">
        <v>110</v>
      </c>
      <c r="B26" s="16" t="s">
        <v>111</v>
      </c>
      <c r="C26">
        <v>1</v>
      </c>
      <c r="D26">
        <v>1</v>
      </c>
      <c r="E26">
        <v>2</v>
      </c>
      <c r="F26">
        <v>0</v>
      </c>
      <c r="G26">
        <v>58</v>
      </c>
      <c r="H26">
        <v>27</v>
      </c>
      <c r="I26">
        <v>42</v>
      </c>
      <c r="J26">
        <v>11</v>
      </c>
      <c r="K26">
        <v>7</v>
      </c>
      <c r="L26">
        <v>3</v>
      </c>
      <c r="M26">
        <v>19</v>
      </c>
      <c r="N26">
        <v>9</v>
      </c>
      <c r="O26">
        <v>4</v>
      </c>
      <c r="P26">
        <v>4</v>
      </c>
      <c r="Q26">
        <v>3</v>
      </c>
      <c r="R26">
        <v>5</v>
      </c>
      <c r="S26">
        <v>65</v>
      </c>
      <c r="T26">
        <v>7</v>
      </c>
      <c r="U26">
        <v>5</v>
      </c>
      <c r="V26" t="s">
        <v>63</v>
      </c>
      <c r="W26" t="s">
        <v>63</v>
      </c>
      <c r="X26" t="s">
        <v>63</v>
      </c>
      <c r="Y26">
        <v>52</v>
      </c>
      <c r="Z26">
        <v>22</v>
      </c>
      <c r="AA26">
        <v>48</v>
      </c>
      <c r="AB26">
        <v>11</v>
      </c>
      <c r="AC26">
        <v>4</v>
      </c>
      <c r="AD26">
        <v>7</v>
      </c>
      <c r="AE26">
        <v>18</v>
      </c>
      <c r="AF26">
        <v>35</v>
      </c>
      <c r="AG26">
        <v>1</v>
      </c>
      <c r="AH26">
        <v>2</v>
      </c>
      <c r="AI26">
        <v>10</v>
      </c>
      <c r="AJ26">
        <v>10</v>
      </c>
      <c r="AK26">
        <v>55</v>
      </c>
      <c r="AL26">
        <v>5</v>
      </c>
      <c r="AM26">
        <v>2</v>
      </c>
      <c r="AN26" t="s">
        <v>63</v>
      </c>
      <c r="AO26" t="s">
        <v>63</v>
      </c>
      <c r="AP26" t="s">
        <v>63</v>
      </c>
    </row>
    <row r="27" spans="1:42" x14ac:dyDescent="0.25">
      <c r="A27" s="16" t="s">
        <v>112</v>
      </c>
      <c r="B27" s="16" t="s">
        <v>113</v>
      </c>
      <c r="C27">
        <v>1</v>
      </c>
      <c r="D27">
        <v>0</v>
      </c>
      <c r="E27">
        <v>1</v>
      </c>
      <c r="F27">
        <v>3</v>
      </c>
      <c r="G27">
        <v>57</v>
      </c>
      <c r="H27">
        <v>49</v>
      </c>
      <c r="I27">
        <v>43</v>
      </c>
      <c r="J27">
        <v>32</v>
      </c>
      <c r="K27">
        <v>9</v>
      </c>
      <c r="L27">
        <v>4</v>
      </c>
      <c r="M27">
        <v>9</v>
      </c>
      <c r="N27">
        <v>4</v>
      </c>
      <c r="O27">
        <v>4</v>
      </c>
      <c r="P27">
        <v>13</v>
      </c>
      <c r="S27">
        <v>150</v>
      </c>
      <c r="T27">
        <v>4</v>
      </c>
      <c r="U27">
        <v>6</v>
      </c>
      <c r="V27">
        <v>7</v>
      </c>
      <c r="W27">
        <v>2</v>
      </c>
      <c r="X27" t="s">
        <v>63</v>
      </c>
      <c r="Y27">
        <v>65</v>
      </c>
      <c r="Z27">
        <v>67</v>
      </c>
      <c r="AA27">
        <v>35</v>
      </c>
      <c r="AB27">
        <v>32</v>
      </c>
      <c r="AC27">
        <v>6</v>
      </c>
      <c r="AD27">
        <v>6</v>
      </c>
      <c r="AE27">
        <v>6</v>
      </c>
      <c r="AF27">
        <v>6</v>
      </c>
      <c r="AG27">
        <v>7</v>
      </c>
      <c r="AH27">
        <v>16</v>
      </c>
      <c r="AK27">
        <v>163</v>
      </c>
      <c r="AL27">
        <v>6</v>
      </c>
      <c r="AM27">
        <v>7</v>
      </c>
      <c r="AN27">
        <v>6</v>
      </c>
      <c r="AO27">
        <v>6</v>
      </c>
      <c r="AP27" t="s">
        <v>63</v>
      </c>
    </row>
    <row r="28" spans="1:42" x14ac:dyDescent="0.25">
      <c r="A28" s="16" t="s">
        <v>114</v>
      </c>
      <c r="B28" s="16" t="s">
        <v>115</v>
      </c>
      <c r="C28">
        <v>1</v>
      </c>
      <c r="D28">
        <v>1</v>
      </c>
      <c r="E28">
        <v>3</v>
      </c>
      <c r="F28">
        <v>1</v>
      </c>
      <c r="G28">
        <v>55</v>
      </c>
      <c r="H28">
        <v>60</v>
      </c>
      <c r="I28">
        <v>45</v>
      </c>
      <c r="J28">
        <v>31</v>
      </c>
      <c r="K28">
        <v>20</v>
      </c>
      <c r="L28">
        <v>3</v>
      </c>
      <c r="M28">
        <v>20</v>
      </c>
      <c r="N28">
        <v>3</v>
      </c>
      <c r="O28">
        <v>5</v>
      </c>
      <c r="P28">
        <v>12</v>
      </c>
      <c r="S28">
        <v>148</v>
      </c>
      <c r="T28">
        <v>5</v>
      </c>
      <c r="U28">
        <v>6</v>
      </c>
      <c r="V28">
        <v>6</v>
      </c>
      <c r="W28">
        <v>7</v>
      </c>
      <c r="X28" t="s">
        <v>63</v>
      </c>
      <c r="Y28">
        <v>65</v>
      </c>
      <c r="Z28">
        <v>57</v>
      </c>
      <c r="AA28">
        <v>35</v>
      </c>
      <c r="AB28">
        <v>30</v>
      </c>
      <c r="AC28">
        <v>8</v>
      </c>
      <c r="AD28">
        <v>0</v>
      </c>
      <c r="AE28">
        <v>8</v>
      </c>
      <c r="AF28">
        <v>0</v>
      </c>
      <c r="AG28">
        <v>3</v>
      </c>
      <c r="AH28">
        <v>8</v>
      </c>
      <c r="AK28">
        <v>133</v>
      </c>
      <c r="AL28">
        <v>7</v>
      </c>
      <c r="AM28">
        <v>4</v>
      </c>
      <c r="AN28">
        <v>3</v>
      </c>
      <c r="AO28">
        <v>6</v>
      </c>
      <c r="AP28" t="s">
        <v>63</v>
      </c>
    </row>
    <row r="29" spans="1:42" x14ac:dyDescent="0.25">
      <c r="A29" s="16" t="s">
        <v>116</v>
      </c>
      <c r="B29" s="16" t="s">
        <v>117</v>
      </c>
      <c r="C29">
        <v>1</v>
      </c>
      <c r="D29">
        <v>1</v>
      </c>
      <c r="E29">
        <v>3</v>
      </c>
      <c r="F29">
        <v>2</v>
      </c>
      <c r="G29">
        <v>63</v>
      </c>
      <c r="H29">
        <v>76</v>
      </c>
      <c r="I29">
        <v>37</v>
      </c>
      <c r="J29">
        <v>28</v>
      </c>
      <c r="K29">
        <v>21</v>
      </c>
      <c r="L29">
        <v>9</v>
      </c>
      <c r="M29">
        <v>21</v>
      </c>
      <c r="N29">
        <v>9</v>
      </c>
      <c r="O29">
        <v>3</v>
      </c>
      <c r="P29">
        <v>14</v>
      </c>
      <c r="S29">
        <v>154</v>
      </c>
      <c r="T29">
        <v>2</v>
      </c>
      <c r="U29">
        <v>6</v>
      </c>
      <c r="V29">
        <v>6</v>
      </c>
      <c r="W29">
        <v>6</v>
      </c>
      <c r="X29">
        <v>6</v>
      </c>
      <c r="Y29">
        <v>57</v>
      </c>
      <c r="Z29">
        <v>69</v>
      </c>
      <c r="AA29">
        <v>43</v>
      </c>
      <c r="AB29">
        <v>43</v>
      </c>
      <c r="AC29">
        <v>16</v>
      </c>
      <c r="AD29">
        <v>10</v>
      </c>
      <c r="AE29">
        <v>16</v>
      </c>
      <c r="AF29">
        <v>10</v>
      </c>
      <c r="AG29">
        <v>2</v>
      </c>
      <c r="AH29">
        <v>6</v>
      </c>
      <c r="AK29">
        <v>154</v>
      </c>
      <c r="AL29">
        <v>6</v>
      </c>
      <c r="AM29">
        <v>7</v>
      </c>
      <c r="AN29">
        <v>4</v>
      </c>
      <c r="AO29">
        <v>4</v>
      </c>
      <c r="AP29">
        <v>4</v>
      </c>
    </row>
    <row r="30" spans="1:42" x14ac:dyDescent="0.25">
      <c r="A30" s="16" t="s">
        <v>118</v>
      </c>
      <c r="B30" s="16" t="s">
        <v>119</v>
      </c>
      <c r="C30">
        <v>1</v>
      </c>
      <c r="D30">
        <v>0</v>
      </c>
      <c r="E30">
        <v>0</v>
      </c>
      <c r="F30">
        <v>3</v>
      </c>
      <c r="G30">
        <v>66</v>
      </c>
      <c r="H30">
        <v>55</v>
      </c>
      <c r="I30">
        <v>34</v>
      </c>
      <c r="J30">
        <v>18</v>
      </c>
      <c r="K30">
        <v>25</v>
      </c>
      <c r="L30">
        <v>1</v>
      </c>
      <c r="M30">
        <v>48</v>
      </c>
      <c r="N30">
        <v>27</v>
      </c>
      <c r="O30">
        <v>1</v>
      </c>
      <c r="P30">
        <v>3</v>
      </c>
      <c r="Q30">
        <v>24</v>
      </c>
      <c r="R30">
        <v>50</v>
      </c>
      <c r="S30">
        <v>93</v>
      </c>
      <c r="T30">
        <v>6</v>
      </c>
      <c r="U30">
        <v>3</v>
      </c>
      <c r="V30">
        <v>6</v>
      </c>
      <c r="W30" t="s">
        <v>63</v>
      </c>
      <c r="X30" t="s">
        <v>63</v>
      </c>
      <c r="Y30">
        <v>83</v>
      </c>
      <c r="Z30">
        <v>68</v>
      </c>
      <c r="AA30">
        <v>17</v>
      </c>
      <c r="AB30">
        <v>12</v>
      </c>
      <c r="AC30">
        <v>8</v>
      </c>
      <c r="AD30">
        <v>2</v>
      </c>
      <c r="AE30">
        <v>41</v>
      </c>
      <c r="AF30">
        <v>7</v>
      </c>
      <c r="AG30">
        <v>2</v>
      </c>
      <c r="AH30">
        <v>3</v>
      </c>
      <c r="AI30">
        <v>24</v>
      </c>
      <c r="AJ30">
        <v>35</v>
      </c>
      <c r="AK30">
        <v>108</v>
      </c>
      <c r="AL30">
        <v>7</v>
      </c>
      <c r="AM30">
        <v>6</v>
      </c>
      <c r="AN30">
        <v>7</v>
      </c>
      <c r="AO30" t="s">
        <v>63</v>
      </c>
      <c r="AP30" t="s">
        <v>63</v>
      </c>
    </row>
    <row r="31" spans="1:42" x14ac:dyDescent="0.25">
      <c r="A31" s="16" t="s">
        <v>120</v>
      </c>
      <c r="B31" s="16" t="s">
        <v>121</v>
      </c>
      <c r="C31">
        <v>1</v>
      </c>
      <c r="D31">
        <v>0</v>
      </c>
      <c r="E31">
        <v>0</v>
      </c>
      <c r="F31">
        <v>3</v>
      </c>
      <c r="G31">
        <v>73</v>
      </c>
      <c r="H31">
        <v>31</v>
      </c>
      <c r="I31">
        <v>27</v>
      </c>
      <c r="J31">
        <v>6</v>
      </c>
      <c r="K31">
        <v>2</v>
      </c>
      <c r="L31">
        <v>6</v>
      </c>
      <c r="M31">
        <v>2</v>
      </c>
      <c r="N31">
        <v>6</v>
      </c>
      <c r="O31">
        <v>1</v>
      </c>
      <c r="P31">
        <v>2</v>
      </c>
      <c r="S31">
        <v>55</v>
      </c>
      <c r="T31">
        <v>4</v>
      </c>
      <c r="U31">
        <v>2</v>
      </c>
      <c r="V31">
        <v>1</v>
      </c>
      <c r="W31" t="s">
        <v>63</v>
      </c>
      <c r="X31" t="s">
        <v>63</v>
      </c>
      <c r="Y31">
        <v>53</v>
      </c>
      <c r="Z31">
        <v>31</v>
      </c>
      <c r="AA31">
        <v>47</v>
      </c>
      <c r="AB31">
        <v>19</v>
      </c>
      <c r="AC31">
        <v>4</v>
      </c>
      <c r="AD31">
        <v>3</v>
      </c>
      <c r="AE31">
        <v>4</v>
      </c>
      <c r="AF31">
        <v>3</v>
      </c>
      <c r="AG31">
        <v>7</v>
      </c>
      <c r="AH31">
        <v>12</v>
      </c>
      <c r="AK31">
        <v>95</v>
      </c>
      <c r="AL31">
        <v>6</v>
      </c>
      <c r="AM31">
        <v>6</v>
      </c>
      <c r="AN31">
        <v>6</v>
      </c>
      <c r="AO31" t="s">
        <v>63</v>
      </c>
      <c r="AP31" t="s">
        <v>63</v>
      </c>
    </row>
    <row r="32" spans="1:42" x14ac:dyDescent="0.25">
      <c r="A32" s="16" t="s">
        <v>122</v>
      </c>
      <c r="B32" s="16" t="s">
        <v>123</v>
      </c>
      <c r="C32">
        <v>1</v>
      </c>
      <c r="D32">
        <v>0</v>
      </c>
      <c r="E32">
        <v>0</v>
      </c>
      <c r="F32">
        <v>3</v>
      </c>
      <c r="G32">
        <v>60</v>
      </c>
      <c r="H32">
        <v>46</v>
      </c>
      <c r="I32">
        <v>40</v>
      </c>
      <c r="J32">
        <v>29</v>
      </c>
      <c r="K32">
        <v>3</v>
      </c>
      <c r="L32">
        <v>5</v>
      </c>
      <c r="M32">
        <v>33</v>
      </c>
      <c r="N32">
        <v>36</v>
      </c>
      <c r="O32">
        <v>2</v>
      </c>
      <c r="P32">
        <v>13</v>
      </c>
      <c r="Q32">
        <v>23</v>
      </c>
      <c r="R32">
        <v>35</v>
      </c>
      <c r="S32">
        <v>125</v>
      </c>
      <c r="T32">
        <v>5</v>
      </c>
      <c r="U32">
        <v>5</v>
      </c>
      <c r="V32">
        <v>6</v>
      </c>
      <c r="W32" t="s">
        <v>63</v>
      </c>
      <c r="X32" t="s">
        <v>63</v>
      </c>
      <c r="Y32">
        <v>62</v>
      </c>
      <c r="Z32">
        <v>63</v>
      </c>
      <c r="AA32">
        <v>38</v>
      </c>
      <c r="AB32">
        <v>20</v>
      </c>
      <c r="AC32">
        <v>19</v>
      </c>
      <c r="AD32">
        <v>13</v>
      </c>
      <c r="AE32">
        <v>58</v>
      </c>
      <c r="AF32">
        <v>66</v>
      </c>
      <c r="AG32">
        <v>4</v>
      </c>
      <c r="AH32">
        <v>11</v>
      </c>
      <c r="AI32">
        <v>29</v>
      </c>
      <c r="AJ32">
        <v>44</v>
      </c>
      <c r="AK32">
        <v>134</v>
      </c>
      <c r="AL32">
        <v>7</v>
      </c>
      <c r="AM32">
        <v>7</v>
      </c>
      <c r="AN32">
        <v>7</v>
      </c>
      <c r="AO32" t="s">
        <v>63</v>
      </c>
      <c r="AP32" t="s">
        <v>63</v>
      </c>
    </row>
    <row r="33" spans="1:42" x14ac:dyDescent="0.25">
      <c r="A33" s="16" t="s">
        <v>124</v>
      </c>
      <c r="B33" s="16" t="s">
        <v>125</v>
      </c>
      <c r="C33">
        <v>1</v>
      </c>
      <c r="D33">
        <v>1</v>
      </c>
      <c r="E33">
        <v>3</v>
      </c>
      <c r="F33">
        <v>0</v>
      </c>
      <c r="G33">
        <v>66</v>
      </c>
      <c r="H33">
        <v>39</v>
      </c>
      <c r="I33">
        <v>34</v>
      </c>
      <c r="J33">
        <v>19</v>
      </c>
      <c r="K33">
        <v>9</v>
      </c>
      <c r="L33">
        <v>0</v>
      </c>
      <c r="M33">
        <v>35</v>
      </c>
      <c r="N33">
        <v>17</v>
      </c>
      <c r="O33">
        <v>4</v>
      </c>
      <c r="P33">
        <v>14</v>
      </c>
      <c r="Q33">
        <v>13</v>
      </c>
      <c r="R33">
        <v>23</v>
      </c>
      <c r="S33">
        <v>97</v>
      </c>
      <c r="T33">
        <v>6</v>
      </c>
      <c r="U33">
        <v>6</v>
      </c>
      <c r="V33">
        <v>6</v>
      </c>
      <c r="W33" t="s">
        <v>63</v>
      </c>
      <c r="X33" t="s">
        <v>63</v>
      </c>
      <c r="Y33">
        <v>61</v>
      </c>
      <c r="Z33">
        <v>37</v>
      </c>
      <c r="AA33">
        <v>39</v>
      </c>
      <c r="AB33">
        <v>17</v>
      </c>
      <c r="AC33">
        <v>8</v>
      </c>
      <c r="AD33">
        <v>2</v>
      </c>
      <c r="AE33">
        <v>22</v>
      </c>
      <c r="AF33">
        <v>37</v>
      </c>
      <c r="AG33">
        <v>0</v>
      </c>
      <c r="AH33">
        <v>2</v>
      </c>
      <c r="AI33">
        <v>11</v>
      </c>
      <c r="AJ33">
        <v>16</v>
      </c>
      <c r="AK33">
        <v>67</v>
      </c>
      <c r="AL33">
        <v>3</v>
      </c>
      <c r="AM33">
        <v>4</v>
      </c>
      <c r="AN33">
        <v>3</v>
      </c>
      <c r="AO33" t="s">
        <v>63</v>
      </c>
      <c r="AP33" t="s">
        <v>63</v>
      </c>
    </row>
    <row r="34" spans="1:42" x14ac:dyDescent="0.25">
      <c r="A34" s="16" t="s">
        <v>126</v>
      </c>
      <c r="B34" s="16" t="s">
        <v>127</v>
      </c>
      <c r="C34">
        <v>1</v>
      </c>
      <c r="D34">
        <v>0</v>
      </c>
      <c r="E34">
        <v>0</v>
      </c>
      <c r="F34">
        <v>3</v>
      </c>
      <c r="G34">
        <v>52</v>
      </c>
      <c r="H34">
        <v>36</v>
      </c>
      <c r="I34">
        <v>48</v>
      </c>
      <c r="J34">
        <v>19</v>
      </c>
      <c r="K34">
        <v>13</v>
      </c>
      <c r="L34">
        <v>3</v>
      </c>
      <c r="M34">
        <v>34</v>
      </c>
      <c r="N34">
        <v>38</v>
      </c>
      <c r="O34">
        <v>0</v>
      </c>
      <c r="P34">
        <v>1</v>
      </c>
      <c r="Q34">
        <v>19</v>
      </c>
      <c r="R34">
        <v>34</v>
      </c>
      <c r="S34">
        <v>74</v>
      </c>
      <c r="T34">
        <v>4</v>
      </c>
      <c r="U34">
        <v>4</v>
      </c>
      <c r="V34">
        <v>2</v>
      </c>
      <c r="W34" t="s">
        <v>63</v>
      </c>
      <c r="X34" t="s">
        <v>63</v>
      </c>
      <c r="Y34">
        <v>58</v>
      </c>
      <c r="Z34">
        <v>40</v>
      </c>
      <c r="AA34">
        <v>42</v>
      </c>
      <c r="AB34">
        <v>19</v>
      </c>
      <c r="AC34">
        <v>11</v>
      </c>
      <c r="AD34">
        <v>5</v>
      </c>
      <c r="AE34">
        <v>30</v>
      </c>
      <c r="AF34">
        <v>17</v>
      </c>
      <c r="AG34">
        <v>4</v>
      </c>
      <c r="AH34">
        <v>17</v>
      </c>
      <c r="AI34">
        <v>18</v>
      </c>
      <c r="AJ34">
        <v>22</v>
      </c>
      <c r="AK34">
        <v>96</v>
      </c>
      <c r="AL34">
        <v>6</v>
      </c>
      <c r="AM34">
        <v>6</v>
      </c>
      <c r="AN34">
        <v>6</v>
      </c>
      <c r="AO34" t="s">
        <v>63</v>
      </c>
      <c r="AP34" t="s">
        <v>63</v>
      </c>
    </row>
    <row r="35" spans="1:42" x14ac:dyDescent="0.25">
      <c r="A35" s="16" t="s">
        <v>128</v>
      </c>
      <c r="B35" s="16" t="s">
        <v>129</v>
      </c>
      <c r="C35">
        <v>1</v>
      </c>
      <c r="D35">
        <v>0</v>
      </c>
      <c r="E35">
        <v>2</v>
      </c>
      <c r="F35">
        <v>2</v>
      </c>
      <c r="G35">
        <v>51</v>
      </c>
      <c r="H35">
        <v>37</v>
      </c>
      <c r="I35">
        <v>49</v>
      </c>
      <c r="J35">
        <v>29</v>
      </c>
      <c r="K35">
        <v>5</v>
      </c>
      <c r="L35">
        <v>11</v>
      </c>
      <c r="M35">
        <v>51</v>
      </c>
      <c r="N35">
        <v>54</v>
      </c>
      <c r="O35">
        <v>4</v>
      </c>
      <c r="P35">
        <v>11</v>
      </c>
      <c r="Q35">
        <v>22</v>
      </c>
      <c r="R35">
        <v>32</v>
      </c>
      <c r="S35">
        <v>104</v>
      </c>
      <c r="T35">
        <v>7</v>
      </c>
      <c r="U35">
        <v>6</v>
      </c>
      <c r="V35">
        <v>1</v>
      </c>
      <c r="W35">
        <v>0</v>
      </c>
      <c r="X35" t="s">
        <v>63</v>
      </c>
      <c r="Y35">
        <v>63</v>
      </c>
      <c r="Z35">
        <v>43</v>
      </c>
      <c r="AA35">
        <v>37</v>
      </c>
      <c r="AB35">
        <v>22</v>
      </c>
      <c r="AC35">
        <v>10</v>
      </c>
      <c r="AD35">
        <v>6</v>
      </c>
      <c r="AE35">
        <v>41</v>
      </c>
      <c r="AF35">
        <v>27</v>
      </c>
      <c r="AG35">
        <v>6</v>
      </c>
      <c r="AH35">
        <v>14</v>
      </c>
      <c r="AI35">
        <v>6</v>
      </c>
      <c r="AJ35">
        <v>15</v>
      </c>
      <c r="AK35">
        <v>121</v>
      </c>
      <c r="AL35">
        <v>6</v>
      </c>
      <c r="AM35">
        <v>4</v>
      </c>
      <c r="AN35">
        <v>6</v>
      </c>
      <c r="AO35">
        <v>2</v>
      </c>
      <c r="AP35" t="s">
        <v>63</v>
      </c>
    </row>
    <row r="36" spans="1:42" x14ac:dyDescent="0.25">
      <c r="A36" s="16" t="s">
        <v>130</v>
      </c>
      <c r="B36" s="16" t="s">
        <v>131</v>
      </c>
      <c r="C36">
        <v>1</v>
      </c>
      <c r="D36">
        <v>1</v>
      </c>
      <c r="E36">
        <v>3</v>
      </c>
      <c r="F36">
        <v>1</v>
      </c>
      <c r="G36">
        <v>58</v>
      </c>
      <c r="H36">
        <v>49</v>
      </c>
      <c r="I36">
        <v>42</v>
      </c>
      <c r="J36">
        <v>24</v>
      </c>
      <c r="K36">
        <v>5</v>
      </c>
      <c r="L36">
        <v>4</v>
      </c>
      <c r="M36">
        <v>5</v>
      </c>
      <c r="N36">
        <v>4</v>
      </c>
      <c r="O36">
        <v>9</v>
      </c>
      <c r="P36">
        <v>17</v>
      </c>
      <c r="S36">
        <v>133</v>
      </c>
      <c r="T36">
        <v>6</v>
      </c>
      <c r="U36">
        <v>6</v>
      </c>
      <c r="V36">
        <v>6</v>
      </c>
      <c r="W36">
        <v>6</v>
      </c>
      <c r="X36" t="s">
        <v>63</v>
      </c>
      <c r="Y36">
        <v>55</v>
      </c>
      <c r="Z36">
        <v>50</v>
      </c>
      <c r="AA36">
        <v>45</v>
      </c>
      <c r="AB36">
        <v>21</v>
      </c>
      <c r="AC36">
        <v>14</v>
      </c>
      <c r="AD36">
        <v>8</v>
      </c>
      <c r="AE36">
        <v>14</v>
      </c>
      <c r="AF36">
        <v>8</v>
      </c>
      <c r="AG36">
        <v>3</v>
      </c>
      <c r="AH36">
        <v>6</v>
      </c>
      <c r="AK36">
        <v>112</v>
      </c>
      <c r="AL36">
        <v>7</v>
      </c>
      <c r="AM36">
        <v>4</v>
      </c>
      <c r="AN36">
        <v>2</v>
      </c>
      <c r="AO36">
        <v>0</v>
      </c>
      <c r="AP36" t="s">
        <v>63</v>
      </c>
    </row>
    <row r="37" spans="1:42" x14ac:dyDescent="0.25">
      <c r="A37" s="16" t="s">
        <v>132</v>
      </c>
      <c r="B37" s="16" t="s">
        <v>133</v>
      </c>
      <c r="C37">
        <v>1</v>
      </c>
      <c r="D37">
        <v>1</v>
      </c>
      <c r="E37">
        <v>3</v>
      </c>
      <c r="F37">
        <v>1</v>
      </c>
      <c r="G37">
        <v>61</v>
      </c>
      <c r="H37">
        <v>59</v>
      </c>
      <c r="I37">
        <v>39</v>
      </c>
      <c r="J37">
        <v>24</v>
      </c>
      <c r="K37">
        <v>20</v>
      </c>
      <c r="L37">
        <v>6</v>
      </c>
      <c r="M37">
        <v>44</v>
      </c>
      <c r="N37">
        <v>40</v>
      </c>
      <c r="O37">
        <v>5</v>
      </c>
      <c r="P37">
        <v>14</v>
      </c>
      <c r="Q37">
        <v>7</v>
      </c>
      <c r="R37">
        <v>11</v>
      </c>
      <c r="S37">
        <v>125</v>
      </c>
      <c r="T37">
        <v>5</v>
      </c>
      <c r="U37">
        <v>6</v>
      </c>
      <c r="V37">
        <v>6</v>
      </c>
      <c r="W37">
        <v>6</v>
      </c>
      <c r="X37" t="s">
        <v>63</v>
      </c>
      <c r="Y37">
        <v>58</v>
      </c>
      <c r="Z37">
        <v>44</v>
      </c>
      <c r="AA37">
        <v>42</v>
      </c>
      <c r="AB37">
        <v>25</v>
      </c>
      <c r="AC37">
        <v>7</v>
      </c>
      <c r="AD37">
        <v>6</v>
      </c>
      <c r="AE37">
        <v>20</v>
      </c>
      <c r="AF37">
        <v>48</v>
      </c>
      <c r="AG37">
        <v>1</v>
      </c>
      <c r="AH37">
        <v>5</v>
      </c>
      <c r="AI37">
        <v>10</v>
      </c>
      <c r="AJ37">
        <v>17</v>
      </c>
      <c r="AK37">
        <v>101</v>
      </c>
      <c r="AL37">
        <v>7</v>
      </c>
      <c r="AM37">
        <v>3</v>
      </c>
      <c r="AN37">
        <v>2</v>
      </c>
      <c r="AO37">
        <v>3</v>
      </c>
      <c r="AP37" t="s">
        <v>63</v>
      </c>
    </row>
    <row r="38" spans="1:42" x14ac:dyDescent="0.25">
      <c r="A38" s="16" t="s">
        <v>134</v>
      </c>
      <c r="B38" s="16" t="s">
        <v>135</v>
      </c>
      <c r="C38">
        <v>1</v>
      </c>
      <c r="D38">
        <v>0</v>
      </c>
      <c r="E38">
        <v>2</v>
      </c>
      <c r="F38">
        <v>3</v>
      </c>
      <c r="G38">
        <v>63</v>
      </c>
      <c r="H38">
        <v>109</v>
      </c>
      <c r="I38">
        <v>37</v>
      </c>
      <c r="J38">
        <v>36</v>
      </c>
      <c r="K38">
        <v>41</v>
      </c>
      <c r="L38">
        <v>4</v>
      </c>
      <c r="M38">
        <v>111</v>
      </c>
      <c r="N38">
        <v>81</v>
      </c>
      <c r="O38">
        <v>2</v>
      </c>
      <c r="P38">
        <v>25</v>
      </c>
      <c r="Q38">
        <v>29</v>
      </c>
      <c r="R38">
        <v>44</v>
      </c>
      <c r="S38">
        <v>231</v>
      </c>
      <c r="T38">
        <v>7</v>
      </c>
      <c r="U38">
        <v>4</v>
      </c>
      <c r="V38">
        <v>6</v>
      </c>
      <c r="W38">
        <v>3</v>
      </c>
      <c r="X38">
        <v>1</v>
      </c>
      <c r="Y38">
        <v>56</v>
      </c>
      <c r="Z38">
        <v>114</v>
      </c>
      <c r="AA38">
        <v>44</v>
      </c>
      <c r="AB38">
        <v>57</v>
      </c>
      <c r="AC38">
        <v>32</v>
      </c>
      <c r="AD38">
        <v>18</v>
      </c>
      <c r="AE38">
        <v>75</v>
      </c>
      <c r="AF38">
        <v>53</v>
      </c>
      <c r="AG38">
        <v>4</v>
      </c>
      <c r="AH38">
        <v>10</v>
      </c>
      <c r="AI38">
        <v>37</v>
      </c>
      <c r="AJ38">
        <v>55</v>
      </c>
      <c r="AK38">
        <v>230</v>
      </c>
      <c r="AL38">
        <v>6</v>
      </c>
      <c r="AM38">
        <v>6</v>
      </c>
      <c r="AN38">
        <v>3</v>
      </c>
      <c r="AO38">
        <v>6</v>
      </c>
      <c r="AP38">
        <v>1</v>
      </c>
    </row>
    <row r="39" spans="1:42" x14ac:dyDescent="0.25">
      <c r="A39" s="16" t="s">
        <v>136</v>
      </c>
      <c r="B39" s="16" t="s">
        <v>137</v>
      </c>
      <c r="C39">
        <v>1</v>
      </c>
      <c r="D39">
        <v>1</v>
      </c>
      <c r="E39">
        <v>3</v>
      </c>
      <c r="F39">
        <v>2</v>
      </c>
      <c r="G39">
        <v>58</v>
      </c>
      <c r="H39">
        <v>57</v>
      </c>
      <c r="I39">
        <v>42</v>
      </c>
      <c r="J39">
        <v>30</v>
      </c>
      <c r="K39">
        <v>22</v>
      </c>
      <c r="L39">
        <v>4</v>
      </c>
      <c r="M39">
        <v>63</v>
      </c>
      <c r="N39">
        <v>53</v>
      </c>
      <c r="O39">
        <v>5</v>
      </c>
      <c r="P39">
        <v>8</v>
      </c>
      <c r="Q39">
        <v>21</v>
      </c>
      <c r="R39">
        <v>31</v>
      </c>
      <c r="S39">
        <v>145</v>
      </c>
      <c r="T39">
        <v>4</v>
      </c>
      <c r="U39">
        <v>4</v>
      </c>
      <c r="V39">
        <v>6</v>
      </c>
      <c r="W39">
        <v>6</v>
      </c>
      <c r="X39">
        <v>6</v>
      </c>
      <c r="Y39">
        <v>61</v>
      </c>
      <c r="Z39">
        <v>64</v>
      </c>
      <c r="AA39">
        <v>39</v>
      </c>
      <c r="AB39">
        <v>27</v>
      </c>
      <c r="AC39">
        <v>13</v>
      </c>
      <c r="AD39">
        <v>4</v>
      </c>
      <c r="AE39">
        <v>41</v>
      </c>
      <c r="AF39">
        <v>34</v>
      </c>
      <c r="AG39">
        <v>2</v>
      </c>
      <c r="AH39">
        <v>3</v>
      </c>
      <c r="AI39">
        <v>20</v>
      </c>
      <c r="AJ39">
        <v>29</v>
      </c>
      <c r="AK39">
        <v>124</v>
      </c>
      <c r="AL39">
        <v>6</v>
      </c>
      <c r="AM39">
        <v>6</v>
      </c>
      <c r="AN39">
        <v>3</v>
      </c>
      <c r="AO39">
        <v>3</v>
      </c>
      <c r="AP39">
        <v>2</v>
      </c>
    </row>
    <row r="40" spans="1:42" x14ac:dyDescent="0.25">
      <c r="A40" s="16" t="s">
        <v>138</v>
      </c>
      <c r="B40" s="16" t="s">
        <v>139</v>
      </c>
      <c r="C40">
        <v>1</v>
      </c>
      <c r="D40">
        <v>1</v>
      </c>
      <c r="E40">
        <v>2</v>
      </c>
      <c r="F40">
        <v>1</v>
      </c>
      <c r="G40">
        <v>53</v>
      </c>
      <c r="H40">
        <v>39</v>
      </c>
      <c r="I40">
        <v>47</v>
      </c>
      <c r="J40">
        <v>24</v>
      </c>
      <c r="K40">
        <v>8</v>
      </c>
      <c r="L40">
        <v>6</v>
      </c>
      <c r="M40">
        <v>33</v>
      </c>
      <c r="N40">
        <v>37</v>
      </c>
      <c r="O40">
        <v>4</v>
      </c>
      <c r="P40">
        <v>7</v>
      </c>
      <c r="Q40">
        <v>18</v>
      </c>
      <c r="R40">
        <v>22</v>
      </c>
      <c r="S40">
        <v>98</v>
      </c>
      <c r="T40">
        <v>4</v>
      </c>
      <c r="U40">
        <v>6</v>
      </c>
      <c r="V40">
        <v>7</v>
      </c>
      <c r="W40" t="s">
        <v>63</v>
      </c>
      <c r="X40" t="s">
        <v>63</v>
      </c>
      <c r="Y40">
        <v>60</v>
      </c>
      <c r="Z40">
        <v>41</v>
      </c>
      <c r="AA40">
        <v>40</v>
      </c>
      <c r="AB40">
        <v>16</v>
      </c>
      <c r="AC40">
        <v>4</v>
      </c>
      <c r="AD40">
        <v>9</v>
      </c>
      <c r="AE40">
        <v>21</v>
      </c>
      <c r="AF40">
        <v>36</v>
      </c>
      <c r="AG40">
        <v>4</v>
      </c>
      <c r="AH40">
        <v>8</v>
      </c>
      <c r="AI40">
        <v>8</v>
      </c>
      <c r="AJ40">
        <v>19</v>
      </c>
      <c r="AK40">
        <v>93</v>
      </c>
      <c r="AL40">
        <v>6</v>
      </c>
      <c r="AM40">
        <v>3</v>
      </c>
      <c r="AN40">
        <v>6</v>
      </c>
      <c r="AO40" t="s">
        <v>63</v>
      </c>
      <c r="AP40" t="s">
        <v>63</v>
      </c>
    </row>
    <row r="41" spans="1:42" x14ac:dyDescent="0.25">
      <c r="A41" s="16" t="s">
        <v>140</v>
      </c>
      <c r="B41" s="16" t="s">
        <v>141</v>
      </c>
      <c r="C41">
        <v>1</v>
      </c>
      <c r="D41">
        <v>1</v>
      </c>
      <c r="E41">
        <v>3</v>
      </c>
      <c r="F41">
        <v>0</v>
      </c>
      <c r="G41">
        <v>62</v>
      </c>
      <c r="H41">
        <v>37</v>
      </c>
      <c r="I41">
        <v>38</v>
      </c>
      <c r="J41">
        <v>23</v>
      </c>
      <c r="K41">
        <v>15</v>
      </c>
      <c r="L41">
        <v>1</v>
      </c>
      <c r="M41">
        <v>36</v>
      </c>
      <c r="N41">
        <v>25</v>
      </c>
      <c r="O41">
        <v>5</v>
      </c>
      <c r="P41">
        <v>13</v>
      </c>
      <c r="Q41">
        <v>12</v>
      </c>
      <c r="R41">
        <v>15</v>
      </c>
      <c r="S41">
        <v>104</v>
      </c>
      <c r="T41">
        <v>7</v>
      </c>
      <c r="U41">
        <v>6</v>
      </c>
      <c r="V41">
        <v>6</v>
      </c>
      <c r="W41" t="s">
        <v>63</v>
      </c>
      <c r="X41" t="s">
        <v>63</v>
      </c>
      <c r="Y41">
        <v>57</v>
      </c>
      <c r="Z41">
        <v>35</v>
      </c>
      <c r="AA41">
        <v>43</v>
      </c>
      <c r="AB41">
        <v>20</v>
      </c>
      <c r="AC41">
        <v>2</v>
      </c>
      <c r="AD41">
        <v>6</v>
      </c>
      <c r="AE41">
        <v>28</v>
      </c>
      <c r="AF41">
        <v>39</v>
      </c>
      <c r="AG41">
        <v>1</v>
      </c>
      <c r="AH41">
        <v>2</v>
      </c>
      <c r="AI41">
        <v>20</v>
      </c>
      <c r="AJ41">
        <v>31</v>
      </c>
      <c r="AK41">
        <v>77</v>
      </c>
      <c r="AL41">
        <v>5</v>
      </c>
      <c r="AM41">
        <v>3</v>
      </c>
      <c r="AN41">
        <v>3</v>
      </c>
      <c r="AO41" t="s">
        <v>63</v>
      </c>
      <c r="AP41" t="s">
        <v>63</v>
      </c>
    </row>
    <row r="42" spans="1:42" x14ac:dyDescent="0.25">
      <c r="A42" s="16" t="s">
        <v>142</v>
      </c>
      <c r="B42" s="16" t="s">
        <v>143</v>
      </c>
      <c r="C42">
        <v>1</v>
      </c>
      <c r="D42">
        <v>1</v>
      </c>
      <c r="E42">
        <v>2</v>
      </c>
      <c r="F42">
        <v>0</v>
      </c>
      <c r="G42">
        <v>54</v>
      </c>
      <c r="H42">
        <v>25</v>
      </c>
      <c r="I42">
        <v>46</v>
      </c>
      <c r="J42">
        <v>21</v>
      </c>
      <c r="K42">
        <v>9</v>
      </c>
      <c r="L42">
        <v>2</v>
      </c>
      <c r="M42">
        <v>27</v>
      </c>
      <c r="N42">
        <v>10</v>
      </c>
      <c r="O42">
        <v>2</v>
      </c>
      <c r="P42">
        <v>5</v>
      </c>
      <c r="Q42">
        <v>1</v>
      </c>
      <c r="R42">
        <v>3</v>
      </c>
      <c r="S42">
        <v>71</v>
      </c>
      <c r="T42">
        <v>6</v>
      </c>
      <c r="U42">
        <v>7</v>
      </c>
      <c r="V42" t="s">
        <v>63</v>
      </c>
      <c r="W42" t="s">
        <v>63</v>
      </c>
      <c r="X42" t="s">
        <v>63</v>
      </c>
      <c r="Y42">
        <v>78</v>
      </c>
      <c r="Z42">
        <v>36</v>
      </c>
      <c r="AA42">
        <v>22</v>
      </c>
      <c r="AB42">
        <v>6</v>
      </c>
      <c r="AC42">
        <v>10</v>
      </c>
      <c r="AD42">
        <v>0</v>
      </c>
      <c r="AE42">
        <v>23</v>
      </c>
      <c r="AF42">
        <v>23</v>
      </c>
      <c r="AG42">
        <v>0</v>
      </c>
      <c r="AH42">
        <v>3</v>
      </c>
      <c r="AI42">
        <v>5</v>
      </c>
      <c r="AJ42">
        <v>10</v>
      </c>
      <c r="AK42">
        <v>52</v>
      </c>
      <c r="AL42">
        <v>2</v>
      </c>
      <c r="AM42">
        <v>6</v>
      </c>
      <c r="AN42" t="s">
        <v>63</v>
      </c>
      <c r="AO42" t="s">
        <v>63</v>
      </c>
      <c r="AP42" t="s">
        <v>63</v>
      </c>
    </row>
    <row r="43" spans="1:42" x14ac:dyDescent="0.25">
      <c r="A43" s="16" t="s">
        <v>144</v>
      </c>
      <c r="B43" s="16" t="s">
        <v>145</v>
      </c>
      <c r="C43">
        <v>1</v>
      </c>
      <c r="D43">
        <v>1</v>
      </c>
      <c r="E43">
        <v>3</v>
      </c>
      <c r="F43">
        <v>0</v>
      </c>
      <c r="G43">
        <v>68</v>
      </c>
      <c r="H43">
        <v>57</v>
      </c>
      <c r="I43">
        <v>32</v>
      </c>
      <c r="J43">
        <v>13</v>
      </c>
      <c r="K43">
        <v>6</v>
      </c>
      <c r="L43">
        <v>8</v>
      </c>
      <c r="M43">
        <v>6</v>
      </c>
      <c r="N43">
        <v>8</v>
      </c>
      <c r="O43">
        <v>4</v>
      </c>
      <c r="P43">
        <v>9</v>
      </c>
      <c r="S43">
        <v>108</v>
      </c>
      <c r="T43">
        <v>6</v>
      </c>
      <c r="U43">
        <v>6</v>
      </c>
      <c r="V43">
        <v>7</v>
      </c>
      <c r="W43" t="s">
        <v>63</v>
      </c>
      <c r="X43" t="s">
        <v>63</v>
      </c>
      <c r="Y43">
        <v>63</v>
      </c>
      <c r="Z43">
        <v>38</v>
      </c>
      <c r="AA43">
        <v>37</v>
      </c>
      <c r="AB43">
        <v>16</v>
      </c>
      <c r="AC43">
        <v>4</v>
      </c>
      <c r="AD43">
        <v>1</v>
      </c>
      <c r="AE43">
        <v>4</v>
      </c>
      <c r="AF43">
        <v>1</v>
      </c>
      <c r="AG43">
        <v>0</v>
      </c>
      <c r="AH43">
        <v>8</v>
      </c>
      <c r="AK43">
        <v>86</v>
      </c>
      <c r="AL43">
        <v>4</v>
      </c>
      <c r="AM43">
        <v>2</v>
      </c>
      <c r="AN43">
        <v>5</v>
      </c>
      <c r="AO43" t="s">
        <v>63</v>
      </c>
      <c r="AP43" t="s">
        <v>63</v>
      </c>
    </row>
    <row r="44" spans="1:42" x14ac:dyDescent="0.25">
      <c r="A44" s="16" t="s">
        <v>146</v>
      </c>
      <c r="B44" s="16" t="s">
        <v>147</v>
      </c>
      <c r="C44">
        <v>1</v>
      </c>
      <c r="D44">
        <v>1</v>
      </c>
      <c r="E44">
        <v>3</v>
      </c>
      <c r="F44">
        <v>0</v>
      </c>
      <c r="G44">
        <v>69</v>
      </c>
      <c r="H44">
        <v>48</v>
      </c>
      <c r="I44">
        <v>31</v>
      </c>
      <c r="J44">
        <v>17</v>
      </c>
      <c r="K44">
        <v>15</v>
      </c>
      <c r="L44">
        <v>0</v>
      </c>
      <c r="M44">
        <v>15</v>
      </c>
      <c r="N44">
        <v>0</v>
      </c>
      <c r="O44">
        <v>5</v>
      </c>
      <c r="P44">
        <v>8</v>
      </c>
      <c r="S44">
        <v>104</v>
      </c>
      <c r="T44">
        <v>6</v>
      </c>
      <c r="U44">
        <v>7</v>
      </c>
      <c r="V44">
        <v>7</v>
      </c>
      <c r="W44" t="s">
        <v>63</v>
      </c>
      <c r="X44" t="s">
        <v>63</v>
      </c>
      <c r="Y44">
        <v>60</v>
      </c>
      <c r="Z44">
        <v>43</v>
      </c>
      <c r="AA44">
        <v>40</v>
      </c>
      <c r="AB44">
        <v>18</v>
      </c>
      <c r="AC44">
        <v>11</v>
      </c>
      <c r="AD44">
        <v>4</v>
      </c>
      <c r="AE44">
        <v>11</v>
      </c>
      <c r="AF44">
        <v>4</v>
      </c>
      <c r="AG44">
        <v>2</v>
      </c>
      <c r="AH44">
        <v>4</v>
      </c>
      <c r="AK44">
        <v>85</v>
      </c>
      <c r="AL44">
        <v>3</v>
      </c>
      <c r="AM44">
        <v>6</v>
      </c>
      <c r="AN44">
        <v>5</v>
      </c>
      <c r="AO44" t="s">
        <v>63</v>
      </c>
      <c r="AP44" t="s">
        <v>63</v>
      </c>
    </row>
    <row r="45" spans="1:42" x14ac:dyDescent="0.25">
      <c r="A45" s="16" t="s">
        <v>148</v>
      </c>
      <c r="B45" s="16" t="s">
        <v>149</v>
      </c>
      <c r="C45">
        <v>1</v>
      </c>
      <c r="D45">
        <v>1</v>
      </c>
      <c r="E45">
        <v>3</v>
      </c>
      <c r="F45">
        <v>0</v>
      </c>
      <c r="G45">
        <v>46</v>
      </c>
      <c r="H45">
        <v>25</v>
      </c>
      <c r="I45">
        <v>54</v>
      </c>
      <c r="J45">
        <v>21</v>
      </c>
      <c r="K45">
        <v>4</v>
      </c>
      <c r="L45">
        <v>2</v>
      </c>
      <c r="M45">
        <v>22</v>
      </c>
      <c r="N45">
        <v>22</v>
      </c>
      <c r="O45">
        <v>9</v>
      </c>
      <c r="P45">
        <v>17</v>
      </c>
      <c r="Q45">
        <v>11</v>
      </c>
      <c r="R45">
        <v>12</v>
      </c>
      <c r="S45">
        <v>104</v>
      </c>
      <c r="T45">
        <v>7</v>
      </c>
      <c r="U45">
        <v>6</v>
      </c>
      <c r="V45">
        <v>6</v>
      </c>
      <c r="W45" t="s">
        <v>63</v>
      </c>
      <c r="X45" t="s">
        <v>63</v>
      </c>
      <c r="Y45">
        <v>54</v>
      </c>
      <c r="Z45">
        <v>40</v>
      </c>
      <c r="AA45">
        <v>46</v>
      </c>
      <c r="AB45">
        <v>9</v>
      </c>
      <c r="AC45">
        <v>16</v>
      </c>
      <c r="AD45">
        <v>11</v>
      </c>
      <c r="AE45">
        <v>28</v>
      </c>
      <c r="AF45">
        <v>52</v>
      </c>
      <c r="AG45">
        <v>4</v>
      </c>
      <c r="AH45">
        <v>5</v>
      </c>
      <c r="AI45">
        <v>6</v>
      </c>
      <c r="AJ45">
        <v>10</v>
      </c>
      <c r="AK45">
        <v>74</v>
      </c>
      <c r="AL45">
        <v>6</v>
      </c>
      <c r="AM45">
        <v>3</v>
      </c>
      <c r="AN45">
        <v>0</v>
      </c>
      <c r="AO45" t="s">
        <v>63</v>
      </c>
      <c r="AP45" t="s">
        <v>63</v>
      </c>
    </row>
    <row r="46" spans="1:42" x14ac:dyDescent="0.25">
      <c r="A46" s="16" t="s">
        <v>150</v>
      </c>
      <c r="B46" s="16" t="s">
        <v>151</v>
      </c>
      <c r="C46">
        <v>1</v>
      </c>
      <c r="D46">
        <v>0</v>
      </c>
      <c r="E46">
        <v>0</v>
      </c>
      <c r="F46">
        <v>3</v>
      </c>
      <c r="G46">
        <v>52</v>
      </c>
      <c r="H46">
        <v>34</v>
      </c>
      <c r="I46">
        <v>48</v>
      </c>
      <c r="J46">
        <v>28</v>
      </c>
      <c r="K46">
        <v>6</v>
      </c>
      <c r="L46">
        <v>1</v>
      </c>
      <c r="M46">
        <v>6</v>
      </c>
      <c r="N46">
        <v>1</v>
      </c>
      <c r="O46">
        <v>2</v>
      </c>
      <c r="P46">
        <v>7</v>
      </c>
      <c r="S46">
        <v>89</v>
      </c>
      <c r="T46">
        <v>4</v>
      </c>
      <c r="U46">
        <v>4</v>
      </c>
      <c r="V46">
        <v>6</v>
      </c>
      <c r="W46" t="s">
        <v>63</v>
      </c>
      <c r="X46" t="s">
        <v>63</v>
      </c>
      <c r="Y46">
        <v>65</v>
      </c>
      <c r="Z46">
        <v>50</v>
      </c>
      <c r="AA46">
        <v>35</v>
      </c>
      <c r="AB46">
        <v>18</v>
      </c>
      <c r="AC46">
        <v>12</v>
      </c>
      <c r="AD46">
        <v>2</v>
      </c>
      <c r="AE46">
        <v>12</v>
      </c>
      <c r="AF46">
        <v>2</v>
      </c>
      <c r="AG46">
        <v>4</v>
      </c>
      <c r="AH46">
        <v>7</v>
      </c>
      <c r="AK46">
        <v>110</v>
      </c>
      <c r="AL46">
        <v>6</v>
      </c>
      <c r="AM46">
        <v>6</v>
      </c>
      <c r="AN46">
        <v>7</v>
      </c>
      <c r="AO46" t="s">
        <v>63</v>
      </c>
      <c r="AP46" t="s">
        <v>63</v>
      </c>
    </row>
    <row r="47" spans="1:42" x14ac:dyDescent="0.25">
      <c r="A47" s="16" t="s">
        <v>152</v>
      </c>
      <c r="B47" s="16" t="s">
        <v>153</v>
      </c>
      <c r="C47">
        <v>1</v>
      </c>
      <c r="D47">
        <v>1</v>
      </c>
      <c r="E47">
        <v>3</v>
      </c>
      <c r="F47">
        <v>0</v>
      </c>
      <c r="G47">
        <v>63</v>
      </c>
      <c r="H47">
        <v>39</v>
      </c>
      <c r="I47">
        <v>37</v>
      </c>
      <c r="J47">
        <v>19</v>
      </c>
      <c r="K47">
        <v>9</v>
      </c>
      <c r="L47">
        <v>6</v>
      </c>
      <c r="M47">
        <v>9</v>
      </c>
      <c r="N47">
        <v>6</v>
      </c>
      <c r="O47">
        <v>5</v>
      </c>
      <c r="P47">
        <v>12</v>
      </c>
      <c r="S47">
        <v>95</v>
      </c>
      <c r="T47">
        <v>6</v>
      </c>
      <c r="U47">
        <v>7</v>
      </c>
      <c r="V47">
        <v>6</v>
      </c>
      <c r="W47" t="s">
        <v>63</v>
      </c>
      <c r="X47" t="s">
        <v>63</v>
      </c>
      <c r="Y47">
        <v>72</v>
      </c>
      <c r="Z47">
        <v>47</v>
      </c>
      <c r="AA47">
        <v>28</v>
      </c>
      <c r="AB47">
        <v>12</v>
      </c>
      <c r="AC47">
        <v>10</v>
      </c>
      <c r="AD47">
        <v>5</v>
      </c>
      <c r="AE47">
        <v>10</v>
      </c>
      <c r="AF47">
        <v>5</v>
      </c>
      <c r="AG47">
        <v>0</v>
      </c>
      <c r="AH47">
        <v>2</v>
      </c>
      <c r="AK47">
        <v>74</v>
      </c>
      <c r="AL47">
        <v>4</v>
      </c>
      <c r="AM47">
        <v>5</v>
      </c>
      <c r="AN47">
        <v>1</v>
      </c>
      <c r="AO47" t="s">
        <v>63</v>
      </c>
      <c r="AP47" t="s">
        <v>63</v>
      </c>
    </row>
    <row r="48" spans="1:42" x14ac:dyDescent="0.25">
      <c r="A48" s="16" t="s">
        <v>154</v>
      </c>
      <c r="B48" s="16" t="s">
        <v>155</v>
      </c>
      <c r="C48">
        <v>1</v>
      </c>
      <c r="D48">
        <v>1</v>
      </c>
      <c r="E48">
        <v>3</v>
      </c>
      <c r="F48">
        <v>2</v>
      </c>
      <c r="G48">
        <v>57</v>
      </c>
      <c r="H48">
        <v>63</v>
      </c>
      <c r="I48">
        <v>43</v>
      </c>
      <c r="J48">
        <v>34</v>
      </c>
      <c r="K48">
        <v>18</v>
      </c>
      <c r="L48">
        <v>9</v>
      </c>
      <c r="M48">
        <v>54</v>
      </c>
      <c r="N48">
        <v>68</v>
      </c>
      <c r="O48">
        <v>11</v>
      </c>
      <c r="P48">
        <v>26</v>
      </c>
      <c r="Q48">
        <v>8</v>
      </c>
      <c r="R48">
        <v>11</v>
      </c>
      <c r="S48">
        <v>173</v>
      </c>
      <c r="T48">
        <v>7</v>
      </c>
      <c r="U48">
        <v>4</v>
      </c>
      <c r="V48">
        <v>6</v>
      </c>
      <c r="W48">
        <v>6</v>
      </c>
      <c r="X48">
        <v>6</v>
      </c>
      <c r="Y48">
        <v>67</v>
      </c>
      <c r="Z48">
        <v>67</v>
      </c>
      <c r="AA48">
        <v>33</v>
      </c>
      <c r="AB48">
        <v>22</v>
      </c>
      <c r="AC48">
        <v>11</v>
      </c>
      <c r="AD48">
        <v>2</v>
      </c>
      <c r="AE48">
        <v>39</v>
      </c>
      <c r="AF48">
        <v>73</v>
      </c>
      <c r="AG48">
        <v>7</v>
      </c>
      <c r="AH48">
        <v>20</v>
      </c>
      <c r="AI48">
        <v>10</v>
      </c>
      <c r="AJ48">
        <v>17</v>
      </c>
      <c r="AK48">
        <v>158</v>
      </c>
      <c r="AL48">
        <v>5</v>
      </c>
      <c r="AM48">
        <v>6</v>
      </c>
      <c r="AN48">
        <v>7</v>
      </c>
      <c r="AO48">
        <v>1</v>
      </c>
      <c r="AP48">
        <v>3</v>
      </c>
    </row>
    <row r="49" spans="1:42" x14ac:dyDescent="0.25">
      <c r="A49" s="16" t="s">
        <v>156</v>
      </c>
      <c r="B49" s="16" t="s">
        <v>157</v>
      </c>
      <c r="C49">
        <v>1</v>
      </c>
      <c r="D49">
        <v>1</v>
      </c>
      <c r="E49">
        <v>3</v>
      </c>
      <c r="F49">
        <v>0</v>
      </c>
      <c r="G49">
        <v>69</v>
      </c>
      <c r="H49">
        <v>33</v>
      </c>
      <c r="I49">
        <v>31</v>
      </c>
      <c r="J49">
        <v>11</v>
      </c>
      <c r="K49">
        <v>12</v>
      </c>
      <c r="L49">
        <v>2</v>
      </c>
      <c r="M49">
        <v>32</v>
      </c>
      <c r="N49">
        <v>13</v>
      </c>
      <c r="O49">
        <v>7</v>
      </c>
      <c r="P49">
        <v>13</v>
      </c>
      <c r="Q49">
        <v>4</v>
      </c>
      <c r="R49">
        <v>5</v>
      </c>
      <c r="S49">
        <v>84</v>
      </c>
      <c r="T49">
        <v>6</v>
      </c>
      <c r="U49">
        <v>6</v>
      </c>
      <c r="V49">
        <v>6</v>
      </c>
      <c r="W49" t="s">
        <v>63</v>
      </c>
      <c r="X49" t="s">
        <v>63</v>
      </c>
      <c r="Y49">
        <v>61</v>
      </c>
      <c r="Z49">
        <v>28</v>
      </c>
      <c r="AA49">
        <v>39</v>
      </c>
      <c r="AB49">
        <v>6</v>
      </c>
      <c r="AC49">
        <v>6</v>
      </c>
      <c r="AD49">
        <v>3</v>
      </c>
      <c r="AE49">
        <v>23</v>
      </c>
      <c r="AF49">
        <v>33</v>
      </c>
      <c r="AG49">
        <v>0</v>
      </c>
      <c r="AH49">
        <v>0</v>
      </c>
      <c r="AI49">
        <v>11</v>
      </c>
      <c r="AJ49">
        <v>16</v>
      </c>
      <c r="AK49">
        <v>49</v>
      </c>
      <c r="AL49">
        <v>1</v>
      </c>
      <c r="AM49">
        <v>1</v>
      </c>
      <c r="AN49">
        <v>3</v>
      </c>
      <c r="AO49" t="s">
        <v>63</v>
      </c>
      <c r="AP49" t="s">
        <v>63</v>
      </c>
    </row>
    <row r="50" spans="1:42" x14ac:dyDescent="0.25">
      <c r="A50" s="16" t="s">
        <v>158</v>
      </c>
      <c r="B50" s="16" t="s">
        <v>159</v>
      </c>
      <c r="C50">
        <v>1</v>
      </c>
      <c r="D50">
        <v>0</v>
      </c>
      <c r="E50">
        <v>1</v>
      </c>
      <c r="F50">
        <v>3</v>
      </c>
      <c r="G50">
        <v>57</v>
      </c>
      <c r="H50">
        <v>52</v>
      </c>
      <c r="I50">
        <v>43</v>
      </c>
      <c r="J50">
        <v>25</v>
      </c>
      <c r="K50">
        <v>29</v>
      </c>
      <c r="L50">
        <v>1</v>
      </c>
      <c r="M50">
        <v>55</v>
      </c>
      <c r="N50">
        <v>39</v>
      </c>
      <c r="O50">
        <v>1</v>
      </c>
      <c r="P50">
        <v>2</v>
      </c>
      <c r="Q50">
        <v>12</v>
      </c>
      <c r="R50">
        <v>18</v>
      </c>
      <c r="S50">
        <v>107</v>
      </c>
      <c r="T50">
        <v>7</v>
      </c>
      <c r="U50">
        <v>3</v>
      </c>
      <c r="V50">
        <v>4</v>
      </c>
      <c r="W50">
        <v>4</v>
      </c>
      <c r="X50" t="s">
        <v>63</v>
      </c>
      <c r="Y50">
        <v>64</v>
      </c>
      <c r="Z50">
        <v>62</v>
      </c>
      <c r="AA50">
        <v>36</v>
      </c>
      <c r="AB50">
        <v>23</v>
      </c>
      <c r="AC50">
        <v>16</v>
      </c>
      <c r="AD50">
        <v>3</v>
      </c>
      <c r="AE50">
        <v>46</v>
      </c>
      <c r="AF50">
        <v>29</v>
      </c>
      <c r="AG50">
        <v>4</v>
      </c>
      <c r="AH50">
        <v>8</v>
      </c>
      <c r="AI50">
        <v>21</v>
      </c>
      <c r="AJ50">
        <v>28</v>
      </c>
      <c r="AK50">
        <v>122</v>
      </c>
      <c r="AL50">
        <v>6</v>
      </c>
      <c r="AM50">
        <v>6</v>
      </c>
      <c r="AN50">
        <v>6</v>
      </c>
      <c r="AO50">
        <v>6</v>
      </c>
      <c r="AP50" t="s">
        <v>63</v>
      </c>
    </row>
    <row r="51" spans="1:42" x14ac:dyDescent="0.25">
      <c r="A51" s="16" t="s">
        <v>160</v>
      </c>
      <c r="B51" s="16" t="s">
        <v>161</v>
      </c>
      <c r="C51">
        <v>1</v>
      </c>
      <c r="D51">
        <v>1</v>
      </c>
      <c r="E51">
        <v>3</v>
      </c>
      <c r="F51">
        <v>0</v>
      </c>
      <c r="G51">
        <v>82</v>
      </c>
      <c r="H51">
        <v>37</v>
      </c>
      <c r="I51">
        <v>18</v>
      </c>
      <c r="J51">
        <v>7</v>
      </c>
      <c r="K51">
        <v>1</v>
      </c>
      <c r="L51">
        <v>1</v>
      </c>
      <c r="M51">
        <v>1</v>
      </c>
      <c r="N51">
        <v>1</v>
      </c>
      <c r="O51">
        <v>8</v>
      </c>
      <c r="P51">
        <v>18</v>
      </c>
      <c r="S51">
        <v>95</v>
      </c>
      <c r="T51">
        <v>6</v>
      </c>
      <c r="U51">
        <v>6</v>
      </c>
      <c r="V51">
        <v>6</v>
      </c>
      <c r="W51" t="s">
        <v>63</v>
      </c>
      <c r="X51" t="s">
        <v>63</v>
      </c>
      <c r="Y51">
        <v>61</v>
      </c>
      <c r="Z51">
        <v>28</v>
      </c>
      <c r="AA51">
        <v>39</v>
      </c>
      <c r="AB51">
        <v>10</v>
      </c>
      <c r="AC51">
        <v>8</v>
      </c>
      <c r="AD51">
        <v>5</v>
      </c>
      <c r="AE51">
        <v>8</v>
      </c>
      <c r="AF51">
        <v>5</v>
      </c>
      <c r="AG51">
        <v>1</v>
      </c>
      <c r="AH51">
        <v>2</v>
      </c>
      <c r="AK51">
        <v>55</v>
      </c>
      <c r="AL51">
        <v>2</v>
      </c>
      <c r="AM51">
        <v>1</v>
      </c>
      <c r="AN51">
        <v>1</v>
      </c>
      <c r="AO51" t="s">
        <v>63</v>
      </c>
      <c r="AP51" t="s">
        <v>63</v>
      </c>
    </row>
    <row r="52" spans="1:42" x14ac:dyDescent="0.25">
      <c r="A52" s="16" t="s">
        <v>162</v>
      </c>
      <c r="B52" s="16" t="s">
        <v>163</v>
      </c>
      <c r="C52">
        <v>1</v>
      </c>
      <c r="D52">
        <v>1</v>
      </c>
      <c r="E52">
        <v>3</v>
      </c>
      <c r="F52">
        <v>1</v>
      </c>
      <c r="G52">
        <v>54</v>
      </c>
      <c r="H52">
        <v>60</v>
      </c>
      <c r="I52">
        <v>46</v>
      </c>
      <c r="J52">
        <v>25</v>
      </c>
      <c r="K52">
        <v>34</v>
      </c>
      <c r="L52">
        <v>13</v>
      </c>
      <c r="M52">
        <v>71</v>
      </c>
      <c r="N52">
        <v>52</v>
      </c>
      <c r="O52">
        <v>6</v>
      </c>
      <c r="P52">
        <v>8</v>
      </c>
      <c r="Q52">
        <v>5</v>
      </c>
      <c r="R52">
        <v>8</v>
      </c>
      <c r="S52">
        <v>133</v>
      </c>
      <c r="T52">
        <v>6</v>
      </c>
      <c r="U52">
        <v>6</v>
      </c>
      <c r="V52">
        <v>6</v>
      </c>
      <c r="W52">
        <v>7</v>
      </c>
      <c r="X52" t="s">
        <v>63</v>
      </c>
      <c r="Y52">
        <v>53</v>
      </c>
      <c r="Z52">
        <v>45</v>
      </c>
      <c r="AA52">
        <v>47</v>
      </c>
      <c r="AB52">
        <v>31</v>
      </c>
      <c r="AC52">
        <v>12</v>
      </c>
      <c r="AD52">
        <v>5</v>
      </c>
      <c r="AE52">
        <v>38</v>
      </c>
      <c r="AF52">
        <v>36</v>
      </c>
      <c r="AG52">
        <v>3</v>
      </c>
      <c r="AH52">
        <v>7</v>
      </c>
      <c r="AI52">
        <v>6</v>
      </c>
      <c r="AJ52">
        <v>6</v>
      </c>
      <c r="AK52">
        <v>114</v>
      </c>
      <c r="AL52">
        <v>3</v>
      </c>
      <c r="AM52">
        <v>7</v>
      </c>
      <c r="AN52">
        <v>2</v>
      </c>
      <c r="AO52">
        <v>6</v>
      </c>
      <c r="AP52" t="s">
        <v>63</v>
      </c>
    </row>
    <row r="53" spans="1:42" x14ac:dyDescent="0.25">
      <c r="A53" s="16" t="s">
        <v>164</v>
      </c>
      <c r="B53" s="16" t="s">
        <v>165</v>
      </c>
      <c r="C53">
        <v>1</v>
      </c>
      <c r="D53">
        <v>1</v>
      </c>
      <c r="E53">
        <v>3</v>
      </c>
      <c r="F53">
        <v>0</v>
      </c>
      <c r="G53">
        <v>57</v>
      </c>
      <c r="H53">
        <v>54</v>
      </c>
      <c r="I53">
        <v>43</v>
      </c>
      <c r="J53">
        <v>22</v>
      </c>
      <c r="K53">
        <v>24</v>
      </c>
      <c r="L53">
        <v>6</v>
      </c>
      <c r="M53">
        <v>58</v>
      </c>
      <c r="N53">
        <v>25</v>
      </c>
      <c r="O53">
        <v>3</v>
      </c>
      <c r="P53">
        <v>12</v>
      </c>
      <c r="Q53">
        <v>22</v>
      </c>
      <c r="R53">
        <v>35</v>
      </c>
      <c r="S53">
        <v>117</v>
      </c>
      <c r="T53">
        <v>7</v>
      </c>
      <c r="U53">
        <v>6</v>
      </c>
      <c r="V53">
        <v>6</v>
      </c>
      <c r="W53" t="s">
        <v>63</v>
      </c>
      <c r="X53" t="s">
        <v>63</v>
      </c>
      <c r="Y53">
        <v>59</v>
      </c>
      <c r="Z53">
        <v>47</v>
      </c>
      <c r="AA53">
        <v>41</v>
      </c>
      <c r="AB53">
        <v>20</v>
      </c>
      <c r="AC53">
        <v>12</v>
      </c>
      <c r="AD53">
        <v>3</v>
      </c>
      <c r="AE53">
        <v>36</v>
      </c>
      <c r="AF53">
        <v>14</v>
      </c>
      <c r="AG53">
        <v>1</v>
      </c>
      <c r="AH53">
        <v>4</v>
      </c>
      <c r="AI53">
        <v>15</v>
      </c>
      <c r="AJ53">
        <v>32</v>
      </c>
      <c r="AK53">
        <v>97</v>
      </c>
      <c r="AL53">
        <v>6</v>
      </c>
      <c r="AM53">
        <v>3</v>
      </c>
      <c r="AN53">
        <v>4</v>
      </c>
      <c r="AO53" t="s">
        <v>63</v>
      </c>
      <c r="AP53" t="s">
        <v>63</v>
      </c>
    </row>
    <row r="54" spans="1:42" x14ac:dyDescent="0.25">
      <c r="A54" s="16" t="s">
        <v>166</v>
      </c>
      <c r="B54" s="16" t="s">
        <v>167</v>
      </c>
      <c r="C54">
        <v>1</v>
      </c>
      <c r="D54">
        <v>0</v>
      </c>
      <c r="E54">
        <v>1</v>
      </c>
      <c r="F54">
        <v>3</v>
      </c>
      <c r="G54">
        <v>58</v>
      </c>
      <c r="H54">
        <v>54</v>
      </c>
      <c r="I54">
        <v>42</v>
      </c>
      <c r="J54">
        <v>28</v>
      </c>
      <c r="K54">
        <v>10</v>
      </c>
      <c r="L54">
        <v>9</v>
      </c>
      <c r="M54">
        <v>10</v>
      </c>
      <c r="N54">
        <v>9</v>
      </c>
      <c r="O54">
        <v>0</v>
      </c>
      <c r="P54">
        <v>0</v>
      </c>
      <c r="S54">
        <v>105</v>
      </c>
      <c r="T54">
        <v>7</v>
      </c>
      <c r="U54">
        <v>4</v>
      </c>
      <c r="V54">
        <v>4</v>
      </c>
      <c r="W54">
        <v>3</v>
      </c>
      <c r="X54" t="s">
        <v>63</v>
      </c>
      <c r="Y54">
        <v>57</v>
      </c>
      <c r="Z54">
        <v>55</v>
      </c>
      <c r="AA54">
        <v>43</v>
      </c>
      <c r="AB54">
        <v>30</v>
      </c>
      <c r="AC54">
        <v>14</v>
      </c>
      <c r="AD54">
        <v>4</v>
      </c>
      <c r="AE54">
        <v>14</v>
      </c>
      <c r="AF54">
        <v>4</v>
      </c>
      <c r="AG54">
        <v>4</v>
      </c>
      <c r="AH54">
        <v>8</v>
      </c>
      <c r="AK54">
        <v>133</v>
      </c>
      <c r="AL54">
        <v>6</v>
      </c>
      <c r="AM54">
        <v>6</v>
      </c>
      <c r="AN54">
        <v>6</v>
      </c>
      <c r="AO54">
        <v>6</v>
      </c>
      <c r="AP54" t="s">
        <v>63</v>
      </c>
    </row>
    <row r="55" spans="1:42" x14ac:dyDescent="0.25">
      <c r="A55" s="16" t="s">
        <v>168</v>
      </c>
      <c r="B55" s="16" t="s">
        <v>169</v>
      </c>
      <c r="C55">
        <v>1</v>
      </c>
      <c r="D55">
        <v>0</v>
      </c>
      <c r="E55">
        <v>0</v>
      </c>
      <c r="F55">
        <v>3</v>
      </c>
      <c r="G55">
        <v>63</v>
      </c>
      <c r="H55">
        <v>32</v>
      </c>
      <c r="I55">
        <v>37</v>
      </c>
      <c r="J55">
        <v>12</v>
      </c>
      <c r="K55">
        <v>1</v>
      </c>
      <c r="L55">
        <v>3</v>
      </c>
      <c r="M55">
        <v>1</v>
      </c>
      <c r="N55">
        <v>3</v>
      </c>
      <c r="O55">
        <v>3</v>
      </c>
      <c r="P55">
        <v>7</v>
      </c>
      <c r="S55">
        <v>76</v>
      </c>
      <c r="T55">
        <v>3</v>
      </c>
      <c r="U55">
        <v>2</v>
      </c>
      <c r="V55">
        <v>1</v>
      </c>
      <c r="W55" t="s">
        <v>63</v>
      </c>
      <c r="X55" t="s">
        <v>63</v>
      </c>
      <c r="Y55">
        <v>62</v>
      </c>
      <c r="Z55">
        <v>33</v>
      </c>
      <c r="AA55">
        <v>38</v>
      </c>
      <c r="AB55">
        <v>11</v>
      </c>
      <c r="AC55">
        <v>9</v>
      </c>
      <c r="AD55">
        <v>5</v>
      </c>
      <c r="AE55">
        <v>9</v>
      </c>
      <c r="AF55">
        <v>5</v>
      </c>
      <c r="AG55">
        <v>9</v>
      </c>
      <c r="AH55">
        <v>19</v>
      </c>
      <c r="AK55">
        <v>101</v>
      </c>
      <c r="AL55">
        <v>6</v>
      </c>
      <c r="AM55">
        <v>6</v>
      </c>
      <c r="AN55">
        <v>6</v>
      </c>
      <c r="AO55" t="s">
        <v>63</v>
      </c>
      <c r="AP55" t="s">
        <v>63</v>
      </c>
    </row>
    <row r="56" spans="1:42" x14ac:dyDescent="0.25">
      <c r="A56" s="16" t="s">
        <v>170</v>
      </c>
      <c r="B56" s="16" t="s">
        <v>171</v>
      </c>
      <c r="C56">
        <v>1</v>
      </c>
      <c r="D56">
        <v>0</v>
      </c>
      <c r="E56">
        <v>0</v>
      </c>
      <c r="F56">
        <v>3</v>
      </c>
      <c r="G56">
        <v>55</v>
      </c>
      <c r="H56">
        <v>44</v>
      </c>
      <c r="I56">
        <v>45</v>
      </c>
      <c r="J56">
        <v>22</v>
      </c>
      <c r="K56">
        <v>8</v>
      </c>
      <c r="L56">
        <v>6</v>
      </c>
      <c r="M56">
        <v>36</v>
      </c>
      <c r="N56">
        <v>59</v>
      </c>
      <c r="O56">
        <v>1</v>
      </c>
      <c r="P56">
        <v>6</v>
      </c>
      <c r="Q56">
        <v>5</v>
      </c>
      <c r="R56">
        <v>7</v>
      </c>
      <c r="S56">
        <v>103</v>
      </c>
      <c r="T56">
        <v>6</v>
      </c>
      <c r="U56">
        <v>6</v>
      </c>
      <c r="V56">
        <v>3</v>
      </c>
      <c r="W56" t="s">
        <v>63</v>
      </c>
      <c r="X56" t="s">
        <v>63</v>
      </c>
      <c r="Y56">
        <v>66</v>
      </c>
      <c r="Z56">
        <v>60</v>
      </c>
      <c r="AA56">
        <v>34</v>
      </c>
      <c r="AB56">
        <v>23</v>
      </c>
      <c r="AC56">
        <v>9</v>
      </c>
      <c r="AD56">
        <v>4</v>
      </c>
      <c r="AE56">
        <v>24</v>
      </c>
      <c r="AF56">
        <v>34</v>
      </c>
      <c r="AG56">
        <v>2</v>
      </c>
      <c r="AH56">
        <v>6</v>
      </c>
      <c r="AI56">
        <v>10</v>
      </c>
      <c r="AJ56">
        <v>12</v>
      </c>
      <c r="AK56">
        <v>121</v>
      </c>
      <c r="AL56">
        <v>7</v>
      </c>
      <c r="AM56">
        <v>7</v>
      </c>
      <c r="AN56">
        <v>6</v>
      </c>
      <c r="AO56" t="s">
        <v>63</v>
      </c>
      <c r="AP56" t="s">
        <v>63</v>
      </c>
    </row>
    <row r="57" spans="1:42" x14ac:dyDescent="0.25">
      <c r="A57" s="16" t="s">
        <v>172</v>
      </c>
      <c r="B57" s="16" t="s">
        <v>173</v>
      </c>
      <c r="C57">
        <v>1</v>
      </c>
      <c r="D57">
        <v>1</v>
      </c>
      <c r="E57">
        <v>3</v>
      </c>
      <c r="F57">
        <v>1</v>
      </c>
      <c r="G57">
        <v>64</v>
      </c>
      <c r="H57">
        <v>56</v>
      </c>
      <c r="I57">
        <v>36</v>
      </c>
      <c r="J57">
        <v>17</v>
      </c>
      <c r="K57">
        <v>21</v>
      </c>
      <c r="L57">
        <v>7</v>
      </c>
      <c r="M57">
        <v>48</v>
      </c>
      <c r="N57">
        <v>29</v>
      </c>
      <c r="O57">
        <v>7</v>
      </c>
      <c r="P57">
        <v>20</v>
      </c>
      <c r="Q57">
        <v>21</v>
      </c>
      <c r="R57">
        <v>30</v>
      </c>
      <c r="S57">
        <v>127</v>
      </c>
      <c r="T57">
        <v>7</v>
      </c>
      <c r="U57">
        <v>6</v>
      </c>
      <c r="V57">
        <v>4</v>
      </c>
      <c r="W57">
        <v>6</v>
      </c>
      <c r="X57" t="s">
        <v>63</v>
      </c>
      <c r="Y57">
        <v>56</v>
      </c>
      <c r="Z57">
        <v>43</v>
      </c>
      <c r="AA57">
        <v>44</v>
      </c>
      <c r="AB57">
        <v>25</v>
      </c>
      <c r="AC57">
        <v>5</v>
      </c>
      <c r="AD57">
        <v>5</v>
      </c>
      <c r="AE57">
        <v>22</v>
      </c>
      <c r="AF57">
        <v>33</v>
      </c>
      <c r="AG57">
        <v>3</v>
      </c>
      <c r="AH57">
        <v>6</v>
      </c>
      <c r="AI57">
        <v>8</v>
      </c>
      <c r="AJ57">
        <v>12</v>
      </c>
      <c r="AK57">
        <v>96</v>
      </c>
      <c r="AL57">
        <v>6</v>
      </c>
      <c r="AM57">
        <v>1</v>
      </c>
      <c r="AN57">
        <v>6</v>
      </c>
      <c r="AO57">
        <v>2</v>
      </c>
      <c r="AP57" t="s">
        <v>63</v>
      </c>
    </row>
    <row r="58" spans="1:42" x14ac:dyDescent="0.25">
      <c r="A58" s="16" t="s">
        <v>174</v>
      </c>
      <c r="B58" s="16" t="s">
        <v>175</v>
      </c>
      <c r="C58">
        <v>1</v>
      </c>
      <c r="D58">
        <v>0</v>
      </c>
      <c r="E58">
        <v>2</v>
      </c>
      <c r="F58">
        <v>3</v>
      </c>
      <c r="G58">
        <v>61</v>
      </c>
      <c r="H58">
        <v>69</v>
      </c>
      <c r="I58">
        <v>39</v>
      </c>
      <c r="J58">
        <v>29</v>
      </c>
      <c r="K58">
        <v>14</v>
      </c>
      <c r="L58">
        <v>9</v>
      </c>
      <c r="M58">
        <v>46</v>
      </c>
      <c r="N58">
        <v>63</v>
      </c>
      <c r="O58">
        <v>3</v>
      </c>
      <c r="P58">
        <v>9</v>
      </c>
      <c r="Q58">
        <v>16</v>
      </c>
      <c r="R58">
        <v>30</v>
      </c>
      <c r="S58">
        <v>147</v>
      </c>
      <c r="T58">
        <v>3</v>
      </c>
      <c r="U58">
        <v>7</v>
      </c>
      <c r="V58">
        <v>2</v>
      </c>
      <c r="W58">
        <v>6</v>
      </c>
      <c r="X58">
        <v>2</v>
      </c>
      <c r="Y58">
        <v>66</v>
      </c>
      <c r="Z58">
        <v>68</v>
      </c>
      <c r="AA58">
        <v>34</v>
      </c>
      <c r="AB58">
        <v>25</v>
      </c>
      <c r="AC58">
        <v>6</v>
      </c>
      <c r="AD58">
        <v>6</v>
      </c>
      <c r="AE58">
        <v>44</v>
      </c>
      <c r="AF58">
        <v>50</v>
      </c>
      <c r="AG58">
        <v>7</v>
      </c>
      <c r="AH58">
        <v>15</v>
      </c>
      <c r="AI58">
        <v>11</v>
      </c>
      <c r="AJ58">
        <v>16</v>
      </c>
      <c r="AK58">
        <v>167</v>
      </c>
      <c r="AL58">
        <v>6</v>
      </c>
      <c r="AM58">
        <v>5</v>
      </c>
      <c r="AN58">
        <v>6</v>
      </c>
      <c r="AO58">
        <v>4</v>
      </c>
      <c r="AP58">
        <v>6</v>
      </c>
    </row>
    <row r="59" spans="1:42" x14ac:dyDescent="0.25">
      <c r="A59" s="16" t="s">
        <v>176</v>
      </c>
      <c r="B59" s="16" t="s">
        <v>177</v>
      </c>
      <c r="C59">
        <v>1</v>
      </c>
      <c r="D59">
        <v>1</v>
      </c>
      <c r="E59">
        <v>3</v>
      </c>
      <c r="F59">
        <v>1</v>
      </c>
      <c r="G59">
        <v>61</v>
      </c>
      <c r="H59">
        <v>53</v>
      </c>
      <c r="I59">
        <v>39</v>
      </c>
      <c r="J59">
        <v>30</v>
      </c>
      <c r="K59">
        <v>7</v>
      </c>
      <c r="L59">
        <v>7</v>
      </c>
      <c r="M59">
        <v>28</v>
      </c>
      <c r="N59">
        <v>57</v>
      </c>
      <c r="O59">
        <v>5</v>
      </c>
      <c r="P59">
        <v>10</v>
      </c>
      <c r="Q59">
        <v>8</v>
      </c>
      <c r="R59">
        <v>17</v>
      </c>
      <c r="S59">
        <v>141</v>
      </c>
      <c r="T59">
        <v>6</v>
      </c>
      <c r="U59">
        <v>7</v>
      </c>
      <c r="V59">
        <v>4</v>
      </c>
      <c r="W59">
        <v>6</v>
      </c>
      <c r="X59" t="s">
        <v>63</v>
      </c>
      <c r="Y59">
        <v>61</v>
      </c>
      <c r="Z59">
        <v>55</v>
      </c>
      <c r="AA59">
        <v>39</v>
      </c>
      <c r="AB59">
        <v>22</v>
      </c>
      <c r="AC59">
        <v>2</v>
      </c>
      <c r="AD59">
        <v>10</v>
      </c>
      <c r="AE59">
        <v>41</v>
      </c>
      <c r="AF59">
        <v>88</v>
      </c>
      <c r="AG59">
        <v>4</v>
      </c>
      <c r="AH59">
        <v>8</v>
      </c>
      <c r="AI59">
        <v>23</v>
      </c>
      <c r="AJ59">
        <v>39</v>
      </c>
      <c r="AK59">
        <v>126</v>
      </c>
      <c r="AL59">
        <v>4</v>
      </c>
      <c r="AM59">
        <v>6</v>
      </c>
      <c r="AN59">
        <v>6</v>
      </c>
      <c r="AO59">
        <v>3</v>
      </c>
      <c r="AP59" t="s">
        <v>63</v>
      </c>
    </row>
    <row r="60" spans="1:42" x14ac:dyDescent="0.25">
      <c r="A60" s="16" t="s">
        <v>178</v>
      </c>
      <c r="B60" s="16" t="s">
        <v>179</v>
      </c>
      <c r="C60">
        <v>1</v>
      </c>
      <c r="D60">
        <v>0</v>
      </c>
      <c r="E60">
        <v>1</v>
      </c>
      <c r="F60">
        <v>3</v>
      </c>
      <c r="G60">
        <v>67</v>
      </c>
      <c r="H60">
        <v>56</v>
      </c>
      <c r="I60">
        <v>33</v>
      </c>
      <c r="J60">
        <v>18</v>
      </c>
      <c r="K60">
        <v>11</v>
      </c>
      <c r="L60">
        <v>6</v>
      </c>
      <c r="M60">
        <v>38</v>
      </c>
      <c r="N60">
        <v>56</v>
      </c>
      <c r="O60">
        <v>1</v>
      </c>
      <c r="P60">
        <v>4</v>
      </c>
      <c r="Q60">
        <v>13</v>
      </c>
      <c r="R60">
        <v>15</v>
      </c>
      <c r="S60">
        <v>106</v>
      </c>
      <c r="T60">
        <v>7</v>
      </c>
      <c r="U60">
        <v>6</v>
      </c>
      <c r="V60">
        <v>2</v>
      </c>
      <c r="W60">
        <v>0</v>
      </c>
      <c r="X60" t="s">
        <v>63</v>
      </c>
      <c r="Y60">
        <v>73</v>
      </c>
      <c r="Z60">
        <v>58</v>
      </c>
      <c r="AA60">
        <v>27</v>
      </c>
      <c r="AB60">
        <v>16</v>
      </c>
      <c r="AC60">
        <v>0</v>
      </c>
      <c r="AD60">
        <v>5</v>
      </c>
      <c r="AE60">
        <v>34</v>
      </c>
      <c r="AF60">
        <v>33</v>
      </c>
      <c r="AG60">
        <v>2</v>
      </c>
      <c r="AH60">
        <v>7</v>
      </c>
      <c r="AI60">
        <v>29</v>
      </c>
      <c r="AJ60">
        <v>40</v>
      </c>
      <c r="AK60">
        <v>124</v>
      </c>
      <c r="AL60">
        <v>6</v>
      </c>
      <c r="AM60">
        <v>7</v>
      </c>
      <c r="AN60">
        <v>6</v>
      </c>
      <c r="AO60">
        <v>1</v>
      </c>
      <c r="AP60" t="s">
        <v>63</v>
      </c>
    </row>
    <row r="61" spans="1:42" x14ac:dyDescent="0.25">
      <c r="A61" s="16" t="s">
        <v>180</v>
      </c>
      <c r="B61" s="16" t="s">
        <v>181</v>
      </c>
      <c r="C61">
        <v>1</v>
      </c>
      <c r="D61">
        <v>1</v>
      </c>
      <c r="E61">
        <v>3</v>
      </c>
      <c r="F61">
        <v>2</v>
      </c>
      <c r="G61">
        <v>59</v>
      </c>
      <c r="H61">
        <v>72</v>
      </c>
      <c r="I61">
        <v>41</v>
      </c>
      <c r="J61">
        <v>40</v>
      </c>
      <c r="K61">
        <v>17</v>
      </c>
      <c r="L61">
        <v>5</v>
      </c>
      <c r="M61">
        <v>67</v>
      </c>
      <c r="N61">
        <v>59</v>
      </c>
      <c r="O61">
        <v>7</v>
      </c>
      <c r="P61">
        <v>18</v>
      </c>
      <c r="Q61">
        <v>8</v>
      </c>
      <c r="R61">
        <v>11</v>
      </c>
      <c r="S61">
        <v>175</v>
      </c>
      <c r="T61">
        <v>7</v>
      </c>
      <c r="U61">
        <v>6</v>
      </c>
      <c r="V61">
        <v>5</v>
      </c>
      <c r="W61">
        <v>5</v>
      </c>
      <c r="X61">
        <v>7</v>
      </c>
      <c r="Y61">
        <v>51</v>
      </c>
      <c r="Z61">
        <v>76</v>
      </c>
      <c r="AA61">
        <v>49</v>
      </c>
      <c r="AB61">
        <v>38</v>
      </c>
      <c r="AC61">
        <v>23</v>
      </c>
      <c r="AD61">
        <v>5</v>
      </c>
      <c r="AE61">
        <v>54</v>
      </c>
      <c r="AF61">
        <v>61</v>
      </c>
      <c r="AG61">
        <v>7</v>
      </c>
      <c r="AH61">
        <v>13</v>
      </c>
      <c r="AI61">
        <v>23</v>
      </c>
      <c r="AJ61">
        <v>40</v>
      </c>
      <c r="AK61">
        <v>178</v>
      </c>
      <c r="AL61">
        <v>6</v>
      </c>
      <c r="AM61">
        <v>3</v>
      </c>
      <c r="AN61">
        <v>7</v>
      </c>
      <c r="AO61">
        <v>7</v>
      </c>
      <c r="AP61">
        <v>5</v>
      </c>
    </row>
    <row r="62" spans="1:42" x14ac:dyDescent="0.25">
      <c r="A62" s="16" t="s">
        <v>182</v>
      </c>
      <c r="B62" s="16" t="s">
        <v>183</v>
      </c>
      <c r="C62">
        <v>1</v>
      </c>
      <c r="D62">
        <v>0</v>
      </c>
      <c r="E62">
        <v>0</v>
      </c>
      <c r="F62">
        <v>3</v>
      </c>
      <c r="G62">
        <v>62</v>
      </c>
      <c r="H62">
        <v>42</v>
      </c>
      <c r="I62">
        <v>38</v>
      </c>
      <c r="J62">
        <v>17</v>
      </c>
      <c r="K62">
        <v>2</v>
      </c>
      <c r="L62">
        <v>1</v>
      </c>
      <c r="M62">
        <v>19</v>
      </c>
      <c r="N62">
        <v>23</v>
      </c>
      <c r="O62">
        <v>0</v>
      </c>
      <c r="P62">
        <v>0</v>
      </c>
      <c r="Q62">
        <v>13</v>
      </c>
      <c r="R62">
        <v>20</v>
      </c>
      <c r="S62">
        <v>76</v>
      </c>
      <c r="T62">
        <v>4</v>
      </c>
      <c r="U62">
        <v>4</v>
      </c>
      <c r="V62">
        <v>4</v>
      </c>
      <c r="W62" t="s">
        <v>63</v>
      </c>
      <c r="X62" t="s">
        <v>63</v>
      </c>
      <c r="Y62">
        <v>64</v>
      </c>
      <c r="Z62">
        <v>43</v>
      </c>
      <c r="AA62">
        <v>36</v>
      </c>
      <c r="AB62">
        <v>18</v>
      </c>
      <c r="AC62">
        <v>9</v>
      </c>
      <c r="AD62">
        <v>5</v>
      </c>
      <c r="AE62">
        <v>43</v>
      </c>
      <c r="AF62">
        <v>27</v>
      </c>
      <c r="AG62">
        <v>3</v>
      </c>
      <c r="AH62">
        <v>4</v>
      </c>
      <c r="AI62">
        <v>18</v>
      </c>
      <c r="AJ62">
        <v>22</v>
      </c>
      <c r="AK62">
        <v>95</v>
      </c>
      <c r="AL62">
        <v>6</v>
      </c>
      <c r="AM62">
        <v>6</v>
      </c>
      <c r="AN62">
        <v>6</v>
      </c>
      <c r="AO62" t="s">
        <v>63</v>
      </c>
      <c r="AP62" t="s">
        <v>63</v>
      </c>
    </row>
    <row r="63" spans="1:42" x14ac:dyDescent="0.25">
      <c r="A63" s="16" t="s">
        <v>184</v>
      </c>
      <c r="B63" s="16" t="s">
        <v>185</v>
      </c>
      <c r="C63">
        <v>1</v>
      </c>
      <c r="D63">
        <v>0</v>
      </c>
      <c r="E63">
        <v>1</v>
      </c>
      <c r="F63">
        <v>3</v>
      </c>
      <c r="G63">
        <v>49</v>
      </c>
      <c r="H63">
        <v>51</v>
      </c>
      <c r="I63">
        <v>51</v>
      </c>
      <c r="J63">
        <v>36</v>
      </c>
      <c r="K63">
        <v>6</v>
      </c>
      <c r="L63">
        <v>8</v>
      </c>
      <c r="M63">
        <v>6</v>
      </c>
      <c r="N63">
        <v>8</v>
      </c>
      <c r="O63">
        <v>2</v>
      </c>
      <c r="P63">
        <v>12</v>
      </c>
      <c r="S63">
        <v>138</v>
      </c>
      <c r="T63">
        <v>6</v>
      </c>
      <c r="U63">
        <v>7</v>
      </c>
      <c r="V63">
        <v>2</v>
      </c>
      <c r="W63">
        <v>4</v>
      </c>
      <c r="X63" t="s">
        <v>63</v>
      </c>
      <c r="Y63">
        <v>50</v>
      </c>
      <c r="Z63">
        <v>54</v>
      </c>
      <c r="AA63">
        <v>50</v>
      </c>
      <c r="AB63">
        <v>43</v>
      </c>
      <c r="AC63">
        <v>16</v>
      </c>
      <c r="AD63">
        <v>12</v>
      </c>
      <c r="AE63">
        <v>16</v>
      </c>
      <c r="AF63">
        <v>12</v>
      </c>
      <c r="AG63">
        <v>4</v>
      </c>
      <c r="AH63">
        <v>10</v>
      </c>
      <c r="AK63">
        <v>146</v>
      </c>
      <c r="AL63">
        <v>7</v>
      </c>
      <c r="AM63">
        <v>5</v>
      </c>
      <c r="AN63">
        <v>6</v>
      </c>
      <c r="AO63">
        <v>6</v>
      </c>
      <c r="AP63" t="s">
        <v>63</v>
      </c>
    </row>
    <row r="64" spans="1:42" x14ac:dyDescent="0.25">
      <c r="A64" s="16" t="s">
        <v>186</v>
      </c>
      <c r="B64" s="16" t="s">
        <v>187</v>
      </c>
      <c r="C64">
        <v>1</v>
      </c>
      <c r="D64">
        <v>1</v>
      </c>
      <c r="E64">
        <v>3</v>
      </c>
      <c r="F64">
        <v>1</v>
      </c>
      <c r="G64">
        <v>54</v>
      </c>
      <c r="H64">
        <v>55</v>
      </c>
      <c r="I64">
        <v>46</v>
      </c>
      <c r="J64">
        <v>36</v>
      </c>
      <c r="K64">
        <v>8</v>
      </c>
      <c r="L64">
        <v>9</v>
      </c>
      <c r="M64">
        <v>54</v>
      </c>
      <c r="N64">
        <v>45</v>
      </c>
      <c r="O64">
        <v>3</v>
      </c>
      <c r="P64">
        <v>5</v>
      </c>
      <c r="Q64">
        <v>14</v>
      </c>
      <c r="R64">
        <v>23</v>
      </c>
      <c r="S64">
        <v>135</v>
      </c>
      <c r="T64">
        <v>7</v>
      </c>
      <c r="U64">
        <v>0</v>
      </c>
      <c r="V64">
        <v>7</v>
      </c>
      <c r="W64">
        <v>6</v>
      </c>
      <c r="X64" t="s">
        <v>63</v>
      </c>
      <c r="Y64">
        <v>59</v>
      </c>
      <c r="Z64">
        <v>56</v>
      </c>
      <c r="AA64">
        <v>41</v>
      </c>
      <c r="AB64">
        <v>23</v>
      </c>
      <c r="AC64">
        <v>20</v>
      </c>
      <c r="AD64">
        <v>5</v>
      </c>
      <c r="AE64">
        <v>53</v>
      </c>
      <c r="AF64">
        <v>47</v>
      </c>
      <c r="AG64">
        <v>4</v>
      </c>
      <c r="AH64">
        <v>9</v>
      </c>
      <c r="AI64">
        <v>23</v>
      </c>
      <c r="AJ64">
        <v>36</v>
      </c>
      <c r="AK64">
        <v>135</v>
      </c>
      <c r="AL64">
        <v>6</v>
      </c>
      <c r="AM64">
        <v>6</v>
      </c>
      <c r="AN64">
        <v>6</v>
      </c>
      <c r="AO64">
        <v>2</v>
      </c>
      <c r="AP64" t="s">
        <v>63</v>
      </c>
    </row>
    <row r="65" spans="1:42" x14ac:dyDescent="0.25">
      <c r="A65" s="16" t="s">
        <v>188</v>
      </c>
      <c r="B65" s="16" t="s">
        <v>189</v>
      </c>
      <c r="C65">
        <v>1</v>
      </c>
      <c r="D65">
        <v>1</v>
      </c>
      <c r="E65">
        <v>1</v>
      </c>
      <c r="F65">
        <v>0</v>
      </c>
      <c r="G65">
        <v>62</v>
      </c>
      <c r="H65">
        <v>14</v>
      </c>
      <c r="I65">
        <v>38</v>
      </c>
      <c r="J65">
        <v>6</v>
      </c>
      <c r="K65">
        <v>5</v>
      </c>
      <c r="L65">
        <v>1</v>
      </c>
      <c r="M65">
        <v>13</v>
      </c>
      <c r="N65">
        <v>5</v>
      </c>
      <c r="O65">
        <v>1</v>
      </c>
      <c r="P65">
        <v>1</v>
      </c>
      <c r="Q65">
        <v>5</v>
      </c>
      <c r="R65">
        <v>5</v>
      </c>
      <c r="S65">
        <v>30</v>
      </c>
      <c r="T65">
        <v>6</v>
      </c>
      <c r="U65" t="s">
        <v>63</v>
      </c>
      <c r="V65" t="s">
        <v>63</v>
      </c>
      <c r="W65" t="s">
        <v>63</v>
      </c>
      <c r="X65" t="s">
        <v>63</v>
      </c>
      <c r="Y65">
        <v>71</v>
      </c>
      <c r="Z65">
        <v>15</v>
      </c>
      <c r="AA65">
        <v>29</v>
      </c>
      <c r="AB65">
        <v>3</v>
      </c>
      <c r="AC65">
        <v>3</v>
      </c>
      <c r="AD65">
        <v>1</v>
      </c>
      <c r="AE65">
        <v>13</v>
      </c>
      <c r="AF65">
        <v>7</v>
      </c>
      <c r="AG65">
        <v>0</v>
      </c>
      <c r="AH65">
        <v>0</v>
      </c>
      <c r="AI65">
        <v>3</v>
      </c>
      <c r="AJ65">
        <v>5</v>
      </c>
      <c r="AK65">
        <v>24</v>
      </c>
      <c r="AL65">
        <v>4</v>
      </c>
      <c r="AM65" t="s">
        <v>63</v>
      </c>
      <c r="AN65" t="s">
        <v>63</v>
      </c>
      <c r="AO65" t="s">
        <v>63</v>
      </c>
      <c r="AP65" t="s">
        <v>63</v>
      </c>
    </row>
    <row r="66" spans="1:42" x14ac:dyDescent="0.25">
      <c r="A66" s="16" t="s">
        <v>64</v>
      </c>
      <c r="B66" s="16" t="s">
        <v>62</v>
      </c>
      <c r="C66">
        <v>2</v>
      </c>
      <c r="D66">
        <v>0</v>
      </c>
      <c r="E66">
        <v>0</v>
      </c>
      <c r="F66">
        <v>3</v>
      </c>
      <c r="G66">
        <v>52</v>
      </c>
      <c r="H66">
        <v>28</v>
      </c>
      <c r="I66">
        <v>48</v>
      </c>
      <c r="J66">
        <v>17</v>
      </c>
      <c r="K66">
        <v>3</v>
      </c>
      <c r="L66">
        <v>7</v>
      </c>
      <c r="M66">
        <v>14</v>
      </c>
      <c r="N66">
        <v>39</v>
      </c>
      <c r="O66">
        <v>0</v>
      </c>
      <c r="P66">
        <v>0</v>
      </c>
      <c r="Q66">
        <v>7</v>
      </c>
      <c r="R66">
        <v>11</v>
      </c>
      <c r="S66">
        <v>59</v>
      </c>
      <c r="T66">
        <v>0</v>
      </c>
      <c r="U66">
        <v>4</v>
      </c>
      <c r="V66">
        <v>4</v>
      </c>
      <c r="W66" t="s">
        <v>63</v>
      </c>
      <c r="X66" t="s">
        <v>63</v>
      </c>
      <c r="Y66">
        <v>66</v>
      </c>
      <c r="Z66">
        <v>36</v>
      </c>
      <c r="AA66">
        <v>34</v>
      </c>
      <c r="AB66">
        <v>17</v>
      </c>
      <c r="AC66">
        <v>12</v>
      </c>
      <c r="AD66">
        <v>2</v>
      </c>
      <c r="AE66">
        <v>30</v>
      </c>
      <c r="AF66">
        <v>11</v>
      </c>
      <c r="AG66">
        <v>5</v>
      </c>
      <c r="AH66">
        <v>6</v>
      </c>
      <c r="AI66">
        <v>5</v>
      </c>
      <c r="AJ66">
        <v>9</v>
      </c>
      <c r="AK66">
        <v>93</v>
      </c>
      <c r="AL66">
        <v>6</v>
      </c>
      <c r="AM66">
        <v>6</v>
      </c>
      <c r="AN66">
        <v>6</v>
      </c>
      <c r="AO66" t="s">
        <v>63</v>
      </c>
      <c r="AP66" t="s">
        <v>63</v>
      </c>
    </row>
    <row r="67" spans="1:42" x14ac:dyDescent="0.25">
      <c r="A67" s="16" t="s">
        <v>68</v>
      </c>
      <c r="B67" s="16" t="s">
        <v>67</v>
      </c>
      <c r="C67">
        <v>2</v>
      </c>
      <c r="D67">
        <v>0</v>
      </c>
      <c r="E67">
        <v>1</v>
      </c>
      <c r="F67">
        <v>3</v>
      </c>
      <c r="G67">
        <v>53</v>
      </c>
      <c r="H67">
        <v>45</v>
      </c>
      <c r="I67">
        <v>47</v>
      </c>
      <c r="J67">
        <v>26</v>
      </c>
      <c r="K67">
        <v>5</v>
      </c>
      <c r="L67">
        <v>5</v>
      </c>
      <c r="M67">
        <v>31</v>
      </c>
      <c r="N67">
        <v>44</v>
      </c>
      <c r="O67">
        <v>3</v>
      </c>
      <c r="P67">
        <v>10</v>
      </c>
      <c r="Q67">
        <v>24</v>
      </c>
      <c r="R67">
        <v>38</v>
      </c>
      <c r="S67">
        <v>106</v>
      </c>
      <c r="T67">
        <v>6</v>
      </c>
      <c r="U67">
        <v>6</v>
      </c>
      <c r="V67">
        <v>1</v>
      </c>
      <c r="W67">
        <v>4</v>
      </c>
      <c r="X67" t="s">
        <v>63</v>
      </c>
      <c r="Y67">
        <v>54</v>
      </c>
      <c r="Z67">
        <v>47</v>
      </c>
      <c r="AA67">
        <v>46</v>
      </c>
      <c r="AB67">
        <v>36</v>
      </c>
      <c r="AC67">
        <v>14</v>
      </c>
      <c r="AD67">
        <v>1</v>
      </c>
      <c r="AE67">
        <v>46</v>
      </c>
      <c r="AF67">
        <v>34</v>
      </c>
      <c r="AG67">
        <v>5</v>
      </c>
      <c r="AH67">
        <v>8</v>
      </c>
      <c r="AI67">
        <v>14</v>
      </c>
      <c r="AJ67">
        <v>18</v>
      </c>
      <c r="AK67">
        <v>127</v>
      </c>
      <c r="AL67">
        <v>7</v>
      </c>
      <c r="AM67">
        <v>4</v>
      </c>
      <c r="AN67">
        <v>6</v>
      </c>
      <c r="AO67">
        <v>6</v>
      </c>
      <c r="AP67" t="s">
        <v>63</v>
      </c>
    </row>
    <row r="68" spans="1:42" x14ac:dyDescent="0.25">
      <c r="A68" s="16" t="s">
        <v>73</v>
      </c>
      <c r="B68" s="16" t="s">
        <v>71</v>
      </c>
      <c r="C68">
        <v>2</v>
      </c>
      <c r="D68">
        <v>1</v>
      </c>
      <c r="E68">
        <v>3</v>
      </c>
      <c r="F68">
        <v>0</v>
      </c>
      <c r="G68">
        <v>72</v>
      </c>
      <c r="H68">
        <v>45</v>
      </c>
      <c r="I68">
        <v>28</v>
      </c>
      <c r="J68">
        <v>11</v>
      </c>
      <c r="K68">
        <v>19</v>
      </c>
      <c r="L68">
        <v>4</v>
      </c>
      <c r="M68">
        <v>30</v>
      </c>
      <c r="N68">
        <v>21</v>
      </c>
      <c r="O68">
        <v>5</v>
      </c>
      <c r="P68">
        <v>9</v>
      </c>
      <c r="Q68">
        <v>6</v>
      </c>
      <c r="R68">
        <v>11</v>
      </c>
      <c r="S68">
        <v>88</v>
      </c>
      <c r="T68">
        <v>6</v>
      </c>
      <c r="U68">
        <v>6</v>
      </c>
      <c r="V68">
        <v>6</v>
      </c>
      <c r="W68" t="s">
        <v>63</v>
      </c>
      <c r="X68" t="s">
        <v>63</v>
      </c>
      <c r="Y68">
        <v>46</v>
      </c>
      <c r="Z68">
        <v>23</v>
      </c>
      <c r="AA68">
        <v>54</v>
      </c>
      <c r="AB68">
        <v>21</v>
      </c>
      <c r="AC68">
        <v>7</v>
      </c>
      <c r="AD68">
        <v>4</v>
      </c>
      <c r="AE68">
        <v>19</v>
      </c>
      <c r="AF68">
        <v>41</v>
      </c>
      <c r="AG68">
        <v>1</v>
      </c>
      <c r="AH68">
        <v>3</v>
      </c>
      <c r="AI68">
        <v>6</v>
      </c>
      <c r="AJ68">
        <v>11</v>
      </c>
      <c r="AK68">
        <v>59</v>
      </c>
      <c r="AL68">
        <v>2</v>
      </c>
      <c r="AM68">
        <v>3</v>
      </c>
      <c r="AN68">
        <v>4</v>
      </c>
      <c r="AO68" t="s">
        <v>63</v>
      </c>
      <c r="AP68" t="s">
        <v>63</v>
      </c>
    </row>
    <row r="69" spans="1:42" x14ac:dyDescent="0.25">
      <c r="A69" s="16" t="s">
        <v>76</v>
      </c>
      <c r="B69" s="16" t="s">
        <v>75</v>
      </c>
      <c r="C69">
        <v>2</v>
      </c>
      <c r="D69">
        <v>1</v>
      </c>
      <c r="E69">
        <v>3</v>
      </c>
      <c r="F69">
        <v>1</v>
      </c>
      <c r="G69">
        <v>58</v>
      </c>
      <c r="H69">
        <v>62</v>
      </c>
      <c r="I69">
        <v>42</v>
      </c>
      <c r="J69">
        <v>30</v>
      </c>
      <c r="K69">
        <v>9</v>
      </c>
      <c r="L69">
        <v>12</v>
      </c>
      <c r="M69">
        <v>51</v>
      </c>
      <c r="N69">
        <v>60</v>
      </c>
      <c r="O69">
        <v>5</v>
      </c>
      <c r="P69">
        <v>15</v>
      </c>
      <c r="Q69">
        <v>27</v>
      </c>
      <c r="R69">
        <v>33</v>
      </c>
      <c r="S69">
        <v>144</v>
      </c>
      <c r="T69">
        <v>7</v>
      </c>
      <c r="U69">
        <v>6</v>
      </c>
      <c r="V69">
        <v>3</v>
      </c>
      <c r="W69">
        <v>6</v>
      </c>
      <c r="X69" t="s">
        <v>63</v>
      </c>
      <c r="Y69">
        <v>65</v>
      </c>
      <c r="Z69">
        <v>57</v>
      </c>
      <c r="AA69">
        <v>35</v>
      </c>
      <c r="AB69">
        <v>23</v>
      </c>
      <c r="AC69">
        <v>3</v>
      </c>
      <c r="AD69">
        <v>5</v>
      </c>
      <c r="AE69">
        <v>24</v>
      </c>
      <c r="AF69">
        <v>37</v>
      </c>
      <c r="AG69">
        <v>2</v>
      </c>
      <c r="AH69">
        <v>16</v>
      </c>
      <c r="AI69">
        <v>15</v>
      </c>
      <c r="AJ69">
        <v>24</v>
      </c>
      <c r="AK69">
        <v>134</v>
      </c>
      <c r="AL69">
        <v>5</v>
      </c>
      <c r="AM69">
        <v>4</v>
      </c>
      <c r="AN69">
        <v>6</v>
      </c>
      <c r="AO69">
        <v>2</v>
      </c>
      <c r="AP69" t="s">
        <v>63</v>
      </c>
    </row>
    <row r="70" spans="1:42" x14ac:dyDescent="0.25">
      <c r="A70" s="16" t="s">
        <v>80</v>
      </c>
      <c r="B70" s="16" t="s">
        <v>79</v>
      </c>
      <c r="C70">
        <v>2</v>
      </c>
      <c r="D70">
        <v>0</v>
      </c>
      <c r="E70">
        <v>0</v>
      </c>
      <c r="F70">
        <v>3</v>
      </c>
      <c r="G70">
        <v>77</v>
      </c>
      <c r="H70">
        <v>48</v>
      </c>
      <c r="I70">
        <v>23</v>
      </c>
      <c r="J70">
        <v>11</v>
      </c>
      <c r="K70">
        <v>6</v>
      </c>
      <c r="L70">
        <v>1</v>
      </c>
      <c r="M70">
        <v>39</v>
      </c>
      <c r="N70">
        <v>43</v>
      </c>
      <c r="O70">
        <v>4</v>
      </c>
      <c r="P70">
        <v>5</v>
      </c>
      <c r="Q70">
        <v>9</v>
      </c>
      <c r="R70">
        <v>12</v>
      </c>
      <c r="S70">
        <v>97</v>
      </c>
      <c r="T70">
        <v>6</v>
      </c>
      <c r="U70">
        <v>4</v>
      </c>
      <c r="V70">
        <v>4</v>
      </c>
      <c r="W70" t="s">
        <v>63</v>
      </c>
      <c r="X70" t="s">
        <v>63</v>
      </c>
      <c r="Y70">
        <v>58</v>
      </c>
      <c r="Z70">
        <v>41</v>
      </c>
      <c r="AA70">
        <v>42</v>
      </c>
      <c r="AB70">
        <v>21</v>
      </c>
      <c r="AC70">
        <v>9</v>
      </c>
      <c r="AD70">
        <v>5</v>
      </c>
      <c r="AE70">
        <v>33</v>
      </c>
      <c r="AF70">
        <v>37</v>
      </c>
      <c r="AG70">
        <v>6</v>
      </c>
      <c r="AH70">
        <v>11</v>
      </c>
      <c r="AI70">
        <v>10</v>
      </c>
      <c r="AJ70">
        <v>15</v>
      </c>
      <c r="AK70">
        <v>110</v>
      </c>
      <c r="AL70">
        <v>7</v>
      </c>
      <c r="AM70">
        <v>6</v>
      </c>
      <c r="AN70">
        <v>6</v>
      </c>
      <c r="AO70" t="s">
        <v>63</v>
      </c>
      <c r="AP70" t="s">
        <v>63</v>
      </c>
    </row>
    <row r="71" spans="1:42" x14ac:dyDescent="0.25">
      <c r="A71" s="16" t="s">
        <v>84</v>
      </c>
      <c r="B71" s="16" t="s">
        <v>83</v>
      </c>
      <c r="C71">
        <v>2</v>
      </c>
      <c r="D71">
        <v>1</v>
      </c>
      <c r="E71">
        <v>3</v>
      </c>
      <c r="F71">
        <v>1</v>
      </c>
      <c r="G71">
        <v>58</v>
      </c>
      <c r="H71">
        <v>61</v>
      </c>
      <c r="I71">
        <v>42</v>
      </c>
      <c r="J71">
        <v>38</v>
      </c>
      <c r="K71">
        <v>17</v>
      </c>
      <c r="L71">
        <v>3</v>
      </c>
      <c r="M71">
        <v>66</v>
      </c>
      <c r="N71">
        <v>25</v>
      </c>
      <c r="O71">
        <v>4</v>
      </c>
      <c r="P71">
        <v>13</v>
      </c>
      <c r="Q71">
        <v>13</v>
      </c>
      <c r="R71">
        <v>17</v>
      </c>
      <c r="S71">
        <v>159</v>
      </c>
      <c r="T71">
        <v>6</v>
      </c>
      <c r="U71">
        <v>6</v>
      </c>
      <c r="V71">
        <v>6</v>
      </c>
      <c r="W71">
        <v>7</v>
      </c>
      <c r="X71" t="s">
        <v>63</v>
      </c>
      <c r="Y71">
        <v>62</v>
      </c>
      <c r="Z71">
        <v>68</v>
      </c>
      <c r="AA71">
        <v>38</v>
      </c>
      <c r="AB71">
        <v>27</v>
      </c>
      <c r="AC71">
        <v>14</v>
      </c>
      <c r="AD71">
        <v>6</v>
      </c>
      <c r="AE71">
        <v>64</v>
      </c>
      <c r="AF71">
        <v>65</v>
      </c>
      <c r="AG71">
        <v>1</v>
      </c>
      <c r="AH71">
        <v>11</v>
      </c>
      <c r="AI71">
        <v>42</v>
      </c>
      <c r="AJ71">
        <v>65</v>
      </c>
      <c r="AK71">
        <v>138</v>
      </c>
      <c r="AL71">
        <v>3</v>
      </c>
      <c r="AM71">
        <v>7</v>
      </c>
      <c r="AN71">
        <v>1</v>
      </c>
      <c r="AO71">
        <v>6</v>
      </c>
      <c r="AP71" t="s">
        <v>63</v>
      </c>
    </row>
    <row r="72" spans="1:42" x14ac:dyDescent="0.25">
      <c r="A72" s="16" t="s">
        <v>89</v>
      </c>
      <c r="B72" s="16" t="s">
        <v>87</v>
      </c>
      <c r="C72">
        <v>2</v>
      </c>
      <c r="D72">
        <v>0</v>
      </c>
      <c r="E72">
        <v>1</v>
      </c>
      <c r="F72">
        <v>3</v>
      </c>
      <c r="G72">
        <v>68</v>
      </c>
      <c r="H72">
        <v>64</v>
      </c>
      <c r="I72">
        <v>32</v>
      </c>
      <c r="J72">
        <v>19</v>
      </c>
      <c r="K72">
        <v>8</v>
      </c>
      <c r="L72">
        <v>3</v>
      </c>
      <c r="M72">
        <v>30</v>
      </c>
      <c r="N72">
        <v>43</v>
      </c>
      <c r="O72">
        <v>3</v>
      </c>
      <c r="P72">
        <v>11</v>
      </c>
      <c r="Q72">
        <v>26</v>
      </c>
      <c r="R72">
        <v>35</v>
      </c>
      <c r="S72">
        <v>121</v>
      </c>
      <c r="T72">
        <v>6</v>
      </c>
      <c r="U72">
        <v>6</v>
      </c>
      <c r="V72">
        <v>6</v>
      </c>
      <c r="W72">
        <v>1</v>
      </c>
      <c r="X72" t="s">
        <v>63</v>
      </c>
      <c r="Y72">
        <v>60</v>
      </c>
      <c r="Z72">
        <v>59</v>
      </c>
      <c r="AA72">
        <v>40</v>
      </c>
      <c r="AB72">
        <v>31</v>
      </c>
      <c r="AC72">
        <v>13</v>
      </c>
      <c r="AD72">
        <v>3</v>
      </c>
      <c r="AE72">
        <v>46</v>
      </c>
      <c r="AF72">
        <v>47</v>
      </c>
      <c r="AG72">
        <v>4</v>
      </c>
      <c r="AH72">
        <v>5</v>
      </c>
      <c r="AI72">
        <v>25</v>
      </c>
      <c r="AJ72">
        <v>39</v>
      </c>
      <c r="AK72">
        <v>132</v>
      </c>
      <c r="AL72">
        <v>3</v>
      </c>
      <c r="AM72">
        <v>7</v>
      </c>
      <c r="AN72">
        <v>7</v>
      </c>
      <c r="AO72">
        <v>6</v>
      </c>
      <c r="AP72" t="s">
        <v>63</v>
      </c>
    </row>
    <row r="73" spans="1:42" x14ac:dyDescent="0.25">
      <c r="A73" s="16" t="s">
        <v>92</v>
      </c>
      <c r="B73" s="16" t="s">
        <v>90</v>
      </c>
      <c r="C73">
        <v>2</v>
      </c>
      <c r="D73">
        <v>1</v>
      </c>
      <c r="E73">
        <v>3</v>
      </c>
      <c r="F73">
        <v>1</v>
      </c>
      <c r="G73">
        <v>56</v>
      </c>
      <c r="H73">
        <v>57</v>
      </c>
      <c r="I73">
        <v>44</v>
      </c>
      <c r="J73">
        <v>31</v>
      </c>
      <c r="K73">
        <v>9</v>
      </c>
      <c r="L73">
        <v>4</v>
      </c>
      <c r="M73">
        <v>61</v>
      </c>
      <c r="N73">
        <v>46</v>
      </c>
      <c r="O73">
        <v>6</v>
      </c>
      <c r="P73">
        <v>17</v>
      </c>
      <c r="Q73">
        <v>23</v>
      </c>
      <c r="R73">
        <v>29</v>
      </c>
      <c r="S73">
        <v>142</v>
      </c>
      <c r="T73">
        <v>6</v>
      </c>
      <c r="U73">
        <v>6</v>
      </c>
      <c r="V73">
        <v>6</v>
      </c>
      <c r="W73">
        <v>6</v>
      </c>
      <c r="X73" t="s">
        <v>63</v>
      </c>
      <c r="Y73">
        <v>60</v>
      </c>
      <c r="Z73">
        <v>56</v>
      </c>
      <c r="AA73">
        <v>40</v>
      </c>
      <c r="AB73">
        <v>25</v>
      </c>
      <c r="AC73">
        <v>1</v>
      </c>
      <c r="AD73">
        <v>3</v>
      </c>
      <c r="AE73">
        <v>26</v>
      </c>
      <c r="AF73">
        <v>37</v>
      </c>
      <c r="AG73">
        <v>2</v>
      </c>
      <c r="AH73">
        <v>7</v>
      </c>
      <c r="AI73">
        <v>24</v>
      </c>
      <c r="AJ73">
        <v>39</v>
      </c>
      <c r="AK73">
        <v>117</v>
      </c>
      <c r="AL73">
        <v>3</v>
      </c>
      <c r="AM73">
        <v>3</v>
      </c>
      <c r="AN73">
        <v>7</v>
      </c>
      <c r="AO73">
        <v>4</v>
      </c>
      <c r="AP73" t="s">
        <v>63</v>
      </c>
    </row>
    <row r="74" spans="1:42" x14ac:dyDescent="0.25">
      <c r="A74" s="16" t="s">
        <v>97</v>
      </c>
      <c r="B74" s="16" t="s">
        <v>95</v>
      </c>
      <c r="C74">
        <v>2</v>
      </c>
      <c r="D74">
        <v>0</v>
      </c>
      <c r="E74">
        <v>1</v>
      </c>
      <c r="F74">
        <v>3</v>
      </c>
      <c r="G74">
        <v>55</v>
      </c>
      <c r="H74">
        <v>44</v>
      </c>
      <c r="I74">
        <v>45</v>
      </c>
      <c r="J74">
        <v>25</v>
      </c>
      <c r="K74">
        <v>5</v>
      </c>
      <c r="L74">
        <v>1</v>
      </c>
      <c r="M74">
        <v>32</v>
      </c>
      <c r="N74">
        <v>73</v>
      </c>
      <c r="O74">
        <v>5</v>
      </c>
      <c r="P74">
        <v>10</v>
      </c>
      <c r="Q74">
        <v>18</v>
      </c>
      <c r="R74">
        <v>31</v>
      </c>
      <c r="S74">
        <v>113</v>
      </c>
      <c r="T74">
        <v>6</v>
      </c>
      <c r="U74">
        <v>7</v>
      </c>
      <c r="V74">
        <v>0</v>
      </c>
      <c r="W74">
        <v>3</v>
      </c>
      <c r="X74" t="s">
        <v>63</v>
      </c>
      <c r="Y74">
        <v>68</v>
      </c>
      <c r="Z74">
        <v>56</v>
      </c>
      <c r="AA74">
        <v>32</v>
      </c>
      <c r="AB74">
        <v>18</v>
      </c>
      <c r="AC74">
        <v>0</v>
      </c>
      <c r="AD74">
        <v>4</v>
      </c>
      <c r="AE74">
        <v>32</v>
      </c>
      <c r="AF74">
        <v>48</v>
      </c>
      <c r="AG74">
        <v>9</v>
      </c>
      <c r="AH74">
        <v>17</v>
      </c>
      <c r="AI74">
        <v>21</v>
      </c>
      <c r="AJ74">
        <v>22</v>
      </c>
      <c r="AK74">
        <v>142</v>
      </c>
      <c r="AL74">
        <v>7</v>
      </c>
      <c r="AM74">
        <v>5</v>
      </c>
      <c r="AN74">
        <v>6</v>
      </c>
      <c r="AO74">
        <v>6</v>
      </c>
      <c r="AP74" t="s">
        <v>63</v>
      </c>
    </row>
    <row r="75" spans="1:42" x14ac:dyDescent="0.25">
      <c r="A75" s="16" t="s">
        <v>100</v>
      </c>
      <c r="B75" s="16" t="s">
        <v>99</v>
      </c>
      <c r="C75">
        <v>2</v>
      </c>
      <c r="D75">
        <v>1</v>
      </c>
      <c r="E75">
        <v>3</v>
      </c>
      <c r="F75">
        <v>1</v>
      </c>
      <c r="G75">
        <v>60</v>
      </c>
      <c r="H75">
        <v>74</v>
      </c>
      <c r="I75">
        <v>40</v>
      </c>
      <c r="J75">
        <v>30</v>
      </c>
      <c r="K75">
        <v>22</v>
      </c>
      <c r="L75">
        <v>10</v>
      </c>
      <c r="M75">
        <v>76</v>
      </c>
      <c r="N75">
        <v>73</v>
      </c>
      <c r="O75">
        <v>5</v>
      </c>
      <c r="P75">
        <v>14</v>
      </c>
      <c r="Q75">
        <v>24</v>
      </c>
      <c r="R75">
        <v>38</v>
      </c>
      <c r="S75">
        <v>164</v>
      </c>
      <c r="T75">
        <v>7</v>
      </c>
      <c r="U75">
        <v>7</v>
      </c>
      <c r="V75">
        <v>6</v>
      </c>
      <c r="W75">
        <v>7</v>
      </c>
      <c r="X75" t="s">
        <v>63</v>
      </c>
      <c r="Y75">
        <v>71</v>
      </c>
      <c r="Z75">
        <v>81</v>
      </c>
      <c r="AA75">
        <v>29</v>
      </c>
      <c r="AB75">
        <v>22</v>
      </c>
      <c r="AC75">
        <v>15</v>
      </c>
      <c r="AD75">
        <v>2</v>
      </c>
      <c r="AE75">
        <v>43</v>
      </c>
      <c r="AF75">
        <v>36</v>
      </c>
      <c r="AG75">
        <v>4</v>
      </c>
      <c r="AH75">
        <v>12</v>
      </c>
      <c r="AI75">
        <v>19</v>
      </c>
      <c r="AJ75">
        <v>24</v>
      </c>
      <c r="AK75">
        <v>160</v>
      </c>
      <c r="AL75">
        <v>5</v>
      </c>
      <c r="AM75">
        <v>6</v>
      </c>
      <c r="AN75">
        <v>7</v>
      </c>
      <c r="AO75">
        <v>6</v>
      </c>
      <c r="AP75" t="s">
        <v>63</v>
      </c>
    </row>
    <row r="76" spans="1:42" x14ac:dyDescent="0.25">
      <c r="A76" s="16" t="s">
        <v>105</v>
      </c>
      <c r="B76" s="16" t="s">
        <v>103</v>
      </c>
      <c r="C76">
        <v>2</v>
      </c>
      <c r="D76">
        <v>0</v>
      </c>
      <c r="E76">
        <v>1</v>
      </c>
      <c r="F76">
        <v>3</v>
      </c>
      <c r="G76">
        <v>79</v>
      </c>
      <c r="H76">
        <v>71</v>
      </c>
      <c r="I76">
        <v>21</v>
      </c>
      <c r="J76">
        <v>20</v>
      </c>
      <c r="K76">
        <v>11</v>
      </c>
      <c r="L76">
        <v>1</v>
      </c>
      <c r="M76">
        <v>57</v>
      </c>
      <c r="N76">
        <v>28</v>
      </c>
      <c r="O76">
        <v>3</v>
      </c>
      <c r="P76">
        <v>11</v>
      </c>
      <c r="Q76">
        <v>17</v>
      </c>
      <c r="R76">
        <v>26</v>
      </c>
      <c r="S76">
        <v>149</v>
      </c>
      <c r="T76">
        <v>6</v>
      </c>
      <c r="U76">
        <v>6</v>
      </c>
      <c r="V76">
        <v>6</v>
      </c>
      <c r="W76">
        <v>3</v>
      </c>
      <c r="X76" t="s">
        <v>63</v>
      </c>
      <c r="Y76">
        <v>67</v>
      </c>
      <c r="Z76">
        <v>76</v>
      </c>
      <c r="AA76">
        <v>33</v>
      </c>
      <c r="AB76">
        <v>25</v>
      </c>
      <c r="AC76">
        <v>15</v>
      </c>
      <c r="AD76">
        <v>5</v>
      </c>
      <c r="AE76">
        <v>63</v>
      </c>
      <c r="AF76">
        <v>47</v>
      </c>
      <c r="AG76">
        <v>3</v>
      </c>
      <c r="AH76">
        <v>11</v>
      </c>
      <c r="AI76">
        <v>11</v>
      </c>
      <c r="AJ76">
        <v>18</v>
      </c>
      <c r="AK76">
        <v>151</v>
      </c>
      <c r="AL76">
        <v>4</v>
      </c>
      <c r="AM76">
        <v>7</v>
      </c>
      <c r="AN76">
        <v>7</v>
      </c>
      <c r="AO76">
        <v>6</v>
      </c>
      <c r="AP76" t="s">
        <v>63</v>
      </c>
    </row>
    <row r="77" spans="1:42" x14ac:dyDescent="0.25">
      <c r="A77" s="16" t="s">
        <v>108</v>
      </c>
      <c r="B77" s="16" t="s">
        <v>106</v>
      </c>
      <c r="C77">
        <v>2</v>
      </c>
      <c r="D77">
        <v>0</v>
      </c>
      <c r="E77">
        <v>2</v>
      </c>
      <c r="F77">
        <v>3</v>
      </c>
      <c r="G77">
        <v>55</v>
      </c>
      <c r="H77">
        <v>55</v>
      </c>
      <c r="I77">
        <v>45</v>
      </c>
      <c r="J77">
        <v>36</v>
      </c>
      <c r="K77">
        <v>14</v>
      </c>
      <c r="L77">
        <v>5</v>
      </c>
      <c r="M77">
        <v>48</v>
      </c>
      <c r="N77">
        <v>46</v>
      </c>
      <c r="O77">
        <v>3</v>
      </c>
      <c r="P77">
        <v>7</v>
      </c>
      <c r="Q77">
        <v>14</v>
      </c>
      <c r="R77">
        <v>21</v>
      </c>
      <c r="S77">
        <v>126</v>
      </c>
      <c r="T77">
        <v>4</v>
      </c>
      <c r="U77">
        <v>6</v>
      </c>
      <c r="V77">
        <v>3</v>
      </c>
      <c r="W77">
        <v>6</v>
      </c>
      <c r="X77">
        <v>3</v>
      </c>
      <c r="Y77">
        <v>60</v>
      </c>
      <c r="Z77">
        <v>59</v>
      </c>
      <c r="AA77">
        <v>40</v>
      </c>
      <c r="AB77">
        <v>33</v>
      </c>
      <c r="AC77">
        <v>19</v>
      </c>
      <c r="AD77">
        <v>3</v>
      </c>
      <c r="AE77">
        <v>48</v>
      </c>
      <c r="AF77">
        <v>41</v>
      </c>
      <c r="AG77">
        <v>4</v>
      </c>
      <c r="AH77">
        <v>11</v>
      </c>
      <c r="AI77">
        <v>29</v>
      </c>
      <c r="AJ77">
        <v>42</v>
      </c>
      <c r="AK77">
        <v>136</v>
      </c>
      <c r="AL77">
        <v>6</v>
      </c>
      <c r="AM77">
        <v>3</v>
      </c>
      <c r="AN77">
        <v>6</v>
      </c>
      <c r="AO77">
        <v>3</v>
      </c>
      <c r="AP77">
        <v>6</v>
      </c>
    </row>
    <row r="78" spans="1:42" x14ac:dyDescent="0.25">
      <c r="A78" s="16" t="s">
        <v>113</v>
      </c>
      <c r="B78" s="16" t="s">
        <v>110</v>
      </c>
      <c r="C78">
        <v>2</v>
      </c>
      <c r="D78">
        <v>1</v>
      </c>
      <c r="E78">
        <v>3</v>
      </c>
      <c r="F78">
        <v>1</v>
      </c>
      <c r="G78">
        <v>57</v>
      </c>
      <c r="H78">
        <v>49</v>
      </c>
      <c r="I78">
        <v>43</v>
      </c>
      <c r="J78">
        <v>28</v>
      </c>
      <c r="K78">
        <v>11</v>
      </c>
      <c r="L78">
        <v>2</v>
      </c>
      <c r="M78">
        <v>11</v>
      </c>
      <c r="N78">
        <v>2</v>
      </c>
      <c r="O78">
        <v>7</v>
      </c>
      <c r="P78">
        <v>17</v>
      </c>
      <c r="S78">
        <v>130</v>
      </c>
      <c r="T78">
        <v>7</v>
      </c>
      <c r="U78">
        <v>6</v>
      </c>
      <c r="V78">
        <v>4</v>
      </c>
      <c r="W78">
        <v>6</v>
      </c>
      <c r="X78" t="s">
        <v>63</v>
      </c>
      <c r="Y78">
        <v>51</v>
      </c>
      <c r="Z78">
        <v>46</v>
      </c>
      <c r="AA78">
        <v>49</v>
      </c>
      <c r="AB78">
        <v>26</v>
      </c>
      <c r="AC78">
        <v>9</v>
      </c>
      <c r="AD78">
        <v>10</v>
      </c>
      <c r="AE78">
        <v>9</v>
      </c>
      <c r="AF78">
        <v>10</v>
      </c>
      <c r="AG78">
        <v>4</v>
      </c>
      <c r="AH78">
        <v>13</v>
      </c>
      <c r="AK78">
        <v>117</v>
      </c>
      <c r="AL78">
        <v>6</v>
      </c>
      <c r="AM78">
        <v>4</v>
      </c>
      <c r="AN78">
        <v>6</v>
      </c>
      <c r="AO78">
        <v>1</v>
      </c>
      <c r="AP78" t="s">
        <v>63</v>
      </c>
    </row>
    <row r="79" spans="1:42" x14ac:dyDescent="0.25">
      <c r="A79" s="16" t="s">
        <v>116</v>
      </c>
      <c r="B79" s="16" t="s">
        <v>114</v>
      </c>
      <c r="C79">
        <v>2</v>
      </c>
      <c r="D79">
        <v>1</v>
      </c>
      <c r="E79">
        <v>3</v>
      </c>
      <c r="F79">
        <v>0</v>
      </c>
      <c r="G79">
        <v>65</v>
      </c>
      <c r="H79">
        <v>43</v>
      </c>
      <c r="I79">
        <v>35</v>
      </c>
      <c r="J79">
        <v>18</v>
      </c>
      <c r="K79">
        <v>15</v>
      </c>
      <c r="L79">
        <v>5</v>
      </c>
      <c r="M79">
        <v>30</v>
      </c>
      <c r="N79">
        <v>22</v>
      </c>
      <c r="O79">
        <v>3</v>
      </c>
      <c r="P79">
        <v>5</v>
      </c>
      <c r="Q79">
        <v>12</v>
      </c>
      <c r="R79">
        <v>15</v>
      </c>
      <c r="S79">
        <v>87</v>
      </c>
      <c r="T79">
        <v>6</v>
      </c>
      <c r="U79">
        <v>6</v>
      </c>
      <c r="V79">
        <v>6</v>
      </c>
      <c r="W79" t="s">
        <v>63</v>
      </c>
      <c r="X79" t="s">
        <v>63</v>
      </c>
      <c r="Y79">
        <v>59</v>
      </c>
      <c r="Z79">
        <v>34</v>
      </c>
      <c r="AA79">
        <v>41</v>
      </c>
      <c r="AB79">
        <v>16</v>
      </c>
      <c r="AC79">
        <v>10</v>
      </c>
      <c r="AD79">
        <v>3</v>
      </c>
      <c r="AE79">
        <v>28</v>
      </c>
      <c r="AF79">
        <v>21</v>
      </c>
      <c r="AG79">
        <v>0</v>
      </c>
      <c r="AH79">
        <v>2</v>
      </c>
      <c r="AI79">
        <v>2</v>
      </c>
      <c r="AJ79">
        <v>5</v>
      </c>
      <c r="AK79">
        <v>69</v>
      </c>
      <c r="AL79">
        <v>4</v>
      </c>
      <c r="AM79">
        <v>3</v>
      </c>
      <c r="AN79">
        <v>4</v>
      </c>
      <c r="AO79" t="s">
        <v>63</v>
      </c>
      <c r="AP79" t="s">
        <v>63</v>
      </c>
    </row>
    <row r="80" spans="1:42" x14ac:dyDescent="0.25">
      <c r="A80" s="16" t="s">
        <v>121</v>
      </c>
      <c r="B80" s="16" t="s">
        <v>119</v>
      </c>
      <c r="C80">
        <v>2</v>
      </c>
      <c r="D80">
        <v>0</v>
      </c>
      <c r="E80">
        <v>2</v>
      </c>
      <c r="F80">
        <v>2</v>
      </c>
      <c r="G80">
        <v>51</v>
      </c>
      <c r="H80">
        <v>36</v>
      </c>
      <c r="I80">
        <v>49</v>
      </c>
      <c r="J80">
        <v>26</v>
      </c>
      <c r="K80">
        <v>7</v>
      </c>
      <c r="L80">
        <v>6</v>
      </c>
      <c r="M80">
        <v>33</v>
      </c>
      <c r="N80">
        <v>27</v>
      </c>
      <c r="O80">
        <v>3</v>
      </c>
      <c r="P80">
        <v>5</v>
      </c>
      <c r="Q80">
        <v>12</v>
      </c>
      <c r="R80">
        <v>18</v>
      </c>
      <c r="S80">
        <v>95</v>
      </c>
      <c r="T80">
        <v>4</v>
      </c>
      <c r="U80">
        <v>4</v>
      </c>
      <c r="V80">
        <v>6</v>
      </c>
      <c r="W80">
        <v>4</v>
      </c>
      <c r="X80" t="s">
        <v>63</v>
      </c>
      <c r="Y80">
        <v>55</v>
      </c>
      <c r="Z80">
        <v>39</v>
      </c>
      <c r="AA80">
        <v>45</v>
      </c>
      <c r="AB80">
        <v>20</v>
      </c>
      <c r="AC80">
        <v>13</v>
      </c>
      <c r="AD80">
        <v>2</v>
      </c>
      <c r="AE80">
        <v>37</v>
      </c>
      <c r="AF80">
        <v>43</v>
      </c>
      <c r="AG80">
        <v>3</v>
      </c>
      <c r="AH80">
        <v>7</v>
      </c>
      <c r="AI80">
        <v>12</v>
      </c>
      <c r="AJ80">
        <v>19</v>
      </c>
      <c r="AK80">
        <v>91</v>
      </c>
      <c r="AL80">
        <v>6</v>
      </c>
      <c r="AM80">
        <v>6</v>
      </c>
      <c r="AN80">
        <v>3</v>
      </c>
      <c r="AO80">
        <v>1</v>
      </c>
      <c r="AP80" t="s">
        <v>63</v>
      </c>
    </row>
    <row r="81" spans="1:42" x14ac:dyDescent="0.25">
      <c r="A81" s="16" t="s">
        <v>124</v>
      </c>
      <c r="B81" s="16" t="s">
        <v>123</v>
      </c>
      <c r="C81">
        <v>2</v>
      </c>
      <c r="D81">
        <v>1</v>
      </c>
      <c r="E81">
        <v>3</v>
      </c>
      <c r="F81">
        <v>0</v>
      </c>
      <c r="G81">
        <v>64</v>
      </c>
      <c r="H81">
        <v>37</v>
      </c>
      <c r="I81">
        <v>36</v>
      </c>
      <c r="J81">
        <v>15</v>
      </c>
      <c r="K81">
        <v>5</v>
      </c>
      <c r="L81">
        <v>4</v>
      </c>
      <c r="M81">
        <v>29</v>
      </c>
      <c r="N81">
        <v>13</v>
      </c>
      <c r="O81">
        <v>5</v>
      </c>
      <c r="P81">
        <v>8</v>
      </c>
      <c r="Q81">
        <v>21</v>
      </c>
      <c r="R81">
        <v>25</v>
      </c>
      <c r="S81">
        <v>93</v>
      </c>
      <c r="T81">
        <v>6</v>
      </c>
      <c r="U81">
        <v>6</v>
      </c>
      <c r="V81">
        <v>6</v>
      </c>
      <c r="W81" t="s">
        <v>63</v>
      </c>
      <c r="X81" t="s">
        <v>63</v>
      </c>
      <c r="Y81">
        <v>63</v>
      </c>
      <c r="Z81">
        <v>33</v>
      </c>
      <c r="AA81">
        <v>37</v>
      </c>
      <c r="AB81">
        <v>10</v>
      </c>
      <c r="AC81">
        <v>8</v>
      </c>
      <c r="AD81">
        <v>9</v>
      </c>
      <c r="AE81">
        <v>29</v>
      </c>
      <c r="AF81">
        <v>32</v>
      </c>
      <c r="AG81">
        <v>0</v>
      </c>
      <c r="AH81">
        <v>0</v>
      </c>
      <c r="AI81">
        <v>14</v>
      </c>
      <c r="AJ81">
        <v>25</v>
      </c>
      <c r="AK81">
        <v>57</v>
      </c>
      <c r="AL81">
        <v>4</v>
      </c>
      <c r="AM81">
        <v>1</v>
      </c>
      <c r="AN81">
        <v>3</v>
      </c>
      <c r="AO81" t="s">
        <v>63</v>
      </c>
      <c r="AP81" t="s">
        <v>63</v>
      </c>
    </row>
    <row r="82" spans="1:42" x14ac:dyDescent="0.25">
      <c r="A82" s="16" t="s">
        <v>129</v>
      </c>
      <c r="B82" s="16" t="s">
        <v>127</v>
      </c>
      <c r="C82">
        <v>2</v>
      </c>
      <c r="D82">
        <v>0</v>
      </c>
      <c r="E82">
        <v>0</v>
      </c>
      <c r="F82">
        <v>3</v>
      </c>
      <c r="G82">
        <v>62</v>
      </c>
      <c r="H82">
        <v>32</v>
      </c>
      <c r="I82">
        <v>38</v>
      </c>
      <c r="J82">
        <v>18</v>
      </c>
      <c r="K82">
        <v>6</v>
      </c>
      <c r="L82">
        <v>3</v>
      </c>
      <c r="M82">
        <v>14</v>
      </c>
      <c r="N82">
        <v>21</v>
      </c>
      <c r="O82">
        <v>1</v>
      </c>
      <c r="P82">
        <v>2</v>
      </c>
      <c r="Q82">
        <v>4</v>
      </c>
      <c r="R82">
        <v>13</v>
      </c>
      <c r="S82">
        <v>72</v>
      </c>
      <c r="T82">
        <v>2</v>
      </c>
      <c r="U82">
        <v>1</v>
      </c>
      <c r="V82">
        <v>6</v>
      </c>
      <c r="W82" t="s">
        <v>63</v>
      </c>
      <c r="X82" t="s">
        <v>63</v>
      </c>
      <c r="Y82">
        <v>76</v>
      </c>
      <c r="Z82">
        <v>45</v>
      </c>
      <c r="AA82">
        <v>24</v>
      </c>
      <c r="AB82">
        <v>9</v>
      </c>
      <c r="AC82">
        <v>11</v>
      </c>
      <c r="AD82">
        <v>0</v>
      </c>
      <c r="AE82">
        <v>52</v>
      </c>
      <c r="AF82">
        <v>35</v>
      </c>
      <c r="AG82">
        <v>6</v>
      </c>
      <c r="AH82">
        <v>11</v>
      </c>
      <c r="AI82">
        <v>23</v>
      </c>
      <c r="AJ82">
        <v>29</v>
      </c>
      <c r="AK82">
        <v>103</v>
      </c>
      <c r="AL82">
        <v>6</v>
      </c>
      <c r="AM82">
        <v>6</v>
      </c>
      <c r="AN82">
        <v>7</v>
      </c>
      <c r="AO82" t="s">
        <v>63</v>
      </c>
      <c r="AP82" t="s">
        <v>63</v>
      </c>
    </row>
    <row r="83" spans="1:42" x14ac:dyDescent="0.25">
      <c r="A83" s="16" t="s">
        <v>132</v>
      </c>
      <c r="B83" s="16" t="s">
        <v>130</v>
      </c>
      <c r="C83">
        <v>2</v>
      </c>
      <c r="D83">
        <v>0</v>
      </c>
      <c r="E83">
        <v>2</v>
      </c>
      <c r="F83">
        <v>3</v>
      </c>
      <c r="G83">
        <v>60</v>
      </c>
      <c r="H83">
        <v>67</v>
      </c>
      <c r="I83">
        <v>40</v>
      </c>
      <c r="J83">
        <v>34</v>
      </c>
      <c r="K83">
        <v>12</v>
      </c>
      <c r="L83">
        <v>18</v>
      </c>
      <c r="M83">
        <v>56</v>
      </c>
      <c r="N83">
        <v>71</v>
      </c>
      <c r="O83">
        <v>6</v>
      </c>
      <c r="P83">
        <v>10</v>
      </c>
      <c r="Q83">
        <v>15</v>
      </c>
      <c r="R83">
        <v>26</v>
      </c>
      <c r="S83">
        <v>156</v>
      </c>
      <c r="T83">
        <v>6</v>
      </c>
      <c r="U83">
        <v>6</v>
      </c>
      <c r="V83">
        <v>6</v>
      </c>
      <c r="W83">
        <v>4</v>
      </c>
      <c r="X83">
        <v>4</v>
      </c>
      <c r="Y83">
        <v>68</v>
      </c>
      <c r="Z83">
        <v>62</v>
      </c>
      <c r="AA83">
        <v>32</v>
      </c>
      <c r="AB83">
        <v>26</v>
      </c>
      <c r="AC83">
        <v>2</v>
      </c>
      <c r="AD83">
        <v>4</v>
      </c>
      <c r="AE83">
        <v>24</v>
      </c>
      <c r="AF83">
        <v>51</v>
      </c>
      <c r="AG83">
        <v>5</v>
      </c>
      <c r="AH83">
        <v>17</v>
      </c>
      <c r="AI83">
        <v>6</v>
      </c>
      <c r="AJ83">
        <v>10</v>
      </c>
      <c r="AK83">
        <v>146</v>
      </c>
      <c r="AL83">
        <v>7</v>
      </c>
      <c r="AM83">
        <v>3</v>
      </c>
      <c r="AN83">
        <v>2</v>
      </c>
      <c r="AO83">
        <v>6</v>
      </c>
      <c r="AP83">
        <v>6</v>
      </c>
    </row>
    <row r="84" spans="1:42" x14ac:dyDescent="0.25">
      <c r="A84" s="16" t="s">
        <v>136</v>
      </c>
      <c r="B84" s="16" t="s">
        <v>135</v>
      </c>
      <c r="C84">
        <v>2</v>
      </c>
      <c r="D84">
        <v>0</v>
      </c>
      <c r="E84">
        <v>2</v>
      </c>
      <c r="F84">
        <v>3</v>
      </c>
      <c r="G84">
        <v>50</v>
      </c>
      <c r="H84">
        <v>50</v>
      </c>
      <c r="I84">
        <v>50</v>
      </c>
      <c r="J84">
        <v>32</v>
      </c>
      <c r="K84">
        <v>15</v>
      </c>
      <c r="L84">
        <v>7</v>
      </c>
      <c r="M84">
        <v>15</v>
      </c>
      <c r="N84">
        <v>7</v>
      </c>
      <c r="O84">
        <v>7</v>
      </c>
      <c r="P84">
        <v>15</v>
      </c>
      <c r="S84">
        <v>156</v>
      </c>
      <c r="T84">
        <v>6</v>
      </c>
      <c r="U84">
        <v>6</v>
      </c>
      <c r="V84">
        <v>7</v>
      </c>
      <c r="W84">
        <v>1</v>
      </c>
      <c r="X84">
        <v>2</v>
      </c>
      <c r="Y84">
        <v>49</v>
      </c>
      <c r="Z84">
        <v>65</v>
      </c>
      <c r="AA84">
        <v>51</v>
      </c>
      <c r="AB84">
        <v>41</v>
      </c>
      <c r="AC84">
        <v>7</v>
      </c>
      <c r="AD84">
        <v>8</v>
      </c>
      <c r="AE84">
        <v>7</v>
      </c>
      <c r="AF84">
        <v>8</v>
      </c>
      <c r="AG84">
        <v>10</v>
      </c>
      <c r="AH84">
        <v>12</v>
      </c>
      <c r="AK84">
        <v>171</v>
      </c>
      <c r="AL84">
        <v>4</v>
      </c>
      <c r="AM84">
        <v>7</v>
      </c>
      <c r="AN84">
        <v>6</v>
      </c>
      <c r="AO84">
        <v>6</v>
      </c>
      <c r="AP84">
        <v>6</v>
      </c>
    </row>
    <row r="85" spans="1:42" x14ac:dyDescent="0.25">
      <c r="A85" s="16" t="s">
        <v>140</v>
      </c>
      <c r="B85" s="16" t="s">
        <v>138</v>
      </c>
      <c r="C85">
        <v>2</v>
      </c>
      <c r="D85">
        <v>1</v>
      </c>
      <c r="E85">
        <v>3</v>
      </c>
      <c r="F85">
        <v>0</v>
      </c>
      <c r="G85">
        <v>64</v>
      </c>
      <c r="H85">
        <v>51</v>
      </c>
      <c r="I85">
        <v>36</v>
      </c>
      <c r="J85">
        <v>18</v>
      </c>
      <c r="K85">
        <v>14</v>
      </c>
      <c r="L85">
        <v>6</v>
      </c>
      <c r="M85">
        <v>47</v>
      </c>
      <c r="N85">
        <v>28</v>
      </c>
      <c r="O85">
        <v>3</v>
      </c>
      <c r="P85">
        <v>9</v>
      </c>
      <c r="Q85">
        <v>16</v>
      </c>
      <c r="R85">
        <v>24</v>
      </c>
      <c r="S85">
        <v>110</v>
      </c>
      <c r="T85">
        <v>7</v>
      </c>
      <c r="U85">
        <v>6</v>
      </c>
      <c r="V85">
        <v>6</v>
      </c>
      <c r="W85" t="s">
        <v>63</v>
      </c>
      <c r="X85" t="s">
        <v>63</v>
      </c>
      <c r="Y85">
        <v>45</v>
      </c>
      <c r="Z85">
        <v>31</v>
      </c>
      <c r="AA85">
        <v>55</v>
      </c>
      <c r="AB85">
        <v>34</v>
      </c>
      <c r="AC85">
        <v>9</v>
      </c>
      <c r="AD85">
        <v>5</v>
      </c>
      <c r="AE85">
        <v>19</v>
      </c>
      <c r="AF85">
        <v>29</v>
      </c>
      <c r="AG85">
        <v>1</v>
      </c>
      <c r="AH85">
        <v>4</v>
      </c>
      <c r="AI85">
        <v>13</v>
      </c>
      <c r="AJ85">
        <v>18</v>
      </c>
      <c r="AK85">
        <v>88</v>
      </c>
      <c r="AL85">
        <v>6</v>
      </c>
      <c r="AM85">
        <v>4</v>
      </c>
      <c r="AN85">
        <v>4</v>
      </c>
      <c r="AO85" t="s">
        <v>63</v>
      </c>
      <c r="AP85" t="s">
        <v>63</v>
      </c>
    </row>
    <row r="86" spans="1:42" x14ac:dyDescent="0.25">
      <c r="A86" s="16" t="s">
        <v>144</v>
      </c>
      <c r="B86" s="16" t="s">
        <v>142</v>
      </c>
      <c r="C86">
        <v>2</v>
      </c>
      <c r="D86">
        <v>0</v>
      </c>
      <c r="E86">
        <v>1</v>
      </c>
      <c r="F86">
        <v>3</v>
      </c>
      <c r="G86">
        <v>63</v>
      </c>
      <c r="H86">
        <v>66</v>
      </c>
      <c r="I86">
        <v>37</v>
      </c>
      <c r="J86">
        <v>24</v>
      </c>
      <c r="K86">
        <v>12</v>
      </c>
      <c r="L86">
        <v>8</v>
      </c>
      <c r="M86">
        <v>12</v>
      </c>
      <c r="N86">
        <v>8</v>
      </c>
      <c r="O86">
        <v>3</v>
      </c>
      <c r="P86">
        <v>4</v>
      </c>
      <c r="S86">
        <v>123</v>
      </c>
      <c r="T86">
        <v>4</v>
      </c>
      <c r="U86">
        <v>3</v>
      </c>
      <c r="V86">
        <v>7</v>
      </c>
      <c r="W86">
        <v>6</v>
      </c>
      <c r="X86" t="s">
        <v>63</v>
      </c>
      <c r="Y86">
        <v>58</v>
      </c>
      <c r="Z86">
        <v>49</v>
      </c>
      <c r="AA86">
        <v>42</v>
      </c>
      <c r="AB86">
        <v>34</v>
      </c>
      <c r="AC86">
        <v>16</v>
      </c>
      <c r="AD86">
        <v>5</v>
      </c>
      <c r="AE86">
        <v>16</v>
      </c>
      <c r="AF86">
        <v>5</v>
      </c>
      <c r="AG86">
        <v>5</v>
      </c>
      <c r="AH86">
        <v>14</v>
      </c>
      <c r="AK86">
        <v>139</v>
      </c>
      <c r="AL86">
        <v>6</v>
      </c>
      <c r="AM86">
        <v>6</v>
      </c>
      <c r="AN86">
        <v>5</v>
      </c>
      <c r="AO86">
        <v>7</v>
      </c>
      <c r="AP86" t="s">
        <v>63</v>
      </c>
    </row>
    <row r="87" spans="1:42" x14ac:dyDescent="0.25">
      <c r="A87" s="16" t="s">
        <v>148</v>
      </c>
      <c r="B87" s="16" t="s">
        <v>146</v>
      </c>
      <c r="C87">
        <v>2</v>
      </c>
      <c r="D87">
        <v>1</v>
      </c>
      <c r="E87">
        <v>3</v>
      </c>
      <c r="F87">
        <v>1</v>
      </c>
      <c r="G87">
        <v>58</v>
      </c>
      <c r="H87">
        <v>56</v>
      </c>
      <c r="I87">
        <v>42</v>
      </c>
      <c r="J87">
        <v>30</v>
      </c>
      <c r="K87">
        <v>13</v>
      </c>
      <c r="L87">
        <v>8</v>
      </c>
      <c r="M87">
        <v>43</v>
      </c>
      <c r="N87">
        <v>28</v>
      </c>
      <c r="O87">
        <v>6</v>
      </c>
      <c r="P87">
        <v>17</v>
      </c>
      <c r="Q87">
        <v>13</v>
      </c>
      <c r="R87">
        <v>15</v>
      </c>
      <c r="S87">
        <v>143</v>
      </c>
      <c r="T87">
        <v>7</v>
      </c>
      <c r="U87">
        <v>6</v>
      </c>
      <c r="V87">
        <v>6</v>
      </c>
      <c r="W87">
        <v>6</v>
      </c>
      <c r="X87" t="s">
        <v>63</v>
      </c>
      <c r="Y87">
        <v>58</v>
      </c>
      <c r="Z87">
        <v>50</v>
      </c>
      <c r="AA87">
        <v>42</v>
      </c>
      <c r="AB87">
        <v>24</v>
      </c>
      <c r="AC87">
        <v>12</v>
      </c>
      <c r="AD87">
        <v>6</v>
      </c>
      <c r="AE87">
        <v>46</v>
      </c>
      <c r="AF87">
        <v>63</v>
      </c>
      <c r="AG87">
        <v>2</v>
      </c>
      <c r="AH87">
        <v>7</v>
      </c>
      <c r="AI87">
        <v>22</v>
      </c>
      <c r="AJ87">
        <v>36</v>
      </c>
      <c r="AK87">
        <v>112</v>
      </c>
      <c r="AL87">
        <v>6</v>
      </c>
      <c r="AM87">
        <v>1</v>
      </c>
      <c r="AN87">
        <v>7</v>
      </c>
      <c r="AO87">
        <v>1</v>
      </c>
      <c r="AP87" t="s">
        <v>63</v>
      </c>
    </row>
    <row r="88" spans="1:42" x14ac:dyDescent="0.25">
      <c r="A88" s="16" t="s">
        <v>152</v>
      </c>
      <c r="B88" s="16" t="s">
        <v>151</v>
      </c>
      <c r="C88">
        <v>2</v>
      </c>
      <c r="D88">
        <v>0</v>
      </c>
      <c r="E88">
        <v>0</v>
      </c>
      <c r="F88">
        <v>3</v>
      </c>
      <c r="G88">
        <v>68</v>
      </c>
      <c r="H88">
        <v>47</v>
      </c>
      <c r="I88">
        <v>32</v>
      </c>
      <c r="J88">
        <v>17</v>
      </c>
      <c r="K88">
        <v>6</v>
      </c>
      <c r="L88">
        <v>3</v>
      </c>
      <c r="M88">
        <v>29</v>
      </c>
      <c r="N88">
        <v>25</v>
      </c>
      <c r="O88">
        <v>2</v>
      </c>
      <c r="P88">
        <v>4</v>
      </c>
      <c r="Q88">
        <v>37</v>
      </c>
      <c r="R88">
        <v>61</v>
      </c>
      <c r="S88">
        <v>93</v>
      </c>
      <c r="T88">
        <v>4</v>
      </c>
      <c r="U88">
        <v>6</v>
      </c>
      <c r="V88">
        <v>4</v>
      </c>
      <c r="W88" t="s">
        <v>63</v>
      </c>
      <c r="X88" t="s">
        <v>63</v>
      </c>
      <c r="Y88">
        <v>62</v>
      </c>
      <c r="Z88">
        <v>45</v>
      </c>
      <c r="AA88">
        <v>38</v>
      </c>
      <c r="AB88">
        <v>23</v>
      </c>
      <c r="AC88">
        <v>8</v>
      </c>
      <c r="AD88">
        <v>3</v>
      </c>
      <c r="AE88">
        <v>43</v>
      </c>
      <c r="AF88">
        <v>24</v>
      </c>
      <c r="AG88">
        <v>4</v>
      </c>
      <c r="AH88">
        <v>11</v>
      </c>
      <c r="AI88">
        <v>17</v>
      </c>
      <c r="AJ88">
        <v>21</v>
      </c>
      <c r="AK88">
        <v>108</v>
      </c>
      <c r="AL88">
        <v>6</v>
      </c>
      <c r="AM88">
        <v>7</v>
      </c>
      <c r="AN88">
        <v>6</v>
      </c>
      <c r="AO88" t="s">
        <v>63</v>
      </c>
      <c r="AP88" t="s">
        <v>63</v>
      </c>
    </row>
    <row r="89" spans="1:42" x14ac:dyDescent="0.25">
      <c r="A89" s="16" t="s">
        <v>156</v>
      </c>
      <c r="B89" s="16" t="s">
        <v>154</v>
      </c>
      <c r="C89">
        <v>2</v>
      </c>
      <c r="D89">
        <v>1</v>
      </c>
      <c r="E89">
        <v>3</v>
      </c>
      <c r="F89">
        <v>0</v>
      </c>
      <c r="G89">
        <v>59</v>
      </c>
      <c r="H89">
        <v>35</v>
      </c>
      <c r="I89">
        <v>41</v>
      </c>
      <c r="J89">
        <v>17</v>
      </c>
      <c r="K89">
        <v>5</v>
      </c>
      <c r="L89">
        <v>5</v>
      </c>
      <c r="M89">
        <v>25</v>
      </c>
      <c r="N89">
        <v>31</v>
      </c>
      <c r="O89">
        <v>8</v>
      </c>
      <c r="P89">
        <v>17</v>
      </c>
      <c r="Q89">
        <v>7</v>
      </c>
      <c r="R89">
        <v>7</v>
      </c>
      <c r="S89">
        <v>106</v>
      </c>
      <c r="T89">
        <v>6</v>
      </c>
      <c r="U89">
        <v>6</v>
      </c>
      <c r="V89">
        <v>7</v>
      </c>
      <c r="W89" t="s">
        <v>63</v>
      </c>
      <c r="X89" t="s">
        <v>63</v>
      </c>
      <c r="Y89">
        <v>55</v>
      </c>
      <c r="Z89">
        <v>25</v>
      </c>
      <c r="AA89">
        <v>45</v>
      </c>
      <c r="AB89">
        <v>20</v>
      </c>
      <c r="AC89">
        <v>2</v>
      </c>
      <c r="AD89">
        <v>7</v>
      </c>
      <c r="AE89">
        <v>22</v>
      </c>
      <c r="AF89">
        <v>55</v>
      </c>
      <c r="AG89">
        <v>3</v>
      </c>
      <c r="AH89">
        <v>4</v>
      </c>
      <c r="AI89">
        <v>12</v>
      </c>
      <c r="AJ89">
        <v>20</v>
      </c>
      <c r="AK89">
        <v>68</v>
      </c>
      <c r="AL89">
        <v>2</v>
      </c>
      <c r="AM89">
        <v>2</v>
      </c>
      <c r="AN89">
        <v>5</v>
      </c>
      <c r="AO89" t="s">
        <v>63</v>
      </c>
      <c r="AP89" t="s">
        <v>63</v>
      </c>
    </row>
    <row r="90" spans="1:42" x14ac:dyDescent="0.25">
      <c r="A90" s="16" t="s">
        <v>160</v>
      </c>
      <c r="B90" s="16" t="s">
        <v>159</v>
      </c>
      <c r="C90">
        <v>2</v>
      </c>
      <c r="D90">
        <v>1</v>
      </c>
      <c r="E90">
        <v>3</v>
      </c>
      <c r="F90">
        <v>2</v>
      </c>
      <c r="G90">
        <v>69</v>
      </c>
      <c r="H90">
        <v>88</v>
      </c>
      <c r="I90">
        <v>31</v>
      </c>
      <c r="J90">
        <v>23</v>
      </c>
      <c r="K90">
        <v>12</v>
      </c>
      <c r="L90">
        <v>6</v>
      </c>
      <c r="M90">
        <v>72</v>
      </c>
      <c r="N90">
        <v>59</v>
      </c>
      <c r="O90">
        <v>5</v>
      </c>
      <c r="P90">
        <v>8</v>
      </c>
      <c r="Q90">
        <v>20</v>
      </c>
      <c r="R90">
        <v>28</v>
      </c>
      <c r="S90">
        <v>162</v>
      </c>
      <c r="T90">
        <v>4</v>
      </c>
      <c r="U90">
        <v>6</v>
      </c>
      <c r="V90">
        <v>5</v>
      </c>
      <c r="W90">
        <v>6</v>
      </c>
      <c r="X90">
        <v>7</v>
      </c>
      <c r="Y90">
        <v>72</v>
      </c>
      <c r="Z90">
        <v>76</v>
      </c>
      <c r="AA90">
        <v>28</v>
      </c>
      <c r="AB90">
        <v>21</v>
      </c>
      <c r="AC90">
        <v>28</v>
      </c>
      <c r="AD90">
        <v>2</v>
      </c>
      <c r="AE90">
        <v>53</v>
      </c>
      <c r="AF90">
        <v>41</v>
      </c>
      <c r="AG90">
        <v>4</v>
      </c>
      <c r="AH90">
        <v>17</v>
      </c>
      <c r="AI90">
        <v>13</v>
      </c>
      <c r="AJ90">
        <v>25</v>
      </c>
      <c r="AK90">
        <v>152</v>
      </c>
      <c r="AL90">
        <v>6</v>
      </c>
      <c r="AM90">
        <v>3</v>
      </c>
      <c r="AN90">
        <v>7</v>
      </c>
      <c r="AO90">
        <v>4</v>
      </c>
      <c r="AP90">
        <v>5</v>
      </c>
    </row>
    <row r="91" spans="1:42" x14ac:dyDescent="0.25">
      <c r="A91" s="16" t="s">
        <v>164</v>
      </c>
      <c r="B91" s="16" t="s">
        <v>162</v>
      </c>
      <c r="C91">
        <v>2</v>
      </c>
      <c r="D91">
        <v>1</v>
      </c>
      <c r="E91">
        <v>3</v>
      </c>
      <c r="F91">
        <v>2</v>
      </c>
      <c r="G91">
        <v>50</v>
      </c>
      <c r="H91">
        <v>68</v>
      </c>
      <c r="I91">
        <v>50</v>
      </c>
      <c r="J91">
        <v>47</v>
      </c>
      <c r="K91">
        <v>32</v>
      </c>
      <c r="L91">
        <v>5</v>
      </c>
      <c r="M91">
        <v>78</v>
      </c>
      <c r="N91">
        <v>45</v>
      </c>
      <c r="O91">
        <v>7</v>
      </c>
      <c r="P91">
        <v>24</v>
      </c>
      <c r="Q91">
        <v>28</v>
      </c>
      <c r="R91">
        <v>32</v>
      </c>
      <c r="S91">
        <v>188</v>
      </c>
      <c r="T91">
        <v>6</v>
      </c>
      <c r="U91">
        <v>6</v>
      </c>
      <c r="V91">
        <v>6</v>
      </c>
      <c r="W91">
        <v>6</v>
      </c>
      <c r="X91">
        <v>6</v>
      </c>
      <c r="Y91">
        <v>66</v>
      </c>
      <c r="Z91">
        <v>86</v>
      </c>
      <c r="AA91">
        <v>34</v>
      </c>
      <c r="AB91">
        <v>27</v>
      </c>
      <c r="AC91">
        <v>24</v>
      </c>
      <c r="AD91">
        <v>11</v>
      </c>
      <c r="AE91">
        <v>59</v>
      </c>
      <c r="AF91">
        <v>74</v>
      </c>
      <c r="AG91">
        <v>2</v>
      </c>
      <c r="AH91">
        <v>10</v>
      </c>
      <c r="AI91">
        <v>21</v>
      </c>
      <c r="AJ91">
        <v>35</v>
      </c>
      <c r="AK91">
        <v>159</v>
      </c>
      <c r="AL91">
        <v>7</v>
      </c>
      <c r="AM91">
        <v>7</v>
      </c>
      <c r="AN91">
        <v>4</v>
      </c>
      <c r="AO91">
        <v>2</v>
      </c>
      <c r="AP91">
        <v>2</v>
      </c>
    </row>
    <row r="92" spans="1:42" x14ac:dyDescent="0.25">
      <c r="A92" s="16" t="s">
        <v>169</v>
      </c>
      <c r="B92" s="16" t="s">
        <v>167</v>
      </c>
      <c r="C92">
        <v>2</v>
      </c>
      <c r="D92">
        <v>0</v>
      </c>
      <c r="E92">
        <v>0</v>
      </c>
      <c r="F92">
        <v>3</v>
      </c>
      <c r="G92">
        <v>70</v>
      </c>
      <c r="H92">
        <v>47</v>
      </c>
      <c r="I92">
        <v>30</v>
      </c>
      <c r="J92">
        <v>19</v>
      </c>
      <c r="K92">
        <v>2</v>
      </c>
      <c r="L92">
        <v>2</v>
      </c>
      <c r="M92">
        <v>23</v>
      </c>
      <c r="N92">
        <v>46</v>
      </c>
      <c r="O92">
        <v>2</v>
      </c>
      <c r="P92">
        <v>4</v>
      </c>
      <c r="Q92">
        <v>13</v>
      </c>
      <c r="R92">
        <v>18</v>
      </c>
      <c r="S92">
        <v>95</v>
      </c>
      <c r="T92">
        <v>3</v>
      </c>
      <c r="U92">
        <v>3</v>
      </c>
      <c r="V92">
        <v>6</v>
      </c>
      <c r="W92" t="s">
        <v>63</v>
      </c>
      <c r="X92" t="s">
        <v>63</v>
      </c>
      <c r="Y92">
        <v>59</v>
      </c>
      <c r="Z92">
        <v>49</v>
      </c>
      <c r="AA92">
        <v>41</v>
      </c>
      <c r="AB92">
        <v>18</v>
      </c>
      <c r="AC92">
        <v>15</v>
      </c>
      <c r="AD92">
        <v>7</v>
      </c>
      <c r="AE92">
        <v>36</v>
      </c>
      <c r="AF92">
        <v>35</v>
      </c>
      <c r="AG92">
        <v>5</v>
      </c>
      <c r="AH92">
        <v>21</v>
      </c>
      <c r="AI92">
        <v>5</v>
      </c>
      <c r="AJ92">
        <v>9</v>
      </c>
      <c r="AK92">
        <v>117</v>
      </c>
      <c r="AL92">
        <v>6</v>
      </c>
      <c r="AM92">
        <v>6</v>
      </c>
      <c r="AN92">
        <v>7</v>
      </c>
      <c r="AO92" t="s">
        <v>63</v>
      </c>
      <c r="AP92" t="s">
        <v>63</v>
      </c>
    </row>
    <row r="93" spans="1:42" x14ac:dyDescent="0.25">
      <c r="A93" s="16" t="s">
        <v>172</v>
      </c>
      <c r="B93" s="16" t="s">
        <v>171</v>
      </c>
      <c r="C93">
        <v>2</v>
      </c>
      <c r="D93">
        <v>1</v>
      </c>
      <c r="E93">
        <v>3</v>
      </c>
      <c r="F93">
        <v>0</v>
      </c>
      <c r="G93">
        <v>64</v>
      </c>
      <c r="H93">
        <v>57</v>
      </c>
      <c r="I93">
        <v>36</v>
      </c>
      <c r="J93">
        <v>23</v>
      </c>
      <c r="K93">
        <v>27</v>
      </c>
      <c r="L93">
        <v>2</v>
      </c>
      <c r="M93">
        <v>63</v>
      </c>
      <c r="N93">
        <v>36</v>
      </c>
      <c r="O93">
        <v>2</v>
      </c>
      <c r="P93">
        <v>6</v>
      </c>
      <c r="Q93">
        <v>17</v>
      </c>
      <c r="R93">
        <v>25</v>
      </c>
      <c r="S93">
        <v>116</v>
      </c>
      <c r="T93">
        <v>7</v>
      </c>
      <c r="U93">
        <v>6</v>
      </c>
      <c r="V93">
        <v>6</v>
      </c>
      <c r="W93" t="s">
        <v>63</v>
      </c>
      <c r="X93" t="s">
        <v>63</v>
      </c>
      <c r="Y93">
        <v>67</v>
      </c>
      <c r="Z93">
        <v>55</v>
      </c>
      <c r="AA93">
        <v>33</v>
      </c>
      <c r="AB93">
        <v>22</v>
      </c>
      <c r="AC93">
        <v>6</v>
      </c>
      <c r="AD93">
        <v>1</v>
      </c>
      <c r="AE93">
        <v>23</v>
      </c>
      <c r="AF93">
        <v>23</v>
      </c>
      <c r="AG93">
        <v>0</v>
      </c>
      <c r="AH93">
        <v>5</v>
      </c>
      <c r="AI93">
        <v>7</v>
      </c>
      <c r="AJ93">
        <v>10</v>
      </c>
      <c r="AK93">
        <v>101</v>
      </c>
      <c r="AL93">
        <v>6</v>
      </c>
      <c r="AM93">
        <v>4</v>
      </c>
      <c r="AN93">
        <v>4</v>
      </c>
      <c r="AO93" t="s">
        <v>63</v>
      </c>
      <c r="AP93" t="s">
        <v>63</v>
      </c>
    </row>
    <row r="94" spans="1:42" x14ac:dyDescent="0.25">
      <c r="A94" s="16" t="s">
        <v>176</v>
      </c>
      <c r="B94" s="16" t="s">
        <v>175</v>
      </c>
      <c r="C94">
        <v>2</v>
      </c>
      <c r="D94">
        <v>0</v>
      </c>
      <c r="E94">
        <v>0</v>
      </c>
      <c r="F94">
        <v>3</v>
      </c>
      <c r="G94">
        <v>70</v>
      </c>
      <c r="H94">
        <v>37</v>
      </c>
      <c r="I94">
        <v>30</v>
      </c>
      <c r="J94">
        <v>8</v>
      </c>
      <c r="K94">
        <v>7</v>
      </c>
      <c r="L94">
        <v>3</v>
      </c>
      <c r="M94">
        <v>17</v>
      </c>
      <c r="N94">
        <v>49</v>
      </c>
      <c r="O94">
        <v>1</v>
      </c>
      <c r="P94">
        <v>5</v>
      </c>
      <c r="Q94">
        <v>4</v>
      </c>
      <c r="R94">
        <v>7</v>
      </c>
      <c r="S94">
        <v>68</v>
      </c>
      <c r="T94">
        <v>1</v>
      </c>
      <c r="U94">
        <v>1</v>
      </c>
      <c r="V94">
        <v>6</v>
      </c>
      <c r="W94" t="s">
        <v>63</v>
      </c>
      <c r="X94" t="s">
        <v>63</v>
      </c>
      <c r="Y94">
        <v>64</v>
      </c>
      <c r="Z94">
        <v>43</v>
      </c>
      <c r="AA94">
        <v>36</v>
      </c>
      <c r="AB94">
        <v>15</v>
      </c>
      <c r="AC94">
        <v>5</v>
      </c>
      <c r="AD94">
        <v>3</v>
      </c>
      <c r="AE94">
        <v>30</v>
      </c>
      <c r="AF94">
        <v>27</v>
      </c>
      <c r="AG94">
        <v>6</v>
      </c>
      <c r="AH94">
        <v>12</v>
      </c>
      <c r="AI94">
        <v>10</v>
      </c>
      <c r="AJ94">
        <v>14</v>
      </c>
      <c r="AK94">
        <v>104</v>
      </c>
      <c r="AL94">
        <v>6</v>
      </c>
      <c r="AM94">
        <v>6</v>
      </c>
      <c r="AN94">
        <v>7</v>
      </c>
      <c r="AO94" t="s">
        <v>63</v>
      </c>
      <c r="AP94" t="s">
        <v>63</v>
      </c>
    </row>
    <row r="95" spans="1:42" x14ac:dyDescent="0.25">
      <c r="A95" s="16" t="s">
        <v>180</v>
      </c>
      <c r="B95" s="16" t="s">
        <v>179</v>
      </c>
      <c r="C95">
        <v>2</v>
      </c>
      <c r="D95">
        <v>0</v>
      </c>
      <c r="E95">
        <v>2</v>
      </c>
      <c r="F95">
        <v>3</v>
      </c>
      <c r="G95">
        <v>57</v>
      </c>
      <c r="H95">
        <v>57</v>
      </c>
      <c r="I95">
        <v>43</v>
      </c>
      <c r="J95">
        <v>33</v>
      </c>
      <c r="K95">
        <v>12</v>
      </c>
      <c r="L95">
        <v>10</v>
      </c>
      <c r="M95">
        <v>47</v>
      </c>
      <c r="N95">
        <v>65</v>
      </c>
      <c r="O95">
        <v>6</v>
      </c>
      <c r="P95">
        <v>18</v>
      </c>
      <c r="Q95">
        <v>9</v>
      </c>
      <c r="R95">
        <v>15</v>
      </c>
      <c r="S95">
        <v>165</v>
      </c>
      <c r="T95">
        <v>4</v>
      </c>
      <c r="U95">
        <v>6</v>
      </c>
      <c r="V95">
        <v>3</v>
      </c>
      <c r="W95">
        <v>6</v>
      </c>
      <c r="X95">
        <v>5</v>
      </c>
      <c r="Y95">
        <v>61</v>
      </c>
      <c r="Z95">
        <v>71</v>
      </c>
      <c r="AA95">
        <v>39</v>
      </c>
      <c r="AB95">
        <v>29</v>
      </c>
      <c r="AC95">
        <v>6</v>
      </c>
      <c r="AD95">
        <v>15</v>
      </c>
      <c r="AE95">
        <v>47</v>
      </c>
      <c r="AF95">
        <v>78</v>
      </c>
      <c r="AG95">
        <v>6</v>
      </c>
      <c r="AH95">
        <v>15</v>
      </c>
      <c r="AI95">
        <v>31</v>
      </c>
      <c r="AJ95">
        <v>48</v>
      </c>
      <c r="AK95">
        <v>158</v>
      </c>
      <c r="AL95">
        <v>6</v>
      </c>
      <c r="AM95">
        <v>2</v>
      </c>
      <c r="AN95">
        <v>6</v>
      </c>
      <c r="AO95">
        <v>4</v>
      </c>
      <c r="AP95">
        <v>7</v>
      </c>
    </row>
    <row r="96" spans="1:42" x14ac:dyDescent="0.25">
      <c r="A96" s="16" t="s">
        <v>185</v>
      </c>
      <c r="B96" s="16" t="s">
        <v>183</v>
      </c>
      <c r="C96">
        <v>2</v>
      </c>
      <c r="D96">
        <v>0</v>
      </c>
      <c r="E96">
        <v>0</v>
      </c>
      <c r="F96">
        <v>3</v>
      </c>
      <c r="G96">
        <v>58</v>
      </c>
      <c r="H96">
        <v>48</v>
      </c>
      <c r="I96">
        <v>42</v>
      </c>
      <c r="J96">
        <v>23</v>
      </c>
      <c r="K96">
        <v>5</v>
      </c>
      <c r="L96">
        <v>9</v>
      </c>
      <c r="M96">
        <v>34</v>
      </c>
      <c r="N96">
        <v>37</v>
      </c>
      <c r="O96">
        <v>1</v>
      </c>
      <c r="P96">
        <v>1</v>
      </c>
      <c r="Q96">
        <v>16</v>
      </c>
      <c r="R96">
        <v>29</v>
      </c>
      <c r="S96">
        <v>92</v>
      </c>
      <c r="T96">
        <v>6</v>
      </c>
      <c r="U96">
        <v>5</v>
      </c>
      <c r="V96">
        <v>2</v>
      </c>
      <c r="W96" t="s">
        <v>63</v>
      </c>
      <c r="X96" t="s">
        <v>63</v>
      </c>
      <c r="Y96">
        <v>62</v>
      </c>
      <c r="Z96">
        <v>47</v>
      </c>
      <c r="AA96">
        <v>38</v>
      </c>
      <c r="AB96">
        <v>23</v>
      </c>
      <c r="AC96">
        <v>13</v>
      </c>
      <c r="AD96">
        <v>3</v>
      </c>
      <c r="AE96">
        <v>39</v>
      </c>
      <c r="AF96">
        <v>30</v>
      </c>
      <c r="AG96">
        <v>4</v>
      </c>
      <c r="AH96">
        <v>11</v>
      </c>
      <c r="AI96">
        <v>20</v>
      </c>
      <c r="AJ96">
        <v>26</v>
      </c>
      <c r="AK96">
        <v>117</v>
      </c>
      <c r="AL96">
        <v>7</v>
      </c>
      <c r="AM96">
        <v>7</v>
      </c>
      <c r="AN96">
        <v>6</v>
      </c>
      <c r="AO96" t="s">
        <v>63</v>
      </c>
      <c r="AP96" t="s">
        <v>63</v>
      </c>
    </row>
    <row r="97" spans="1:42" x14ac:dyDescent="0.25">
      <c r="A97" s="16" t="s">
        <v>188</v>
      </c>
      <c r="B97" s="16" t="s">
        <v>186</v>
      </c>
      <c r="C97">
        <v>2</v>
      </c>
      <c r="D97">
        <v>1</v>
      </c>
      <c r="E97">
        <v>3</v>
      </c>
      <c r="F97">
        <v>0</v>
      </c>
      <c r="G97">
        <v>74</v>
      </c>
      <c r="H97">
        <v>45</v>
      </c>
      <c r="I97">
        <v>26</v>
      </c>
      <c r="J97">
        <v>11</v>
      </c>
      <c r="K97">
        <v>7</v>
      </c>
      <c r="L97">
        <v>1</v>
      </c>
      <c r="M97">
        <v>39</v>
      </c>
      <c r="N97">
        <v>19</v>
      </c>
      <c r="O97">
        <v>5</v>
      </c>
      <c r="P97">
        <v>10</v>
      </c>
      <c r="Q97">
        <v>11</v>
      </c>
      <c r="R97">
        <v>14</v>
      </c>
      <c r="S97">
        <v>91</v>
      </c>
      <c r="T97">
        <v>6</v>
      </c>
      <c r="U97">
        <v>6</v>
      </c>
      <c r="V97">
        <v>6</v>
      </c>
      <c r="W97" t="s">
        <v>63</v>
      </c>
      <c r="X97" t="s">
        <v>63</v>
      </c>
      <c r="Y97">
        <v>67</v>
      </c>
      <c r="Z97">
        <v>33</v>
      </c>
      <c r="AA97">
        <v>33</v>
      </c>
      <c r="AB97">
        <v>10</v>
      </c>
      <c r="AC97">
        <v>4</v>
      </c>
      <c r="AD97">
        <v>3</v>
      </c>
      <c r="AE97">
        <v>21</v>
      </c>
      <c r="AF97">
        <v>24</v>
      </c>
      <c r="AG97">
        <v>0</v>
      </c>
      <c r="AH97">
        <v>3</v>
      </c>
      <c r="AI97">
        <v>8</v>
      </c>
      <c r="AJ97">
        <v>10</v>
      </c>
      <c r="AK97">
        <v>61</v>
      </c>
      <c r="AL97">
        <v>2</v>
      </c>
      <c r="AM97">
        <v>4</v>
      </c>
      <c r="AN97">
        <v>2</v>
      </c>
      <c r="AO97" t="s">
        <v>63</v>
      </c>
      <c r="AP97" t="s">
        <v>63</v>
      </c>
    </row>
    <row r="98" spans="1:42" x14ac:dyDescent="0.25">
      <c r="A98" s="16" t="s">
        <v>67</v>
      </c>
      <c r="B98" s="16" t="s">
        <v>62</v>
      </c>
      <c r="C98">
        <v>3</v>
      </c>
      <c r="D98">
        <v>0</v>
      </c>
      <c r="E98">
        <v>0</v>
      </c>
      <c r="F98">
        <v>3</v>
      </c>
      <c r="G98">
        <v>65</v>
      </c>
      <c r="H98">
        <v>41</v>
      </c>
      <c r="I98">
        <v>35</v>
      </c>
      <c r="J98">
        <v>10</v>
      </c>
      <c r="K98">
        <v>5</v>
      </c>
      <c r="L98">
        <v>1</v>
      </c>
      <c r="M98">
        <v>14</v>
      </c>
      <c r="N98">
        <v>26</v>
      </c>
      <c r="O98">
        <v>1</v>
      </c>
      <c r="P98">
        <v>1</v>
      </c>
      <c r="Q98">
        <v>3</v>
      </c>
      <c r="R98">
        <v>9</v>
      </c>
      <c r="S98">
        <v>71</v>
      </c>
      <c r="T98">
        <v>3</v>
      </c>
      <c r="U98">
        <v>3</v>
      </c>
      <c r="V98">
        <v>5</v>
      </c>
      <c r="W98" t="s">
        <v>63</v>
      </c>
      <c r="X98" t="s">
        <v>63</v>
      </c>
      <c r="Y98">
        <v>63</v>
      </c>
      <c r="Z98">
        <v>38</v>
      </c>
      <c r="AA98">
        <v>37</v>
      </c>
      <c r="AB98">
        <v>20</v>
      </c>
      <c r="AC98">
        <v>6</v>
      </c>
      <c r="AD98">
        <v>1</v>
      </c>
      <c r="AE98">
        <v>31</v>
      </c>
      <c r="AF98">
        <v>23</v>
      </c>
      <c r="AG98">
        <v>5</v>
      </c>
      <c r="AH98">
        <v>8</v>
      </c>
      <c r="AI98">
        <v>16</v>
      </c>
      <c r="AJ98">
        <v>21</v>
      </c>
      <c r="AK98">
        <v>93</v>
      </c>
      <c r="AL98">
        <v>6</v>
      </c>
      <c r="AM98">
        <v>6</v>
      </c>
      <c r="AN98">
        <v>7</v>
      </c>
      <c r="AO98" t="s">
        <v>63</v>
      </c>
      <c r="AP98" t="s">
        <v>63</v>
      </c>
    </row>
    <row r="99" spans="1:42" x14ac:dyDescent="0.25">
      <c r="A99" s="16" t="s">
        <v>76</v>
      </c>
      <c r="B99" s="16" t="s">
        <v>73</v>
      </c>
      <c r="C99">
        <v>3</v>
      </c>
      <c r="D99">
        <v>1</v>
      </c>
      <c r="E99">
        <v>3</v>
      </c>
      <c r="F99">
        <v>0</v>
      </c>
      <c r="G99">
        <v>60</v>
      </c>
      <c r="H99">
        <v>41</v>
      </c>
      <c r="I99">
        <v>40</v>
      </c>
      <c r="J99">
        <v>26</v>
      </c>
      <c r="K99">
        <v>9</v>
      </c>
      <c r="L99">
        <v>3</v>
      </c>
      <c r="M99">
        <v>43</v>
      </c>
      <c r="N99">
        <v>26</v>
      </c>
      <c r="O99">
        <v>4</v>
      </c>
      <c r="P99">
        <v>10</v>
      </c>
      <c r="Q99">
        <v>7</v>
      </c>
      <c r="R99">
        <v>11</v>
      </c>
      <c r="S99">
        <v>108</v>
      </c>
      <c r="T99">
        <v>7</v>
      </c>
      <c r="U99">
        <v>6</v>
      </c>
      <c r="V99">
        <v>6</v>
      </c>
      <c r="W99" t="s">
        <v>63</v>
      </c>
      <c r="X99" t="s">
        <v>63</v>
      </c>
      <c r="Y99">
        <v>63</v>
      </c>
      <c r="Z99">
        <v>43</v>
      </c>
      <c r="AA99">
        <v>37</v>
      </c>
      <c r="AB99">
        <v>19</v>
      </c>
      <c r="AC99">
        <v>10</v>
      </c>
      <c r="AD99">
        <v>1</v>
      </c>
      <c r="AE99">
        <v>27</v>
      </c>
      <c r="AF99">
        <v>41</v>
      </c>
      <c r="AG99">
        <v>1</v>
      </c>
      <c r="AH99">
        <v>4</v>
      </c>
      <c r="AI99">
        <v>11</v>
      </c>
      <c r="AJ99">
        <v>23</v>
      </c>
      <c r="AK99">
        <v>86</v>
      </c>
      <c r="AL99">
        <v>5</v>
      </c>
      <c r="AM99">
        <v>4</v>
      </c>
      <c r="AN99">
        <v>4</v>
      </c>
      <c r="AO99" t="s">
        <v>63</v>
      </c>
      <c r="AP99" t="s">
        <v>63</v>
      </c>
    </row>
    <row r="100" spans="1:42" x14ac:dyDescent="0.25">
      <c r="A100" s="16" t="s">
        <v>84</v>
      </c>
      <c r="B100" s="16" t="s">
        <v>79</v>
      </c>
      <c r="C100">
        <v>3</v>
      </c>
      <c r="D100">
        <v>1</v>
      </c>
      <c r="E100">
        <v>3</v>
      </c>
      <c r="F100">
        <v>1</v>
      </c>
      <c r="G100">
        <v>65</v>
      </c>
      <c r="H100">
        <v>70</v>
      </c>
      <c r="I100">
        <v>35</v>
      </c>
      <c r="J100">
        <v>21</v>
      </c>
      <c r="K100">
        <v>16</v>
      </c>
      <c r="L100">
        <v>3</v>
      </c>
      <c r="M100">
        <v>51</v>
      </c>
      <c r="N100">
        <v>38</v>
      </c>
      <c r="O100">
        <v>3</v>
      </c>
      <c r="P100">
        <v>7</v>
      </c>
      <c r="Q100">
        <v>18</v>
      </c>
      <c r="R100">
        <v>25</v>
      </c>
      <c r="S100">
        <v>140</v>
      </c>
      <c r="T100">
        <v>2</v>
      </c>
      <c r="U100">
        <v>7</v>
      </c>
      <c r="V100">
        <v>6</v>
      </c>
      <c r="W100">
        <v>7</v>
      </c>
      <c r="X100" t="s">
        <v>63</v>
      </c>
      <c r="Y100">
        <v>62</v>
      </c>
      <c r="Z100">
        <v>61</v>
      </c>
      <c r="AA100">
        <v>38</v>
      </c>
      <c r="AB100">
        <v>28</v>
      </c>
      <c r="AC100">
        <v>4</v>
      </c>
      <c r="AD100">
        <v>5</v>
      </c>
      <c r="AE100">
        <v>62</v>
      </c>
      <c r="AF100">
        <v>34</v>
      </c>
      <c r="AG100">
        <v>3</v>
      </c>
      <c r="AH100">
        <v>9</v>
      </c>
      <c r="AI100">
        <v>44</v>
      </c>
      <c r="AJ100">
        <v>57</v>
      </c>
      <c r="AK100">
        <v>137</v>
      </c>
      <c r="AL100">
        <v>6</v>
      </c>
      <c r="AM100">
        <v>5</v>
      </c>
      <c r="AN100">
        <v>4</v>
      </c>
      <c r="AO100">
        <v>6</v>
      </c>
      <c r="AP100" t="s">
        <v>63</v>
      </c>
    </row>
    <row r="101" spans="1:42" x14ac:dyDescent="0.25">
      <c r="A101" s="16" t="s">
        <v>100</v>
      </c>
      <c r="B101" s="16" t="s">
        <v>95</v>
      </c>
      <c r="C101">
        <v>3</v>
      </c>
      <c r="D101">
        <v>0</v>
      </c>
      <c r="E101">
        <v>0</v>
      </c>
      <c r="F101">
        <v>3</v>
      </c>
      <c r="G101">
        <v>58</v>
      </c>
      <c r="H101">
        <v>44</v>
      </c>
      <c r="I101">
        <v>42</v>
      </c>
      <c r="J101">
        <v>17</v>
      </c>
      <c r="K101">
        <v>8</v>
      </c>
      <c r="L101">
        <v>8</v>
      </c>
      <c r="M101">
        <v>30</v>
      </c>
      <c r="N101">
        <v>51</v>
      </c>
      <c r="O101">
        <v>1</v>
      </c>
      <c r="P101">
        <v>3</v>
      </c>
      <c r="Q101">
        <v>17</v>
      </c>
      <c r="R101">
        <v>27</v>
      </c>
      <c r="S101">
        <v>87</v>
      </c>
      <c r="T101">
        <v>2</v>
      </c>
      <c r="U101">
        <v>6</v>
      </c>
      <c r="V101">
        <v>2</v>
      </c>
      <c r="W101" t="s">
        <v>63</v>
      </c>
      <c r="X101" t="s">
        <v>63</v>
      </c>
      <c r="Y101">
        <v>72</v>
      </c>
      <c r="Z101">
        <v>44</v>
      </c>
      <c r="AA101">
        <v>28</v>
      </c>
      <c r="AB101">
        <v>17</v>
      </c>
      <c r="AC101">
        <v>2</v>
      </c>
      <c r="AD101">
        <v>1</v>
      </c>
      <c r="AE101">
        <v>22</v>
      </c>
      <c r="AF101">
        <v>24</v>
      </c>
      <c r="AG101">
        <v>5</v>
      </c>
      <c r="AH101">
        <v>11</v>
      </c>
      <c r="AI101">
        <v>10</v>
      </c>
      <c r="AJ101">
        <v>12</v>
      </c>
      <c r="AK101">
        <v>111</v>
      </c>
      <c r="AL101">
        <v>6</v>
      </c>
      <c r="AM101">
        <v>7</v>
      </c>
      <c r="AN101">
        <v>6</v>
      </c>
      <c r="AO101" t="s">
        <v>63</v>
      </c>
      <c r="AP101" t="s">
        <v>63</v>
      </c>
    </row>
    <row r="102" spans="1:42" x14ac:dyDescent="0.25">
      <c r="A102" s="16" t="s">
        <v>106</v>
      </c>
      <c r="B102" s="16" t="s">
        <v>103</v>
      </c>
      <c r="C102">
        <v>3</v>
      </c>
      <c r="D102">
        <v>1</v>
      </c>
      <c r="E102">
        <v>3</v>
      </c>
      <c r="F102">
        <v>0</v>
      </c>
      <c r="G102">
        <v>68</v>
      </c>
      <c r="H102">
        <v>42</v>
      </c>
      <c r="I102">
        <v>32</v>
      </c>
      <c r="J102">
        <v>15</v>
      </c>
      <c r="K102">
        <v>17</v>
      </c>
      <c r="L102">
        <v>0</v>
      </c>
      <c r="M102">
        <v>38</v>
      </c>
      <c r="N102">
        <v>7</v>
      </c>
      <c r="O102">
        <v>5</v>
      </c>
      <c r="P102">
        <v>11</v>
      </c>
      <c r="Q102">
        <v>12</v>
      </c>
      <c r="R102">
        <v>13</v>
      </c>
      <c r="S102">
        <v>98</v>
      </c>
      <c r="T102">
        <v>7</v>
      </c>
      <c r="U102">
        <v>6</v>
      </c>
      <c r="V102">
        <v>6</v>
      </c>
      <c r="W102" t="s">
        <v>63</v>
      </c>
      <c r="X102" t="s">
        <v>63</v>
      </c>
      <c r="Y102">
        <v>53</v>
      </c>
      <c r="Z102">
        <v>34</v>
      </c>
      <c r="AA102">
        <v>47</v>
      </c>
      <c r="AB102">
        <v>18</v>
      </c>
      <c r="AC102">
        <v>3</v>
      </c>
      <c r="AD102">
        <v>7</v>
      </c>
      <c r="AE102">
        <v>34</v>
      </c>
      <c r="AF102">
        <v>44</v>
      </c>
      <c r="AG102">
        <v>0</v>
      </c>
      <c r="AH102">
        <v>1</v>
      </c>
      <c r="AI102">
        <v>11</v>
      </c>
      <c r="AJ102">
        <v>15</v>
      </c>
      <c r="AK102">
        <v>63</v>
      </c>
      <c r="AL102">
        <v>5</v>
      </c>
      <c r="AM102">
        <v>2</v>
      </c>
      <c r="AN102">
        <v>2</v>
      </c>
      <c r="AO102" t="s">
        <v>63</v>
      </c>
      <c r="AP102" t="s">
        <v>63</v>
      </c>
    </row>
    <row r="103" spans="1:42" x14ac:dyDescent="0.25">
      <c r="A103" s="16" t="s">
        <v>116</v>
      </c>
      <c r="B103" s="16" t="s">
        <v>113</v>
      </c>
      <c r="C103">
        <v>3</v>
      </c>
      <c r="D103">
        <v>1</v>
      </c>
      <c r="E103">
        <v>3</v>
      </c>
      <c r="F103">
        <v>2</v>
      </c>
      <c r="G103">
        <v>67</v>
      </c>
      <c r="H103">
        <v>77</v>
      </c>
      <c r="I103">
        <v>33</v>
      </c>
      <c r="J103">
        <v>26</v>
      </c>
      <c r="K103">
        <v>27</v>
      </c>
      <c r="L103">
        <v>6</v>
      </c>
      <c r="M103">
        <v>82</v>
      </c>
      <c r="N103">
        <v>69</v>
      </c>
      <c r="O103">
        <v>3</v>
      </c>
      <c r="P103">
        <v>12</v>
      </c>
      <c r="Q103">
        <v>22</v>
      </c>
      <c r="R103">
        <v>30</v>
      </c>
      <c r="S103">
        <v>164</v>
      </c>
      <c r="T103">
        <v>3</v>
      </c>
      <c r="U103">
        <v>4</v>
      </c>
      <c r="V103">
        <v>6</v>
      </c>
      <c r="W103">
        <v>7</v>
      </c>
      <c r="X103">
        <v>7</v>
      </c>
      <c r="Y103">
        <v>74</v>
      </c>
      <c r="Z103">
        <v>94</v>
      </c>
      <c r="AA103">
        <v>26</v>
      </c>
      <c r="AB103">
        <v>20</v>
      </c>
      <c r="AC103">
        <v>8</v>
      </c>
      <c r="AD103">
        <v>4</v>
      </c>
      <c r="AE103">
        <v>43</v>
      </c>
      <c r="AF103">
        <v>34</v>
      </c>
      <c r="AG103">
        <v>3</v>
      </c>
      <c r="AH103">
        <v>7</v>
      </c>
      <c r="AI103">
        <v>17</v>
      </c>
      <c r="AJ103">
        <v>29</v>
      </c>
      <c r="AK103">
        <v>162</v>
      </c>
      <c r="AL103">
        <v>6</v>
      </c>
      <c r="AM103">
        <v>6</v>
      </c>
      <c r="AN103">
        <v>3</v>
      </c>
      <c r="AO103">
        <v>6</v>
      </c>
      <c r="AP103">
        <v>5</v>
      </c>
    </row>
    <row r="104" spans="1:42" x14ac:dyDescent="0.25">
      <c r="A104" s="16" t="s">
        <v>124</v>
      </c>
      <c r="B104" s="16" t="s">
        <v>121</v>
      </c>
      <c r="C104">
        <v>3</v>
      </c>
      <c r="D104">
        <v>1</v>
      </c>
      <c r="E104">
        <v>3</v>
      </c>
      <c r="F104">
        <v>0</v>
      </c>
      <c r="G104">
        <v>57</v>
      </c>
      <c r="H104">
        <v>37</v>
      </c>
      <c r="I104">
        <v>43</v>
      </c>
      <c r="J104">
        <v>19</v>
      </c>
      <c r="K104">
        <v>13</v>
      </c>
      <c r="L104">
        <v>1</v>
      </c>
      <c r="M104">
        <v>32</v>
      </c>
      <c r="N104">
        <v>26</v>
      </c>
      <c r="O104">
        <v>5</v>
      </c>
      <c r="P104">
        <v>9</v>
      </c>
      <c r="Q104">
        <v>13</v>
      </c>
      <c r="R104">
        <v>18</v>
      </c>
      <c r="S104">
        <v>93</v>
      </c>
      <c r="T104">
        <v>6</v>
      </c>
      <c r="U104">
        <v>6</v>
      </c>
      <c r="V104">
        <v>6</v>
      </c>
      <c r="W104" t="s">
        <v>63</v>
      </c>
      <c r="X104" t="s">
        <v>63</v>
      </c>
      <c r="Y104">
        <v>44</v>
      </c>
      <c r="Z104">
        <v>25</v>
      </c>
      <c r="AA104">
        <v>56</v>
      </c>
      <c r="AB104">
        <v>17</v>
      </c>
      <c r="AC104">
        <v>5</v>
      </c>
      <c r="AD104">
        <v>6</v>
      </c>
      <c r="AE104">
        <v>21</v>
      </c>
      <c r="AF104">
        <v>34</v>
      </c>
      <c r="AG104">
        <v>0</v>
      </c>
      <c r="AH104">
        <v>2</v>
      </c>
      <c r="AI104">
        <v>5</v>
      </c>
      <c r="AJ104">
        <v>9</v>
      </c>
      <c r="AK104">
        <v>58</v>
      </c>
      <c r="AL104">
        <v>4</v>
      </c>
      <c r="AM104">
        <v>2</v>
      </c>
      <c r="AN104">
        <v>2</v>
      </c>
      <c r="AO104" t="s">
        <v>63</v>
      </c>
      <c r="AP104" t="s">
        <v>63</v>
      </c>
    </row>
    <row r="105" spans="1:42" x14ac:dyDescent="0.25">
      <c r="A105" s="16" t="s">
        <v>130</v>
      </c>
      <c r="B105" s="16" t="s">
        <v>127</v>
      </c>
      <c r="C105">
        <v>3</v>
      </c>
      <c r="D105">
        <v>0</v>
      </c>
      <c r="E105">
        <v>0</v>
      </c>
      <c r="F105">
        <v>3</v>
      </c>
      <c r="G105">
        <v>69</v>
      </c>
      <c r="H105">
        <v>38</v>
      </c>
      <c r="I105">
        <v>31</v>
      </c>
      <c r="J105">
        <v>10</v>
      </c>
      <c r="K105">
        <v>3</v>
      </c>
      <c r="L105">
        <v>5</v>
      </c>
      <c r="M105">
        <v>27</v>
      </c>
      <c r="N105">
        <v>33</v>
      </c>
      <c r="O105">
        <v>0</v>
      </c>
      <c r="P105">
        <v>5</v>
      </c>
      <c r="Q105">
        <v>7</v>
      </c>
      <c r="R105">
        <v>19</v>
      </c>
      <c r="S105">
        <v>66</v>
      </c>
      <c r="T105">
        <v>2</v>
      </c>
      <c r="U105">
        <v>2</v>
      </c>
      <c r="V105">
        <v>3</v>
      </c>
      <c r="W105" t="s">
        <v>63</v>
      </c>
      <c r="X105" t="s">
        <v>63</v>
      </c>
      <c r="Y105">
        <v>62</v>
      </c>
      <c r="Z105">
        <v>39</v>
      </c>
      <c r="AA105">
        <v>38</v>
      </c>
      <c r="AB105">
        <v>16</v>
      </c>
      <c r="AC105">
        <v>6</v>
      </c>
      <c r="AD105">
        <v>1</v>
      </c>
      <c r="AE105">
        <v>35</v>
      </c>
      <c r="AF105">
        <v>18</v>
      </c>
      <c r="AG105">
        <v>5</v>
      </c>
      <c r="AH105">
        <v>14</v>
      </c>
      <c r="AI105">
        <v>11</v>
      </c>
      <c r="AJ105">
        <v>20</v>
      </c>
      <c r="AK105">
        <v>98</v>
      </c>
      <c r="AL105">
        <v>6</v>
      </c>
      <c r="AM105">
        <v>6</v>
      </c>
      <c r="AN105">
        <v>6</v>
      </c>
      <c r="AO105" t="s">
        <v>63</v>
      </c>
      <c r="AP105" t="s">
        <v>63</v>
      </c>
    </row>
    <row r="106" spans="1:42" x14ac:dyDescent="0.25">
      <c r="A106" s="16" t="s">
        <v>140</v>
      </c>
      <c r="B106" s="16" t="s">
        <v>135</v>
      </c>
      <c r="C106">
        <v>3</v>
      </c>
      <c r="D106">
        <v>1</v>
      </c>
      <c r="E106">
        <v>3</v>
      </c>
      <c r="F106">
        <v>0</v>
      </c>
      <c r="G106">
        <v>66</v>
      </c>
      <c r="H106">
        <v>49</v>
      </c>
      <c r="I106">
        <v>34</v>
      </c>
      <c r="J106">
        <v>20</v>
      </c>
      <c r="K106">
        <v>17</v>
      </c>
      <c r="L106">
        <v>0</v>
      </c>
      <c r="M106">
        <v>40</v>
      </c>
      <c r="N106">
        <v>29</v>
      </c>
      <c r="O106">
        <v>3</v>
      </c>
      <c r="P106">
        <v>6</v>
      </c>
      <c r="Q106">
        <v>20</v>
      </c>
      <c r="R106">
        <v>27</v>
      </c>
      <c r="S106">
        <v>94</v>
      </c>
      <c r="T106">
        <v>7</v>
      </c>
      <c r="U106">
        <v>6</v>
      </c>
      <c r="V106">
        <v>6</v>
      </c>
      <c r="W106" t="s">
        <v>63</v>
      </c>
      <c r="X106" t="s">
        <v>63</v>
      </c>
      <c r="Y106">
        <v>53</v>
      </c>
      <c r="Z106">
        <v>34</v>
      </c>
      <c r="AA106">
        <v>47</v>
      </c>
      <c r="AB106">
        <v>22</v>
      </c>
      <c r="AC106">
        <v>7</v>
      </c>
      <c r="AD106">
        <v>3</v>
      </c>
      <c r="AE106">
        <v>21</v>
      </c>
      <c r="AF106">
        <v>25</v>
      </c>
      <c r="AG106">
        <v>0</v>
      </c>
      <c r="AH106">
        <v>3</v>
      </c>
      <c r="AI106">
        <v>23</v>
      </c>
      <c r="AJ106">
        <v>28</v>
      </c>
      <c r="AK106">
        <v>79</v>
      </c>
      <c r="AL106">
        <v>6</v>
      </c>
      <c r="AM106">
        <v>4</v>
      </c>
      <c r="AN106">
        <v>2</v>
      </c>
      <c r="AO106" t="s">
        <v>63</v>
      </c>
      <c r="AP106" t="s">
        <v>63</v>
      </c>
    </row>
    <row r="107" spans="1:42" x14ac:dyDescent="0.25">
      <c r="A107" s="16" t="s">
        <v>148</v>
      </c>
      <c r="B107" s="16" t="s">
        <v>142</v>
      </c>
      <c r="C107">
        <v>3</v>
      </c>
      <c r="D107">
        <v>1</v>
      </c>
      <c r="E107">
        <v>3</v>
      </c>
      <c r="F107">
        <v>0</v>
      </c>
      <c r="G107">
        <v>72</v>
      </c>
      <c r="H107">
        <v>54</v>
      </c>
      <c r="I107">
        <v>28</v>
      </c>
      <c r="J107">
        <v>11</v>
      </c>
      <c r="K107">
        <v>7</v>
      </c>
      <c r="L107">
        <v>5</v>
      </c>
      <c r="M107">
        <v>35</v>
      </c>
      <c r="N107">
        <v>23</v>
      </c>
      <c r="O107">
        <v>4</v>
      </c>
      <c r="P107">
        <v>10</v>
      </c>
      <c r="Q107">
        <v>14</v>
      </c>
      <c r="R107">
        <v>17</v>
      </c>
      <c r="S107">
        <v>105</v>
      </c>
      <c r="T107">
        <v>6</v>
      </c>
      <c r="U107">
        <v>7</v>
      </c>
      <c r="V107">
        <v>6</v>
      </c>
      <c r="W107" t="s">
        <v>63</v>
      </c>
      <c r="X107" t="s">
        <v>63</v>
      </c>
      <c r="Y107">
        <v>53</v>
      </c>
      <c r="Z107">
        <v>32</v>
      </c>
      <c r="AA107">
        <v>47</v>
      </c>
      <c r="AB107">
        <v>21</v>
      </c>
      <c r="AC107">
        <v>6</v>
      </c>
      <c r="AD107">
        <v>4</v>
      </c>
      <c r="AE107">
        <v>36</v>
      </c>
      <c r="AF107">
        <v>38</v>
      </c>
      <c r="AG107">
        <v>0</v>
      </c>
      <c r="AH107">
        <v>3</v>
      </c>
      <c r="AI107">
        <v>18</v>
      </c>
      <c r="AJ107">
        <v>29</v>
      </c>
      <c r="AK107">
        <v>75</v>
      </c>
      <c r="AL107">
        <v>0</v>
      </c>
      <c r="AM107">
        <v>6</v>
      </c>
      <c r="AN107">
        <v>4</v>
      </c>
      <c r="AO107" t="s">
        <v>63</v>
      </c>
      <c r="AP107" t="s">
        <v>63</v>
      </c>
    </row>
    <row r="108" spans="1:42" x14ac:dyDescent="0.25">
      <c r="A108" s="16" t="s">
        <v>156</v>
      </c>
      <c r="B108" s="16" t="s">
        <v>151</v>
      </c>
      <c r="C108">
        <v>3</v>
      </c>
      <c r="D108">
        <v>1</v>
      </c>
      <c r="E108">
        <v>3</v>
      </c>
      <c r="F108">
        <v>0</v>
      </c>
      <c r="G108">
        <v>64</v>
      </c>
      <c r="H108">
        <v>50</v>
      </c>
      <c r="I108">
        <v>36</v>
      </c>
      <c r="J108">
        <v>16</v>
      </c>
      <c r="K108">
        <v>6</v>
      </c>
      <c r="L108">
        <v>2</v>
      </c>
      <c r="M108">
        <v>29</v>
      </c>
      <c r="N108">
        <v>30</v>
      </c>
      <c r="O108">
        <v>4</v>
      </c>
      <c r="P108">
        <v>11</v>
      </c>
      <c r="Q108">
        <v>11</v>
      </c>
      <c r="R108">
        <v>18</v>
      </c>
      <c r="S108">
        <v>106</v>
      </c>
      <c r="T108">
        <v>7</v>
      </c>
      <c r="U108">
        <v>6</v>
      </c>
      <c r="V108">
        <v>6</v>
      </c>
      <c r="W108" t="s">
        <v>63</v>
      </c>
      <c r="X108" t="s">
        <v>63</v>
      </c>
      <c r="Y108">
        <v>57</v>
      </c>
      <c r="Z108">
        <v>39</v>
      </c>
      <c r="AA108">
        <v>43</v>
      </c>
      <c r="AB108">
        <v>20</v>
      </c>
      <c r="AC108">
        <v>8</v>
      </c>
      <c r="AD108">
        <v>7</v>
      </c>
      <c r="AE108">
        <v>31</v>
      </c>
      <c r="AF108">
        <v>44</v>
      </c>
      <c r="AG108">
        <v>1</v>
      </c>
      <c r="AH108">
        <v>1</v>
      </c>
      <c r="AI108">
        <v>26</v>
      </c>
      <c r="AJ108">
        <v>37</v>
      </c>
      <c r="AK108">
        <v>84</v>
      </c>
      <c r="AL108">
        <v>6</v>
      </c>
      <c r="AM108">
        <v>4</v>
      </c>
      <c r="AN108">
        <v>2</v>
      </c>
      <c r="AO108" t="s">
        <v>63</v>
      </c>
      <c r="AP108" t="s">
        <v>63</v>
      </c>
    </row>
    <row r="109" spans="1:42" x14ac:dyDescent="0.25">
      <c r="A109" s="16" t="s">
        <v>164</v>
      </c>
      <c r="B109" s="16" t="s">
        <v>160</v>
      </c>
      <c r="C109">
        <v>3</v>
      </c>
      <c r="D109">
        <v>0</v>
      </c>
      <c r="E109">
        <v>0</v>
      </c>
      <c r="F109">
        <v>3</v>
      </c>
      <c r="G109">
        <v>58</v>
      </c>
      <c r="H109">
        <v>30</v>
      </c>
      <c r="I109">
        <v>42</v>
      </c>
      <c r="J109">
        <v>10</v>
      </c>
      <c r="K109">
        <v>13</v>
      </c>
      <c r="L109">
        <v>3</v>
      </c>
      <c r="M109">
        <v>31</v>
      </c>
      <c r="N109">
        <v>59</v>
      </c>
      <c r="O109">
        <v>2</v>
      </c>
      <c r="P109">
        <v>7</v>
      </c>
      <c r="Q109">
        <v>11</v>
      </c>
      <c r="R109">
        <v>22</v>
      </c>
      <c r="S109">
        <v>65</v>
      </c>
      <c r="T109">
        <v>2</v>
      </c>
      <c r="U109">
        <v>1</v>
      </c>
      <c r="V109">
        <v>4</v>
      </c>
      <c r="W109" t="s">
        <v>63</v>
      </c>
      <c r="X109" t="s">
        <v>63</v>
      </c>
      <c r="Y109">
        <v>83</v>
      </c>
      <c r="Z109">
        <v>46</v>
      </c>
      <c r="AA109">
        <v>17</v>
      </c>
      <c r="AB109">
        <v>7</v>
      </c>
      <c r="AC109">
        <v>4</v>
      </c>
      <c r="AD109">
        <v>1</v>
      </c>
      <c r="AE109">
        <v>21</v>
      </c>
      <c r="AF109">
        <v>23</v>
      </c>
      <c r="AG109">
        <v>7</v>
      </c>
      <c r="AH109">
        <v>20</v>
      </c>
      <c r="AI109">
        <v>11</v>
      </c>
      <c r="AJ109">
        <v>14</v>
      </c>
      <c r="AK109">
        <v>96</v>
      </c>
      <c r="AL109">
        <v>6</v>
      </c>
      <c r="AM109">
        <v>6</v>
      </c>
      <c r="AN109">
        <v>6</v>
      </c>
      <c r="AO109" t="s">
        <v>63</v>
      </c>
      <c r="AP109" t="s">
        <v>63</v>
      </c>
    </row>
    <row r="110" spans="1:42" x14ac:dyDescent="0.25">
      <c r="A110" s="16" t="s">
        <v>172</v>
      </c>
      <c r="B110" s="16" t="s">
        <v>167</v>
      </c>
      <c r="C110">
        <v>3</v>
      </c>
      <c r="D110">
        <v>0</v>
      </c>
      <c r="E110">
        <v>1</v>
      </c>
      <c r="F110">
        <v>3</v>
      </c>
      <c r="G110">
        <v>59</v>
      </c>
      <c r="H110">
        <v>55</v>
      </c>
      <c r="I110">
        <v>41</v>
      </c>
      <c r="J110">
        <v>30</v>
      </c>
      <c r="K110">
        <v>21</v>
      </c>
      <c r="L110">
        <v>5</v>
      </c>
      <c r="M110">
        <v>50</v>
      </c>
      <c r="N110">
        <v>39</v>
      </c>
      <c r="O110">
        <v>1</v>
      </c>
      <c r="P110">
        <v>3</v>
      </c>
      <c r="Q110">
        <v>22</v>
      </c>
      <c r="R110">
        <v>53</v>
      </c>
      <c r="S110">
        <v>107</v>
      </c>
      <c r="T110">
        <v>3</v>
      </c>
      <c r="U110">
        <v>6</v>
      </c>
      <c r="V110">
        <v>4</v>
      </c>
      <c r="W110">
        <v>6</v>
      </c>
      <c r="X110" t="s">
        <v>63</v>
      </c>
      <c r="Y110">
        <v>60</v>
      </c>
      <c r="Z110">
        <v>55</v>
      </c>
      <c r="AA110">
        <v>40</v>
      </c>
      <c r="AB110">
        <v>33</v>
      </c>
      <c r="AC110">
        <v>15</v>
      </c>
      <c r="AD110">
        <v>5</v>
      </c>
      <c r="AE110">
        <v>49</v>
      </c>
      <c r="AF110">
        <v>13</v>
      </c>
      <c r="AG110">
        <v>2</v>
      </c>
      <c r="AH110">
        <v>4</v>
      </c>
      <c r="AI110">
        <v>12</v>
      </c>
      <c r="AJ110">
        <v>15</v>
      </c>
      <c r="AK110">
        <v>128</v>
      </c>
      <c r="AL110">
        <v>6</v>
      </c>
      <c r="AM110">
        <v>3</v>
      </c>
      <c r="AN110">
        <v>6</v>
      </c>
      <c r="AO110">
        <v>7</v>
      </c>
      <c r="AP110" t="s">
        <v>63</v>
      </c>
    </row>
    <row r="111" spans="1:42" x14ac:dyDescent="0.25">
      <c r="A111" s="16" t="s">
        <v>179</v>
      </c>
      <c r="B111" s="16" t="s">
        <v>175</v>
      </c>
      <c r="C111">
        <v>3</v>
      </c>
      <c r="D111">
        <v>0</v>
      </c>
      <c r="E111">
        <v>0</v>
      </c>
      <c r="F111">
        <v>3</v>
      </c>
      <c r="G111">
        <v>64</v>
      </c>
      <c r="H111">
        <v>23</v>
      </c>
      <c r="I111">
        <v>36</v>
      </c>
      <c r="J111">
        <v>7</v>
      </c>
      <c r="K111">
        <v>1</v>
      </c>
      <c r="L111">
        <v>5</v>
      </c>
      <c r="M111">
        <v>17</v>
      </c>
      <c r="N111">
        <v>32</v>
      </c>
      <c r="O111">
        <v>1</v>
      </c>
      <c r="P111">
        <v>4</v>
      </c>
      <c r="Q111">
        <v>15</v>
      </c>
      <c r="R111">
        <v>30</v>
      </c>
      <c r="S111">
        <v>56</v>
      </c>
      <c r="T111">
        <v>5</v>
      </c>
      <c r="U111">
        <v>1</v>
      </c>
      <c r="V111">
        <v>0</v>
      </c>
      <c r="W111" t="s">
        <v>63</v>
      </c>
      <c r="X111" t="s">
        <v>63</v>
      </c>
      <c r="Y111">
        <v>54</v>
      </c>
      <c r="Z111">
        <v>29</v>
      </c>
      <c r="AA111">
        <v>46</v>
      </c>
      <c r="AB111">
        <v>21</v>
      </c>
      <c r="AC111">
        <v>3</v>
      </c>
      <c r="AD111">
        <v>1</v>
      </c>
      <c r="AE111">
        <v>30</v>
      </c>
      <c r="AF111">
        <v>27</v>
      </c>
      <c r="AG111">
        <v>8</v>
      </c>
      <c r="AH111">
        <v>12</v>
      </c>
      <c r="AI111">
        <v>3</v>
      </c>
      <c r="AJ111">
        <v>7</v>
      </c>
      <c r="AK111">
        <v>93</v>
      </c>
      <c r="AL111">
        <v>7</v>
      </c>
      <c r="AM111">
        <v>6</v>
      </c>
      <c r="AN111">
        <v>6</v>
      </c>
      <c r="AO111" t="s">
        <v>63</v>
      </c>
      <c r="AP111" t="s">
        <v>63</v>
      </c>
    </row>
    <row r="112" spans="1:42" x14ac:dyDescent="0.25">
      <c r="A112" s="16" t="s">
        <v>188</v>
      </c>
      <c r="B112" s="16" t="s">
        <v>183</v>
      </c>
      <c r="C112">
        <v>3</v>
      </c>
      <c r="D112">
        <v>1</v>
      </c>
      <c r="E112">
        <v>3</v>
      </c>
      <c r="F112">
        <v>0</v>
      </c>
      <c r="G112">
        <v>67</v>
      </c>
      <c r="H112">
        <v>38</v>
      </c>
      <c r="I112">
        <v>33</v>
      </c>
      <c r="J112">
        <v>20</v>
      </c>
      <c r="K112">
        <v>2</v>
      </c>
      <c r="L112">
        <v>0</v>
      </c>
      <c r="M112">
        <v>21</v>
      </c>
      <c r="N112">
        <v>18</v>
      </c>
      <c r="O112">
        <v>6</v>
      </c>
      <c r="P112">
        <v>12</v>
      </c>
      <c r="Q112">
        <v>9</v>
      </c>
      <c r="R112">
        <v>13</v>
      </c>
      <c r="S112">
        <v>107</v>
      </c>
      <c r="T112">
        <v>6</v>
      </c>
      <c r="U112">
        <v>6</v>
      </c>
      <c r="V112">
        <v>6</v>
      </c>
      <c r="W112" t="s">
        <v>63</v>
      </c>
      <c r="X112" t="s">
        <v>63</v>
      </c>
      <c r="Y112">
        <v>69</v>
      </c>
      <c r="Z112">
        <v>39</v>
      </c>
      <c r="AA112">
        <v>31</v>
      </c>
      <c r="AB112">
        <v>10</v>
      </c>
      <c r="AC112">
        <v>10</v>
      </c>
      <c r="AD112">
        <v>5</v>
      </c>
      <c r="AE112">
        <v>33</v>
      </c>
      <c r="AF112">
        <v>57</v>
      </c>
      <c r="AG112">
        <v>0</v>
      </c>
      <c r="AH112">
        <v>6</v>
      </c>
      <c r="AI112">
        <v>4</v>
      </c>
      <c r="AJ112">
        <v>9</v>
      </c>
      <c r="AK112">
        <v>70</v>
      </c>
      <c r="AL112">
        <v>1</v>
      </c>
      <c r="AM112">
        <v>2</v>
      </c>
      <c r="AN112">
        <v>3</v>
      </c>
      <c r="AO112" t="s">
        <v>63</v>
      </c>
      <c r="AP112" t="s">
        <v>63</v>
      </c>
    </row>
    <row r="113" spans="1:42" x14ac:dyDescent="0.25">
      <c r="A113" s="16" t="s">
        <v>76</v>
      </c>
      <c r="B113" s="16" t="s">
        <v>62</v>
      </c>
      <c r="C113">
        <v>4</v>
      </c>
      <c r="D113">
        <v>0</v>
      </c>
      <c r="E113">
        <v>0</v>
      </c>
      <c r="F113">
        <v>3</v>
      </c>
      <c r="G113">
        <v>59</v>
      </c>
      <c r="H113">
        <v>32</v>
      </c>
      <c r="I113">
        <v>41</v>
      </c>
      <c r="J113">
        <v>13</v>
      </c>
      <c r="K113">
        <v>3</v>
      </c>
      <c r="L113">
        <v>7</v>
      </c>
      <c r="M113">
        <v>20</v>
      </c>
      <c r="N113">
        <v>44</v>
      </c>
      <c r="O113">
        <v>0</v>
      </c>
      <c r="P113">
        <v>0</v>
      </c>
      <c r="Q113">
        <v>11</v>
      </c>
      <c r="R113">
        <v>16</v>
      </c>
      <c r="S113">
        <v>55</v>
      </c>
      <c r="T113">
        <v>3</v>
      </c>
      <c r="U113">
        <v>0</v>
      </c>
      <c r="V113">
        <v>2</v>
      </c>
      <c r="W113" t="s">
        <v>63</v>
      </c>
      <c r="X113" t="s">
        <v>63</v>
      </c>
      <c r="Y113">
        <v>72</v>
      </c>
      <c r="Z113">
        <v>38</v>
      </c>
      <c r="AA113">
        <v>28</v>
      </c>
      <c r="AB113">
        <v>12</v>
      </c>
      <c r="AC113">
        <v>7</v>
      </c>
      <c r="AD113">
        <v>2</v>
      </c>
      <c r="AE113">
        <v>33</v>
      </c>
      <c r="AF113">
        <v>21</v>
      </c>
      <c r="AG113">
        <v>6</v>
      </c>
      <c r="AH113">
        <v>22</v>
      </c>
      <c r="AI113">
        <v>12</v>
      </c>
      <c r="AJ113">
        <v>16</v>
      </c>
      <c r="AK113">
        <v>96</v>
      </c>
      <c r="AL113">
        <v>6</v>
      </c>
      <c r="AM113">
        <v>6</v>
      </c>
      <c r="AN113">
        <v>6</v>
      </c>
      <c r="AO113" t="s">
        <v>63</v>
      </c>
      <c r="AP113" t="s">
        <v>63</v>
      </c>
    </row>
    <row r="114" spans="1:42" x14ac:dyDescent="0.25">
      <c r="A114" s="16" t="s">
        <v>92</v>
      </c>
      <c r="B114" s="16" t="s">
        <v>84</v>
      </c>
      <c r="C114">
        <v>4</v>
      </c>
      <c r="D114">
        <v>1</v>
      </c>
      <c r="E114">
        <v>3</v>
      </c>
      <c r="F114">
        <v>0</v>
      </c>
      <c r="G114">
        <v>56</v>
      </c>
      <c r="H114">
        <v>54</v>
      </c>
      <c r="I114">
        <v>44</v>
      </c>
      <c r="J114">
        <v>24</v>
      </c>
      <c r="K114">
        <v>14</v>
      </c>
      <c r="L114">
        <v>3</v>
      </c>
      <c r="M114">
        <v>57</v>
      </c>
      <c r="N114">
        <v>37</v>
      </c>
      <c r="O114">
        <v>2</v>
      </c>
      <c r="P114">
        <v>5</v>
      </c>
      <c r="Q114">
        <v>17</v>
      </c>
      <c r="R114">
        <v>25</v>
      </c>
      <c r="S114">
        <v>118</v>
      </c>
      <c r="T114">
        <v>6</v>
      </c>
      <c r="U114">
        <v>7</v>
      </c>
      <c r="V114">
        <v>7</v>
      </c>
      <c r="W114" t="s">
        <v>63</v>
      </c>
      <c r="X114" t="s">
        <v>63</v>
      </c>
      <c r="Y114">
        <v>71</v>
      </c>
      <c r="Z114">
        <v>53</v>
      </c>
      <c r="AA114">
        <v>29</v>
      </c>
      <c r="AB114">
        <v>14</v>
      </c>
      <c r="AC114">
        <v>1</v>
      </c>
      <c r="AD114">
        <v>0</v>
      </c>
      <c r="AE114">
        <v>24</v>
      </c>
      <c r="AF114">
        <v>22</v>
      </c>
      <c r="AG114">
        <v>1</v>
      </c>
      <c r="AH114">
        <v>4</v>
      </c>
      <c r="AI114">
        <v>13</v>
      </c>
      <c r="AJ114">
        <v>16</v>
      </c>
      <c r="AK114">
        <v>96</v>
      </c>
      <c r="AL114">
        <v>3</v>
      </c>
      <c r="AM114">
        <v>6</v>
      </c>
      <c r="AN114">
        <v>6</v>
      </c>
      <c r="AO114" t="s">
        <v>63</v>
      </c>
      <c r="AP114" t="s">
        <v>63</v>
      </c>
    </row>
    <row r="115" spans="1:42" x14ac:dyDescent="0.25">
      <c r="A115" s="16" t="s">
        <v>106</v>
      </c>
      <c r="B115" s="16" t="s">
        <v>95</v>
      </c>
      <c r="C115">
        <v>4</v>
      </c>
      <c r="D115">
        <v>0</v>
      </c>
      <c r="E115">
        <v>1</v>
      </c>
      <c r="F115">
        <v>3</v>
      </c>
      <c r="G115">
        <v>61</v>
      </c>
      <c r="H115">
        <v>52</v>
      </c>
      <c r="I115">
        <v>39</v>
      </c>
      <c r="J115">
        <v>27</v>
      </c>
      <c r="K115">
        <v>4</v>
      </c>
      <c r="L115">
        <v>3</v>
      </c>
      <c r="M115">
        <v>33</v>
      </c>
      <c r="N115">
        <v>49</v>
      </c>
      <c r="O115">
        <v>3</v>
      </c>
      <c r="P115">
        <v>11</v>
      </c>
      <c r="Q115">
        <v>29</v>
      </c>
      <c r="R115">
        <v>56</v>
      </c>
      <c r="S115">
        <v>118</v>
      </c>
      <c r="T115">
        <v>7</v>
      </c>
      <c r="U115">
        <v>5</v>
      </c>
      <c r="V115">
        <v>2</v>
      </c>
      <c r="W115">
        <v>1</v>
      </c>
      <c r="X115" t="s">
        <v>63</v>
      </c>
      <c r="Y115">
        <v>63</v>
      </c>
      <c r="Z115">
        <v>55</v>
      </c>
      <c r="AA115">
        <v>37</v>
      </c>
      <c r="AB115">
        <v>24</v>
      </c>
      <c r="AC115">
        <v>3</v>
      </c>
      <c r="AD115">
        <v>1</v>
      </c>
      <c r="AE115">
        <v>64</v>
      </c>
      <c r="AF115">
        <v>43</v>
      </c>
      <c r="AG115">
        <v>9</v>
      </c>
      <c r="AH115">
        <v>19</v>
      </c>
      <c r="AI115">
        <v>19</v>
      </c>
      <c r="AJ115">
        <v>27</v>
      </c>
      <c r="AK115">
        <v>153</v>
      </c>
      <c r="AL115">
        <v>6</v>
      </c>
      <c r="AM115">
        <v>7</v>
      </c>
      <c r="AN115">
        <v>6</v>
      </c>
      <c r="AO115">
        <v>6</v>
      </c>
      <c r="AP115" t="s">
        <v>63</v>
      </c>
    </row>
    <row r="116" spans="1:42" x14ac:dyDescent="0.25">
      <c r="A116" s="16" t="s">
        <v>124</v>
      </c>
      <c r="B116" s="16" t="s">
        <v>116</v>
      </c>
      <c r="C116">
        <v>4</v>
      </c>
      <c r="D116">
        <v>1</v>
      </c>
      <c r="E116">
        <v>3</v>
      </c>
      <c r="F116">
        <v>0</v>
      </c>
      <c r="G116">
        <v>52</v>
      </c>
      <c r="H116">
        <v>33</v>
      </c>
      <c r="I116">
        <v>48</v>
      </c>
      <c r="J116">
        <v>21</v>
      </c>
      <c r="K116">
        <v>4</v>
      </c>
      <c r="L116">
        <v>3</v>
      </c>
      <c r="M116">
        <v>38</v>
      </c>
      <c r="N116">
        <v>17</v>
      </c>
      <c r="O116">
        <v>5</v>
      </c>
      <c r="P116">
        <v>17</v>
      </c>
      <c r="Q116">
        <v>15</v>
      </c>
      <c r="R116">
        <v>18</v>
      </c>
      <c r="S116">
        <v>92</v>
      </c>
      <c r="T116">
        <v>6</v>
      </c>
      <c r="U116">
        <v>6</v>
      </c>
      <c r="V116">
        <v>6</v>
      </c>
      <c r="W116" t="s">
        <v>63</v>
      </c>
      <c r="X116" t="s">
        <v>63</v>
      </c>
      <c r="Y116">
        <v>72</v>
      </c>
      <c r="Z116">
        <v>40</v>
      </c>
      <c r="AA116">
        <v>28</v>
      </c>
      <c r="AB116">
        <v>9</v>
      </c>
      <c r="AC116">
        <v>16</v>
      </c>
      <c r="AD116">
        <v>1</v>
      </c>
      <c r="AE116">
        <v>31</v>
      </c>
      <c r="AF116">
        <v>30</v>
      </c>
      <c r="AG116">
        <v>0</v>
      </c>
      <c r="AH116">
        <v>0</v>
      </c>
      <c r="AI116">
        <v>6</v>
      </c>
      <c r="AJ116">
        <v>19</v>
      </c>
      <c r="AK116">
        <v>66</v>
      </c>
      <c r="AL116">
        <v>2</v>
      </c>
      <c r="AM116">
        <v>2</v>
      </c>
      <c r="AN116">
        <v>3</v>
      </c>
      <c r="AO116" t="s">
        <v>63</v>
      </c>
      <c r="AP116" t="s">
        <v>63</v>
      </c>
    </row>
    <row r="117" spans="1:42" x14ac:dyDescent="0.25">
      <c r="A117" s="16" t="s">
        <v>140</v>
      </c>
      <c r="B117" s="16" t="s">
        <v>127</v>
      </c>
      <c r="C117">
        <v>4</v>
      </c>
      <c r="D117">
        <v>0</v>
      </c>
      <c r="E117">
        <v>0</v>
      </c>
      <c r="F117">
        <v>3</v>
      </c>
      <c r="G117">
        <v>52</v>
      </c>
      <c r="H117">
        <v>32</v>
      </c>
      <c r="I117">
        <v>48</v>
      </c>
      <c r="J117">
        <v>23</v>
      </c>
      <c r="K117">
        <v>8</v>
      </c>
      <c r="L117">
        <v>1</v>
      </c>
      <c r="M117">
        <v>29</v>
      </c>
      <c r="N117">
        <v>28</v>
      </c>
      <c r="O117">
        <v>0</v>
      </c>
      <c r="P117">
        <v>1</v>
      </c>
      <c r="Q117">
        <v>11</v>
      </c>
      <c r="R117">
        <v>25</v>
      </c>
      <c r="S117">
        <v>72</v>
      </c>
      <c r="T117">
        <v>3</v>
      </c>
      <c r="U117">
        <v>5</v>
      </c>
      <c r="V117">
        <v>4</v>
      </c>
      <c r="W117" t="s">
        <v>63</v>
      </c>
      <c r="X117" t="s">
        <v>63</v>
      </c>
      <c r="Y117">
        <v>57</v>
      </c>
      <c r="Z117">
        <v>42</v>
      </c>
      <c r="AA117">
        <v>43</v>
      </c>
      <c r="AB117">
        <v>25</v>
      </c>
      <c r="AC117">
        <v>7</v>
      </c>
      <c r="AD117">
        <v>1</v>
      </c>
      <c r="AE117">
        <v>43</v>
      </c>
      <c r="AF117">
        <v>21</v>
      </c>
      <c r="AG117">
        <v>3</v>
      </c>
      <c r="AH117">
        <v>7</v>
      </c>
      <c r="AI117">
        <v>34</v>
      </c>
      <c r="AJ117">
        <v>41</v>
      </c>
      <c r="AK117">
        <v>100</v>
      </c>
      <c r="AL117">
        <v>6</v>
      </c>
      <c r="AM117">
        <v>7</v>
      </c>
      <c r="AN117">
        <v>6</v>
      </c>
      <c r="AO117" t="s">
        <v>63</v>
      </c>
      <c r="AP117" t="s">
        <v>63</v>
      </c>
    </row>
    <row r="118" spans="1:42" x14ac:dyDescent="0.25">
      <c r="A118" s="16" t="s">
        <v>156</v>
      </c>
      <c r="B118" s="16" t="s">
        <v>148</v>
      </c>
      <c r="C118">
        <v>4</v>
      </c>
      <c r="D118">
        <v>1</v>
      </c>
      <c r="E118">
        <v>3</v>
      </c>
      <c r="F118">
        <v>1</v>
      </c>
      <c r="G118">
        <v>62</v>
      </c>
      <c r="H118">
        <v>59</v>
      </c>
      <c r="I118">
        <v>38</v>
      </c>
      <c r="J118">
        <v>25</v>
      </c>
      <c r="K118">
        <v>8</v>
      </c>
      <c r="L118">
        <v>3</v>
      </c>
      <c r="M118">
        <v>48</v>
      </c>
      <c r="N118">
        <v>47</v>
      </c>
      <c r="O118">
        <v>7</v>
      </c>
      <c r="P118">
        <v>14</v>
      </c>
      <c r="Q118">
        <v>16</v>
      </c>
      <c r="R118">
        <v>24</v>
      </c>
      <c r="S118">
        <v>137</v>
      </c>
      <c r="T118">
        <v>6</v>
      </c>
      <c r="U118">
        <v>6</v>
      </c>
      <c r="V118">
        <v>6</v>
      </c>
      <c r="W118">
        <v>6</v>
      </c>
      <c r="X118" t="s">
        <v>63</v>
      </c>
      <c r="Y118">
        <v>51</v>
      </c>
      <c r="Z118">
        <v>39</v>
      </c>
      <c r="AA118">
        <v>49</v>
      </c>
      <c r="AB118">
        <v>22</v>
      </c>
      <c r="AC118">
        <v>3</v>
      </c>
      <c r="AD118">
        <v>8</v>
      </c>
      <c r="AE118">
        <v>33</v>
      </c>
      <c r="AF118">
        <v>56</v>
      </c>
      <c r="AG118">
        <v>1</v>
      </c>
      <c r="AH118">
        <v>6</v>
      </c>
      <c r="AI118">
        <v>20</v>
      </c>
      <c r="AJ118">
        <v>31</v>
      </c>
      <c r="AK118">
        <v>103</v>
      </c>
      <c r="AL118">
        <v>1</v>
      </c>
      <c r="AM118">
        <v>2</v>
      </c>
      <c r="AN118">
        <v>7</v>
      </c>
      <c r="AO118">
        <v>2</v>
      </c>
      <c r="AP118" t="s">
        <v>63</v>
      </c>
    </row>
    <row r="119" spans="1:42" x14ac:dyDescent="0.25">
      <c r="A119" s="16" t="s">
        <v>167</v>
      </c>
      <c r="B119" s="16" t="s">
        <v>160</v>
      </c>
      <c r="C119">
        <v>4</v>
      </c>
      <c r="D119">
        <v>1</v>
      </c>
      <c r="E119">
        <v>3</v>
      </c>
      <c r="F119">
        <v>1</v>
      </c>
      <c r="G119">
        <v>60</v>
      </c>
      <c r="H119">
        <v>57</v>
      </c>
      <c r="I119">
        <v>40</v>
      </c>
      <c r="J119">
        <v>21</v>
      </c>
      <c r="K119">
        <v>11</v>
      </c>
      <c r="L119">
        <v>3</v>
      </c>
      <c r="M119">
        <v>38</v>
      </c>
      <c r="N119">
        <v>34</v>
      </c>
      <c r="O119">
        <v>4</v>
      </c>
      <c r="P119">
        <v>5</v>
      </c>
      <c r="Q119">
        <v>23</v>
      </c>
      <c r="R119">
        <v>35</v>
      </c>
      <c r="S119">
        <v>114</v>
      </c>
      <c r="T119">
        <v>6</v>
      </c>
      <c r="U119">
        <v>3</v>
      </c>
      <c r="V119">
        <v>6</v>
      </c>
      <c r="W119">
        <v>6</v>
      </c>
      <c r="X119" t="s">
        <v>63</v>
      </c>
      <c r="Y119">
        <v>64</v>
      </c>
      <c r="Z119">
        <v>44</v>
      </c>
      <c r="AA119">
        <v>36</v>
      </c>
      <c r="AB119">
        <v>22</v>
      </c>
      <c r="AC119">
        <v>5</v>
      </c>
      <c r="AD119">
        <v>1</v>
      </c>
      <c r="AE119">
        <v>27</v>
      </c>
      <c r="AF119">
        <v>45</v>
      </c>
      <c r="AG119">
        <v>1</v>
      </c>
      <c r="AH119">
        <v>5</v>
      </c>
      <c r="AI119">
        <v>13</v>
      </c>
      <c r="AJ119">
        <v>23</v>
      </c>
      <c r="AK119">
        <v>100</v>
      </c>
      <c r="AL119">
        <v>3</v>
      </c>
      <c r="AM119">
        <v>6</v>
      </c>
      <c r="AN119">
        <v>2</v>
      </c>
      <c r="AO119">
        <v>4</v>
      </c>
      <c r="AP119" t="s">
        <v>63</v>
      </c>
    </row>
    <row r="120" spans="1:42" x14ac:dyDescent="0.25">
      <c r="A120" s="16" t="s">
        <v>188</v>
      </c>
      <c r="B120" s="16" t="s">
        <v>175</v>
      </c>
      <c r="C120">
        <v>4</v>
      </c>
      <c r="D120">
        <v>1</v>
      </c>
      <c r="E120">
        <v>3</v>
      </c>
      <c r="F120">
        <v>0</v>
      </c>
      <c r="G120">
        <v>71</v>
      </c>
      <c r="H120">
        <v>67</v>
      </c>
      <c r="I120">
        <v>29</v>
      </c>
      <c r="J120">
        <v>14</v>
      </c>
      <c r="K120">
        <v>12</v>
      </c>
      <c r="L120">
        <v>1</v>
      </c>
      <c r="M120">
        <v>36</v>
      </c>
      <c r="N120">
        <v>28</v>
      </c>
      <c r="O120">
        <v>5</v>
      </c>
      <c r="P120">
        <v>8</v>
      </c>
      <c r="Q120">
        <v>10</v>
      </c>
      <c r="R120">
        <v>19</v>
      </c>
      <c r="S120">
        <v>129</v>
      </c>
      <c r="T120">
        <v>7</v>
      </c>
      <c r="U120">
        <v>7</v>
      </c>
      <c r="V120">
        <v>7</v>
      </c>
      <c r="W120" t="s">
        <v>63</v>
      </c>
      <c r="X120" t="s">
        <v>63</v>
      </c>
      <c r="Y120">
        <v>66</v>
      </c>
      <c r="Z120">
        <v>51</v>
      </c>
      <c r="AA120">
        <v>34</v>
      </c>
      <c r="AB120">
        <v>16</v>
      </c>
      <c r="AC120">
        <v>2</v>
      </c>
      <c r="AD120">
        <v>1</v>
      </c>
      <c r="AE120">
        <v>36</v>
      </c>
      <c r="AF120">
        <v>51</v>
      </c>
      <c r="AG120">
        <v>4</v>
      </c>
      <c r="AH120">
        <v>10</v>
      </c>
      <c r="AI120">
        <v>20</v>
      </c>
      <c r="AJ120">
        <v>25</v>
      </c>
      <c r="AK120">
        <v>110</v>
      </c>
      <c r="AL120">
        <v>6</v>
      </c>
      <c r="AM120">
        <v>5</v>
      </c>
      <c r="AN120">
        <v>6</v>
      </c>
      <c r="AO120" t="s">
        <v>63</v>
      </c>
      <c r="AP120" t="s">
        <v>63</v>
      </c>
    </row>
    <row r="121" spans="1:42" x14ac:dyDescent="0.25">
      <c r="A121" s="16" t="s">
        <v>92</v>
      </c>
      <c r="B121" s="16" t="s">
        <v>62</v>
      </c>
      <c r="C121">
        <v>5</v>
      </c>
      <c r="D121">
        <v>1</v>
      </c>
      <c r="E121">
        <v>3</v>
      </c>
      <c r="F121">
        <v>2</v>
      </c>
      <c r="G121">
        <v>58</v>
      </c>
      <c r="H121">
        <v>71</v>
      </c>
      <c r="I121">
        <v>42</v>
      </c>
      <c r="J121">
        <v>36</v>
      </c>
      <c r="K121">
        <v>17</v>
      </c>
      <c r="L121">
        <v>5</v>
      </c>
      <c r="M121">
        <v>51</v>
      </c>
      <c r="N121">
        <v>60</v>
      </c>
      <c r="O121">
        <v>5</v>
      </c>
      <c r="P121">
        <v>10</v>
      </c>
      <c r="Q121">
        <v>20</v>
      </c>
      <c r="R121">
        <v>30</v>
      </c>
      <c r="S121">
        <v>153</v>
      </c>
      <c r="T121">
        <v>2</v>
      </c>
      <c r="U121">
        <v>6</v>
      </c>
      <c r="V121">
        <v>6</v>
      </c>
      <c r="W121">
        <v>3</v>
      </c>
      <c r="X121">
        <v>9</v>
      </c>
      <c r="Y121">
        <v>73</v>
      </c>
      <c r="Z121">
        <v>75</v>
      </c>
      <c r="AA121">
        <v>27</v>
      </c>
      <c r="AB121">
        <v>23</v>
      </c>
      <c r="AC121">
        <v>7</v>
      </c>
      <c r="AD121">
        <v>1</v>
      </c>
      <c r="AE121">
        <v>45</v>
      </c>
      <c r="AF121">
        <v>60</v>
      </c>
      <c r="AG121">
        <v>4</v>
      </c>
      <c r="AH121">
        <v>7</v>
      </c>
      <c r="AI121">
        <v>26</v>
      </c>
      <c r="AJ121">
        <v>35</v>
      </c>
      <c r="AK121">
        <v>161</v>
      </c>
      <c r="AL121">
        <v>6</v>
      </c>
      <c r="AM121">
        <v>4</v>
      </c>
      <c r="AN121">
        <v>2</v>
      </c>
      <c r="AO121">
        <v>6</v>
      </c>
      <c r="AP121">
        <v>7</v>
      </c>
    </row>
    <row r="122" spans="1:42" x14ac:dyDescent="0.25">
      <c r="A122" s="16" t="s">
        <v>124</v>
      </c>
      <c r="B122" s="16" t="s">
        <v>95</v>
      </c>
      <c r="C122">
        <v>5</v>
      </c>
      <c r="D122">
        <v>1</v>
      </c>
      <c r="E122">
        <v>3</v>
      </c>
      <c r="F122">
        <v>1</v>
      </c>
      <c r="G122">
        <v>52</v>
      </c>
      <c r="H122">
        <v>52</v>
      </c>
      <c r="I122">
        <v>48</v>
      </c>
      <c r="J122">
        <v>27</v>
      </c>
      <c r="K122">
        <v>10</v>
      </c>
      <c r="L122">
        <v>4</v>
      </c>
      <c r="M122">
        <v>43</v>
      </c>
      <c r="N122">
        <v>62</v>
      </c>
      <c r="O122">
        <v>5</v>
      </c>
      <c r="P122">
        <v>13</v>
      </c>
      <c r="Q122">
        <v>18</v>
      </c>
      <c r="R122">
        <v>28</v>
      </c>
      <c r="S122">
        <v>128</v>
      </c>
      <c r="T122">
        <v>6</v>
      </c>
      <c r="U122">
        <v>6</v>
      </c>
      <c r="V122">
        <v>2</v>
      </c>
      <c r="W122">
        <v>6</v>
      </c>
      <c r="X122" t="s">
        <v>63</v>
      </c>
      <c r="Y122">
        <v>61</v>
      </c>
      <c r="Z122">
        <v>46</v>
      </c>
      <c r="AA122">
        <v>39</v>
      </c>
      <c r="AB122">
        <v>23</v>
      </c>
      <c r="AC122">
        <v>2</v>
      </c>
      <c r="AD122">
        <v>1</v>
      </c>
      <c r="AE122">
        <v>30</v>
      </c>
      <c r="AF122">
        <v>46</v>
      </c>
      <c r="AG122">
        <v>3</v>
      </c>
      <c r="AH122">
        <v>12</v>
      </c>
      <c r="AI122">
        <v>12</v>
      </c>
      <c r="AJ122">
        <v>13</v>
      </c>
      <c r="AK122">
        <v>119</v>
      </c>
      <c r="AL122">
        <v>1</v>
      </c>
      <c r="AM122">
        <v>4</v>
      </c>
      <c r="AN122">
        <v>6</v>
      </c>
      <c r="AO122">
        <v>4</v>
      </c>
      <c r="AP122" t="s">
        <v>63</v>
      </c>
    </row>
    <row r="123" spans="1:42" x14ac:dyDescent="0.25">
      <c r="A123" s="16" t="s">
        <v>156</v>
      </c>
      <c r="B123" s="16" t="s">
        <v>127</v>
      </c>
      <c r="C123">
        <v>5</v>
      </c>
      <c r="D123">
        <v>0</v>
      </c>
      <c r="E123">
        <v>1</v>
      </c>
      <c r="F123">
        <v>3</v>
      </c>
      <c r="G123">
        <v>61</v>
      </c>
      <c r="H123">
        <v>60</v>
      </c>
      <c r="I123">
        <v>39</v>
      </c>
      <c r="J123">
        <v>28</v>
      </c>
      <c r="K123">
        <v>9</v>
      </c>
      <c r="L123">
        <v>1</v>
      </c>
      <c r="M123">
        <v>41</v>
      </c>
      <c r="N123">
        <v>46</v>
      </c>
      <c r="O123">
        <v>1</v>
      </c>
      <c r="P123">
        <v>2</v>
      </c>
      <c r="Q123">
        <v>17</v>
      </c>
      <c r="R123">
        <v>27</v>
      </c>
      <c r="S123">
        <v>121</v>
      </c>
      <c r="T123">
        <v>3</v>
      </c>
      <c r="U123">
        <v>4</v>
      </c>
      <c r="V123">
        <v>7</v>
      </c>
      <c r="W123">
        <v>3</v>
      </c>
      <c r="X123" t="s">
        <v>63</v>
      </c>
      <c r="Y123">
        <v>64</v>
      </c>
      <c r="Z123">
        <v>61</v>
      </c>
      <c r="AA123">
        <v>36</v>
      </c>
      <c r="AB123">
        <v>28</v>
      </c>
      <c r="AC123">
        <v>10</v>
      </c>
      <c r="AD123">
        <v>0</v>
      </c>
      <c r="AE123">
        <v>54</v>
      </c>
      <c r="AF123">
        <v>42</v>
      </c>
      <c r="AG123">
        <v>4</v>
      </c>
      <c r="AH123">
        <v>17</v>
      </c>
      <c r="AI123">
        <v>49</v>
      </c>
      <c r="AJ123">
        <v>66</v>
      </c>
      <c r="AK123">
        <v>147</v>
      </c>
      <c r="AL123">
        <v>6</v>
      </c>
      <c r="AM123">
        <v>6</v>
      </c>
      <c r="AN123">
        <v>6</v>
      </c>
      <c r="AO123">
        <v>6</v>
      </c>
      <c r="AP123" t="s">
        <v>63</v>
      </c>
    </row>
    <row r="124" spans="1:42" x14ac:dyDescent="0.25">
      <c r="A124" s="16" t="s">
        <v>188</v>
      </c>
      <c r="B124" s="16" t="s">
        <v>167</v>
      </c>
      <c r="C124">
        <v>5</v>
      </c>
      <c r="D124">
        <v>1</v>
      </c>
      <c r="E124">
        <v>3</v>
      </c>
      <c r="F124">
        <v>1</v>
      </c>
      <c r="G124">
        <v>73</v>
      </c>
      <c r="H124">
        <v>66</v>
      </c>
      <c r="I124">
        <v>27</v>
      </c>
      <c r="J124">
        <v>22</v>
      </c>
      <c r="K124">
        <v>3</v>
      </c>
      <c r="L124">
        <v>7</v>
      </c>
      <c r="M124">
        <v>42</v>
      </c>
      <c r="N124">
        <v>47</v>
      </c>
      <c r="O124">
        <v>4</v>
      </c>
      <c r="P124">
        <v>11</v>
      </c>
      <c r="Q124">
        <v>32</v>
      </c>
      <c r="R124">
        <v>36</v>
      </c>
      <c r="S124">
        <v>147</v>
      </c>
      <c r="T124">
        <v>3</v>
      </c>
      <c r="U124">
        <v>7</v>
      </c>
      <c r="V124">
        <v>7</v>
      </c>
      <c r="W124">
        <v>6</v>
      </c>
      <c r="X124" t="s">
        <v>63</v>
      </c>
      <c r="Y124">
        <v>58</v>
      </c>
      <c r="Z124">
        <v>64</v>
      </c>
      <c r="AA124">
        <v>42</v>
      </c>
      <c r="AB124">
        <v>32</v>
      </c>
      <c r="AC124">
        <v>16</v>
      </c>
      <c r="AD124">
        <v>5</v>
      </c>
      <c r="AE124">
        <v>54</v>
      </c>
      <c r="AF124">
        <v>61</v>
      </c>
      <c r="AG124">
        <v>3</v>
      </c>
      <c r="AH124">
        <v>6</v>
      </c>
      <c r="AI124">
        <v>28</v>
      </c>
      <c r="AJ124">
        <v>41</v>
      </c>
      <c r="AK124">
        <v>132</v>
      </c>
      <c r="AL124">
        <v>6</v>
      </c>
      <c r="AM124">
        <v>6</v>
      </c>
      <c r="AN124">
        <v>6</v>
      </c>
      <c r="AO124">
        <v>2</v>
      </c>
      <c r="AP124" t="s">
        <v>63</v>
      </c>
    </row>
    <row r="125" spans="1:42" x14ac:dyDescent="0.25">
      <c r="A125" s="16" t="s">
        <v>124</v>
      </c>
      <c r="B125" s="16" t="s">
        <v>92</v>
      </c>
      <c r="C125">
        <v>6</v>
      </c>
      <c r="D125">
        <v>0</v>
      </c>
      <c r="E125">
        <v>1</v>
      </c>
      <c r="F125">
        <v>3</v>
      </c>
      <c r="G125">
        <v>62</v>
      </c>
      <c r="H125">
        <v>71</v>
      </c>
      <c r="I125">
        <v>38</v>
      </c>
      <c r="J125">
        <v>30</v>
      </c>
      <c r="K125">
        <v>21</v>
      </c>
      <c r="L125">
        <v>7</v>
      </c>
      <c r="M125">
        <v>60</v>
      </c>
      <c r="N125">
        <v>49</v>
      </c>
      <c r="O125">
        <v>0</v>
      </c>
      <c r="P125">
        <v>1</v>
      </c>
      <c r="Q125">
        <v>23</v>
      </c>
      <c r="R125">
        <v>31</v>
      </c>
      <c r="S125">
        <v>142</v>
      </c>
      <c r="T125">
        <v>3</v>
      </c>
      <c r="U125">
        <v>7</v>
      </c>
      <c r="V125">
        <v>6</v>
      </c>
      <c r="W125">
        <v>6</v>
      </c>
      <c r="X125" t="s">
        <v>63</v>
      </c>
      <c r="Y125">
        <v>61</v>
      </c>
      <c r="Z125">
        <v>72</v>
      </c>
      <c r="AA125">
        <v>39</v>
      </c>
      <c r="AB125">
        <v>32</v>
      </c>
      <c r="AC125">
        <v>18</v>
      </c>
      <c r="AD125">
        <v>4</v>
      </c>
      <c r="AE125">
        <v>57</v>
      </c>
      <c r="AF125">
        <v>49</v>
      </c>
      <c r="AG125">
        <v>1</v>
      </c>
      <c r="AH125">
        <v>4</v>
      </c>
      <c r="AI125">
        <v>14</v>
      </c>
      <c r="AJ125">
        <v>18</v>
      </c>
      <c r="AK125">
        <v>143</v>
      </c>
      <c r="AL125">
        <v>6</v>
      </c>
      <c r="AM125">
        <v>6</v>
      </c>
      <c r="AN125">
        <v>7</v>
      </c>
      <c r="AO125">
        <v>7</v>
      </c>
      <c r="AP125" t="s">
        <v>63</v>
      </c>
    </row>
    <row r="126" spans="1:42" x14ac:dyDescent="0.25">
      <c r="A126" s="16" t="s">
        <v>188</v>
      </c>
      <c r="B126" s="16" t="s">
        <v>127</v>
      </c>
      <c r="C126">
        <v>6</v>
      </c>
      <c r="D126">
        <v>1</v>
      </c>
      <c r="E126">
        <v>3</v>
      </c>
      <c r="F126">
        <v>0</v>
      </c>
      <c r="G126">
        <v>65</v>
      </c>
      <c r="H126">
        <v>41</v>
      </c>
      <c r="I126">
        <v>35</v>
      </c>
      <c r="J126">
        <v>22</v>
      </c>
      <c r="K126">
        <v>3</v>
      </c>
      <c r="L126">
        <v>1</v>
      </c>
      <c r="M126">
        <v>28</v>
      </c>
      <c r="N126">
        <v>25</v>
      </c>
      <c r="O126">
        <v>4</v>
      </c>
      <c r="P126">
        <v>14</v>
      </c>
      <c r="Q126">
        <v>3</v>
      </c>
      <c r="R126">
        <v>10</v>
      </c>
      <c r="S126">
        <v>105</v>
      </c>
      <c r="T126">
        <v>7</v>
      </c>
      <c r="U126">
        <v>6</v>
      </c>
      <c r="V126">
        <v>6</v>
      </c>
      <c r="W126" t="s">
        <v>63</v>
      </c>
      <c r="X126" t="s">
        <v>63</v>
      </c>
      <c r="Y126">
        <v>66</v>
      </c>
      <c r="Z126">
        <v>45</v>
      </c>
      <c r="AA126">
        <v>34</v>
      </c>
      <c r="AB126">
        <v>18</v>
      </c>
      <c r="AC126">
        <v>8</v>
      </c>
      <c r="AD126">
        <v>1</v>
      </c>
      <c r="AE126">
        <v>34</v>
      </c>
      <c r="AF126">
        <v>50</v>
      </c>
      <c r="AG126">
        <v>1</v>
      </c>
      <c r="AH126">
        <v>2</v>
      </c>
      <c r="AI126">
        <v>23</v>
      </c>
      <c r="AJ126">
        <v>42</v>
      </c>
      <c r="AK126">
        <v>86</v>
      </c>
      <c r="AL126">
        <v>6</v>
      </c>
      <c r="AM126">
        <v>3</v>
      </c>
      <c r="AN126">
        <v>3</v>
      </c>
      <c r="AO126" t="s">
        <v>63</v>
      </c>
      <c r="AP126" t="s">
        <v>63</v>
      </c>
    </row>
    <row r="127" spans="1:42" x14ac:dyDescent="0.25">
      <c r="A127" s="16" t="s">
        <v>188</v>
      </c>
      <c r="B127" s="16" t="s">
        <v>92</v>
      </c>
      <c r="C127">
        <v>7</v>
      </c>
      <c r="D127">
        <v>0</v>
      </c>
      <c r="E127">
        <v>1</v>
      </c>
      <c r="F127">
        <v>3</v>
      </c>
      <c r="G127">
        <v>78</v>
      </c>
      <c r="H127">
        <v>50</v>
      </c>
      <c r="I127">
        <v>22</v>
      </c>
      <c r="J127">
        <v>10</v>
      </c>
      <c r="K127">
        <v>1</v>
      </c>
      <c r="L127">
        <v>3</v>
      </c>
      <c r="M127">
        <v>19</v>
      </c>
      <c r="N127">
        <v>32</v>
      </c>
      <c r="O127">
        <v>2</v>
      </c>
      <c r="P127">
        <v>6</v>
      </c>
      <c r="Q127">
        <v>5</v>
      </c>
      <c r="R127">
        <v>8</v>
      </c>
      <c r="S127">
        <v>88</v>
      </c>
      <c r="T127">
        <v>3</v>
      </c>
      <c r="U127">
        <v>2</v>
      </c>
      <c r="V127">
        <v>6</v>
      </c>
      <c r="W127">
        <v>3</v>
      </c>
      <c r="X127" t="s">
        <v>63</v>
      </c>
      <c r="Y127">
        <v>55</v>
      </c>
      <c r="Z127">
        <v>46</v>
      </c>
      <c r="AA127">
        <v>45</v>
      </c>
      <c r="AB127">
        <v>22</v>
      </c>
      <c r="AC127">
        <v>19</v>
      </c>
      <c r="AD127">
        <v>2</v>
      </c>
      <c r="AE127">
        <v>53</v>
      </c>
      <c r="AF127">
        <v>49</v>
      </c>
      <c r="AG127">
        <v>5</v>
      </c>
      <c r="AH127">
        <v>15</v>
      </c>
      <c r="AI127">
        <v>11</v>
      </c>
      <c r="AJ127">
        <v>12</v>
      </c>
      <c r="AK127">
        <v>116</v>
      </c>
      <c r="AL127">
        <v>6</v>
      </c>
      <c r="AM127">
        <v>6</v>
      </c>
      <c r="AN127">
        <v>3</v>
      </c>
      <c r="AO127">
        <v>6</v>
      </c>
      <c r="AP127" t="s">
        <v>63</v>
      </c>
    </row>
    <row r="128" spans="1:42" x14ac:dyDescent="0.25">
      <c r="A128" t="s">
        <v>190</v>
      </c>
      <c r="K128">
        <f>SUBTOTAL(104,Tabella1[ACE.1])</f>
        <v>41</v>
      </c>
      <c r="AC128">
        <f>SUBTOTAL(101,Tabella1[ACE.2])</f>
        <v>8.9761904761904763</v>
      </c>
      <c r="AP128">
        <f>SUBTOTAL(103,Tabella1[ST5.2])</f>
        <v>126</v>
      </c>
    </row>
    <row r="130" spans="1:29" x14ac:dyDescent="0.25">
      <c r="K130">
        <f>MAX(Tabella1[ACE.1])</f>
        <v>41</v>
      </c>
      <c r="AC130">
        <f>MAX(Tabella1[ACE.2])</f>
        <v>32</v>
      </c>
    </row>
    <row r="131" spans="1:29" x14ac:dyDescent="0.25">
      <c r="A131" t="s">
        <v>193</v>
      </c>
      <c r="B131">
        <v>128</v>
      </c>
    </row>
    <row r="132" spans="1:29" x14ac:dyDescent="0.25">
      <c r="A132" t="s">
        <v>194</v>
      </c>
      <c r="B132">
        <v>126</v>
      </c>
    </row>
    <row r="133" spans="1:29" x14ac:dyDescent="0.25">
      <c r="A133" t="s">
        <v>195</v>
      </c>
      <c r="B133">
        <v>2458</v>
      </c>
    </row>
    <row r="134" spans="1:29" x14ac:dyDescent="0.25">
      <c r="A134" t="s">
        <v>196</v>
      </c>
      <c r="B134" s="17">
        <f>B133/B132</f>
        <v>19.50793650793651</v>
      </c>
    </row>
    <row r="136" spans="1:29" x14ac:dyDescent="0.25">
      <c r="A136" t="s">
        <v>191</v>
      </c>
      <c r="B136">
        <v>41</v>
      </c>
      <c r="C136">
        <f>13+13+13</f>
        <v>39</v>
      </c>
    </row>
    <row r="137" spans="1:29" x14ac:dyDescent="0.25">
      <c r="A137" t="s">
        <v>192</v>
      </c>
      <c r="B137">
        <v>0</v>
      </c>
    </row>
    <row r="138" spans="1:29" x14ac:dyDescent="0.25">
      <c r="A138" t="s">
        <v>197</v>
      </c>
      <c r="B138" s="18">
        <f>B136/3</f>
        <v>13.666666666666666</v>
      </c>
    </row>
    <row r="139" spans="1:29" x14ac:dyDescent="0.25">
      <c r="A139" s="20" t="s">
        <v>198</v>
      </c>
      <c r="B139" s="19" t="s">
        <v>201</v>
      </c>
    </row>
    <row r="140" spans="1:29" x14ac:dyDescent="0.25">
      <c r="A140" s="20" t="s">
        <v>199</v>
      </c>
      <c r="B140" s="19" t="s">
        <v>202</v>
      </c>
    </row>
    <row r="141" spans="1:29" x14ac:dyDescent="0.25">
      <c r="A141" s="20" t="s">
        <v>200</v>
      </c>
      <c r="B141" s="19" t="s">
        <v>203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7"/>
  <sheetViews>
    <sheetView workbookViewId="0">
      <selection activeCell="A2" sqref="A2:G127"/>
    </sheetView>
  </sheetViews>
  <sheetFormatPr defaultRowHeight="15" x14ac:dyDescent="0.25"/>
  <cols>
    <col min="1" max="1" width="22.42578125" bestFit="1" customWidth="1"/>
    <col min="2" max="2" width="7.28515625" customWidth="1"/>
    <col min="3" max="3" width="9.85546875" customWidth="1"/>
    <col min="4" max="4" width="12.140625" bestFit="1" customWidth="1"/>
    <col min="6" max="6" width="18.42578125" bestFit="1" customWidth="1"/>
    <col min="7" max="7" width="17.42578125" bestFit="1" customWidth="1"/>
  </cols>
  <sheetData>
    <row r="1" spans="1:7" x14ac:dyDescent="0.25">
      <c r="A1" t="s">
        <v>204</v>
      </c>
      <c r="B1" t="s">
        <v>205</v>
      </c>
      <c r="C1" t="s">
        <v>206</v>
      </c>
      <c r="D1" t="s">
        <v>233</v>
      </c>
      <c r="E1" t="s">
        <v>253</v>
      </c>
      <c r="F1" t="s">
        <v>265</v>
      </c>
      <c r="G1" t="s">
        <v>266</v>
      </c>
    </row>
    <row r="2" spans="1:7" x14ac:dyDescent="0.25">
      <c r="A2" t="str">
        <f>Tabella1[[#This Row],[Player1]]</f>
        <v>Lukas Lacko</v>
      </c>
      <c r="B2">
        <f>Tabella1[[#This Row],[ACE.1]]</f>
        <v>5</v>
      </c>
      <c r="C2" t="str">
        <f>IF(Tabella1[[#This Row],[Result]]=0,"No","Si")</f>
        <v>No</v>
      </c>
      <c r="D2">
        <f>Tabella1[[#This Row],[FSP.1]]</f>
        <v>61</v>
      </c>
      <c r="E2">
        <f>Tabella1[[#This Row],[FSW.1]]+Tabella1[[#This Row],[SSW.1]]</f>
        <v>53</v>
      </c>
      <c r="F2">
        <f>Tabella1[[#This Row],[BPC.1]]</f>
        <v>1</v>
      </c>
      <c r="G2">
        <f>Tabella1[[#This Row],[BPW.1]]</f>
        <v>3</v>
      </c>
    </row>
    <row r="3" spans="1:7" x14ac:dyDescent="0.25">
      <c r="A3" t="str">
        <f>Tabella1[[#This Row],[Player1]]</f>
        <v>Leonardo Mayer</v>
      </c>
      <c r="B3">
        <f>Tabella1[[#This Row],[ACE.1]]</f>
        <v>13</v>
      </c>
      <c r="C3" t="str">
        <f>IF(Tabella1[[#This Row],[Result]]=0,"No","Si")</f>
        <v>Si</v>
      </c>
      <c r="D3">
        <f>Tabella1[[#This Row],[FSP.1]]</f>
        <v>61</v>
      </c>
      <c r="E3">
        <f>Tabella1[[#This Row],[FSW.1]]+Tabella1[[#This Row],[SSW.1]]</f>
        <v>44</v>
      </c>
      <c r="F3">
        <f>Tabella1[[#This Row],[BPC.1]]</f>
        <v>7</v>
      </c>
      <c r="G3">
        <f>Tabella1[[#This Row],[BPW.1]]</f>
        <v>14</v>
      </c>
    </row>
    <row r="4" spans="1:7" x14ac:dyDescent="0.25">
      <c r="A4" t="str">
        <f>Tabella1[[#This Row],[Player1]]</f>
        <v>Marcos Baghdatis</v>
      </c>
      <c r="B4">
        <f>Tabella1[[#This Row],[ACE.1]]</f>
        <v>8</v>
      </c>
      <c r="C4" t="str">
        <f>IF(Tabella1[[#This Row],[Result]]=0,"No","Si")</f>
        <v>No</v>
      </c>
      <c r="D4">
        <f>Tabella1[[#This Row],[FSP.1]]</f>
        <v>52</v>
      </c>
      <c r="E4">
        <f>Tabella1[[#This Row],[FSW.1]]+Tabella1[[#This Row],[SSW.1]]</f>
        <v>73</v>
      </c>
      <c r="F4">
        <f>Tabella1[[#This Row],[BPC.1]]</f>
        <v>1</v>
      </c>
      <c r="G4">
        <f>Tabella1[[#This Row],[BPW.1]]</f>
        <v>9</v>
      </c>
    </row>
    <row r="5" spans="1:7" x14ac:dyDescent="0.25">
      <c r="A5" t="str">
        <f>Tabella1[[#This Row],[Player1]]</f>
        <v>Dmitry Tursunov</v>
      </c>
      <c r="B5">
        <f>Tabella1[[#This Row],[ACE.1]]</f>
        <v>8</v>
      </c>
      <c r="C5" t="str">
        <f>IF(Tabella1[[#This Row],[Result]]=0,"No","Si")</f>
        <v>Si</v>
      </c>
      <c r="D5">
        <f>Tabella1[[#This Row],[FSP.1]]</f>
        <v>53</v>
      </c>
      <c r="E5">
        <f>Tabella1[[#This Row],[FSW.1]]+Tabella1[[#This Row],[SSW.1]]</f>
        <v>63</v>
      </c>
      <c r="F5">
        <f>Tabella1[[#This Row],[BPC.1]]</f>
        <v>6</v>
      </c>
      <c r="G5">
        <f>Tabella1[[#This Row],[BPW.1]]</f>
        <v>9</v>
      </c>
    </row>
    <row r="6" spans="1:7" x14ac:dyDescent="0.25">
      <c r="A6" t="str">
        <f>Tabella1[[#This Row],[Player1]]</f>
        <v>Juan Monaco</v>
      </c>
      <c r="B6">
        <f>Tabella1[[#This Row],[ACE.1]]</f>
        <v>0</v>
      </c>
      <c r="C6" t="str">
        <f>IF(Tabella1[[#This Row],[Result]]=0,"No","Si")</f>
        <v>No</v>
      </c>
      <c r="D6">
        <f>Tabella1[[#This Row],[FSP.1]]</f>
        <v>76</v>
      </c>
      <c r="E6">
        <f>Tabella1[[#This Row],[FSW.1]]+Tabella1[[#This Row],[SSW.1]]</f>
        <v>75</v>
      </c>
      <c r="F6">
        <f>Tabella1[[#This Row],[BPC.1]]</f>
        <v>3</v>
      </c>
      <c r="G6">
        <f>Tabella1[[#This Row],[BPW.1]]</f>
        <v>12</v>
      </c>
    </row>
    <row r="7" spans="1:7" x14ac:dyDescent="0.25">
      <c r="A7" t="str">
        <f>Tabella1[[#This Row],[Player1]]</f>
        <v>Santiago Giraldo</v>
      </c>
      <c r="B7">
        <f>Tabella1[[#This Row],[ACE.1]]</f>
        <v>9</v>
      </c>
      <c r="C7" t="str">
        <f>IF(Tabella1[[#This Row],[Result]]=0,"No","Si")</f>
        <v>No</v>
      </c>
      <c r="D7">
        <f>Tabella1[[#This Row],[FSP.1]]</f>
        <v>65</v>
      </c>
      <c r="E7">
        <f>Tabella1[[#This Row],[FSW.1]]+Tabella1[[#This Row],[SSW.1]]</f>
        <v>73</v>
      </c>
      <c r="F7">
        <f>Tabella1[[#This Row],[BPC.1]]</f>
        <v>2</v>
      </c>
      <c r="G7">
        <f>Tabella1[[#This Row],[BPW.1]]</f>
        <v>7</v>
      </c>
    </row>
    <row r="8" spans="1:7" x14ac:dyDescent="0.25">
      <c r="A8" t="str">
        <f>Tabella1[[#This Row],[Player1]]</f>
        <v>Dudi Sela</v>
      </c>
      <c r="B8">
        <f>Tabella1[[#This Row],[ACE.1]]</f>
        <v>5</v>
      </c>
      <c r="C8" t="str">
        <f>IF(Tabella1[[#This Row],[Result]]=0,"No","Si")</f>
        <v>No</v>
      </c>
      <c r="D8">
        <f>Tabella1[[#This Row],[FSP.1]]</f>
        <v>68</v>
      </c>
      <c r="E8">
        <f>Tabella1[[#This Row],[FSW.1]]+Tabella1[[#This Row],[SSW.1]]</f>
        <v>97</v>
      </c>
      <c r="F8">
        <f>Tabella1[[#This Row],[BPC.1]]</f>
        <v>9</v>
      </c>
      <c r="G8">
        <f>Tabella1[[#This Row],[BPW.1]]</f>
        <v>17</v>
      </c>
    </row>
    <row r="9" spans="1:7" x14ac:dyDescent="0.25">
      <c r="A9" t="str">
        <f>Tabella1[[#This Row],[Player1]]</f>
        <v>Fabio Fognini</v>
      </c>
      <c r="B9">
        <f>Tabella1[[#This Row],[ACE.1]]</f>
        <v>3</v>
      </c>
      <c r="C9" t="str">
        <f>IF(Tabella1[[#This Row],[Result]]=0,"No","Si")</f>
        <v>Si</v>
      </c>
      <c r="D9">
        <f>Tabella1[[#This Row],[FSP.1]]</f>
        <v>47</v>
      </c>
      <c r="E9">
        <f>Tabella1[[#This Row],[FSW.1]]+Tabella1[[#This Row],[SSW.1]]</f>
        <v>33</v>
      </c>
      <c r="F9">
        <f>Tabella1[[#This Row],[BPC.1]]</f>
        <v>6</v>
      </c>
      <c r="G9">
        <f>Tabella1[[#This Row],[BPW.1]]</f>
        <v>20</v>
      </c>
    </row>
    <row r="10" spans="1:7" x14ac:dyDescent="0.25">
      <c r="A10" t="str">
        <f>Tabella1[[#This Row],[Player1]]</f>
        <v>David Guez</v>
      </c>
      <c r="B10">
        <f>Tabella1[[#This Row],[ACE.1]]</f>
        <v>3</v>
      </c>
      <c r="C10" t="str">
        <f>IF(Tabella1[[#This Row],[Result]]=0,"No","Si")</f>
        <v>No</v>
      </c>
      <c r="D10">
        <f>Tabella1[[#This Row],[FSP.1]]</f>
        <v>64</v>
      </c>
      <c r="E10">
        <f>Tabella1[[#This Row],[FSW.1]]+Tabella1[[#This Row],[SSW.1]]</f>
        <v>38</v>
      </c>
      <c r="F10">
        <f>Tabella1[[#This Row],[BPC.1]]</f>
        <v>3</v>
      </c>
      <c r="G10">
        <f>Tabella1[[#This Row],[BPW.1]]</f>
        <v>7</v>
      </c>
    </row>
    <row r="11" spans="1:7" x14ac:dyDescent="0.25">
      <c r="A11" t="str">
        <f>Tabella1[[#This Row],[Player1]]</f>
        <v>Nikolay Davydenko</v>
      </c>
      <c r="B11">
        <f>Tabella1[[#This Row],[ACE.1]]</f>
        <v>6</v>
      </c>
      <c r="C11" t="str">
        <f>IF(Tabella1[[#This Row],[Result]]=0,"No","Si")</f>
        <v>Si</v>
      </c>
      <c r="D11">
        <f>Tabella1[[#This Row],[FSP.1]]</f>
        <v>77</v>
      </c>
      <c r="E11">
        <f>Tabella1[[#This Row],[FSW.1]]+Tabella1[[#This Row],[SSW.1]]</f>
        <v>87</v>
      </c>
      <c r="F11">
        <f>Tabella1[[#This Row],[BPC.1]]</f>
        <v>7</v>
      </c>
      <c r="G11">
        <f>Tabella1[[#This Row],[BPW.1]]</f>
        <v>24</v>
      </c>
    </row>
    <row r="12" spans="1:7" x14ac:dyDescent="0.25">
      <c r="A12" t="str">
        <f>Tabella1[[#This Row],[Player1]]</f>
        <v>Pablo Carreno Busta</v>
      </c>
      <c r="B12">
        <f>Tabella1[[#This Row],[ACE.1]]</f>
        <v>7</v>
      </c>
      <c r="C12" t="str">
        <f>IF(Tabella1[[#This Row],[Result]]=0,"No","Si")</f>
        <v>No</v>
      </c>
      <c r="D12">
        <f>Tabella1[[#This Row],[FSP.1]]</f>
        <v>53</v>
      </c>
      <c r="E12">
        <f>Tabella1[[#This Row],[FSW.1]]+Tabella1[[#This Row],[SSW.1]]</f>
        <v>81</v>
      </c>
      <c r="F12">
        <f>Tabella1[[#This Row],[BPC.1]]</f>
        <v>4</v>
      </c>
      <c r="G12">
        <f>Tabella1[[#This Row],[BPW.1]]</f>
        <v>5</v>
      </c>
    </row>
    <row r="13" spans="1:7" x14ac:dyDescent="0.25">
      <c r="A13" t="str">
        <f>Tabella1[[#This Row],[Player1]]</f>
        <v>Tommy Robredo</v>
      </c>
      <c r="B13">
        <f>Tabella1[[#This Row],[ACE.1]]</f>
        <v>13</v>
      </c>
      <c r="C13" t="str">
        <f>IF(Tabella1[[#This Row],[Result]]=0,"No","Si")</f>
        <v>Si</v>
      </c>
      <c r="D13">
        <f>Tabella1[[#This Row],[FSP.1]]</f>
        <v>57</v>
      </c>
      <c r="E13">
        <f>Tabella1[[#This Row],[FSW.1]]+Tabella1[[#This Row],[SSW.1]]</f>
        <v>105</v>
      </c>
      <c r="F13">
        <f>Tabella1[[#This Row],[BPC.1]]</f>
        <v>6</v>
      </c>
      <c r="G13">
        <f>Tabella1[[#This Row],[BPW.1]]</f>
        <v>18</v>
      </c>
    </row>
    <row r="14" spans="1:7" x14ac:dyDescent="0.25">
      <c r="A14" t="str">
        <f>Tabella1[[#This Row],[Player1]]</f>
        <v>Samuel Groth</v>
      </c>
      <c r="B14">
        <f>Tabella1[[#This Row],[ACE.1]]</f>
        <v>16</v>
      </c>
      <c r="C14" t="str">
        <f>IF(Tabella1[[#This Row],[Result]]=0,"No","Si")</f>
        <v>No</v>
      </c>
      <c r="D14">
        <f>Tabella1[[#This Row],[FSP.1]]</f>
        <v>65</v>
      </c>
      <c r="E14">
        <f>Tabella1[[#This Row],[FSW.1]]+Tabella1[[#This Row],[SSW.1]]</f>
        <v>57</v>
      </c>
      <c r="F14">
        <f>Tabella1[[#This Row],[BPC.1]]</f>
        <v>0</v>
      </c>
      <c r="G14">
        <f>Tabella1[[#This Row],[BPW.1]]</f>
        <v>2</v>
      </c>
    </row>
    <row r="15" spans="1:7" x14ac:dyDescent="0.25">
      <c r="A15" t="str">
        <f>Tabella1[[#This Row],[Player1]]</f>
        <v>Nicolas Mahut</v>
      </c>
      <c r="B15">
        <f>Tabella1[[#This Row],[ACE.1]]</f>
        <v>7</v>
      </c>
      <c r="C15" t="str">
        <f>IF(Tabella1[[#This Row],[Result]]=0,"No","Si")</f>
        <v>No</v>
      </c>
      <c r="D15">
        <f>Tabella1[[#This Row],[FSP.1]]</f>
        <v>64</v>
      </c>
      <c r="E15">
        <f>Tabella1[[#This Row],[FSW.1]]+Tabella1[[#This Row],[SSW.1]]</f>
        <v>86</v>
      </c>
      <c r="F15">
        <f>Tabella1[[#This Row],[BPC.1]]</f>
        <v>6</v>
      </c>
      <c r="G15">
        <f>Tabella1[[#This Row],[BPW.1]]</f>
        <v>15</v>
      </c>
    </row>
    <row r="16" spans="1:7" x14ac:dyDescent="0.25">
      <c r="A16" t="str">
        <f>Tabella1[[#This Row],[Player1]]</f>
        <v>Alejandro Falla</v>
      </c>
      <c r="B16">
        <f>Tabella1[[#This Row],[ACE.1]]</f>
        <v>4</v>
      </c>
      <c r="C16" t="str">
        <f>IF(Tabella1[[#This Row],[Result]]=0,"No","Si")</f>
        <v>Si</v>
      </c>
      <c r="D16">
        <f>Tabella1[[#This Row],[FSP.1]]</f>
        <v>60</v>
      </c>
      <c r="E16">
        <f>Tabella1[[#This Row],[FSW.1]]+Tabella1[[#This Row],[SSW.1]]</f>
        <v>73</v>
      </c>
      <c r="F16">
        <f>Tabella1[[#This Row],[BPC.1]]</f>
        <v>10</v>
      </c>
      <c r="G16">
        <f>Tabella1[[#This Row],[BPW.1]]</f>
        <v>28</v>
      </c>
    </row>
    <row r="17" spans="1:7" x14ac:dyDescent="0.25">
      <c r="A17" t="str">
        <f>Tabella1[[#This Row],[Player1]]</f>
        <v>Stanislas Wawrinka</v>
      </c>
      <c r="B17">
        <f>Tabella1[[#This Row],[ACE.1]]</f>
        <v>4</v>
      </c>
      <c r="C17" t="str">
        <f>IF(Tabella1[[#This Row],[Result]]=0,"No","Si")</f>
        <v>Si</v>
      </c>
      <c r="D17">
        <f>Tabella1[[#This Row],[FSP.1]]</f>
        <v>63</v>
      </c>
      <c r="E17">
        <f>Tabella1[[#This Row],[FSW.1]]+Tabella1[[#This Row],[SSW.1]]</f>
        <v>26</v>
      </c>
      <c r="F17">
        <f>Tabella1[[#This Row],[BPC.1]]</f>
        <v>4</v>
      </c>
      <c r="G17">
        <f>Tabella1[[#This Row],[BPW.1]]</f>
        <v>9</v>
      </c>
    </row>
    <row r="18" spans="1:7" x14ac:dyDescent="0.25">
      <c r="A18" t="str">
        <f>Tabella1[[#This Row],[Player1]]</f>
        <v>Alejandro Gonzalez</v>
      </c>
      <c r="B18">
        <f>Tabella1[[#This Row],[ACE.1]]</f>
        <v>2</v>
      </c>
      <c r="C18" t="str">
        <f>IF(Tabella1[[#This Row],[Result]]=0,"No","Si")</f>
        <v>No</v>
      </c>
      <c r="D18">
        <f>Tabella1[[#This Row],[FSP.1]]</f>
        <v>68</v>
      </c>
      <c r="E18">
        <f>Tabella1[[#This Row],[FSW.1]]+Tabella1[[#This Row],[SSW.1]]</f>
        <v>41</v>
      </c>
      <c r="F18">
        <f>Tabella1[[#This Row],[BPC.1]]</f>
        <v>5</v>
      </c>
      <c r="G18">
        <f>Tabella1[[#This Row],[BPW.1]]</f>
        <v>7</v>
      </c>
    </row>
    <row r="19" spans="1:7" x14ac:dyDescent="0.25">
      <c r="A19" t="str">
        <f>Tabella1[[#This Row],[Player1]]</f>
        <v>Steve Johnson</v>
      </c>
      <c r="B19">
        <f>Tabella1[[#This Row],[ACE.1]]</f>
        <v>21</v>
      </c>
      <c r="C19" t="str">
        <f>IF(Tabella1[[#This Row],[Result]]=0,"No","Si")</f>
        <v>No</v>
      </c>
      <c r="D19">
        <f>Tabella1[[#This Row],[FSP.1]]</f>
        <v>53</v>
      </c>
      <c r="E19">
        <f>Tabella1[[#This Row],[FSW.1]]+Tabella1[[#This Row],[SSW.1]]</f>
        <v>78</v>
      </c>
      <c r="F19">
        <f>Tabella1[[#This Row],[BPC.1]]</f>
        <v>4</v>
      </c>
      <c r="G19">
        <f>Tabella1[[#This Row],[BPW.1]]</f>
        <v>6</v>
      </c>
    </row>
    <row r="20" spans="1:7" x14ac:dyDescent="0.25">
      <c r="A20" t="str">
        <f>Tabella1[[#This Row],[Player1]]</f>
        <v>Ricardas Berankis</v>
      </c>
      <c r="B20">
        <f>Tabella1[[#This Row],[ACE.1]]</f>
        <v>10</v>
      </c>
      <c r="C20" t="str">
        <f>IF(Tabella1[[#This Row],[Result]]=0,"No","Si")</f>
        <v>No</v>
      </c>
      <c r="D20">
        <f>Tabella1[[#This Row],[FSP.1]]</f>
        <v>50</v>
      </c>
      <c r="E20">
        <f>Tabella1[[#This Row],[FSW.1]]+Tabella1[[#This Row],[SSW.1]]</f>
        <v>65</v>
      </c>
      <c r="F20">
        <f>Tabella1[[#This Row],[BPC.1]]</f>
        <v>1</v>
      </c>
      <c r="G20">
        <f>Tabella1[[#This Row],[BPW.1]]</f>
        <v>3</v>
      </c>
    </row>
    <row r="21" spans="1:7" x14ac:dyDescent="0.25">
      <c r="A21" t="str">
        <f>Tabella1[[#This Row],[Player1]]</f>
        <v>Jeremy Chardy</v>
      </c>
      <c r="B21">
        <f>Tabella1[[#This Row],[ACE.1]]</f>
        <v>9</v>
      </c>
      <c r="C21" t="str">
        <f>IF(Tabella1[[#This Row],[Result]]=0,"No","Si")</f>
        <v>Si</v>
      </c>
      <c r="D21">
        <f>Tabella1[[#This Row],[FSP.1]]</f>
        <v>66</v>
      </c>
      <c r="E21">
        <f>Tabella1[[#This Row],[FSW.1]]+Tabella1[[#This Row],[SSW.1]]</f>
        <v>62</v>
      </c>
      <c r="F21">
        <f>Tabella1[[#This Row],[BPC.1]]</f>
        <v>4</v>
      </c>
      <c r="G21">
        <f>Tabella1[[#This Row],[BPW.1]]</f>
        <v>9</v>
      </c>
    </row>
    <row r="22" spans="1:7" x14ac:dyDescent="0.25">
      <c r="A22" t="str">
        <f>Tabella1[[#This Row],[Player1]]</f>
        <v>Jordan Thompson</v>
      </c>
      <c r="B22">
        <f>Tabella1[[#This Row],[ACE.1]]</f>
        <v>13</v>
      </c>
      <c r="C22" t="str">
        <f>IF(Tabella1[[#This Row],[Result]]=0,"No","Si")</f>
        <v>No</v>
      </c>
      <c r="D22">
        <f>Tabella1[[#This Row],[FSP.1]]</f>
        <v>60</v>
      </c>
      <c r="E22">
        <f>Tabella1[[#This Row],[FSW.1]]+Tabella1[[#This Row],[SSW.1]]</f>
        <v>79</v>
      </c>
      <c r="F22">
        <f>Tabella1[[#This Row],[BPC.1]]</f>
        <v>3</v>
      </c>
      <c r="G22">
        <f>Tabella1[[#This Row],[BPW.1]]</f>
        <v>10</v>
      </c>
    </row>
    <row r="23" spans="1:7" x14ac:dyDescent="0.25">
      <c r="A23" t="str">
        <f>Tabella1[[#This Row],[Player1]]</f>
        <v>Albert Ramos</v>
      </c>
      <c r="B23">
        <f>Tabella1[[#This Row],[ACE.1]]</f>
        <v>2</v>
      </c>
      <c r="C23" t="str">
        <f>IF(Tabella1[[#This Row],[Result]]=0,"No","Si")</f>
        <v>No</v>
      </c>
      <c r="D23">
        <f>Tabella1[[#This Row],[FSP.1]]</f>
        <v>61</v>
      </c>
      <c r="E23">
        <f>Tabella1[[#This Row],[FSW.1]]+Tabella1[[#This Row],[SSW.1]]</f>
        <v>42</v>
      </c>
      <c r="F23">
        <f>Tabella1[[#This Row],[BPC.1]]</f>
        <v>3</v>
      </c>
      <c r="G23">
        <f>Tabella1[[#This Row],[BPW.1]]</f>
        <v>7</v>
      </c>
    </row>
    <row r="24" spans="1:7" x14ac:dyDescent="0.25">
      <c r="A24" t="str">
        <f>Tabella1[[#This Row],[Player1]]</f>
        <v>Florian Mayer</v>
      </c>
      <c r="B24">
        <f>Tabella1[[#This Row],[ACE.1]]</f>
        <v>6</v>
      </c>
      <c r="C24" t="str">
        <f>IF(Tabella1[[#This Row],[Result]]=0,"No","Si")</f>
        <v>Si</v>
      </c>
      <c r="D24">
        <f>Tabella1[[#This Row],[FSP.1]]</f>
        <v>58</v>
      </c>
      <c r="E24">
        <f>Tabella1[[#This Row],[FSW.1]]+Tabella1[[#This Row],[SSW.1]]</f>
        <v>58</v>
      </c>
      <c r="F24">
        <f>Tabella1[[#This Row],[BPC.1]]</f>
        <v>5</v>
      </c>
      <c r="G24">
        <f>Tabella1[[#This Row],[BPW.1]]</f>
        <v>11</v>
      </c>
    </row>
    <row r="25" spans="1:7" x14ac:dyDescent="0.25">
      <c r="A25" t="str">
        <f>Tabella1[[#This Row],[Player1]]</f>
        <v>Mikhail Youzhny</v>
      </c>
      <c r="B25">
        <f>Tabella1[[#This Row],[ACE.1]]</f>
        <v>5</v>
      </c>
      <c r="C25" t="str">
        <f>IF(Tabella1[[#This Row],[Result]]=0,"No","Si")</f>
        <v>Si</v>
      </c>
      <c r="D25">
        <f>Tabella1[[#This Row],[FSP.1]]</f>
        <v>69</v>
      </c>
      <c r="E25">
        <f>Tabella1[[#This Row],[FSW.1]]+Tabella1[[#This Row],[SSW.1]]</f>
        <v>56</v>
      </c>
      <c r="F25">
        <f>Tabella1[[#This Row],[BPC.1]]</f>
        <v>7</v>
      </c>
      <c r="G25">
        <f>Tabella1[[#This Row],[BPW.1]]</f>
        <v>9</v>
      </c>
    </row>
    <row r="26" spans="1:7" x14ac:dyDescent="0.25">
      <c r="A26" t="str">
        <f>Tabella1[[#This Row],[Player1]]</f>
        <v>Guillermo Garcia-Lopez</v>
      </c>
      <c r="B26">
        <f>Tabella1[[#This Row],[ACE.1]]</f>
        <v>7</v>
      </c>
      <c r="C26" t="str">
        <f>IF(Tabella1[[#This Row],[Result]]=0,"No","Si")</f>
        <v>Si</v>
      </c>
      <c r="D26">
        <f>Tabella1[[#This Row],[FSP.1]]</f>
        <v>58</v>
      </c>
      <c r="E26">
        <f>Tabella1[[#This Row],[FSW.1]]+Tabella1[[#This Row],[SSW.1]]</f>
        <v>38</v>
      </c>
      <c r="F26">
        <f>Tabella1[[#This Row],[BPC.1]]</f>
        <v>4</v>
      </c>
      <c r="G26">
        <f>Tabella1[[#This Row],[BPW.1]]</f>
        <v>4</v>
      </c>
    </row>
    <row r="27" spans="1:7" x14ac:dyDescent="0.25">
      <c r="A27" t="str">
        <f>Tabella1[[#This Row],[Player1]]</f>
        <v>Carlos Berlocq</v>
      </c>
      <c r="B27">
        <f>Tabella1[[#This Row],[ACE.1]]</f>
        <v>9</v>
      </c>
      <c r="C27" t="str">
        <f>IF(Tabella1[[#This Row],[Result]]=0,"No","Si")</f>
        <v>No</v>
      </c>
      <c r="D27">
        <f>Tabella1[[#This Row],[FSP.1]]</f>
        <v>57</v>
      </c>
      <c r="E27">
        <f>Tabella1[[#This Row],[FSW.1]]+Tabella1[[#This Row],[SSW.1]]</f>
        <v>81</v>
      </c>
      <c r="F27">
        <f>Tabella1[[#This Row],[BPC.1]]</f>
        <v>4</v>
      </c>
      <c r="G27">
        <f>Tabella1[[#This Row],[BPW.1]]</f>
        <v>13</v>
      </c>
    </row>
    <row r="28" spans="1:7" x14ac:dyDescent="0.25">
      <c r="A28" t="str">
        <f>Tabella1[[#This Row],[Player1]]</f>
        <v>Dominic Thiem</v>
      </c>
      <c r="B28">
        <f>Tabella1[[#This Row],[ACE.1]]</f>
        <v>20</v>
      </c>
      <c r="C28" t="str">
        <f>IF(Tabella1[[#This Row],[Result]]=0,"No","Si")</f>
        <v>Si</v>
      </c>
      <c r="D28">
        <f>Tabella1[[#This Row],[FSP.1]]</f>
        <v>55</v>
      </c>
      <c r="E28">
        <f>Tabella1[[#This Row],[FSW.1]]+Tabella1[[#This Row],[SSW.1]]</f>
        <v>91</v>
      </c>
      <c r="F28">
        <f>Tabella1[[#This Row],[BPC.1]]</f>
        <v>5</v>
      </c>
      <c r="G28">
        <f>Tabella1[[#This Row],[BPW.1]]</f>
        <v>12</v>
      </c>
    </row>
    <row r="29" spans="1:7" x14ac:dyDescent="0.25">
      <c r="A29" t="str">
        <f>Tabella1[[#This Row],[Player1]]</f>
        <v>Kevin Anderson</v>
      </c>
      <c r="B29">
        <f>Tabella1[[#This Row],[ACE.1]]</f>
        <v>21</v>
      </c>
      <c r="C29" t="str">
        <f>IF(Tabella1[[#This Row],[Result]]=0,"No","Si")</f>
        <v>Si</v>
      </c>
      <c r="D29">
        <f>Tabella1[[#This Row],[FSP.1]]</f>
        <v>63</v>
      </c>
      <c r="E29">
        <f>Tabella1[[#This Row],[FSW.1]]+Tabella1[[#This Row],[SSW.1]]</f>
        <v>104</v>
      </c>
      <c r="F29">
        <f>Tabella1[[#This Row],[BPC.1]]</f>
        <v>3</v>
      </c>
      <c r="G29">
        <f>Tabella1[[#This Row],[BPW.1]]</f>
        <v>14</v>
      </c>
    </row>
    <row r="30" spans="1:7" x14ac:dyDescent="0.25">
      <c r="A30" t="str">
        <f>Tabella1[[#This Row],[Player1]]</f>
        <v>Ivo Karlovic</v>
      </c>
      <c r="B30">
        <f>Tabella1[[#This Row],[ACE.1]]</f>
        <v>25</v>
      </c>
      <c r="C30" t="str">
        <f>IF(Tabella1[[#This Row],[Result]]=0,"No","Si")</f>
        <v>No</v>
      </c>
      <c r="D30">
        <f>Tabella1[[#This Row],[FSP.1]]</f>
        <v>66</v>
      </c>
      <c r="E30">
        <f>Tabella1[[#This Row],[FSW.1]]+Tabella1[[#This Row],[SSW.1]]</f>
        <v>73</v>
      </c>
      <c r="F30">
        <f>Tabella1[[#This Row],[BPC.1]]</f>
        <v>1</v>
      </c>
      <c r="G30">
        <f>Tabella1[[#This Row],[BPW.1]]</f>
        <v>3</v>
      </c>
    </row>
    <row r="31" spans="1:7" x14ac:dyDescent="0.25">
      <c r="A31" t="str">
        <f>Tabella1[[#This Row],[Player1]]</f>
        <v>Jan Hajek</v>
      </c>
      <c r="B31">
        <f>Tabella1[[#This Row],[ACE.1]]</f>
        <v>2</v>
      </c>
      <c r="C31" t="str">
        <f>IF(Tabella1[[#This Row],[Result]]=0,"No","Si")</f>
        <v>No</v>
      </c>
      <c r="D31">
        <f>Tabella1[[#This Row],[FSP.1]]</f>
        <v>73</v>
      </c>
      <c r="E31">
        <f>Tabella1[[#This Row],[FSW.1]]+Tabella1[[#This Row],[SSW.1]]</f>
        <v>37</v>
      </c>
      <c r="F31">
        <f>Tabella1[[#This Row],[BPC.1]]</f>
        <v>1</v>
      </c>
      <c r="G31">
        <f>Tabella1[[#This Row],[BPW.1]]</f>
        <v>2</v>
      </c>
    </row>
    <row r="32" spans="1:7" x14ac:dyDescent="0.25">
      <c r="A32" t="str">
        <f>Tabella1[[#This Row],[Player1]]</f>
        <v>Di Wu</v>
      </c>
      <c r="B32">
        <f>Tabella1[[#This Row],[ACE.1]]</f>
        <v>3</v>
      </c>
      <c r="C32" t="str">
        <f>IF(Tabella1[[#This Row],[Result]]=0,"No","Si")</f>
        <v>No</v>
      </c>
      <c r="D32">
        <f>Tabella1[[#This Row],[FSP.1]]</f>
        <v>60</v>
      </c>
      <c r="E32">
        <f>Tabella1[[#This Row],[FSW.1]]+Tabella1[[#This Row],[SSW.1]]</f>
        <v>75</v>
      </c>
      <c r="F32">
        <f>Tabella1[[#This Row],[BPC.1]]</f>
        <v>2</v>
      </c>
      <c r="G32">
        <f>Tabella1[[#This Row],[BPW.1]]</f>
        <v>13</v>
      </c>
    </row>
    <row r="33" spans="1:7" x14ac:dyDescent="0.25">
      <c r="A33" t="str">
        <f>Tabella1[[#This Row],[Player1]]</f>
        <v>Tomas Berdych</v>
      </c>
      <c r="B33">
        <f>Tabella1[[#This Row],[ACE.1]]</f>
        <v>9</v>
      </c>
      <c r="C33" t="str">
        <f>IF(Tabella1[[#This Row],[Result]]=0,"No","Si")</f>
        <v>Si</v>
      </c>
      <c r="D33">
        <f>Tabella1[[#This Row],[FSP.1]]</f>
        <v>66</v>
      </c>
      <c r="E33">
        <f>Tabella1[[#This Row],[FSW.1]]+Tabella1[[#This Row],[SSW.1]]</f>
        <v>58</v>
      </c>
      <c r="F33">
        <f>Tabella1[[#This Row],[BPC.1]]</f>
        <v>4</v>
      </c>
      <c r="G33">
        <f>Tabella1[[#This Row],[BPW.1]]</f>
        <v>14</v>
      </c>
    </row>
    <row r="34" spans="1:7" x14ac:dyDescent="0.25">
      <c r="A34" t="str">
        <f>Tabella1[[#This Row],[Player1]]</f>
        <v>James Duckworth</v>
      </c>
      <c r="B34">
        <f>Tabella1[[#This Row],[ACE.1]]</f>
        <v>13</v>
      </c>
      <c r="C34" t="str">
        <f>IF(Tabella1[[#This Row],[Result]]=0,"No","Si")</f>
        <v>No</v>
      </c>
      <c r="D34">
        <f>Tabella1[[#This Row],[FSP.1]]</f>
        <v>52</v>
      </c>
      <c r="E34">
        <f>Tabella1[[#This Row],[FSW.1]]+Tabella1[[#This Row],[SSW.1]]</f>
        <v>55</v>
      </c>
      <c r="F34">
        <f>Tabella1[[#This Row],[BPC.1]]</f>
        <v>0</v>
      </c>
      <c r="G34">
        <f>Tabella1[[#This Row],[BPW.1]]</f>
        <v>1</v>
      </c>
    </row>
    <row r="35" spans="1:7" x14ac:dyDescent="0.25">
      <c r="A35" t="str">
        <f>Tabella1[[#This Row],[Player1]]</f>
        <v>Radek Stepanek</v>
      </c>
      <c r="B35">
        <f>Tabella1[[#This Row],[ACE.1]]</f>
        <v>5</v>
      </c>
      <c r="C35" t="str">
        <f>IF(Tabella1[[#This Row],[Result]]=0,"No","Si")</f>
        <v>No</v>
      </c>
      <c r="D35">
        <f>Tabella1[[#This Row],[FSP.1]]</f>
        <v>51</v>
      </c>
      <c r="E35">
        <f>Tabella1[[#This Row],[FSW.1]]+Tabella1[[#This Row],[SSW.1]]</f>
        <v>66</v>
      </c>
      <c r="F35">
        <f>Tabella1[[#This Row],[BPC.1]]</f>
        <v>4</v>
      </c>
      <c r="G35">
        <f>Tabella1[[#This Row],[BPW.1]]</f>
        <v>11</v>
      </c>
    </row>
    <row r="36" spans="1:7" x14ac:dyDescent="0.25">
      <c r="A36" t="str">
        <f>Tabella1[[#This Row],[Player1]]</f>
        <v>Teymuraz Gabashvili</v>
      </c>
      <c r="B36">
        <f>Tabella1[[#This Row],[ACE.1]]</f>
        <v>5</v>
      </c>
      <c r="C36" t="str">
        <f>IF(Tabella1[[#This Row],[Result]]=0,"No","Si")</f>
        <v>Si</v>
      </c>
      <c r="D36">
        <f>Tabella1[[#This Row],[FSP.1]]</f>
        <v>58</v>
      </c>
      <c r="E36">
        <f>Tabella1[[#This Row],[FSW.1]]+Tabella1[[#This Row],[SSW.1]]</f>
        <v>73</v>
      </c>
      <c r="F36">
        <f>Tabella1[[#This Row],[BPC.1]]</f>
        <v>9</v>
      </c>
      <c r="G36">
        <f>Tabella1[[#This Row],[BPW.1]]</f>
        <v>17</v>
      </c>
    </row>
    <row r="37" spans="1:7" x14ac:dyDescent="0.25">
      <c r="A37" t="str">
        <f>Tabella1[[#This Row],[Player1]]</f>
        <v>Fernando Verdasco</v>
      </c>
      <c r="B37">
        <f>Tabella1[[#This Row],[ACE.1]]</f>
        <v>20</v>
      </c>
      <c r="C37" t="str">
        <f>IF(Tabella1[[#This Row],[Result]]=0,"No","Si")</f>
        <v>Si</v>
      </c>
      <c r="D37">
        <f>Tabella1[[#This Row],[FSP.1]]</f>
        <v>61</v>
      </c>
      <c r="E37">
        <f>Tabella1[[#This Row],[FSW.1]]+Tabella1[[#This Row],[SSW.1]]</f>
        <v>83</v>
      </c>
      <c r="F37">
        <f>Tabella1[[#This Row],[BPC.1]]</f>
        <v>5</v>
      </c>
      <c r="G37">
        <f>Tabella1[[#This Row],[BPW.1]]</f>
        <v>14</v>
      </c>
    </row>
    <row r="38" spans="1:7" x14ac:dyDescent="0.25">
      <c r="A38" t="str">
        <f>Tabella1[[#This Row],[Player1]]</f>
        <v>Daniel Brands</v>
      </c>
      <c r="B38">
        <f>Tabella1[[#This Row],[ACE.1]]</f>
        <v>41</v>
      </c>
      <c r="C38" t="str">
        <f>IF(Tabella1[[#This Row],[Result]]=0,"No","Si")</f>
        <v>No</v>
      </c>
      <c r="D38">
        <f>Tabella1[[#This Row],[FSP.1]]</f>
        <v>63</v>
      </c>
      <c r="E38">
        <f>Tabella1[[#This Row],[FSW.1]]+Tabella1[[#This Row],[SSW.1]]</f>
        <v>145</v>
      </c>
      <c r="F38">
        <f>Tabella1[[#This Row],[BPC.1]]</f>
        <v>2</v>
      </c>
      <c r="G38">
        <f>Tabella1[[#This Row],[BPW.1]]</f>
        <v>25</v>
      </c>
    </row>
    <row r="39" spans="1:7" x14ac:dyDescent="0.25">
      <c r="A39" t="str">
        <f>Tabella1[[#This Row],[Player1]]</f>
        <v>Marin Cilic</v>
      </c>
      <c r="B39">
        <f>Tabella1[[#This Row],[ACE.1]]</f>
        <v>22</v>
      </c>
      <c r="C39" t="str">
        <f>IF(Tabella1[[#This Row],[Result]]=0,"No","Si")</f>
        <v>Si</v>
      </c>
      <c r="D39">
        <f>Tabella1[[#This Row],[FSP.1]]</f>
        <v>58</v>
      </c>
      <c r="E39">
        <f>Tabella1[[#This Row],[FSW.1]]+Tabella1[[#This Row],[SSW.1]]</f>
        <v>87</v>
      </c>
      <c r="F39">
        <f>Tabella1[[#This Row],[BPC.1]]</f>
        <v>5</v>
      </c>
      <c r="G39">
        <f>Tabella1[[#This Row],[BPW.1]]</f>
        <v>8</v>
      </c>
    </row>
    <row r="40" spans="1:7" x14ac:dyDescent="0.25">
      <c r="A40" t="str">
        <f>Tabella1[[#This Row],[Player1]]</f>
        <v>Thomaz Bellucci</v>
      </c>
      <c r="B40">
        <f>Tabella1[[#This Row],[ACE.1]]</f>
        <v>8</v>
      </c>
      <c r="C40" t="str">
        <f>IF(Tabella1[[#This Row],[Result]]=0,"No","Si")</f>
        <v>Si</v>
      </c>
      <c r="D40">
        <f>Tabella1[[#This Row],[FSP.1]]</f>
        <v>53</v>
      </c>
      <c r="E40">
        <f>Tabella1[[#This Row],[FSW.1]]+Tabella1[[#This Row],[SSW.1]]</f>
        <v>63</v>
      </c>
      <c r="F40">
        <f>Tabella1[[#This Row],[BPC.1]]</f>
        <v>4</v>
      </c>
      <c r="G40">
        <f>Tabella1[[#This Row],[BPW.1]]</f>
        <v>7</v>
      </c>
    </row>
    <row r="41" spans="1:7" x14ac:dyDescent="0.25">
      <c r="A41" t="str">
        <f>Tabella1[[#This Row],[Player1]]</f>
        <v>Jo-Wilfried Tsonga</v>
      </c>
      <c r="B41">
        <f>Tabella1[[#This Row],[ACE.1]]</f>
        <v>15</v>
      </c>
      <c r="C41" t="str">
        <f>IF(Tabella1[[#This Row],[Result]]=0,"No","Si")</f>
        <v>Si</v>
      </c>
      <c r="D41">
        <f>Tabella1[[#This Row],[FSP.1]]</f>
        <v>62</v>
      </c>
      <c r="E41">
        <f>Tabella1[[#This Row],[FSW.1]]+Tabella1[[#This Row],[SSW.1]]</f>
        <v>60</v>
      </c>
      <c r="F41">
        <f>Tabella1[[#This Row],[BPC.1]]</f>
        <v>5</v>
      </c>
      <c r="G41">
        <f>Tabella1[[#This Row],[BPW.1]]</f>
        <v>13</v>
      </c>
    </row>
    <row r="42" spans="1:7" x14ac:dyDescent="0.25">
      <c r="A42" t="str">
        <f>Tabella1[[#This Row],[Player1]]</f>
        <v>Martin Klizan</v>
      </c>
      <c r="B42">
        <f>Tabella1[[#This Row],[ACE.1]]</f>
        <v>9</v>
      </c>
      <c r="C42" t="str">
        <f>IF(Tabella1[[#This Row],[Result]]=0,"No","Si")</f>
        <v>Si</v>
      </c>
      <c r="D42">
        <f>Tabella1[[#This Row],[FSP.1]]</f>
        <v>54</v>
      </c>
      <c r="E42">
        <f>Tabella1[[#This Row],[FSW.1]]+Tabella1[[#This Row],[SSW.1]]</f>
        <v>46</v>
      </c>
      <c r="F42">
        <f>Tabella1[[#This Row],[BPC.1]]</f>
        <v>2</v>
      </c>
      <c r="G42">
        <f>Tabella1[[#This Row],[BPW.1]]</f>
        <v>5</v>
      </c>
    </row>
    <row r="43" spans="1:7" x14ac:dyDescent="0.25">
      <c r="A43" t="str">
        <f>Tabella1[[#This Row],[Player1]]</f>
        <v>Blaz Rola</v>
      </c>
      <c r="B43">
        <f>Tabella1[[#This Row],[ACE.1]]</f>
        <v>6</v>
      </c>
      <c r="C43" t="str">
        <f>IF(Tabella1[[#This Row],[Result]]=0,"No","Si")</f>
        <v>Si</v>
      </c>
      <c r="D43">
        <f>Tabella1[[#This Row],[FSP.1]]</f>
        <v>68</v>
      </c>
      <c r="E43">
        <f>Tabella1[[#This Row],[FSW.1]]+Tabella1[[#This Row],[SSW.1]]</f>
        <v>70</v>
      </c>
      <c r="F43">
        <f>Tabella1[[#This Row],[BPC.1]]</f>
        <v>4</v>
      </c>
      <c r="G43">
        <f>Tabella1[[#This Row],[BPW.1]]</f>
        <v>9</v>
      </c>
    </row>
    <row r="44" spans="1:7" x14ac:dyDescent="0.25">
      <c r="A44" t="str">
        <f>Tabella1[[#This Row],[Player1]]</f>
        <v>Michal Przysiezny</v>
      </c>
      <c r="B44">
        <f>Tabella1[[#This Row],[ACE.1]]</f>
        <v>15</v>
      </c>
      <c r="C44" t="str">
        <f>IF(Tabella1[[#This Row],[Result]]=0,"No","Si")</f>
        <v>Si</v>
      </c>
      <c r="D44">
        <f>Tabella1[[#This Row],[FSP.1]]</f>
        <v>69</v>
      </c>
      <c r="E44">
        <f>Tabella1[[#This Row],[FSW.1]]+Tabella1[[#This Row],[SSW.1]]</f>
        <v>65</v>
      </c>
      <c r="F44">
        <f>Tabella1[[#This Row],[BPC.1]]</f>
        <v>5</v>
      </c>
      <c r="G44">
        <f>Tabella1[[#This Row],[BPW.1]]</f>
        <v>8</v>
      </c>
    </row>
    <row r="45" spans="1:7" x14ac:dyDescent="0.25">
      <c r="A45" t="str">
        <f>Tabella1[[#This Row],[Player1]]</f>
        <v>Stephane Robert</v>
      </c>
      <c r="B45">
        <f>Tabella1[[#This Row],[ACE.1]]</f>
        <v>4</v>
      </c>
      <c r="C45" t="str">
        <f>IF(Tabella1[[#This Row],[Result]]=0,"No","Si")</f>
        <v>Si</v>
      </c>
      <c r="D45">
        <f>Tabella1[[#This Row],[FSP.1]]</f>
        <v>46</v>
      </c>
      <c r="E45">
        <f>Tabella1[[#This Row],[FSW.1]]+Tabella1[[#This Row],[SSW.1]]</f>
        <v>46</v>
      </c>
      <c r="F45">
        <f>Tabella1[[#This Row],[BPC.1]]</f>
        <v>9</v>
      </c>
      <c r="G45">
        <f>Tabella1[[#This Row],[BPW.1]]</f>
        <v>17</v>
      </c>
    </row>
    <row r="46" spans="1:7" x14ac:dyDescent="0.25">
      <c r="A46" t="str">
        <f>Tabella1[[#This Row],[Player1]]</f>
        <v>Somdev Devvarman</v>
      </c>
      <c r="B46">
        <f>Tabella1[[#This Row],[ACE.1]]</f>
        <v>6</v>
      </c>
      <c r="C46" t="str">
        <f>IF(Tabella1[[#This Row],[Result]]=0,"No","Si")</f>
        <v>No</v>
      </c>
      <c r="D46">
        <f>Tabella1[[#This Row],[FSP.1]]</f>
        <v>52</v>
      </c>
      <c r="E46">
        <f>Tabella1[[#This Row],[FSW.1]]+Tabella1[[#This Row],[SSW.1]]</f>
        <v>62</v>
      </c>
      <c r="F46">
        <f>Tabella1[[#This Row],[BPC.1]]</f>
        <v>2</v>
      </c>
      <c r="G46">
        <f>Tabella1[[#This Row],[BPW.1]]</f>
        <v>7</v>
      </c>
    </row>
    <row r="47" spans="1:7" x14ac:dyDescent="0.25">
      <c r="A47" t="str">
        <f>Tabella1[[#This Row],[Player1]]</f>
        <v>Michael Berrer</v>
      </c>
      <c r="B47">
        <f>Tabella1[[#This Row],[ACE.1]]</f>
        <v>9</v>
      </c>
      <c r="C47" t="str">
        <f>IF(Tabella1[[#This Row],[Result]]=0,"No","Si")</f>
        <v>Si</v>
      </c>
      <c r="D47">
        <f>Tabella1[[#This Row],[FSP.1]]</f>
        <v>63</v>
      </c>
      <c r="E47">
        <f>Tabella1[[#This Row],[FSW.1]]+Tabella1[[#This Row],[SSW.1]]</f>
        <v>58</v>
      </c>
      <c r="F47">
        <f>Tabella1[[#This Row],[BPC.1]]</f>
        <v>5</v>
      </c>
      <c r="G47">
        <f>Tabella1[[#This Row],[BPW.1]]</f>
        <v>12</v>
      </c>
    </row>
    <row r="48" spans="1:7" x14ac:dyDescent="0.25">
      <c r="A48" t="str">
        <f>Tabella1[[#This Row],[Player1]]</f>
        <v>Vincent Millot</v>
      </c>
      <c r="B48">
        <f>Tabella1[[#This Row],[ACE.1]]</f>
        <v>18</v>
      </c>
      <c r="C48" t="str">
        <f>IF(Tabella1[[#This Row],[Result]]=0,"No","Si")</f>
        <v>Si</v>
      </c>
      <c r="D48">
        <f>Tabella1[[#This Row],[FSP.1]]</f>
        <v>57</v>
      </c>
      <c r="E48">
        <f>Tabella1[[#This Row],[FSW.1]]+Tabella1[[#This Row],[SSW.1]]</f>
        <v>97</v>
      </c>
      <c r="F48">
        <f>Tabella1[[#This Row],[BPC.1]]</f>
        <v>11</v>
      </c>
      <c r="G48">
        <f>Tabella1[[#This Row],[BPW.1]]</f>
        <v>26</v>
      </c>
    </row>
    <row r="49" spans="1:7" x14ac:dyDescent="0.25">
      <c r="A49" t="str">
        <f>Tabella1[[#This Row],[Player1]]</f>
        <v>Andy Murray</v>
      </c>
      <c r="B49">
        <f>Tabella1[[#This Row],[ACE.1]]</f>
        <v>12</v>
      </c>
      <c r="C49" t="str">
        <f>IF(Tabella1[[#This Row],[Result]]=0,"No","Si")</f>
        <v>Si</v>
      </c>
      <c r="D49">
        <f>Tabella1[[#This Row],[FSP.1]]</f>
        <v>69</v>
      </c>
      <c r="E49">
        <f>Tabella1[[#This Row],[FSW.1]]+Tabella1[[#This Row],[SSW.1]]</f>
        <v>44</v>
      </c>
      <c r="F49">
        <f>Tabella1[[#This Row],[BPC.1]]</f>
        <v>7</v>
      </c>
      <c r="G49">
        <f>Tabella1[[#This Row],[BPW.1]]</f>
        <v>13</v>
      </c>
    </row>
    <row r="50" spans="1:7" x14ac:dyDescent="0.25">
      <c r="A50" t="str">
        <f>Tabella1[[#This Row],[Player1]]</f>
        <v>Rhyne Williams</v>
      </c>
      <c r="B50">
        <f>Tabella1[[#This Row],[ACE.1]]</f>
        <v>29</v>
      </c>
      <c r="C50" t="str">
        <f>IF(Tabella1[[#This Row],[Result]]=0,"No","Si")</f>
        <v>No</v>
      </c>
      <c r="D50">
        <f>Tabella1[[#This Row],[FSP.1]]</f>
        <v>57</v>
      </c>
      <c r="E50">
        <f>Tabella1[[#This Row],[FSW.1]]+Tabella1[[#This Row],[SSW.1]]</f>
        <v>77</v>
      </c>
      <c r="F50">
        <f>Tabella1[[#This Row],[BPC.1]]</f>
        <v>1</v>
      </c>
      <c r="G50">
        <f>Tabella1[[#This Row],[BPW.1]]</f>
        <v>2</v>
      </c>
    </row>
    <row r="51" spans="1:7" x14ac:dyDescent="0.25">
      <c r="A51" t="str">
        <f>Tabella1[[#This Row],[Player1]]</f>
        <v>Roberto Bautista Agut</v>
      </c>
      <c r="B51">
        <f>Tabella1[[#This Row],[ACE.1]]</f>
        <v>1</v>
      </c>
      <c r="C51" t="str">
        <f>IF(Tabella1[[#This Row],[Result]]=0,"No","Si")</f>
        <v>Si</v>
      </c>
      <c r="D51">
        <f>Tabella1[[#This Row],[FSP.1]]</f>
        <v>82</v>
      </c>
      <c r="E51">
        <f>Tabella1[[#This Row],[FSW.1]]+Tabella1[[#This Row],[SSW.1]]</f>
        <v>44</v>
      </c>
      <c r="F51">
        <f>Tabella1[[#This Row],[BPC.1]]</f>
        <v>8</v>
      </c>
      <c r="G51">
        <f>Tabella1[[#This Row],[BPW.1]]</f>
        <v>18</v>
      </c>
    </row>
    <row r="52" spans="1:7" x14ac:dyDescent="0.25">
      <c r="A52" t="str">
        <f>Tabella1[[#This Row],[Player1]]</f>
        <v>Nick Kyrgios</v>
      </c>
      <c r="B52">
        <f>Tabella1[[#This Row],[ACE.1]]</f>
        <v>34</v>
      </c>
      <c r="C52" t="str">
        <f>IF(Tabella1[[#This Row],[Result]]=0,"No","Si")</f>
        <v>Si</v>
      </c>
      <c r="D52">
        <f>Tabella1[[#This Row],[FSP.1]]</f>
        <v>54</v>
      </c>
      <c r="E52">
        <f>Tabella1[[#This Row],[FSW.1]]+Tabella1[[#This Row],[SSW.1]]</f>
        <v>85</v>
      </c>
      <c r="F52">
        <f>Tabella1[[#This Row],[BPC.1]]</f>
        <v>6</v>
      </c>
      <c r="G52">
        <f>Tabella1[[#This Row],[BPW.1]]</f>
        <v>8</v>
      </c>
    </row>
    <row r="53" spans="1:7" x14ac:dyDescent="0.25">
      <c r="A53" t="str">
        <f>Tabella1[[#This Row],[Player1]]</f>
        <v>Benoit Paire</v>
      </c>
      <c r="B53">
        <f>Tabella1[[#This Row],[ACE.1]]</f>
        <v>24</v>
      </c>
      <c r="C53" t="str">
        <f>IF(Tabella1[[#This Row],[Result]]=0,"No","Si")</f>
        <v>Si</v>
      </c>
      <c r="D53">
        <f>Tabella1[[#This Row],[FSP.1]]</f>
        <v>57</v>
      </c>
      <c r="E53">
        <f>Tabella1[[#This Row],[FSW.1]]+Tabella1[[#This Row],[SSW.1]]</f>
        <v>76</v>
      </c>
      <c r="F53">
        <f>Tabella1[[#This Row],[BPC.1]]</f>
        <v>3</v>
      </c>
      <c r="G53">
        <f>Tabella1[[#This Row],[BPW.1]]</f>
        <v>12</v>
      </c>
    </row>
    <row r="54" spans="1:7" x14ac:dyDescent="0.25">
      <c r="A54" t="str">
        <f>Tabella1[[#This Row],[Player1]]</f>
        <v>Bradley Klahn</v>
      </c>
      <c r="B54">
        <f>Tabella1[[#This Row],[ACE.1]]</f>
        <v>10</v>
      </c>
      <c r="C54" t="str">
        <f>IF(Tabella1[[#This Row],[Result]]=0,"No","Si")</f>
        <v>No</v>
      </c>
      <c r="D54">
        <f>Tabella1[[#This Row],[FSP.1]]</f>
        <v>58</v>
      </c>
      <c r="E54">
        <f>Tabella1[[#This Row],[FSW.1]]+Tabella1[[#This Row],[SSW.1]]</f>
        <v>82</v>
      </c>
      <c r="F54">
        <f>Tabella1[[#This Row],[BPC.1]]</f>
        <v>0</v>
      </c>
      <c r="G54">
        <f>Tabella1[[#This Row],[BPW.1]]</f>
        <v>0</v>
      </c>
    </row>
    <row r="55" spans="1:7" x14ac:dyDescent="0.25">
      <c r="A55" t="str">
        <f>Tabella1[[#This Row],[Player1]]</f>
        <v>Jimmy Wang</v>
      </c>
      <c r="B55">
        <f>Tabella1[[#This Row],[ACE.1]]</f>
        <v>1</v>
      </c>
      <c r="C55" t="str">
        <f>IF(Tabella1[[#This Row],[Result]]=0,"No","Si")</f>
        <v>No</v>
      </c>
      <c r="D55">
        <f>Tabella1[[#This Row],[FSP.1]]</f>
        <v>63</v>
      </c>
      <c r="E55">
        <f>Tabella1[[#This Row],[FSW.1]]+Tabella1[[#This Row],[SSW.1]]</f>
        <v>44</v>
      </c>
      <c r="F55">
        <f>Tabella1[[#This Row],[BPC.1]]</f>
        <v>3</v>
      </c>
      <c r="G55">
        <f>Tabella1[[#This Row],[BPW.1]]</f>
        <v>7</v>
      </c>
    </row>
    <row r="56" spans="1:7" x14ac:dyDescent="0.25">
      <c r="A56" t="str">
        <f>Tabella1[[#This Row],[Player1]]</f>
        <v>Peter Gojowczyk</v>
      </c>
      <c r="B56">
        <f>Tabella1[[#This Row],[ACE.1]]</f>
        <v>8</v>
      </c>
      <c r="C56" t="str">
        <f>IF(Tabella1[[#This Row],[Result]]=0,"No","Si")</f>
        <v>No</v>
      </c>
      <c r="D56">
        <f>Tabella1[[#This Row],[FSP.1]]</f>
        <v>55</v>
      </c>
      <c r="E56">
        <f>Tabella1[[#This Row],[FSW.1]]+Tabella1[[#This Row],[SSW.1]]</f>
        <v>66</v>
      </c>
      <c r="F56">
        <f>Tabella1[[#This Row],[BPC.1]]</f>
        <v>1</v>
      </c>
      <c r="G56">
        <f>Tabella1[[#This Row],[BPW.1]]</f>
        <v>6</v>
      </c>
    </row>
    <row r="57" spans="1:7" x14ac:dyDescent="0.25">
      <c r="A57" t="str">
        <f>Tabella1[[#This Row],[Player1]]</f>
        <v>Milos Raonic</v>
      </c>
      <c r="B57">
        <f>Tabella1[[#This Row],[ACE.1]]</f>
        <v>21</v>
      </c>
      <c r="C57" t="str">
        <f>IF(Tabella1[[#This Row],[Result]]=0,"No","Si")</f>
        <v>Si</v>
      </c>
      <c r="D57">
        <f>Tabella1[[#This Row],[FSP.1]]</f>
        <v>64</v>
      </c>
      <c r="E57">
        <f>Tabella1[[#This Row],[FSW.1]]+Tabella1[[#This Row],[SSW.1]]</f>
        <v>73</v>
      </c>
      <c r="F57">
        <f>Tabella1[[#This Row],[BPC.1]]</f>
        <v>7</v>
      </c>
      <c r="G57">
        <f>Tabella1[[#This Row],[BPW.1]]</f>
        <v>20</v>
      </c>
    </row>
    <row r="58" spans="1:7" x14ac:dyDescent="0.25">
      <c r="A58" t="str">
        <f>Tabella1[[#This Row],[Player1]]</f>
        <v>Marinko Matosevic</v>
      </c>
      <c r="B58">
        <f>Tabella1[[#This Row],[ACE.1]]</f>
        <v>14</v>
      </c>
      <c r="C58" t="str">
        <f>IF(Tabella1[[#This Row],[Result]]=0,"No","Si")</f>
        <v>No</v>
      </c>
      <c r="D58">
        <f>Tabella1[[#This Row],[FSP.1]]</f>
        <v>61</v>
      </c>
      <c r="E58">
        <f>Tabella1[[#This Row],[FSW.1]]+Tabella1[[#This Row],[SSW.1]]</f>
        <v>98</v>
      </c>
      <c r="F58">
        <f>Tabella1[[#This Row],[BPC.1]]</f>
        <v>3</v>
      </c>
      <c r="G58">
        <f>Tabella1[[#This Row],[BPW.1]]</f>
        <v>9</v>
      </c>
    </row>
    <row r="59" spans="1:7" x14ac:dyDescent="0.25">
      <c r="A59" t="str">
        <f>Tabella1[[#This Row],[Player1]]</f>
        <v>Dusan Lajovic</v>
      </c>
      <c r="B59">
        <f>Tabella1[[#This Row],[ACE.1]]</f>
        <v>7</v>
      </c>
      <c r="C59" t="str">
        <f>IF(Tabella1[[#This Row],[Result]]=0,"No","Si")</f>
        <v>Si</v>
      </c>
      <c r="D59">
        <f>Tabella1[[#This Row],[FSP.1]]</f>
        <v>61</v>
      </c>
      <c r="E59">
        <f>Tabella1[[#This Row],[FSW.1]]+Tabella1[[#This Row],[SSW.1]]</f>
        <v>83</v>
      </c>
      <c r="F59">
        <f>Tabella1[[#This Row],[BPC.1]]</f>
        <v>5</v>
      </c>
      <c r="G59">
        <f>Tabella1[[#This Row],[BPW.1]]</f>
        <v>10</v>
      </c>
    </row>
    <row r="60" spans="1:7" x14ac:dyDescent="0.25">
      <c r="A60" t="str">
        <f>Tabella1[[#This Row],[Player1]]</f>
        <v>Robin Haase</v>
      </c>
      <c r="B60">
        <f>Tabella1[[#This Row],[ACE.1]]</f>
        <v>11</v>
      </c>
      <c r="C60" t="str">
        <f>IF(Tabella1[[#This Row],[Result]]=0,"No","Si")</f>
        <v>No</v>
      </c>
      <c r="D60">
        <f>Tabella1[[#This Row],[FSP.1]]</f>
        <v>67</v>
      </c>
      <c r="E60">
        <f>Tabella1[[#This Row],[FSW.1]]+Tabella1[[#This Row],[SSW.1]]</f>
        <v>74</v>
      </c>
      <c r="F60">
        <f>Tabella1[[#This Row],[BPC.1]]</f>
        <v>1</v>
      </c>
      <c r="G60">
        <f>Tabella1[[#This Row],[BPW.1]]</f>
        <v>4</v>
      </c>
    </row>
    <row r="61" spans="1:7" x14ac:dyDescent="0.25">
      <c r="A61" t="str">
        <f>Tabella1[[#This Row],[Player1]]</f>
        <v>Andreas Seppi</v>
      </c>
      <c r="B61">
        <f>Tabella1[[#This Row],[ACE.1]]</f>
        <v>17</v>
      </c>
      <c r="C61" t="str">
        <f>IF(Tabella1[[#This Row],[Result]]=0,"No","Si")</f>
        <v>Si</v>
      </c>
      <c r="D61">
        <f>Tabella1[[#This Row],[FSP.1]]</f>
        <v>59</v>
      </c>
      <c r="E61">
        <f>Tabella1[[#This Row],[FSW.1]]+Tabella1[[#This Row],[SSW.1]]</f>
        <v>112</v>
      </c>
      <c r="F61">
        <f>Tabella1[[#This Row],[BPC.1]]</f>
        <v>7</v>
      </c>
      <c r="G61">
        <f>Tabella1[[#This Row],[BPW.1]]</f>
        <v>18</v>
      </c>
    </row>
    <row r="62" spans="1:7" x14ac:dyDescent="0.25">
      <c r="A62" t="str">
        <f>Tabella1[[#This Row],[Player1]]</f>
        <v>Ryan Harrison</v>
      </c>
      <c r="B62">
        <f>Tabella1[[#This Row],[ACE.1]]</f>
        <v>2</v>
      </c>
      <c r="C62" t="str">
        <f>IF(Tabella1[[#This Row],[Result]]=0,"No","Si")</f>
        <v>No</v>
      </c>
      <c r="D62">
        <f>Tabella1[[#This Row],[FSP.1]]</f>
        <v>62</v>
      </c>
      <c r="E62">
        <f>Tabella1[[#This Row],[FSW.1]]+Tabella1[[#This Row],[SSW.1]]</f>
        <v>59</v>
      </c>
      <c r="F62">
        <f>Tabella1[[#This Row],[BPC.1]]</f>
        <v>0</v>
      </c>
      <c r="G62">
        <f>Tabella1[[#This Row],[BPW.1]]</f>
        <v>0</v>
      </c>
    </row>
    <row r="63" spans="1:7" x14ac:dyDescent="0.25">
      <c r="A63" t="str">
        <f>Tabella1[[#This Row],[Player1]]</f>
        <v>Tobias Kamke</v>
      </c>
      <c r="B63">
        <f>Tabella1[[#This Row],[ACE.1]]</f>
        <v>6</v>
      </c>
      <c r="C63" t="str">
        <f>IF(Tabella1[[#This Row],[Result]]=0,"No","Si")</f>
        <v>No</v>
      </c>
      <c r="D63">
        <f>Tabella1[[#This Row],[FSP.1]]</f>
        <v>49</v>
      </c>
      <c r="E63">
        <f>Tabella1[[#This Row],[FSW.1]]+Tabella1[[#This Row],[SSW.1]]</f>
        <v>87</v>
      </c>
      <c r="F63">
        <f>Tabella1[[#This Row],[BPC.1]]</f>
        <v>2</v>
      </c>
      <c r="G63">
        <f>Tabella1[[#This Row],[BPW.1]]</f>
        <v>12</v>
      </c>
    </row>
    <row r="64" spans="1:7" x14ac:dyDescent="0.25">
      <c r="A64" t="str">
        <f>Tabella1[[#This Row],[Player1]]</f>
        <v>Thanasi Kokkinakis</v>
      </c>
      <c r="B64">
        <f>Tabella1[[#This Row],[ACE.1]]</f>
        <v>8</v>
      </c>
      <c r="C64" t="str">
        <f>IF(Tabella1[[#This Row],[Result]]=0,"No","Si")</f>
        <v>Si</v>
      </c>
      <c r="D64">
        <f>Tabella1[[#This Row],[FSP.1]]</f>
        <v>54</v>
      </c>
      <c r="E64">
        <f>Tabella1[[#This Row],[FSW.1]]+Tabella1[[#This Row],[SSW.1]]</f>
        <v>91</v>
      </c>
      <c r="F64">
        <f>Tabella1[[#This Row],[BPC.1]]</f>
        <v>3</v>
      </c>
      <c r="G64">
        <f>Tabella1[[#This Row],[BPW.1]]</f>
        <v>5</v>
      </c>
    </row>
    <row r="65" spans="1:7" x14ac:dyDescent="0.25">
      <c r="A65" t="str">
        <f>Tabella1[[#This Row],[Player1]]</f>
        <v>Rafael Nadal</v>
      </c>
      <c r="B65">
        <f>Tabella1[[#This Row],[ACE.1]]</f>
        <v>5</v>
      </c>
      <c r="C65" t="str">
        <f>IF(Tabella1[[#This Row],[Result]]=0,"No","Si")</f>
        <v>Si</v>
      </c>
      <c r="D65">
        <f>Tabella1[[#This Row],[FSP.1]]</f>
        <v>62</v>
      </c>
      <c r="E65">
        <f>Tabella1[[#This Row],[FSW.1]]+Tabella1[[#This Row],[SSW.1]]</f>
        <v>20</v>
      </c>
      <c r="F65">
        <f>Tabella1[[#This Row],[BPC.1]]</f>
        <v>1</v>
      </c>
      <c r="G65">
        <f>Tabella1[[#This Row],[BPW.1]]</f>
        <v>1</v>
      </c>
    </row>
    <row r="66" spans="1:7" x14ac:dyDescent="0.25">
      <c r="A66" t="str">
        <f>Tabella1[[#This Row],[Player1]]</f>
        <v>Leonardo Mayer</v>
      </c>
      <c r="B66">
        <f>Tabella1[[#This Row],[ACE.1]]</f>
        <v>3</v>
      </c>
      <c r="C66" t="str">
        <f>IF(Tabella1[[#This Row],[Result]]=0,"No","Si")</f>
        <v>No</v>
      </c>
      <c r="D66">
        <f>Tabella1[[#This Row],[FSP.1]]</f>
        <v>52</v>
      </c>
      <c r="E66">
        <f>Tabella1[[#This Row],[FSW.1]]+Tabella1[[#This Row],[SSW.1]]</f>
        <v>45</v>
      </c>
      <c r="F66">
        <f>Tabella1[[#This Row],[BPC.1]]</f>
        <v>0</v>
      </c>
      <c r="G66">
        <f>Tabella1[[#This Row],[BPW.1]]</f>
        <v>0</v>
      </c>
    </row>
    <row r="67" spans="1:7" x14ac:dyDescent="0.25">
      <c r="A67" t="str">
        <f>Tabella1[[#This Row],[Player1]]</f>
        <v>Dmitry Tursunov</v>
      </c>
      <c r="B67">
        <f>Tabella1[[#This Row],[ACE.1]]</f>
        <v>5</v>
      </c>
      <c r="C67" t="str">
        <f>IF(Tabella1[[#This Row],[Result]]=0,"No","Si")</f>
        <v>No</v>
      </c>
      <c r="D67">
        <f>Tabella1[[#This Row],[FSP.1]]</f>
        <v>53</v>
      </c>
      <c r="E67">
        <f>Tabella1[[#This Row],[FSW.1]]+Tabella1[[#This Row],[SSW.1]]</f>
        <v>71</v>
      </c>
      <c r="F67">
        <f>Tabella1[[#This Row],[BPC.1]]</f>
        <v>3</v>
      </c>
      <c r="G67">
        <f>Tabella1[[#This Row],[BPW.1]]</f>
        <v>10</v>
      </c>
    </row>
    <row r="68" spans="1:7" x14ac:dyDescent="0.25">
      <c r="A68" t="str">
        <f>Tabella1[[#This Row],[Player1]]</f>
        <v>Sam Querrey</v>
      </c>
      <c r="B68">
        <f>Tabella1[[#This Row],[ACE.1]]</f>
        <v>19</v>
      </c>
      <c r="C68" t="str">
        <f>IF(Tabella1[[#This Row],[Result]]=0,"No","Si")</f>
        <v>Si</v>
      </c>
      <c r="D68">
        <f>Tabella1[[#This Row],[FSP.1]]</f>
        <v>72</v>
      </c>
      <c r="E68">
        <f>Tabella1[[#This Row],[FSW.1]]+Tabella1[[#This Row],[SSW.1]]</f>
        <v>56</v>
      </c>
      <c r="F68">
        <f>Tabella1[[#This Row],[BPC.1]]</f>
        <v>5</v>
      </c>
      <c r="G68">
        <f>Tabella1[[#This Row],[BPW.1]]</f>
        <v>9</v>
      </c>
    </row>
    <row r="69" spans="1:7" x14ac:dyDescent="0.25">
      <c r="A69" t="str">
        <f>Tabella1[[#This Row],[Player1]]</f>
        <v>Fabio Fognini</v>
      </c>
      <c r="B69">
        <f>Tabella1[[#This Row],[ACE.1]]</f>
        <v>9</v>
      </c>
      <c r="C69" t="str">
        <f>IF(Tabella1[[#This Row],[Result]]=0,"No","Si")</f>
        <v>Si</v>
      </c>
      <c r="D69">
        <f>Tabella1[[#This Row],[FSP.1]]</f>
        <v>58</v>
      </c>
      <c r="E69">
        <f>Tabella1[[#This Row],[FSW.1]]+Tabella1[[#This Row],[SSW.1]]</f>
        <v>92</v>
      </c>
      <c r="F69">
        <f>Tabella1[[#This Row],[BPC.1]]</f>
        <v>5</v>
      </c>
      <c r="G69">
        <f>Tabella1[[#This Row],[BPW.1]]</f>
        <v>15</v>
      </c>
    </row>
    <row r="70" spans="1:7" x14ac:dyDescent="0.25">
      <c r="A70" t="str">
        <f>Tabella1[[#This Row],[Player1]]</f>
        <v>Nikolay Davydenko</v>
      </c>
      <c r="B70">
        <f>Tabella1[[#This Row],[ACE.1]]</f>
        <v>6</v>
      </c>
      <c r="C70" t="str">
        <f>IF(Tabella1[[#This Row],[Result]]=0,"No","Si")</f>
        <v>No</v>
      </c>
      <c r="D70">
        <f>Tabella1[[#This Row],[FSP.1]]</f>
        <v>77</v>
      </c>
      <c r="E70">
        <f>Tabella1[[#This Row],[FSW.1]]+Tabella1[[#This Row],[SSW.1]]</f>
        <v>59</v>
      </c>
      <c r="F70">
        <f>Tabella1[[#This Row],[BPC.1]]</f>
        <v>4</v>
      </c>
      <c r="G70">
        <f>Tabella1[[#This Row],[BPW.1]]</f>
        <v>5</v>
      </c>
    </row>
    <row r="71" spans="1:7" x14ac:dyDescent="0.25">
      <c r="A71" t="str">
        <f>Tabella1[[#This Row],[Player1]]</f>
        <v>Tommy Robredo</v>
      </c>
      <c r="B71">
        <f>Tabella1[[#This Row],[ACE.1]]</f>
        <v>17</v>
      </c>
      <c r="C71" t="str">
        <f>IF(Tabella1[[#This Row],[Result]]=0,"No","Si")</f>
        <v>Si</v>
      </c>
      <c r="D71">
        <f>Tabella1[[#This Row],[FSP.1]]</f>
        <v>58</v>
      </c>
      <c r="E71">
        <f>Tabella1[[#This Row],[FSW.1]]+Tabella1[[#This Row],[SSW.1]]</f>
        <v>99</v>
      </c>
      <c r="F71">
        <f>Tabella1[[#This Row],[BPC.1]]</f>
        <v>4</v>
      </c>
      <c r="G71">
        <f>Tabella1[[#This Row],[BPW.1]]</f>
        <v>13</v>
      </c>
    </row>
    <row r="72" spans="1:7" x14ac:dyDescent="0.25">
      <c r="A72" t="str">
        <f>Tabella1[[#This Row],[Player1]]</f>
        <v>Matthew Ebden</v>
      </c>
      <c r="B72">
        <f>Tabella1[[#This Row],[ACE.1]]</f>
        <v>8</v>
      </c>
      <c r="C72" t="str">
        <f>IF(Tabella1[[#This Row],[Result]]=0,"No","Si")</f>
        <v>No</v>
      </c>
      <c r="D72">
        <f>Tabella1[[#This Row],[FSP.1]]</f>
        <v>68</v>
      </c>
      <c r="E72">
        <f>Tabella1[[#This Row],[FSW.1]]+Tabella1[[#This Row],[SSW.1]]</f>
        <v>83</v>
      </c>
      <c r="F72">
        <f>Tabella1[[#This Row],[BPC.1]]</f>
        <v>3</v>
      </c>
      <c r="G72">
        <f>Tabella1[[#This Row],[BPW.1]]</f>
        <v>11</v>
      </c>
    </row>
    <row r="73" spans="1:7" x14ac:dyDescent="0.25">
      <c r="A73" t="str">
        <f>Tabella1[[#This Row],[Player1]]</f>
        <v>Stanislas Wawrinka</v>
      </c>
      <c r="B73">
        <f>Tabella1[[#This Row],[ACE.1]]</f>
        <v>9</v>
      </c>
      <c r="C73" t="str">
        <f>IF(Tabella1[[#This Row],[Result]]=0,"No","Si")</f>
        <v>Si</v>
      </c>
      <c r="D73">
        <f>Tabella1[[#This Row],[FSP.1]]</f>
        <v>56</v>
      </c>
      <c r="E73">
        <f>Tabella1[[#This Row],[FSW.1]]+Tabella1[[#This Row],[SSW.1]]</f>
        <v>88</v>
      </c>
      <c r="F73">
        <f>Tabella1[[#This Row],[BPC.1]]</f>
        <v>6</v>
      </c>
      <c r="G73">
        <f>Tabella1[[#This Row],[BPW.1]]</f>
        <v>17</v>
      </c>
    </row>
    <row r="74" spans="1:7" x14ac:dyDescent="0.25">
      <c r="A74" t="str">
        <f>Tabella1[[#This Row],[Player1]]</f>
        <v>Adrian Mannarino</v>
      </c>
      <c r="B74">
        <f>Tabella1[[#This Row],[ACE.1]]</f>
        <v>5</v>
      </c>
      <c r="C74" t="str">
        <f>IF(Tabella1[[#This Row],[Result]]=0,"No","Si")</f>
        <v>No</v>
      </c>
      <c r="D74">
        <f>Tabella1[[#This Row],[FSP.1]]</f>
        <v>55</v>
      </c>
      <c r="E74">
        <f>Tabella1[[#This Row],[FSW.1]]+Tabella1[[#This Row],[SSW.1]]</f>
        <v>69</v>
      </c>
      <c r="F74">
        <f>Tabella1[[#This Row],[BPC.1]]</f>
        <v>5</v>
      </c>
      <c r="G74">
        <f>Tabella1[[#This Row],[BPW.1]]</f>
        <v>10</v>
      </c>
    </row>
    <row r="75" spans="1:7" x14ac:dyDescent="0.25">
      <c r="A75" t="str">
        <f>Tabella1[[#This Row],[Player1]]</f>
        <v>Jeremy Chardy</v>
      </c>
      <c r="B75">
        <f>Tabella1[[#This Row],[ACE.1]]</f>
        <v>22</v>
      </c>
      <c r="C75" t="str">
        <f>IF(Tabella1[[#This Row],[Result]]=0,"No","Si")</f>
        <v>Si</v>
      </c>
      <c r="D75">
        <f>Tabella1[[#This Row],[FSP.1]]</f>
        <v>60</v>
      </c>
      <c r="E75">
        <f>Tabella1[[#This Row],[FSW.1]]+Tabella1[[#This Row],[SSW.1]]</f>
        <v>104</v>
      </c>
      <c r="F75">
        <f>Tabella1[[#This Row],[BPC.1]]</f>
        <v>5</v>
      </c>
      <c r="G75">
        <f>Tabella1[[#This Row],[BPW.1]]</f>
        <v>14</v>
      </c>
    </row>
    <row r="76" spans="1:7" x14ac:dyDescent="0.25">
      <c r="A76" t="str">
        <f>Tabella1[[#This Row],[Player1]]</f>
        <v>Pablo Andujar</v>
      </c>
      <c r="B76">
        <f>Tabella1[[#This Row],[ACE.1]]</f>
        <v>11</v>
      </c>
      <c r="C76" t="str">
        <f>IF(Tabella1[[#This Row],[Result]]=0,"No","Si")</f>
        <v>No</v>
      </c>
      <c r="D76">
        <f>Tabella1[[#This Row],[FSP.1]]</f>
        <v>79</v>
      </c>
      <c r="E76">
        <f>Tabella1[[#This Row],[FSW.1]]+Tabella1[[#This Row],[SSW.1]]</f>
        <v>91</v>
      </c>
      <c r="F76">
        <f>Tabella1[[#This Row],[BPC.1]]</f>
        <v>3</v>
      </c>
      <c r="G76">
        <f>Tabella1[[#This Row],[BPW.1]]</f>
        <v>11</v>
      </c>
    </row>
    <row r="77" spans="1:7" x14ac:dyDescent="0.25">
      <c r="A77" t="str">
        <f>Tabella1[[#This Row],[Player1]]</f>
        <v>Mikhail Youzhny</v>
      </c>
      <c r="B77">
        <f>Tabella1[[#This Row],[ACE.1]]</f>
        <v>14</v>
      </c>
      <c r="C77" t="str">
        <f>IF(Tabella1[[#This Row],[Result]]=0,"No","Si")</f>
        <v>No</v>
      </c>
      <c r="D77">
        <f>Tabella1[[#This Row],[FSP.1]]</f>
        <v>55</v>
      </c>
      <c r="E77">
        <f>Tabella1[[#This Row],[FSW.1]]+Tabella1[[#This Row],[SSW.1]]</f>
        <v>91</v>
      </c>
      <c r="F77">
        <f>Tabella1[[#This Row],[BPC.1]]</f>
        <v>3</v>
      </c>
      <c r="G77">
        <f>Tabella1[[#This Row],[BPW.1]]</f>
        <v>7</v>
      </c>
    </row>
    <row r="78" spans="1:7" x14ac:dyDescent="0.25">
      <c r="A78" t="str">
        <f>Tabella1[[#This Row],[Player1]]</f>
        <v>Edouard Roger-Vasselin</v>
      </c>
      <c r="B78">
        <f>Tabella1[[#This Row],[ACE.1]]</f>
        <v>11</v>
      </c>
      <c r="C78" t="str">
        <f>IF(Tabella1[[#This Row],[Result]]=0,"No","Si")</f>
        <v>Si</v>
      </c>
      <c r="D78">
        <f>Tabella1[[#This Row],[FSP.1]]</f>
        <v>57</v>
      </c>
      <c r="E78">
        <f>Tabella1[[#This Row],[FSW.1]]+Tabella1[[#This Row],[SSW.1]]</f>
        <v>77</v>
      </c>
      <c r="F78">
        <f>Tabella1[[#This Row],[BPC.1]]</f>
        <v>7</v>
      </c>
      <c r="G78">
        <f>Tabella1[[#This Row],[BPW.1]]</f>
        <v>17</v>
      </c>
    </row>
    <row r="79" spans="1:7" x14ac:dyDescent="0.25">
      <c r="A79" t="str">
        <f>Tabella1[[#This Row],[Player1]]</f>
        <v>Kevin Anderson</v>
      </c>
      <c r="B79">
        <f>Tabella1[[#This Row],[ACE.1]]</f>
        <v>15</v>
      </c>
      <c r="C79" t="str">
        <f>IF(Tabella1[[#This Row],[Result]]=0,"No","Si")</f>
        <v>Si</v>
      </c>
      <c r="D79">
        <f>Tabella1[[#This Row],[FSP.1]]</f>
        <v>65</v>
      </c>
      <c r="E79">
        <f>Tabella1[[#This Row],[FSW.1]]+Tabella1[[#This Row],[SSW.1]]</f>
        <v>61</v>
      </c>
      <c r="F79">
        <f>Tabella1[[#This Row],[BPC.1]]</f>
        <v>3</v>
      </c>
      <c r="G79">
        <f>Tabella1[[#This Row],[BPW.1]]</f>
        <v>5</v>
      </c>
    </row>
    <row r="80" spans="1:7" x14ac:dyDescent="0.25">
      <c r="A80" t="str">
        <f>Tabella1[[#This Row],[Player1]]</f>
        <v>Damir Dzumhur</v>
      </c>
      <c r="B80">
        <f>Tabella1[[#This Row],[ACE.1]]</f>
        <v>7</v>
      </c>
      <c r="C80" t="str">
        <f>IF(Tabella1[[#This Row],[Result]]=0,"No","Si")</f>
        <v>No</v>
      </c>
      <c r="D80">
        <f>Tabella1[[#This Row],[FSP.1]]</f>
        <v>51</v>
      </c>
      <c r="E80">
        <f>Tabella1[[#This Row],[FSW.1]]+Tabella1[[#This Row],[SSW.1]]</f>
        <v>62</v>
      </c>
      <c r="F80">
        <f>Tabella1[[#This Row],[BPC.1]]</f>
        <v>3</v>
      </c>
      <c r="G80">
        <f>Tabella1[[#This Row],[BPW.1]]</f>
        <v>5</v>
      </c>
    </row>
    <row r="81" spans="1:7" x14ac:dyDescent="0.25">
      <c r="A81" t="str">
        <f>Tabella1[[#This Row],[Player1]]</f>
        <v>Tomas Berdych</v>
      </c>
      <c r="B81">
        <f>Tabella1[[#This Row],[ACE.1]]</f>
        <v>5</v>
      </c>
      <c r="C81" t="str">
        <f>IF(Tabella1[[#This Row],[Result]]=0,"No","Si")</f>
        <v>Si</v>
      </c>
      <c r="D81">
        <f>Tabella1[[#This Row],[FSP.1]]</f>
        <v>64</v>
      </c>
      <c r="E81">
        <f>Tabella1[[#This Row],[FSW.1]]+Tabella1[[#This Row],[SSW.1]]</f>
        <v>52</v>
      </c>
      <c r="F81">
        <f>Tabella1[[#This Row],[BPC.1]]</f>
        <v>5</v>
      </c>
      <c r="G81">
        <f>Tabella1[[#This Row],[BPW.1]]</f>
        <v>8</v>
      </c>
    </row>
    <row r="82" spans="1:7" x14ac:dyDescent="0.25">
      <c r="A82" t="str">
        <f>Tabella1[[#This Row],[Player1]]</f>
        <v>Blaz Kavcic</v>
      </c>
      <c r="B82">
        <f>Tabella1[[#This Row],[ACE.1]]</f>
        <v>6</v>
      </c>
      <c r="C82" t="str">
        <f>IF(Tabella1[[#This Row],[Result]]=0,"No","Si")</f>
        <v>No</v>
      </c>
      <c r="D82">
        <f>Tabella1[[#This Row],[FSP.1]]</f>
        <v>62</v>
      </c>
      <c r="E82">
        <f>Tabella1[[#This Row],[FSW.1]]+Tabella1[[#This Row],[SSW.1]]</f>
        <v>50</v>
      </c>
      <c r="F82">
        <f>Tabella1[[#This Row],[BPC.1]]</f>
        <v>1</v>
      </c>
      <c r="G82">
        <f>Tabella1[[#This Row],[BPW.1]]</f>
        <v>2</v>
      </c>
    </row>
    <row r="83" spans="1:7" x14ac:dyDescent="0.25">
      <c r="A83" t="str">
        <f>Tabella1[[#This Row],[Player1]]</f>
        <v>Fernando Verdasco</v>
      </c>
      <c r="B83">
        <f>Tabella1[[#This Row],[ACE.1]]</f>
        <v>12</v>
      </c>
      <c r="C83" t="str">
        <f>IF(Tabella1[[#This Row],[Result]]=0,"No","Si")</f>
        <v>No</v>
      </c>
      <c r="D83">
        <f>Tabella1[[#This Row],[FSP.1]]</f>
        <v>60</v>
      </c>
      <c r="E83">
        <f>Tabella1[[#This Row],[FSW.1]]+Tabella1[[#This Row],[SSW.1]]</f>
        <v>101</v>
      </c>
      <c r="F83">
        <f>Tabella1[[#This Row],[BPC.1]]</f>
        <v>6</v>
      </c>
      <c r="G83">
        <f>Tabella1[[#This Row],[BPW.1]]</f>
        <v>10</v>
      </c>
    </row>
    <row r="84" spans="1:7" x14ac:dyDescent="0.25">
      <c r="A84" t="str">
        <f>Tabella1[[#This Row],[Player1]]</f>
        <v>Marin Cilic</v>
      </c>
      <c r="B84">
        <f>Tabella1[[#This Row],[ACE.1]]</f>
        <v>15</v>
      </c>
      <c r="C84" t="str">
        <f>IF(Tabella1[[#This Row],[Result]]=0,"No","Si")</f>
        <v>No</v>
      </c>
      <c r="D84">
        <f>Tabella1[[#This Row],[FSP.1]]</f>
        <v>50</v>
      </c>
      <c r="E84">
        <f>Tabella1[[#This Row],[FSW.1]]+Tabella1[[#This Row],[SSW.1]]</f>
        <v>82</v>
      </c>
      <c r="F84">
        <f>Tabella1[[#This Row],[BPC.1]]</f>
        <v>7</v>
      </c>
      <c r="G84">
        <f>Tabella1[[#This Row],[BPW.1]]</f>
        <v>15</v>
      </c>
    </row>
    <row r="85" spans="1:7" x14ac:dyDescent="0.25">
      <c r="A85" t="str">
        <f>Tabella1[[#This Row],[Player1]]</f>
        <v>Jo-Wilfried Tsonga</v>
      </c>
      <c r="B85">
        <f>Tabella1[[#This Row],[ACE.1]]</f>
        <v>14</v>
      </c>
      <c r="C85" t="str">
        <f>IF(Tabella1[[#This Row],[Result]]=0,"No","Si")</f>
        <v>Si</v>
      </c>
      <c r="D85">
        <f>Tabella1[[#This Row],[FSP.1]]</f>
        <v>64</v>
      </c>
      <c r="E85">
        <f>Tabella1[[#This Row],[FSW.1]]+Tabella1[[#This Row],[SSW.1]]</f>
        <v>69</v>
      </c>
      <c r="F85">
        <f>Tabella1[[#This Row],[BPC.1]]</f>
        <v>3</v>
      </c>
      <c r="G85">
        <f>Tabella1[[#This Row],[BPW.1]]</f>
        <v>9</v>
      </c>
    </row>
    <row r="86" spans="1:7" x14ac:dyDescent="0.25">
      <c r="A86" t="str">
        <f>Tabella1[[#This Row],[Player1]]</f>
        <v>Blaz Rola</v>
      </c>
      <c r="B86">
        <f>Tabella1[[#This Row],[ACE.1]]</f>
        <v>12</v>
      </c>
      <c r="C86" t="str">
        <f>IF(Tabella1[[#This Row],[Result]]=0,"No","Si")</f>
        <v>No</v>
      </c>
      <c r="D86">
        <f>Tabella1[[#This Row],[FSP.1]]</f>
        <v>63</v>
      </c>
      <c r="E86">
        <f>Tabella1[[#This Row],[FSW.1]]+Tabella1[[#This Row],[SSW.1]]</f>
        <v>90</v>
      </c>
      <c r="F86">
        <f>Tabella1[[#This Row],[BPC.1]]</f>
        <v>3</v>
      </c>
      <c r="G86">
        <f>Tabella1[[#This Row],[BPW.1]]</f>
        <v>4</v>
      </c>
    </row>
    <row r="87" spans="1:7" x14ac:dyDescent="0.25">
      <c r="A87" t="str">
        <f>Tabella1[[#This Row],[Player1]]</f>
        <v>Stephane Robert</v>
      </c>
      <c r="B87">
        <f>Tabella1[[#This Row],[ACE.1]]</f>
        <v>13</v>
      </c>
      <c r="C87" t="str">
        <f>IF(Tabella1[[#This Row],[Result]]=0,"No","Si")</f>
        <v>Si</v>
      </c>
      <c r="D87">
        <f>Tabella1[[#This Row],[FSP.1]]</f>
        <v>58</v>
      </c>
      <c r="E87">
        <f>Tabella1[[#This Row],[FSW.1]]+Tabella1[[#This Row],[SSW.1]]</f>
        <v>86</v>
      </c>
      <c r="F87">
        <f>Tabella1[[#This Row],[BPC.1]]</f>
        <v>6</v>
      </c>
      <c r="G87">
        <f>Tabella1[[#This Row],[BPW.1]]</f>
        <v>17</v>
      </c>
    </row>
    <row r="88" spans="1:7" x14ac:dyDescent="0.25">
      <c r="A88" t="str">
        <f>Tabella1[[#This Row],[Player1]]</f>
        <v>Michael Berrer</v>
      </c>
      <c r="B88">
        <f>Tabella1[[#This Row],[ACE.1]]</f>
        <v>6</v>
      </c>
      <c r="C88" t="str">
        <f>IF(Tabella1[[#This Row],[Result]]=0,"No","Si")</f>
        <v>No</v>
      </c>
      <c r="D88">
        <f>Tabella1[[#This Row],[FSP.1]]</f>
        <v>68</v>
      </c>
      <c r="E88">
        <f>Tabella1[[#This Row],[FSW.1]]+Tabella1[[#This Row],[SSW.1]]</f>
        <v>64</v>
      </c>
      <c r="F88">
        <f>Tabella1[[#This Row],[BPC.1]]</f>
        <v>2</v>
      </c>
      <c r="G88">
        <f>Tabella1[[#This Row],[BPW.1]]</f>
        <v>4</v>
      </c>
    </row>
    <row r="89" spans="1:7" x14ac:dyDescent="0.25">
      <c r="A89" t="str">
        <f>Tabella1[[#This Row],[Player1]]</f>
        <v>Andy Murray</v>
      </c>
      <c r="B89">
        <f>Tabella1[[#This Row],[ACE.1]]</f>
        <v>5</v>
      </c>
      <c r="C89" t="str">
        <f>IF(Tabella1[[#This Row],[Result]]=0,"No","Si")</f>
        <v>Si</v>
      </c>
      <c r="D89">
        <f>Tabella1[[#This Row],[FSP.1]]</f>
        <v>59</v>
      </c>
      <c r="E89">
        <f>Tabella1[[#This Row],[FSW.1]]+Tabella1[[#This Row],[SSW.1]]</f>
        <v>52</v>
      </c>
      <c r="F89">
        <f>Tabella1[[#This Row],[BPC.1]]</f>
        <v>8</v>
      </c>
      <c r="G89">
        <f>Tabella1[[#This Row],[BPW.1]]</f>
        <v>17</v>
      </c>
    </row>
    <row r="90" spans="1:7" x14ac:dyDescent="0.25">
      <c r="A90" t="str">
        <f>Tabella1[[#This Row],[Player1]]</f>
        <v>Roberto Bautista Agut</v>
      </c>
      <c r="B90">
        <f>Tabella1[[#This Row],[ACE.1]]</f>
        <v>12</v>
      </c>
      <c r="C90" t="str">
        <f>IF(Tabella1[[#This Row],[Result]]=0,"No","Si")</f>
        <v>Si</v>
      </c>
      <c r="D90">
        <f>Tabella1[[#This Row],[FSP.1]]</f>
        <v>69</v>
      </c>
      <c r="E90">
        <f>Tabella1[[#This Row],[FSW.1]]+Tabella1[[#This Row],[SSW.1]]</f>
        <v>111</v>
      </c>
      <c r="F90">
        <f>Tabella1[[#This Row],[BPC.1]]</f>
        <v>5</v>
      </c>
      <c r="G90">
        <f>Tabella1[[#This Row],[BPW.1]]</f>
        <v>8</v>
      </c>
    </row>
    <row r="91" spans="1:7" x14ac:dyDescent="0.25">
      <c r="A91" t="str">
        <f>Tabella1[[#This Row],[Player1]]</f>
        <v>Benoit Paire</v>
      </c>
      <c r="B91">
        <f>Tabella1[[#This Row],[ACE.1]]</f>
        <v>32</v>
      </c>
      <c r="C91" t="str">
        <f>IF(Tabella1[[#This Row],[Result]]=0,"No","Si")</f>
        <v>Si</v>
      </c>
      <c r="D91">
        <f>Tabella1[[#This Row],[FSP.1]]</f>
        <v>50</v>
      </c>
      <c r="E91">
        <f>Tabella1[[#This Row],[FSW.1]]+Tabella1[[#This Row],[SSW.1]]</f>
        <v>115</v>
      </c>
      <c r="F91">
        <f>Tabella1[[#This Row],[BPC.1]]</f>
        <v>7</v>
      </c>
      <c r="G91">
        <f>Tabella1[[#This Row],[BPW.1]]</f>
        <v>24</v>
      </c>
    </row>
    <row r="92" spans="1:7" x14ac:dyDescent="0.25">
      <c r="A92" t="str">
        <f>Tabella1[[#This Row],[Player1]]</f>
        <v>Yen-Hsun Lu</v>
      </c>
      <c r="B92">
        <f>Tabella1[[#This Row],[ACE.1]]</f>
        <v>2</v>
      </c>
      <c r="C92" t="str">
        <f>IF(Tabella1[[#This Row],[Result]]=0,"No","Si")</f>
        <v>No</v>
      </c>
      <c r="D92">
        <f>Tabella1[[#This Row],[FSP.1]]</f>
        <v>70</v>
      </c>
      <c r="E92">
        <f>Tabella1[[#This Row],[FSW.1]]+Tabella1[[#This Row],[SSW.1]]</f>
        <v>66</v>
      </c>
      <c r="F92">
        <f>Tabella1[[#This Row],[BPC.1]]</f>
        <v>2</v>
      </c>
      <c r="G92">
        <f>Tabella1[[#This Row],[BPW.1]]</f>
        <v>4</v>
      </c>
    </row>
    <row r="93" spans="1:7" x14ac:dyDescent="0.25">
      <c r="A93" t="str">
        <f>Tabella1[[#This Row],[Player1]]</f>
        <v>Milos Raonic</v>
      </c>
      <c r="B93">
        <f>Tabella1[[#This Row],[ACE.1]]</f>
        <v>27</v>
      </c>
      <c r="C93" t="str">
        <f>IF(Tabella1[[#This Row],[Result]]=0,"No","Si")</f>
        <v>Si</v>
      </c>
      <c r="D93">
        <f>Tabella1[[#This Row],[FSP.1]]</f>
        <v>64</v>
      </c>
      <c r="E93">
        <f>Tabella1[[#This Row],[FSW.1]]+Tabella1[[#This Row],[SSW.1]]</f>
        <v>80</v>
      </c>
      <c r="F93">
        <f>Tabella1[[#This Row],[BPC.1]]</f>
        <v>2</v>
      </c>
      <c r="G93">
        <f>Tabella1[[#This Row],[BPW.1]]</f>
        <v>6</v>
      </c>
    </row>
    <row r="94" spans="1:7" x14ac:dyDescent="0.25">
      <c r="A94" t="str">
        <f>Tabella1[[#This Row],[Player1]]</f>
        <v>Dusan Lajovic</v>
      </c>
      <c r="B94">
        <f>Tabella1[[#This Row],[ACE.1]]</f>
        <v>7</v>
      </c>
      <c r="C94" t="str">
        <f>IF(Tabella1[[#This Row],[Result]]=0,"No","Si")</f>
        <v>No</v>
      </c>
      <c r="D94">
        <f>Tabella1[[#This Row],[FSP.1]]</f>
        <v>70</v>
      </c>
      <c r="E94">
        <f>Tabella1[[#This Row],[FSW.1]]+Tabella1[[#This Row],[SSW.1]]</f>
        <v>45</v>
      </c>
      <c r="F94">
        <f>Tabella1[[#This Row],[BPC.1]]</f>
        <v>1</v>
      </c>
      <c r="G94">
        <f>Tabella1[[#This Row],[BPW.1]]</f>
        <v>5</v>
      </c>
    </row>
    <row r="95" spans="1:7" x14ac:dyDescent="0.25">
      <c r="A95" t="str">
        <f>Tabella1[[#This Row],[Player1]]</f>
        <v>Andreas Seppi</v>
      </c>
      <c r="B95">
        <f>Tabella1[[#This Row],[ACE.1]]</f>
        <v>12</v>
      </c>
      <c r="C95" t="str">
        <f>IF(Tabella1[[#This Row],[Result]]=0,"No","Si")</f>
        <v>No</v>
      </c>
      <c r="D95">
        <f>Tabella1[[#This Row],[FSP.1]]</f>
        <v>57</v>
      </c>
      <c r="E95">
        <f>Tabella1[[#This Row],[FSW.1]]+Tabella1[[#This Row],[SSW.1]]</f>
        <v>90</v>
      </c>
      <c r="F95">
        <f>Tabella1[[#This Row],[BPC.1]]</f>
        <v>6</v>
      </c>
      <c r="G95">
        <f>Tabella1[[#This Row],[BPW.1]]</f>
        <v>18</v>
      </c>
    </row>
    <row r="96" spans="1:7" x14ac:dyDescent="0.25">
      <c r="A96" t="str">
        <f>Tabella1[[#This Row],[Player1]]</f>
        <v>Jack Sock</v>
      </c>
      <c r="B96">
        <f>Tabella1[[#This Row],[ACE.1]]</f>
        <v>5</v>
      </c>
      <c r="C96" t="str">
        <f>IF(Tabella1[[#This Row],[Result]]=0,"No","Si")</f>
        <v>No</v>
      </c>
      <c r="D96">
        <f>Tabella1[[#This Row],[FSP.1]]</f>
        <v>58</v>
      </c>
      <c r="E96">
        <f>Tabella1[[#This Row],[FSW.1]]+Tabella1[[#This Row],[SSW.1]]</f>
        <v>71</v>
      </c>
      <c r="F96">
        <f>Tabella1[[#This Row],[BPC.1]]</f>
        <v>1</v>
      </c>
      <c r="G96">
        <f>Tabella1[[#This Row],[BPW.1]]</f>
        <v>1</v>
      </c>
    </row>
    <row r="97" spans="1:7" x14ac:dyDescent="0.25">
      <c r="A97" t="str">
        <f>Tabella1[[#This Row],[Player1]]</f>
        <v>Rafael Nadal</v>
      </c>
      <c r="B97">
        <f>Tabella1[[#This Row],[ACE.1]]</f>
        <v>7</v>
      </c>
      <c r="C97" t="str">
        <f>IF(Tabella1[[#This Row],[Result]]=0,"No","Si")</f>
        <v>Si</v>
      </c>
      <c r="D97">
        <f>Tabella1[[#This Row],[FSP.1]]</f>
        <v>74</v>
      </c>
      <c r="E97">
        <f>Tabella1[[#This Row],[FSW.1]]+Tabella1[[#This Row],[SSW.1]]</f>
        <v>56</v>
      </c>
      <c r="F97">
        <f>Tabella1[[#This Row],[BPC.1]]</f>
        <v>5</v>
      </c>
      <c r="G97">
        <f>Tabella1[[#This Row],[BPW.1]]</f>
        <v>10</v>
      </c>
    </row>
    <row r="98" spans="1:7" x14ac:dyDescent="0.25">
      <c r="A98" t="str">
        <f>Tabella1[[#This Row],[Player1]]</f>
        <v>Denis Istomin</v>
      </c>
      <c r="B98">
        <f>Tabella1[[#This Row],[ACE.1]]</f>
        <v>5</v>
      </c>
      <c r="C98" t="str">
        <f>IF(Tabella1[[#This Row],[Result]]=0,"No","Si")</f>
        <v>No</v>
      </c>
      <c r="D98">
        <f>Tabella1[[#This Row],[FSP.1]]</f>
        <v>65</v>
      </c>
      <c r="E98">
        <f>Tabella1[[#This Row],[FSW.1]]+Tabella1[[#This Row],[SSW.1]]</f>
        <v>51</v>
      </c>
      <c r="F98">
        <f>Tabella1[[#This Row],[BPC.1]]</f>
        <v>1</v>
      </c>
      <c r="G98">
        <f>Tabella1[[#This Row],[BPW.1]]</f>
        <v>1</v>
      </c>
    </row>
    <row r="99" spans="1:7" x14ac:dyDescent="0.25">
      <c r="A99" t="str">
        <f>Tabella1[[#This Row],[Player1]]</f>
        <v>Fabio Fognini</v>
      </c>
      <c r="B99">
        <f>Tabella1[[#This Row],[ACE.1]]</f>
        <v>9</v>
      </c>
      <c r="C99" t="str">
        <f>IF(Tabella1[[#This Row],[Result]]=0,"No","Si")</f>
        <v>Si</v>
      </c>
      <c r="D99">
        <f>Tabella1[[#This Row],[FSP.1]]</f>
        <v>60</v>
      </c>
      <c r="E99">
        <f>Tabella1[[#This Row],[FSW.1]]+Tabella1[[#This Row],[SSW.1]]</f>
        <v>67</v>
      </c>
      <c r="F99">
        <f>Tabella1[[#This Row],[BPC.1]]</f>
        <v>4</v>
      </c>
      <c r="G99">
        <f>Tabella1[[#This Row],[BPW.1]]</f>
        <v>10</v>
      </c>
    </row>
    <row r="100" spans="1:7" x14ac:dyDescent="0.25">
      <c r="A100" t="str">
        <f>Tabella1[[#This Row],[Player1]]</f>
        <v>Tommy Robredo</v>
      </c>
      <c r="B100">
        <f>Tabella1[[#This Row],[ACE.1]]</f>
        <v>16</v>
      </c>
      <c r="C100" t="str">
        <f>IF(Tabella1[[#This Row],[Result]]=0,"No","Si")</f>
        <v>Si</v>
      </c>
      <c r="D100">
        <f>Tabella1[[#This Row],[FSP.1]]</f>
        <v>65</v>
      </c>
      <c r="E100">
        <f>Tabella1[[#This Row],[FSW.1]]+Tabella1[[#This Row],[SSW.1]]</f>
        <v>91</v>
      </c>
      <c r="F100">
        <f>Tabella1[[#This Row],[BPC.1]]</f>
        <v>3</v>
      </c>
      <c r="G100">
        <f>Tabella1[[#This Row],[BPW.1]]</f>
        <v>7</v>
      </c>
    </row>
    <row r="101" spans="1:7" x14ac:dyDescent="0.25">
      <c r="A101" t="str">
        <f>Tabella1[[#This Row],[Player1]]</f>
        <v>Jeremy Chardy</v>
      </c>
      <c r="B101">
        <f>Tabella1[[#This Row],[ACE.1]]</f>
        <v>8</v>
      </c>
      <c r="C101" t="str">
        <f>IF(Tabella1[[#This Row],[Result]]=0,"No","Si")</f>
        <v>No</v>
      </c>
      <c r="D101">
        <f>Tabella1[[#This Row],[FSP.1]]</f>
        <v>58</v>
      </c>
      <c r="E101">
        <f>Tabella1[[#This Row],[FSW.1]]+Tabella1[[#This Row],[SSW.1]]</f>
        <v>61</v>
      </c>
      <c r="F101">
        <f>Tabella1[[#This Row],[BPC.1]]</f>
        <v>1</v>
      </c>
      <c r="G101">
        <f>Tabella1[[#This Row],[BPW.1]]</f>
        <v>3</v>
      </c>
    </row>
    <row r="102" spans="1:7" x14ac:dyDescent="0.25">
      <c r="A102" t="str">
        <f>Tabella1[[#This Row],[Player1]]</f>
        <v>Florian Mayer</v>
      </c>
      <c r="B102">
        <f>Tabella1[[#This Row],[ACE.1]]</f>
        <v>17</v>
      </c>
      <c r="C102" t="str">
        <f>IF(Tabella1[[#This Row],[Result]]=0,"No","Si")</f>
        <v>Si</v>
      </c>
      <c r="D102">
        <f>Tabella1[[#This Row],[FSP.1]]</f>
        <v>68</v>
      </c>
      <c r="E102">
        <f>Tabella1[[#This Row],[FSW.1]]+Tabella1[[#This Row],[SSW.1]]</f>
        <v>57</v>
      </c>
      <c r="F102">
        <f>Tabella1[[#This Row],[BPC.1]]</f>
        <v>5</v>
      </c>
      <c r="G102">
        <f>Tabella1[[#This Row],[BPW.1]]</f>
        <v>11</v>
      </c>
    </row>
    <row r="103" spans="1:7" x14ac:dyDescent="0.25">
      <c r="A103" t="str">
        <f>Tabella1[[#This Row],[Player1]]</f>
        <v>Kevin Anderson</v>
      </c>
      <c r="B103">
        <f>Tabella1[[#This Row],[ACE.1]]</f>
        <v>27</v>
      </c>
      <c r="C103" t="str">
        <f>IF(Tabella1[[#This Row],[Result]]=0,"No","Si")</f>
        <v>Si</v>
      </c>
      <c r="D103">
        <f>Tabella1[[#This Row],[FSP.1]]</f>
        <v>67</v>
      </c>
      <c r="E103">
        <f>Tabella1[[#This Row],[FSW.1]]+Tabella1[[#This Row],[SSW.1]]</f>
        <v>103</v>
      </c>
      <c r="F103">
        <f>Tabella1[[#This Row],[BPC.1]]</f>
        <v>3</v>
      </c>
      <c r="G103">
        <f>Tabella1[[#This Row],[BPW.1]]</f>
        <v>12</v>
      </c>
    </row>
    <row r="104" spans="1:7" x14ac:dyDescent="0.25">
      <c r="A104" t="str">
        <f>Tabella1[[#This Row],[Player1]]</f>
        <v>Tomas Berdych</v>
      </c>
      <c r="B104">
        <f>Tabella1[[#This Row],[ACE.1]]</f>
        <v>13</v>
      </c>
      <c r="C104" t="str">
        <f>IF(Tabella1[[#This Row],[Result]]=0,"No","Si")</f>
        <v>Si</v>
      </c>
      <c r="D104">
        <f>Tabella1[[#This Row],[FSP.1]]</f>
        <v>57</v>
      </c>
      <c r="E104">
        <f>Tabella1[[#This Row],[FSW.1]]+Tabella1[[#This Row],[SSW.1]]</f>
        <v>56</v>
      </c>
      <c r="F104">
        <f>Tabella1[[#This Row],[BPC.1]]</f>
        <v>5</v>
      </c>
      <c r="G104">
        <f>Tabella1[[#This Row],[BPW.1]]</f>
        <v>9</v>
      </c>
    </row>
    <row r="105" spans="1:7" x14ac:dyDescent="0.25">
      <c r="A105" t="str">
        <f>Tabella1[[#This Row],[Player1]]</f>
        <v>Teymuraz Gabashvili</v>
      </c>
      <c r="B105">
        <f>Tabella1[[#This Row],[ACE.1]]</f>
        <v>3</v>
      </c>
      <c r="C105" t="str">
        <f>IF(Tabella1[[#This Row],[Result]]=0,"No","Si")</f>
        <v>No</v>
      </c>
      <c r="D105">
        <f>Tabella1[[#This Row],[FSP.1]]</f>
        <v>69</v>
      </c>
      <c r="E105">
        <f>Tabella1[[#This Row],[FSW.1]]+Tabella1[[#This Row],[SSW.1]]</f>
        <v>48</v>
      </c>
      <c r="F105">
        <f>Tabella1[[#This Row],[BPC.1]]</f>
        <v>0</v>
      </c>
      <c r="G105">
        <f>Tabella1[[#This Row],[BPW.1]]</f>
        <v>5</v>
      </c>
    </row>
    <row r="106" spans="1:7" x14ac:dyDescent="0.25">
      <c r="A106" t="str">
        <f>Tabella1[[#This Row],[Player1]]</f>
        <v>Jo-Wilfried Tsonga</v>
      </c>
      <c r="B106">
        <f>Tabella1[[#This Row],[ACE.1]]</f>
        <v>17</v>
      </c>
      <c r="C106" t="str">
        <f>IF(Tabella1[[#This Row],[Result]]=0,"No","Si")</f>
        <v>Si</v>
      </c>
      <c r="D106">
        <f>Tabella1[[#This Row],[FSP.1]]</f>
        <v>66</v>
      </c>
      <c r="E106">
        <f>Tabella1[[#This Row],[FSW.1]]+Tabella1[[#This Row],[SSW.1]]</f>
        <v>69</v>
      </c>
      <c r="F106">
        <f>Tabella1[[#This Row],[BPC.1]]</f>
        <v>3</v>
      </c>
      <c r="G106">
        <f>Tabella1[[#This Row],[BPW.1]]</f>
        <v>6</v>
      </c>
    </row>
    <row r="107" spans="1:7" x14ac:dyDescent="0.25">
      <c r="A107" t="str">
        <f>Tabella1[[#This Row],[Player1]]</f>
        <v>Stephane Robert</v>
      </c>
      <c r="B107">
        <f>Tabella1[[#This Row],[ACE.1]]</f>
        <v>7</v>
      </c>
      <c r="C107" t="str">
        <f>IF(Tabella1[[#This Row],[Result]]=0,"No","Si")</f>
        <v>Si</v>
      </c>
      <c r="D107">
        <f>Tabella1[[#This Row],[FSP.1]]</f>
        <v>72</v>
      </c>
      <c r="E107">
        <f>Tabella1[[#This Row],[FSW.1]]+Tabella1[[#This Row],[SSW.1]]</f>
        <v>65</v>
      </c>
      <c r="F107">
        <f>Tabella1[[#This Row],[BPC.1]]</f>
        <v>4</v>
      </c>
      <c r="G107">
        <f>Tabella1[[#This Row],[BPW.1]]</f>
        <v>10</v>
      </c>
    </row>
    <row r="108" spans="1:7" x14ac:dyDescent="0.25">
      <c r="A108" t="str">
        <f>Tabella1[[#This Row],[Player1]]</f>
        <v>Andy Murray</v>
      </c>
      <c r="B108">
        <f>Tabella1[[#This Row],[ACE.1]]</f>
        <v>6</v>
      </c>
      <c r="C108" t="str">
        <f>IF(Tabella1[[#This Row],[Result]]=0,"No","Si")</f>
        <v>Si</v>
      </c>
      <c r="D108">
        <f>Tabella1[[#This Row],[FSP.1]]</f>
        <v>64</v>
      </c>
      <c r="E108">
        <f>Tabella1[[#This Row],[FSW.1]]+Tabella1[[#This Row],[SSW.1]]</f>
        <v>66</v>
      </c>
      <c r="F108">
        <f>Tabella1[[#This Row],[BPC.1]]</f>
        <v>4</v>
      </c>
      <c r="G108">
        <f>Tabella1[[#This Row],[BPW.1]]</f>
        <v>11</v>
      </c>
    </row>
    <row r="109" spans="1:7" x14ac:dyDescent="0.25">
      <c r="A109" t="str">
        <f>Tabella1[[#This Row],[Player1]]</f>
        <v>Benoit Paire</v>
      </c>
      <c r="B109">
        <f>Tabella1[[#This Row],[ACE.1]]</f>
        <v>13</v>
      </c>
      <c r="C109" t="str">
        <f>IF(Tabella1[[#This Row],[Result]]=0,"No","Si")</f>
        <v>No</v>
      </c>
      <c r="D109">
        <f>Tabella1[[#This Row],[FSP.1]]</f>
        <v>58</v>
      </c>
      <c r="E109">
        <f>Tabella1[[#This Row],[FSW.1]]+Tabella1[[#This Row],[SSW.1]]</f>
        <v>40</v>
      </c>
      <c r="F109">
        <f>Tabella1[[#This Row],[BPC.1]]</f>
        <v>2</v>
      </c>
      <c r="G109">
        <f>Tabella1[[#This Row],[BPW.1]]</f>
        <v>7</v>
      </c>
    </row>
    <row r="110" spans="1:7" x14ac:dyDescent="0.25">
      <c r="A110" t="str">
        <f>Tabella1[[#This Row],[Player1]]</f>
        <v>Milos Raonic</v>
      </c>
      <c r="B110">
        <f>Tabella1[[#This Row],[ACE.1]]</f>
        <v>21</v>
      </c>
      <c r="C110" t="str">
        <f>IF(Tabella1[[#This Row],[Result]]=0,"No","Si")</f>
        <v>No</v>
      </c>
      <c r="D110">
        <f>Tabella1[[#This Row],[FSP.1]]</f>
        <v>59</v>
      </c>
      <c r="E110">
        <f>Tabella1[[#This Row],[FSW.1]]+Tabella1[[#This Row],[SSW.1]]</f>
        <v>85</v>
      </c>
      <c r="F110">
        <f>Tabella1[[#This Row],[BPC.1]]</f>
        <v>1</v>
      </c>
      <c r="G110">
        <f>Tabella1[[#This Row],[BPW.1]]</f>
        <v>3</v>
      </c>
    </row>
    <row r="111" spans="1:7" x14ac:dyDescent="0.25">
      <c r="A111" t="str">
        <f>Tabella1[[#This Row],[Player1]]</f>
        <v>Donald Young</v>
      </c>
      <c r="B111">
        <f>Tabella1[[#This Row],[ACE.1]]</f>
        <v>1</v>
      </c>
      <c r="C111" t="str">
        <f>IF(Tabella1[[#This Row],[Result]]=0,"No","Si")</f>
        <v>No</v>
      </c>
      <c r="D111">
        <f>Tabella1[[#This Row],[FSP.1]]</f>
        <v>64</v>
      </c>
      <c r="E111">
        <f>Tabella1[[#This Row],[FSW.1]]+Tabella1[[#This Row],[SSW.1]]</f>
        <v>30</v>
      </c>
      <c r="F111">
        <f>Tabella1[[#This Row],[BPC.1]]</f>
        <v>1</v>
      </c>
      <c r="G111">
        <f>Tabella1[[#This Row],[BPW.1]]</f>
        <v>4</v>
      </c>
    </row>
    <row r="112" spans="1:7" x14ac:dyDescent="0.25">
      <c r="A112" t="str">
        <f>Tabella1[[#This Row],[Player1]]</f>
        <v>Rafael Nadal</v>
      </c>
      <c r="B112">
        <f>Tabella1[[#This Row],[ACE.1]]</f>
        <v>2</v>
      </c>
      <c r="C112" t="str">
        <f>IF(Tabella1[[#This Row],[Result]]=0,"No","Si")</f>
        <v>Si</v>
      </c>
      <c r="D112">
        <f>Tabella1[[#This Row],[FSP.1]]</f>
        <v>67</v>
      </c>
      <c r="E112">
        <f>Tabella1[[#This Row],[FSW.1]]+Tabella1[[#This Row],[SSW.1]]</f>
        <v>58</v>
      </c>
      <c r="F112">
        <f>Tabella1[[#This Row],[BPC.1]]</f>
        <v>6</v>
      </c>
      <c r="G112">
        <f>Tabella1[[#This Row],[BPW.1]]</f>
        <v>12</v>
      </c>
    </row>
    <row r="113" spans="1:7" x14ac:dyDescent="0.25">
      <c r="A113" t="str">
        <f>Tabella1[[#This Row],[Player1]]</f>
        <v>Fabio Fognini</v>
      </c>
      <c r="B113">
        <f>Tabella1[[#This Row],[ACE.1]]</f>
        <v>3</v>
      </c>
      <c r="C113" t="str">
        <f>IF(Tabella1[[#This Row],[Result]]=0,"No","Si")</f>
        <v>No</v>
      </c>
      <c r="D113">
        <f>Tabella1[[#This Row],[FSP.1]]</f>
        <v>59</v>
      </c>
      <c r="E113">
        <f>Tabella1[[#This Row],[FSW.1]]+Tabella1[[#This Row],[SSW.1]]</f>
        <v>45</v>
      </c>
      <c r="F113">
        <f>Tabella1[[#This Row],[BPC.1]]</f>
        <v>0</v>
      </c>
      <c r="G113">
        <f>Tabella1[[#This Row],[BPW.1]]</f>
        <v>0</v>
      </c>
    </row>
    <row r="114" spans="1:7" x14ac:dyDescent="0.25">
      <c r="A114" t="str">
        <f>Tabella1[[#This Row],[Player1]]</f>
        <v>Stanislas Wawrinka</v>
      </c>
      <c r="B114">
        <f>Tabella1[[#This Row],[ACE.1]]</f>
        <v>14</v>
      </c>
      <c r="C114" t="str">
        <f>IF(Tabella1[[#This Row],[Result]]=0,"No","Si")</f>
        <v>Si</v>
      </c>
      <c r="D114">
        <f>Tabella1[[#This Row],[FSP.1]]</f>
        <v>56</v>
      </c>
      <c r="E114">
        <f>Tabella1[[#This Row],[FSW.1]]+Tabella1[[#This Row],[SSW.1]]</f>
        <v>78</v>
      </c>
      <c r="F114">
        <f>Tabella1[[#This Row],[BPC.1]]</f>
        <v>2</v>
      </c>
      <c r="G114">
        <f>Tabella1[[#This Row],[BPW.1]]</f>
        <v>5</v>
      </c>
    </row>
    <row r="115" spans="1:7" x14ac:dyDescent="0.25">
      <c r="A115" t="str">
        <f>Tabella1[[#This Row],[Player1]]</f>
        <v>Florian Mayer</v>
      </c>
      <c r="B115">
        <f>Tabella1[[#This Row],[ACE.1]]</f>
        <v>4</v>
      </c>
      <c r="C115" t="str">
        <f>IF(Tabella1[[#This Row],[Result]]=0,"No","Si")</f>
        <v>No</v>
      </c>
      <c r="D115">
        <f>Tabella1[[#This Row],[FSP.1]]</f>
        <v>61</v>
      </c>
      <c r="E115">
        <f>Tabella1[[#This Row],[FSW.1]]+Tabella1[[#This Row],[SSW.1]]</f>
        <v>79</v>
      </c>
      <c r="F115">
        <f>Tabella1[[#This Row],[BPC.1]]</f>
        <v>3</v>
      </c>
      <c r="G115">
        <f>Tabella1[[#This Row],[BPW.1]]</f>
        <v>11</v>
      </c>
    </row>
    <row r="116" spans="1:7" x14ac:dyDescent="0.25">
      <c r="A116" t="str">
        <f>Tabella1[[#This Row],[Player1]]</f>
        <v>Tomas Berdych</v>
      </c>
      <c r="B116">
        <f>Tabella1[[#This Row],[ACE.1]]</f>
        <v>4</v>
      </c>
      <c r="C116" t="str">
        <f>IF(Tabella1[[#This Row],[Result]]=0,"No","Si")</f>
        <v>Si</v>
      </c>
      <c r="D116">
        <f>Tabella1[[#This Row],[FSP.1]]</f>
        <v>52</v>
      </c>
      <c r="E116">
        <f>Tabella1[[#This Row],[FSW.1]]+Tabella1[[#This Row],[SSW.1]]</f>
        <v>54</v>
      </c>
      <c r="F116">
        <f>Tabella1[[#This Row],[BPC.1]]</f>
        <v>5</v>
      </c>
      <c r="G116">
        <f>Tabella1[[#This Row],[BPW.1]]</f>
        <v>17</v>
      </c>
    </row>
    <row r="117" spans="1:7" x14ac:dyDescent="0.25">
      <c r="A117" t="str">
        <f>Tabella1[[#This Row],[Player1]]</f>
        <v>Jo-Wilfried Tsonga</v>
      </c>
      <c r="B117">
        <f>Tabella1[[#This Row],[ACE.1]]</f>
        <v>8</v>
      </c>
      <c r="C117" t="str">
        <f>IF(Tabella1[[#This Row],[Result]]=0,"No","Si")</f>
        <v>No</v>
      </c>
      <c r="D117">
        <f>Tabella1[[#This Row],[FSP.1]]</f>
        <v>52</v>
      </c>
      <c r="E117">
        <f>Tabella1[[#This Row],[FSW.1]]+Tabella1[[#This Row],[SSW.1]]</f>
        <v>55</v>
      </c>
      <c r="F117">
        <f>Tabella1[[#This Row],[BPC.1]]</f>
        <v>0</v>
      </c>
      <c r="G117">
        <f>Tabella1[[#This Row],[BPW.1]]</f>
        <v>1</v>
      </c>
    </row>
    <row r="118" spans="1:7" x14ac:dyDescent="0.25">
      <c r="A118" t="str">
        <f>Tabella1[[#This Row],[Player1]]</f>
        <v>Andy Murray</v>
      </c>
      <c r="B118">
        <f>Tabella1[[#This Row],[ACE.1]]</f>
        <v>8</v>
      </c>
      <c r="C118" t="str">
        <f>IF(Tabella1[[#This Row],[Result]]=0,"No","Si")</f>
        <v>Si</v>
      </c>
      <c r="D118">
        <f>Tabella1[[#This Row],[FSP.1]]</f>
        <v>62</v>
      </c>
      <c r="E118">
        <f>Tabella1[[#This Row],[FSW.1]]+Tabella1[[#This Row],[SSW.1]]</f>
        <v>84</v>
      </c>
      <c r="F118">
        <f>Tabella1[[#This Row],[BPC.1]]</f>
        <v>7</v>
      </c>
      <c r="G118">
        <f>Tabella1[[#This Row],[BPW.1]]</f>
        <v>14</v>
      </c>
    </row>
    <row r="119" spans="1:7" x14ac:dyDescent="0.25">
      <c r="A119" t="str">
        <f>Tabella1[[#This Row],[Player1]]</f>
        <v>Grigor Dimitrov</v>
      </c>
      <c r="B119">
        <f>Tabella1[[#This Row],[ACE.1]]</f>
        <v>11</v>
      </c>
      <c r="C119" t="str">
        <f>IF(Tabella1[[#This Row],[Result]]=0,"No","Si")</f>
        <v>Si</v>
      </c>
      <c r="D119">
        <f>Tabella1[[#This Row],[FSP.1]]</f>
        <v>60</v>
      </c>
      <c r="E119">
        <f>Tabella1[[#This Row],[FSW.1]]+Tabella1[[#This Row],[SSW.1]]</f>
        <v>78</v>
      </c>
      <c r="F119">
        <f>Tabella1[[#This Row],[BPC.1]]</f>
        <v>4</v>
      </c>
      <c r="G119">
        <f>Tabella1[[#This Row],[BPW.1]]</f>
        <v>5</v>
      </c>
    </row>
    <row r="120" spans="1:7" x14ac:dyDescent="0.25">
      <c r="A120" t="str">
        <f>Tabella1[[#This Row],[Player1]]</f>
        <v>Rafael Nadal</v>
      </c>
      <c r="B120">
        <f>Tabella1[[#This Row],[ACE.1]]</f>
        <v>12</v>
      </c>
      <c r="C120" t="str">
        <f>IF(Tabella1[[#This Row],[Result]]=0,"No","Si")</f>
        <v>Si</v>
      </c>
      <c r="D120">
        <f>Tabella1[[#This Row],[FSP.1]]</f>
        <v>71</v>
      </c>
      <c r="E120">
        <f>Tabella1[[#This Row],[FSW.1]]+Tabella1[[#This Row],[SSW.1]]</f>
        <v>81</v>
      </c>
      <c r="F120">
        <f>Tabella1[[#This Row],[BPC.1]]</f>
        <v>5</v>
      </c>
      <c r="G120">
        <f>Tabella1[[#This Row],[BPW.1]]</f>
        <v>8</v>
      </c>
    </row>
    <row r="121" spans="1:7" x14ac:dyDescent="0.25">
      <c r="A121" t="str">
        <f>Tabella1[[#This Row],[Player1]]</f>
        <v>Stanislas Wawrinka</v>
      </c>
      <c r="B121">
        <f>Tabella1[[#This Row],[ACE.1]]</f>
        <v>17</v>
      </c>
      <c r="C121" t="str">
        <f>IF(Tabella1[[#This Row],[Result]]=0,"No","Si")</f>
        <v>Si</v>
      </c>
      <c r="D121">
        <f>Tabella1[[#This Row],[FSP.1]]</f>
        <v>58</v>
      </c>
      <c r="E121">
        <f>Tabella1[[#This Row],[FSW.1]]+Tabella1[[#This Row],[SSW.1]]</f>
        <v>107</v>
      </c>
      <c r="F121">
        <f>Tabella1[[#This Row],[BPC.1]]</f>
        <v>5</v>
      </c>
      <c r="G121">
        <f>Tabella1[[#This Row],[BPW.1]]</f>
        <v>10</v>
      </c>
    </row>
    <row r="122" spans="1:7" x14ac:dyDescent="0.25">
      <c r="A122" t="str">
        <f>Tabella1[[#This Row],[Player1]]</f>
        <v>Tomas Berdych</v>
      </c>
      <c r="B122">
        <f>Tabella1[[#This Row],[ACE.1]]</f>
        <v>10</v>
      </c>
      <c r="C122" t="str">
        <f>IF(Tabella1[[#This Row],[Result]]=0,"No","Si")</f>
        <v>Si</v>
      </c>
      <c r="D122">
        <f>Tabella1[[#This Row],[FSP.1]]</f>
        <v>52</v>
      </c>
      <c r="E122">
        <f>Tabella1[[#This Row],[FSW.1]]+Tabella1[[#This Row],[SSW.1]]</f>
        <v>79</v>
      </c>
      <c r="F122">
        <f>Tabella1[[#This Row],[BPC.1]]</f>
        <v>5</v>
      </c>
      <c r="G122">
        <f>Tabella1[[#This Row],[BPW.1]]</f>
        <v>13</v>
      </c>
    </row>
    <row r="123" spans="1:7" x14ac:dyDescent="0.25">
      <c r="A123" t="str">
        <f>Tabella1[[#This Row],[Player1]]</f>
        <v>Andy Murray</v>
      </c>
      <c r="B123">
        <f>Tabella1[[#This Row],[ACE.1]]</f>
        <v>9</v>
      </c>
      <c r="C123" t="str">
        <f>IF(Tabella1[[#This Row],[Result]]=0,"No","Si")</f>
        <v>No</v>
      </c>
      <c r="D123">
        <f>Tabella1[[#This Row],[FSP.1]]</f>
        <v>61</v>
      </c>
      <c r="E123">
        <f>Tabella1[[#This Row],[FSW.1]]+Tabella1[[#This Row],[SSW.1]]</f>
        <v>88</v>
      </c>
      <c r="F123">
        <f>Tabella1[[#This Row],[BPC.1]]</f>
        <v>1</v>
      </c>
      <c r="G123">
        <f>Tabella1[[#This Row],[BPW.1]]</f>
        <v>2</v>
      </c>
    </row>
    <row r="124" spans="1:7" x14ac:dyDescent="0.25">
      <c r="A124" t="str">
        <f>Tabella1[[#This Row],[Player1]]</f>
        <v>Rafael Nadal</v>
      </c>
      <c r="B124">
        <f>Tabella1[[#This Row],[ACE.1]]</f>
        <v>3</v>
      </c>
      <c r="C124" t="str">
        <f>IF(Tabella1[[#This Row],[Result]]=0,"No","Si")</f>
        <v>Si</v>
      </c>
      <c r="D124">
        <f>Tabella1[[#This Row],[FSP.1]]</f>
        <v>73</v>
      </c>
      <c r="E124">
        <f>Tabella1[[#This Row],[FSW.1]]+Tabella1[[#This Row],[SSW.1]]</f>
        <v>88</v>
      </c>
      <c r="F124">
        <f>Tabella1[[#This Row],[BPC.1]]</f>
        <v>4</v>
      </c>
      <c r="G124">
        <f>Tabella1[[#This Row],[BPW.1]]</f>
        <v>11</v>
      </c>
    </row>
    <row r="125" spans="1:7" x14ac:dyDescent="0.25">
      <c r="A125" t="str">
        <f>Tabella1[[#This Row],[Player1]]</f>
        <v>Tomas Berdych</v>
      </c>
      <c r="B125">
        <f>Tabella1[[#This Row],[ACE.1]]</f>
        <v>21</v>
      </c>
      <c r="C125" t="str">
        <f>IF(Tabella1[[#This Row],[Result]]=0,"No","Si")</f>
        <v>No</v>
      </c>
      <c r="D125">
        <f>Tabella1[[#This Row],[FSP.1]]</f>
        <v>62</v>
      </c>
      <c r="E125">
        <f>Tabella1[[#This Row],[FSW.1]]+Tabella1[[#This Row],[SSW.1]]</f>
        <v>101</v>
      </c>
      <c r="F125">
        <f>Tabella1[[#This Row],[BPC.1]]</f>
        <v>0</v>
      </c>
      <c r="G125">
        <f>Tabella1[[#This Row],[BPW.1]]</f>
        <v>1</v>
      </c>
    </row>
    <row r="126" spans="1:7" x14ac:dyDescent="0.25">
      <c r="A126" t="str">
        <f>Tabella1[[#This Row],[Player1]]</f>
        <v>Rafael Nadal</v>
      </c>
      <c r="B126">
        <f>Tabella1[[#This Row],[ACE.1]]</f>
        <v>3</v>
      </c>
      <c r="C126" t="str">
        <f>IF(Tabella1[[#This Row],[Result]]=0,"No","Si")</f>
        <v>Si</v>
      </c>
      <c r="D126">
        <f>Tabella1[[#This Row],[FSP.1]]</f>
        <v>65</v>
      </c>
      <c r="E126">
        <f>Tabella1[[#This Row],[FSW.1]]+Tabella1[[#This Row],[SSW.1]]</f>
        <v>63</v>
      </c>
      <c r="F126">
        <f>Tabella1[[#This Row],[BPC.1]]</f>
        <v>4</v>
      </c>
      <c r="G126">
        <f>Tabella1[[#This Row],[BPW.1]]</f>
        <v>14</v>
      </c>
    </row>
    <row r="127" spans="1:7" x14ac:dyDescent="0.25">
      <c r="A127" t="str">
        <f>Tabella1[[#This Row],[Player1]]</f>
        <v>Rafael Nadal</v>
      </c>
      <c r="B127">
        <f>Tabella1[[#This Row],[ACE.1]]</f>
        <v>1</v>
      </c>
      <c r="C127" t="str">
        <f>IF(Tabella1[[#This Row],[Result]]=0,"No","Si")</f>
        <v>No</v>
      </c>
      <c r="D127">
        <f>Tabella1[[#This Row],[FSP.1]]</f>
        <v>78</v>
      </c>
      <c r="E127">
        <f>Tabella1[[#This Row],[FSW.1]]+Tabella1[[#This Row],[SSW.1]]</f>
        <v>60</v>
      </c>
      <c r="F127">
        <f>Tabella1[[#This Row],[BPC.1]]</f>
        <v>2</v>
      </c>
      <c r="G127">
        <f>Tabella1[[#This Row],[BPW.1]]</f>
        <v>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7"/>
  <sheetViews>
    <sheetView workbookViewId="0">
      <selection activeCell="M25" sqref="M25"/>
    </sheetView>
  </sheetViews>
  <sheetFormatPr defaultRowHeight="15" x14ac:dyDescent="0.25"/>
  <cols>
    <col min="1" max="1" width="22.42578125" bestFit="1" customWidth="1"/>
    <col min="2" max="2" width="7.28515625" customWidth="1"/>
    <col min="3" max="3" width="9.85546875" customWidth="1"/>
    <col min="4" max="4" width="12.85546875" bestFit="1" customWidth="1"/>
    <col min="6" max="6" width="18.42578125" bestFit="1" customWidth="1"/>
    <col min="7" max="7" width="17.42578125" bestFit="1" customWidth="1"/>
  </cols>
  <sheetData>
    <row r="1" spans="1:7" x14ac:dyDescent="0.25">
      <c r="A1" t="s">
        <v>204</v>
      </c>
      <c r="B1" t="s">
        <v>205</v>
      </c>
      <c r="C1" t="s">
        <v>206</v>
      </c>
      <c r="D1" t="s">
        <v>234</v>
      </c>
      <c r="E1" t="s">
        <v>253</v>
      </c>
      <c r="F1" t="s">
        <v>265</v>
      </c>
      <c r="G1" t="s">
        <v>266</v>
      </c>
    </row>
    <row r="2" spans="1:7" x14ac:dyDescent="0.25">
      <c r="A2" t="str">
        <f>Tabella1[[#This Row],[Player2]]</f>
        <v>Novak Djokovic</v>
      </c>
      <c r="B2" s="22">
        <f>Tabella1[[#This Row],[ACE.2]]</f>
        <v>10</v>
      </c>
      <c r="C2" t="str">
        <f>IF(Tabella1[[#This Row],[Result]]=1,"No","Si")</f>
        <v>Si</v>
      </c>
      <c r="D2">
        <f>Tabella1[[#This Row],[FSP.2]]</f>
        <v>68</v>
      </c>
      <c r="E2" s="96">
        <f>Tabella1[[#This Row],[FSW.2]]+Tabella1[[#This Row],[SSW.2]]</f>
        <v>62</v>
      </c>
      <c r="F2" s="96">
        <f>Tabella1[[#This Row],[BPC.2]]</f>
        <v>4</v>
      </c>
      <c r="G2" s="96">
        <f>Tabella1[[#This Row],[BPW.2]]</f>
        <v>8</v>
      </c>
    </row>
    <row r="3" spans="1:7" x14ac:dyDescent="0.25">
      <c r="A3" t="str">
        <f>Tabella1[[#This Row],[Player2]]</f>
        <v>Albert Montanes</v>
      </c>
      <c r="B3" s="22">
        <f>Tabella1[[#This Row],[ACE.2]]</f>
        <v>1</v>
      </c>
      <c r="C3" t="str">
        <f>IF(Tabella1[[#This Row],[Result]]=1,"No","Si")</f>
        <v>No</v>
      </c>
      <c r="D3">
        <f>Tabella1[[#This Row],[FSP.2]]</f>
        <v>60</v>
      </c>
      <c r="E3" s="96">
        <f>Tabella1[[#This Row],[FSW.2]]+Tabella1[[#This Row],[SSW.2]]</f>
        <v>32</v>
      </c>
      <c r="F3" s="96">
        <f>Tabella1[[#This Row],[BPC.2]]</f>
        <v>0</v>
      </c>
      <c r="G3" s="96">
        <f>Tabella1[[#This Row],[BPW.2]]</f>
        <v>0</v>
      </c>
    </row>
    <row r="4" spans="1:7" x14ac:dyDescent="0.25">
      <c r="A4" t="str">
        <f>Tabella1[[#This Row],[Player2]]</f>
        <v>Denis Istomin</v>
      </c>
      <c r="B4" s="22">
        <f>Tabella1[[#This Row],[ACE.2]]</f>
        <v>9</v>
      </c>
      <c r="C4" t="str">
        <f>IF(Tabella1[[#This Row],[Result]]=1,"No","Si")</f>
        <v>Si</v>
      </c>
      <c r="D4">
        <f>Tabella1[[#This Row],[FSP.2]]</f>
        <v>77</v>
      </c>
      <c r="E4" s="96">
        <f>Tabella1[[#This Row],[FSW.2]]+Tabella1[[#This Row],[SSW.2]]</f>
        <v>72</v>
      </c>
      <c r="F4" s="96">
        <f>Tabella1[[#This Row],[BPC.2]]</f>
        <v>4</v>
      </c>
      <c r="G4" s="96">
        <f>Tabella1[[#This Row],[BPW.2]]</f>
        <v>13</v>
      </c>
    </row>
    <row r="5" spans="1:7" x14ac:dyDescent="0.25">
      <c r="A5" t="str">
        <f>Tabella1[[#This Row],[Player2]]</f>
        <v>Michael Russell</v>
      </c>
      <c r="B5" s="22">
        <f>Tabella1[[#This Row],[ACE.2]]</f>
        <v>1</v>
      </c>
      <c r="C5" t="str">
        <f>IF(Tabella1[[#This Row],[Result]]=1,"No","Si")</f>
        <v>No</v>
      </c>
      <c r="D5">
        <f>Tabella1[[#This Row],[FSP.2]]</f>
        <v>50</v>
      </c>
      <c r="E5" s="96">
        <f>Tabella1[[#This Row],[FSW.2]]+Tabella1[[#This Row],[SSW.2]]</f>
        <v>43</v>
      </c>
      <c r="F5" s="96">
        <f>Tabella1[[#This Row],[BPC.2]]</f>
        <v>1</v>
      </c>
      <c r="G5" s="96">
        <f>Tabella1[[#This Row],[BPW.2]]</f>
        <v>7</v>
      </c>
    </row>
    <row r="6" spans="1:7" x14ac:dyDescent="0.25">
      <c r="A6" t="str">
        <f>Tabella1[[#This Row],[Player2]]</f>
        <v>Ernests Gulbis</v>
      </c>
      <c r="B6" s="22">
        <f>Tabella1[[#This Row],[ACE.2]]</f>
        <v>17</v>
      </c>
      <c r="C6" t="str">
        <f>IF(Tabella1[[#This Row],[Result]]=1,"No","Si")</f>
        <v>Si</v>
      </c>
      <c r="D6">
        <f>Tabella1[[#This Row],[FSP.2]]</f>
        <v>53</v>
      </c>
      <c r="E6" s="96">
        <f>Tabella1[[#This Row],[FSW.2]]+Tabella1[[#This Row],[SSW.2]]</f>
        <v>91</v>
      </c>
      <c r="F6" s="96">
        <f>Tabella1[[#This Row],[BPC.2]]</f>
        <v>3</v>
      </c>
      <c r="G6" s="96">
        <f>Tabella1[[#This Row],[BPW.2]]</f>
        <v>5</v>
      </c>
    </row>
    <row r="7" spans="1:7" x14ac:dyDescent="0.25">
      <c r="A7" t="str">
        <f>Tabella1[[#This Row],[Player2]]</f>
        <v>Sam Querrey</v>
      </c>
      <c r="B7" s="22">
        <f>Tabella1[[#This Row],[ACE.2]]</f>
        <v>24</v>
      </c>
      <c r="C7" t="str">
        <f>IF(Tabella1[[#This Row],[Result]]=1,"No","Si")</f>
        <v>Si</v>
      </c>
      <c r="D7">
        <f>Tabella1[[#This Row],[FSP.2]]</f>
        <v>63</v>
      </c>
      <c r="E7" s="96">
        <f>Tabella1[[#This Row],[FSW.2]]+Tabella1[[#This Row],[SSW.2]]</f>
        <v>82</v>
      </c>
      <c r="F7" s="96">
        <f>Tabella1[[#This Row],[BPC.2]]</f>
        <v>4</v>
      </c>
      <c r="G7" s="96">
        <f>Tabella1[[#This Row],[BPW.2]]</f>
        <v>7</v>
      </c>
    </row>
    <row r="8" spans="1:7" x14ac:dyDescent="0.25">
      <c r="A8" t="str">
        <f>Tabella1[[#This Row],[Player2]]</f>
        <v>Jarkko Nieminen</v>
      </c>
      <c r="B8" s="22">
        <f>Tabella1[[#This Row],[ACE.2]]</f>
        <v>2</v>
      </c>
      <c r="C8" t="str">
        <f>IF(Tabella1[[#This Row],[Result]]=1,"No","Si")</f>
        <v>Si</v>
      </c>
      <c r="D8">
        <f>Tabella1[[#This Row],[FSP.2]]</f>
        <v>60</v>
      </c>
      <c r="E8" s="96">
        <f>Tabella1[[#This Row],[FSW.2]]+Tabella1[[#This Row],[SSW.2]]</f>
        <v>100</v>
      </c>
      <c r="F8" s="96">
        <f>Tabella1[[#This Row],[BPC.2]]</f>
        <v>10</v>
      </c>
      <c r="G8" s="96">
        <f>Tabella1[[#This Row],[BPW.2]]</f>
        <v>17</v>
      </c>
    </row>
    <row r="9" spans="1:7" x14ac:dyDescent="0.25">
      <c r="A9" t="str">
        <f>Tabella1[[#This Row],[Player2]]</f>
        <v>Alex Bogomolov Jr.</v>
      </c>
      <c r="B9" s="22">
        <v>0</v>
      </c>
      <c r="C9" t="str">
        <f>IF(Tabella1[[#This Row],[Result]]=1,"No","Si")</f>
        <v>No</v>
      </c>
      <c r="D9">
        <f>Tabella1[[#This Row],[FSP.2]]</f>
        <v>54</v>
      </c>
      <c r="E9" s="96">
        <f>Tabella1[[#This Row],[FSW.2]]+Tabella1[[#This Row],[SSW.2]]</f>
        <v>39</v>
      </c>
      <c r="F9" s="96">
        <f>Tabella1[[#This Row],[BPC.2]]</f>
        <v>2</v>
      </c>
      <c r="G9" s="96">
        <f>Tabella1[[#This Row],[BPW.2]]</f>
        <v>6</v>
      </c>
    </row>
    <row r="10" spans="1:7" x14ac:dyDescent="0.25">
      <c r="A10" t="str">
        <f>Tabella1[[#This Row],[Player2]]</f>
        <v>Richard Gasquet</v>
      </c>
      <c r="B10" s="22">
        <f>Tabella1[[#This Row],[ACE.2]]</f>
        <v>12</v>
      </c>
      <c r="C10" t="str">
        <f>IF(Tabella1[[#This Row],[Result]]=1,"No","Si")</f>
        <v>Si</v>
      </c>
      <c r="D10">
        <f>Tabella1[[#This Row],[FSP.2]]</f>
        <v>67</v>
      </c>
      <c r="E10" s="96">
        <f>Tabella1[[#This Row],[FSW.2]]+Tabella1[[#This Row],[SSW.2]]</f>
        <v>56</v>
      </c>
      <c r="F10" s="96">
        <f>Tabella1[[#This Row],[BPC.2]]</f>
        <v>7</v>
      </c>
      <c r="G10" s="96">
        <f>Tabella1[[#This Row],[BPW.2]]</f>
        <v>10</v>
      </c>
    </row>
    <row r="11" spans="1:7" x14ac:dyDescent="0.25">
      <c r="A11" t="str">
        <f>Tabella1[[#This Row],[Player2]]</f>
        <v>Lukasz Kubot</v>
      </c>
      <c r="B11" s="22">
        <f>Tabella1[[#This Row],[ACE.2]]</f>
        <v>8</v>
      </c>
      <c r="C11" t="str">
        <f>IF(Tabella1[[#This Row],[Result]]=1,"No","Si")</f>
        <v>No</v>
      </c>
      <c r="D11">
        <f>Tabella1[[#This Row],[FSP.2]]</f>
        <v>60</v>
      </c>
      <c r="E11" s="96">
        <f>Tabella1[[#This Row],[FSW.2]]+Tabella1[[#This Row],[SSW.2]]</f>
        <v>93</v>
      </c>
      <c r="F11" s="96">
        <f>Tabella1[[#This Row],[BPC.2]]</f>
        <v>6</v>
      </c>
      <c r="G11" s="96">
        <f>Tabella1[[#This Row],[BPW.2]]</f>
        <v>14</v>
      </c>
    </row>
    <row r="12" spans="1:7" x14ac:dyDescent="0.25">
      <c r="A12" t="str">
        <f>Tabella1[[#This Row],[Player2]]</f>
        <v>Julien Benneteau</v>
      </c>
      <c r="B12" s="22">
        <f>Tabella1[[#This Row],[ACE.2]]</f>
        <v>16</v>
      </c>
      <c r="C12" t="str">
        <f>IF(Tabella1[[#This Row],[Result]]=1,"No","Si")</f>
        <v>Si</v>
      </c>
      <c r="D12">
        <f>Tabella1[[#This Row],[FSP.2]]</f>
        <v>66</v>
      </c>
      <c r="E12" s="96">
        <f>Tabella1[[#This Row],[FSW.2]]+Tabella1[[#This Row],[SSW.2]]</f>
        <v>86</v>
      </c>
      <c r="F12" s="96">
        <f>Tabella1[[#This Row],[BPC.2]]</f>
        <v>7</v>
      </c>
      <c r="G12" s="96">
        <f>Tabella1[[#This Row],[BPW.2]]</f>
        <v>19</v>
      </c>
    </row>
    <row r="13" spans="1:7" x14ac:dyDescent="0.25">
      <c r="A13" t="str">
        <f>Tabella1[[#This Row],[Player2]]</f>
        <v>Lukas Rosol</v>
      </c>
      <c r="B13" s="22">
        <f>Tabella1[[#This Row],[ACE.2]]</f>
        <v>11</v>
      </c>
      <c r="C13" t="str">
        <f>IF(Tabella1[[#This Row],[Result]]=1,"No","Si")</f>
        <v>No</v>
      </c>
      <c r="D13">
        <f>Tabella1[[#This Row],[FSP.2]]</f>
        <v>51</v>
      </c>
      <c r="E13" s="96">
        <f>Tabella1[[#This Row],[FSW.2]]+Tabella1[[#This Row],[SSW.2]]</f>
        <v>113</v>
      </c>
      <c r="F13" s="96">
        <f>Tabella1[[#This Row],[BPC.2]]</f>
        <v>3</v>
      </c>
      <c r="G13" s="96">
        <f>Tabella1[[#This Row],[BPW.2]]</f>
        <v>7</v>
      </c>
    </row>
    <row r="14" spans="1:7" x14ac:dyDescent="0.25">
      <c r="A14" t="str">
        <f>Tabella1[[#This Row],[Player2]]</f>
        <v>Vasek Pospisil</v>
      </c>
      <c r="B14" s="22">
        <f>Tabella1[[#This Row],[ACE.2]]</f>
        <v>6</v>
      </c>
      <c r="C14" t="str">
        <f>IF(Tabella1[[#This Row],[Result]]=1,"No","Si")</f>
        <v>Si</v>
      </c>
      <c r="D14">
        <f>Tabella1[[#This Row],[FSP.2]]</f>
        <v>67</v>
      </c>
      <c r="E14" s="96">
        <f>Tabella1[[#This Row],[FSW.2]]+Tabella1[[#This Row],[SSW.2]]</f>
        <v>58</v>
      </c>
      <c r="F14" s="96">
        <f>Tabella1[[#This Row],[BPC.2]]</f>
        <v>4</v>
      </c>
      <c r="G14" s="96">
        <f>Tabella1[[#This Row],[BPW.2]]</f>
        <v>10</v>
      </c>
    </row>
    <row r="15" spans="1:7" x14ac:dyDescent="0.25">
      <c r="A15" t="str">
        <f>Tabella1[[#This Row],[Player2]]</f>
        <v>Matthew Ebden</v>
      </c>
      <c r="B15" s="22">
        <f>Tabella1[[#This Row],[ACE.2]]</f>
        <v>7</v>
      </c>
      <c r="C15" t="str">
        <f>IF(Tabella1[[#This Row],[Result]]=1,"No","Si")</f>
        <v>Si</v>
      </c>
      <c r="D15">
        <f>Tabella1[[#This Row],[FSP.2]]</f>
        <v>67</v>
      </c>
      <c r="E15" s="96">
        <f>Tabella1[[#This Row],[FSW.2]]+Tabella1[[#This Row],[SSW.2]]</f>
        <v>81</v>
      </c>
      <c r="F15" s="96">
        <f>Tabella1[[#This Row],[BPC.2]]</f>
        <v>6</v>
      </c>
      <c r="G15" s="96">
        <f>Tabella1[[#This Row],[BPW.2]]</f>
        <v>12</v>
      </c>
    </row>
    <row r="16" spans="1:7" x14ac:dyDescent="0.25">
      <c r="A16" t="str">
        <f>Tabella1[[#This Row],[Player2]]</f>
        <v>Mikhail Kukushkin</v>
      </c>
      <c r="B16" s="22">
        <f>Tabella1[[#This Row],[ACE.2]]</f>
        <v>2</v>
      </c>
      <c r="C16" t="str">
        <f>IF(Tabella1[[#This Row],[Result]]=1,"No","Si")</f>
        <v>No</v>
      </c>
      <c r="D16">
        <f>Tabella1[[#This Row],[FSP.2]]</f>
        <v>55</v>
      </c>
      <c r="E16" s="96">
        <f>Tabella1[[#This Row],[FSW.2]]+Tabella1[[#This Row],[SSW.2]]</f>
        <v>78</v>
      </c>
      <c r="F16" s="96">
        <f>Tabella1[[#This Row],[BPC.2]]</f>
        <v>4</v>
      </c>
      <c r="G16" s="96">
        <f>Tabella1[[#This Row],[BPW.2]]</f>
        <v>14</v>
      </c>
    </row>
    <row r="17" spans="1:7" x14ac:dyDescent="0.25">
      <c r="A17" t="str">
        <f>Tabella1[[#This Row],[Player2]]</f>
        <v>Andrey Golubev</v>
      </c>
      <c r="B17" s="22">
        <f>Tabella1[[#This Row],[ACE.2]]</f>
        <v>0</v>
      </c>
      <c r="C17" t="str">
        <f>IF(Tabella1[[#This Row],[Result]]=1,"No","Si")</f>
        <v>No</v>
      </c>
      <c r="D17">
        <f>Tabella1[[#This Row],[FSP.2]]</f>
        <v>64</v>
      </c>
      <c r="E17" s="96">
        <f>Tabella1[[#This Row],[FSW.2]]+Tabella1[[#This Row],[SSW.2]]</f>
        <v>28</v>
      </c>
      <c r="F17" s="96">
        <f>Tabella1[[#This Row],[BPC.2]]</f>
        <v>1</v>
      </c>
      <c r="G17" s="96">
        <f>Tabella1[[#This Row],[BPW.2]]</f>
        <v>2</v>
      </c>
    </row>
    <row r="18" spans="1:7" x14ac:dyDescent="0.25">
      <c r="A18" t="str">
        <f>Tabella1[[#This Row],[Player2]]</f>
        <v>David Ferrer</v>
      </c>
      <c r="B18" s="22">
        <f>Tabella1[[#This Row],[ACE.2]]</f>
        <v>2</v>
      </c>
      <c r="C18" t="str">
        <f>IF(Tabella1[[#This Row],[Result]]=1,"No","Si")</f>
        <v>Si</v>
      </c>
      <c r="D18">
        <f>Tabella1[[#This Row],[FSP.2]]</f>
        <v>53</v>
      </c>
      <c r="E18" s="96">
        <f>Tabella1[[#This Row],[FSW.2]]+Tabella1[[#This Row],[SSW.2]]</f>
        <v>49</v>
      </c>
      <c r="F18" s="96">
        <f>Tabella1[[#This Row],[BPC.2]]</f>
        <v>8</v>
      </c>
      <c r="G18" s="96">
        <f>Tabella1[[#This Row],[BPW.2]]</f>
        <v>12</v>
      </c>
    </row>
    <row r="19" spans="1:7" x14ac:dyDescent="0.25">
      <c r="A19" t="str">
        <f>Tabella1[[#This Row],[Player2]]</f>
        <v>Adrian Mannarino</v>
      </c>
      <c r="B19" s="22">
        <f>Tabella1[[#This Row],[ACE.2]]</f>
        <v>3</v>
      </c>
      <c r="C19" t="str">
        <f>IF(Tabella1[[#This Row],[Result]]=1,"No","Si")</f>
        <v>Si</v>
      </c>
      <c r="D19">
        <f>Tabella1[[#This Row],[FSP.2]]</f>
        <v>58</v>
      </c>
      <c r="E19" s="96">
        <f>Tabella1[[#This Row],[FSW.2]]+Tabella1[[#This Row],[SSW.2]]</f>
        <v>89</v>
      </c>
      <c r="F19" s="96">
        <f>Tabella1[[#This Row],[BPC.2]]</f>
        <v>7</v>
      </c>
      <c r="G19" s="96">
        <f>Tabella1[[#This Row],[BPW.2]]</f>
        <v>11</v>
      </c>
    </row>
    <row r="20" spans="1:7" x14ac:dyDescent="0.25">
      <c r="A20" t="str">
        <f>Tabella1[[#This Row],[Player2]]</f>
        <v>Alexandr Dolgopolov</v>
      </c>
      <c r="B20" s="22">
        <f>Tabella1[[#This Row],[ACE.2]]</f>
        <v>7</v>
      </c>
      <c r="C20" t="str">
        <f>IF(Tabella1[[#This Row],[Result]]=1,"No","Si")</f>
        <v>Si</v>
      </c>
      <c r="D20">
        <f>Tabella1[[#This Row],[FSP.2]]</f>
        <v>58</v>
      </c>
      <c r="E20" s="96">
        <f>Tabella1[[#This Row],[FSW.2]]+Tabella1[[#This Row],[SSW.2]]</f>
        <v>65</v>
      </c>
      <c r="F20" s="96">
        <f>Tabella1[[#This Row],[BPC.2]]</f>
        <v>5</v>
      </c>
      <c r="G20" s="96">
        <f>Tabella1[[#This Row],[BPW.2]]</f>
        <v>16</v>
      </c>
    </row>
    <row r="21" spans="1:7" x14ac:dyDescent="0.25">
      <c r="A21" t="str">
        <f>Tabella1[[#This Row],[Player2]]</f>
        <v>Jesse Huta Galung</v>
      </c>
      <c r="B21" s="22">
        <f>Tabella1[[#This Row],[ACE.2]]</f>
        <v>9</v>
      </c>
      <c r="C21" t="str">
        <f>IF(Tabella1[[#This Row],[Result]]=1,"No","Si")</f>
        <v>No</v>
      </c>
      <c r="D21">
        <f>Tabella1[[#This Row],[FSP.2]]</f>
        <v>57</v>
      </c>
      <c r="E21" s="96">
        <f>Tabella1[[#This Row],[FSW.2]]+Tabella1[[#This Row],[SSW.2]]</f>
        <v>54</v>
      </c>
      <c r="F21" s="96">
        <f>Tabella1[[#This Row],[BPC.2]]</f>
        <v>0</v>
      </c>
      <c r="G21" s="96">
        <f>Tabella1[[#This Row],[BPW.2]]</f>
        <v>5</v>
      </c>
    </row>
    <row r="22" spans="1:7" x14ac:dyDescent="0.25">
      <c r="A22" t="str">
        <f>Tabella1[[#This Row],[Player2]]</f>
        <v>Jerzy Janowicz</v>
      </c>
      <c r="B22" s="22">
        <f>Tabella1[[#This Row],[ACE.2]]</f>
        <v>18</v>
      </c>
      <c r="C22" t="str">
        <f>IF(Tabella1[[#This Row],[Result]]=1,"No","Si")</f>
        <v>Si</v>
      </c>
      <c r="D22">
        <f>Tabella1[[#This Row],[FSP.2]]</f>
        <v>64</v>
      </c>
      <c r="E22" s="96">
        <f>Tabella1[[#This Row],[FSW.2]]+Tabella1[[#This Row],[SSW.2]]</f>
        <v>101</v>
      </c>
      <c r="F22" s="96">
        <f>Tabella1[[#This Row],[BPC.2]]</f>
        <v>5</v>
      </c>
      <c r="G22" s="96">
        <f>Tabella1[[#This Row],[BPW.2]]</f>
        <v>9</v>
      </c>
    </row>
    <row r="23" spans="1:7" x14ac:dyDescent="0.25">
      <c r="A23" t="str">
        <f>Tabella1[[#This Row],[Player2]]</f>
        <v>Pablo Andujar</v>
      </c>
      <c r="B23" s="22">
        <f>Tabella1[[#This Row],[ACE.2]]</f>
        <v>2</v>
      </c>
      <c r="C23" t="str">
        <f>IF(Tabella1[[#This Row],[Result]]=1,"No","Si")</f>
        <v>Si</v>
      </c>
      <c r="D23">
        <f>Tabella1[[#This Row],[FSP.2]]</f>
        <v>73</v>
      </c>
      <c r="E23" s="96">
        <f>Tabella1[[#This Row],[FSW.2]]+Tabella1[[#This Row],[SSW.2]]</f>
        <v>55</v>
      </c>
      <c r="F23" s="96">
        <f>Tabella1[[#This Row],[BPC.2]]</f>
        <v>7</v>
      </c>
      <c r="G23" s="96">
        <f>Tabella1[[#This Row],[BPW.2]]</f>
        <v>12</v>
      </c>
    </row>
    <row r="24" spans="1:7" x14ac:dyDescent="0.25">
      <c r="A24" t="str">
        <f>Tabella1[[#This Row],[Player2]]</f>
        <v>Denis Kudla</v>
      </c>
      <c r="B24" s="22">
        <f>Tabella1[[#This Row],[ACE.2]]</f>
        <v>1</v>
      </c>
      <c r="C24" t="str">
        <f>IF(Tabella1[[#This Row],[Result]]=1,"No","Si")</f>
        <v>No</v>
      </c>
      <c r="D24">
        <f>Tabella1[[#This Row],[FSP.2]]</f>
        <v>59</v>
      </c>
      <c r="E24" s="96">
        <f>Tabella1[[#This Row],[FSW.2]]+Tabella1[[#This Row],[SSW.2]]</f>
        <v>53</v>
      </c>
      <c r="F24" s="96">
        <f>Tabella1[[#This Row],[BPC.2]]</f>
        <v>1</v>
      </c>
      <c r="G24" s="96">
        <f>Tabella1[[#This Row],[BPW.2]]</f>
        <v>3</v>
      </c>
    </row>
    <row r="25" spans="1:7" x14ac:dyDescent="0.25">
      <c r="A25" t="str">
        <f>Tabella1[[#This Row],[Player2]]</f>
        <v>Jan-Lennard Struff</v>
      </c>
      <c r="B25" s="22">
        <f>Tabella1[[#This Row],[ACE.2]]</f>
        <v>2</v>
      </c>
      <c r="C25" t="str">
        <f>IF(Tabella1[[#This Row],[Result]]=1,"No","Si")</f>
        <v>No</v>
      </c>
      <c r="D25">
        <f>Tabella1[[#This Row],[FSP.2]]</f>
        <v>49</v>
      </c>
      <c r="E25" s="96">
        <f>Tabella1[[#This Row],[FSW.2]]+Tabella1[[#This Row],[SSW.2]]</f>
        <v>36</v>
      </c>
      <c r="F25" s="96">
        <f>Tabella1[[#This Row],[BPC.2]]</f>
        <v>2</v>
      </c>
      <c r="G25" s="96">
        <f>Tabella1[[#This Row],[BPW.2]]</f>
        <v>5</v>
      </c>
    </row>
    <row r="26" spans="1:7" x14ac:dyDescent="0.25">
      <c r="A26" t="str">
        <f>Tabella1[[#This Row],[Player2]]</f>
        <v>Tommy Haas</v>
      </c>
      <c r="B26" s="22">
        <f>Tabella1[[#This Row],[ACE.2]]</f>
        <v>4</v>
      </c>
      <c r="C26" t="str">
        <f>IF(Tabella1[[#This Row],[Result]]=1,"No","Si")</f>
        <v>No</v>
      </c>
      <c r="D26">
        <f>Tabella1[[#This Row],[FSP.2]]</f>
        <v>52</v>
      </c>
      <c r="E26" s="96">
        <f>Tabella1[[#This Row],[FSW.2]]+Tabella1[[#This Row],[SSW.2]]</f>
        <v>33</v>
      </c>
      <c r="F26" s="96">
        <f>Tabella1[[#This Row],[BPC.2]]</f>
        <v>1</v>
      </c>
      <c r="G26" s="96">
        <f>Tabella1[[#This Row],[BPW.2]]</f>
        <v>2</v>
      </c>
    </row>
    <row r="27" spans="1:7" x14ac:dyDescent="0.25">
      <c r="A27" t="str">
        <f>Tabella1[[#This Row],[Player2]]</f>
        <v>Edouard Roger-Vasselin</v>
      </c>
      <c r="B27" s="22">
        <f>Tabella1[[#This Row],[ACE.2]]</f>
        <v>6</v>
      </c>
      <c r="C27" t="str">
        <f>IF(Tabella1[[#This Row],[Result]]=1,"No","Si")</f>
        <v>Si</v>
      </c>
      <c r="D27">
        <f>Tabella1[[#This Row],[FSP.2]]</f>
        <v>65</v>
      </c>
      <c r="E27" s="96">
        <f>Tabella1[[#This Row],[FSW.2]]+Tabella1[[#This Row],[SSW.2]]</f>
        <v>99</v>
      </c>
      <c r="F27" s="96">
        <f>Tabella1[[#This Row],[BPC.2]]</f>
        <v>7</v>
      </c>
      <c r="G27" s="96">
        <f>Tabella1[[#This Row],[BPW.2]]</f>
        <v>16</v>
      </c>
    </row>
    <row r="28" spans="1:7" x14ac:dyDescent="0.25">
      <c r="A28" t="str">
        <f>Tabella1[[#This Row],[Player2]]</f>
        <v>Joao Sousa</v>
      </c>
      <c r="B28" s="22">
        <f>Tabella1[[#This Row],[ACE.2]]</f>
        <v>8</v>
      </c>
      <c r="C28" t="str">
        <f>IF(Tabella1[[#This Row],[Result]]=1,"No","Si")</f>
        <v>No</v>
      </c>
      <c r="D28">
        <f>Tabella1[[#This Row],[FSP.2]]</f>
        <v>65</v>
      </c>
      <c r="E28" s="96">
        <f>Tabella1[[#This Row],[FSW.2]]+Tabella1[[#This Row],[SSW.2]]</f>
        <v>87</v>
      </c>
      <c r="F28" s="96">
        <f>Tabella1[[#This Row],[BPC.2]]</f>
        <v>3</v>
      </c>
      <c r="G28" s="96">
        <f>Tabella1[[#This Row],[BPW.2]]</f>
        <v>8</v>
      </c>
    </row>
    <row r="29" spans="1:7" x14ac:dyDescent="0.25">
      <c r="A29" t="str">
        <f>Tabella1[[#This Row],[Player2]]</f>
        <v>Jiri Vesely</v>
      </c>
      <c r="B29" s="22">
        <f>Tabella1[[#This Row],[ACE.2]]</f>
        <v>16</v>
      </c>
      <c r="C29" t="str">
        <f>IF(Tabella1[[#This Row],[Result]]=1,"No","Si")</f>
        <v>No</v>
      </c>
      <c r="D29">
        <f>Tabella1[[#This Row],[FSP.2]]</f>
        <v>57</v>
      </c>
      <c r="E29" s="96">
        <f>Tabella1[[#This Row],[FSW.2]]+Tabella1[[#This Row],[SSW.2]]</f>
        <v>112</v>
      </c>
      <c r="F29" s="96">
        <f>Tabella1[[#This Row],[BPC.2]]</f>
        <v>2</v>
      </c>
      <c r="G29" s="96">
        <f>Tabella1[[#This Row],[BPW.2]]</f>
        <v>6</v>
      </c>
    </row>
    <row r="30" spans="1:7" x14ac:dyDescent="0.25">
      <c r="A30" t="str">
        <f>Tabella1[[#This Row],[Player2]]</f>
        <v>Ivan Dodig</v>
      </c>
      <c r="B30" s="22">
        <f>Tabella1[[#This Row],[ACE.2]]</f>
        <v>8</v>
      </c>
      <c r="C30" t="str">
        <f>IF(Tabella1[[#This Row],[Result]]=1,"No","Si")</f>
        <v>Si</v>
      </c>
      <c r="D30">
        <f>Tabella1[[#This Row],[FSP.2]]</f>
        <v>83</v>
      </c>
      <c r="E30" s="96">
        <f>Tabella1[[#This Row],[FSW.2]]+Tabella1[[#This Row],[SSW.2]]</f>
        <v>80</v>
      </c>
      <c r="F30" s="96">
        <f>Tabella1[[#This Row],[BPC.2]]</f>
        <v>2</v>
      </c>
      <c r="G30" s="96">
        <f>Tabella1[[#This Row],[BPW.2]]</f>
        <v>3</v>
      </c>
    </row>
    <row r="31" spans="1:7" x14ac:dyDescent="0.25">
      <c r="A31" t="str">
        <f>Tabella1[[#This Row],[Player2]]</f>
        <v>Damir Dzumhur</v>
      </c>
      <c r="B31" s="22">
        <f>Tabella1[[#This Row],[ACE.2]]</f>
        <v>4</v>
      </c>
      <c r="C31" t="str">
        <f>IF(Tabella1[[#This Row],[Result]]=1,"No","Si")</f>
        <v>Si</v>
      </c>
      <c r="D31">
        <f>Tabella1[[#This Row],[FSP.2]]</f>
        <v>53</v>
      </c>
      <c r="E31" s="96">
        <f>Tabella1[[#This Row],[FSW.2]]+Tabella1[[#This Row],[SSW.2]]</f>
        <v>50</v>
      </c>
      <c r="F31" s="96">
        <f>Tabella1[[#This Row],[BPC.2]]</f>
        <v>7</v>
      </c>
      <c r="G31" s="96">
        <f>Tabella1[[#This Row],[BPW.2]]</f>
        <v>12</v>
      </c>
    </row>
    <row r="32" spans="1:7" x14ac:dyDescent="0.25">
      <c r="A32" t="str">
        <f>Tabella1[[#This Row],[Player2]]</f>
        <v>Kenny De Schepper</v>
      </c>
      <c r="B32" s="22">
        <f>Tabella1[[#This Row],[ACE.2]]</f>
        <v>19</v>
      </c>
      <c r="C32" t="str">
        <f>IF(Tabella1[[#This Row],[Result]]=1,"No","Si")</f>
        <v>Si</v>
      </c>
      <c r="D32">
        <f>Tabella1[[#This Row],[FSP.2]]</f>
        <v>62</v>
      </c>
      <c r="E32" s="96">
        <f>Tabella1[[#This Row],[FSW.2]]+Tabella1[[#This Row],[SSW.2]]</f>
        <v>83</v>
      </c>
      <c r="F32" s="96">
        <f>Tabella1[[#This Row],[BPC.2]]</f>
        <v>4</v>
      </c>
      <c r="G32" s="96">
        <f>Tabella1[[#This Row],[BPW.2]]</f>
        <v>11</v>
      </c>
    </row>
    <row r="33" spans="1:7" x14ac:dyDescent="0.25">
      <c r="A33" t="str">
        <f>Tabella1[[#This Row],[Player2]]</f>
        <v>Aleksandr Nedovyesov</v>
      </c>
      <c r="B33" s="22">
        <f>Tabella1[[#This Row],[ACE.2]]</f>
        <v>8</v>
      </c>
      <c r="C33" t="str">
        <f>IF(Tabella1[[#This Row],[Result]]=1,"No","Si")</f>
        <v>No</v>
      </c>
      <c r="D33">
        <f>Tabella1[[#This Row],[FSP.2]]</f>
        <v>61</v>
      </c>
      <c r="E33" s="96">
        <f>Tabella1[[#This Row],[FSW.2]]+Tabella1[[#This Row],[SSW.2]]</f>
        <v>54</v>
      </c>
      <c r="F33" s="96">
        <f>Tabella1[[#This Row],[BPC.2]]</f>
        <v>0</v>
      </c>
      <c r="G33" s="96">
        <f>Tabella1[[#This Row],[BPW.2]]</f>
        <v>2</v>
      </c>
    </row>
    <row r="34" spans="1:7" x14ac:dyDescent="0.25">
      <c r="A34" t="str">
        <f>Tabella1[[#This Row],[Player2]]</f>
        <v>Roger Federer</v>
      </c>
      <c r="B34" s="22">
        <f>Tabella1[[#This Row],[ACE.2]]</f>
        <v>11</v>
      </c>
      <c r="C34" t="str">
        <f>IF(Tabella1[[#This Row],[Result]]=1,"No","Si")</f>
        <v>Si</v>
      </c>
      <c r="D34">
        <f>Tabella1[[#This Row],[FSP.2]]</f>
        <v>58</v>
      </c>
      <c r="E34" s="96">
        <f>Tabella1[[#This Row],[FSW.2]]+Tabella1[[#This Row],[SSW.2]]</f>
        <v>59</v>
      </c>
      <c r="F34" s="96">
        <f>Tabella1[[#This Row],[BPC.2]]</f>
        <v>4</v>
      </c>
      <c r="G34" s="96">
        <f>Tabella1[[#This Row],[BPW.2]]</f>
        <v>17</v>
      </c>
    </row>
    <row r="35" spans="1:7" x14ac:dyDescent="0.25">
      <c r="A35" t="str">
        <f>Tabella1[[#This Row],[Player2]]</f>
        <v>Blaz Kavcic</v>
      </c>
      <c r="B35" s="22">
        <f>Tabella1[[#This Row],[ACE.2]]</f>
        <v>10</v>
      </c>
      <c r="C35" t="str">
        <f>IF(Tabella1[[#This Row],[Result]]=1,"No","Si")</f>
        <v>Si</v>
      </c>
      <c r="D35">
        <f>Tabella1[[#This Row],[FSP.2]]</f>
        <v>63</v>
      </c>
      <c r="E35" s="96">
        <f>Tabella1[[#This Row],[FSW.2]]+Tabella1[[#This Row],[SSW.2]]</f>
        <v>65</v>
      </c>
      <c r="F35" s="96">
        <f>Tabella1[[#This Row],[BPC.2]]</f>
        <v>6</v>
      </c>
      <c r="G35" s="96">
        <f>Tabella1[[#This Row],[BPW.2]]</f>
        <v>14</v>
      </c>
    </row>
    <row r="36" spans="1:7" x14ac:dyDescent="0.25">
      <c r="A36" t="str">
        <f>Tabella1[[#This Row],[Player2]]</f>
        <v>Sergiy Stakhovsky</v>
      </c>
      <c r="B36" s="22">
        <f>Tabella1[[#This Row],[ACE.2]]</f>
        <v>14</v>
      </c>
      <c r="C36" t="str">
        <f>IF(Tabella1[[#This Row],[Result]]=1,"No","Si")</f>
        <v>No</v>
      </c>
      <c r="D36">
        <f>Tabella1[[#This Row],[FSP.2]]</f>
        <v>55</v>
      </c>
      <c r="E36" s="96">
        <f>Tabella1[[#This Row],[FSW.2]]+Tabella1[[#This Row],[SSW.2]]</f>
        <v>71</v>
      </c>
      <c r="F36" s="96">
        <f>Tabella1[[#This Row],[BPC.2]]</f>
        <v>3</v>
      </c>
      <c r="G36" s="96">
        <f>Tabella1[[#This Row],[BPW.2]]</f>
        <v>6</v>
      </c>
    </row>
    <row r="37" spans="1:7" x14ac:dyDescent="0.25">
      <c r="A37" t="str">
        <f>Tabella1[[#This Row],[Player2]]</f>
        <v>Ze Zhang</v>
      </c>
      <c r="B37" s="22">
        <f>Tabella1[[#This Row],[ACE.2]]</f>
        <v>7</v>
      </c>
      <c r="C37" t="str">
        <f>IF(Tabella1[[#This Row],[Result]]=1,"No","Si")</f>
        <v>No</v>
      </c>
      <c r="D37">
        <f>Tabella1[[#This Row],[FSP.2]]</f>
        <v>58</v>
      </c>
      <c r="E37" s="96">
        <f>Tabella1[[#This Row],[FSW.2]]+Tabella1[[#This Row],[SSW.2]]</f>
        <v>69</v>
      </c>
      <c r="F37" s="96">
        <f>Tabella1[[#This Row],[BPC.2]]</f>
        <v>1</v>
      </c>
      <c r="G37" s="96">
        <f>Tabella1[[#This Row],[BPW.2]]</f>
        <v>5</v>
      </c>
    </row>
    <row r="38" spans="1:7" x14ac:dyDescent="0.25">
      <c r="A38" t="str">
        <f>Tabella1[[#This Row],[Player2]]</f>
        <v>Gilles Simon</v>
      </c>
      <c r="B38" s="22">
        <f>Tabella1[[#This Row],[ACE.2]]</f>
        <v>32</v>
      </c>
      <c r="C38" t="str">
        <f>IF(Tabella1[[#This Row],[Result]]=1,"No","Si")</f>
        <v>Si</v>
      </c>
      <c r="D38">
        <f>Tabella1[[#This Row],[FSP.2]]</f>
        <v>56</v>
      </c>
      <c r="E38" s="96">
        <f>Tabella1[[#This Row],[FSW.2]]+Tabella1[[#This Row],[SSW.2]]</f>
        <v>171</v>
      </c>
      <c r="F38" s="96">
        <f>Tabella1[[#This Row],[BPC.2]]</f>
        <v>4</v>
      </c>
      <c r="G38" s="96">
        <f>Tabella1[[#This Row],[BPW.2]]</f>
        <v>10</v>
      </c>
    </row>
    <row r="39" spans="1:7" x14ac:dyDescent="0.25">
      <c r="A39" t="str">
        <f>Tabella1[[#This Row],[Player2]]</f>
        <v>Marcel Granollers</v>
      </c>
      <c r="B39" s="22">
        <f>Tabella1[[#This Row],[ACE.2]]</f>
        <v>13</v>
      </c>
      <c r="C39" t="str">
        <f>IF(Tabella1[[#This Row],[Result]]=1,"No","Si")</f>
        <v>No</v>
      </c>
      <c r="D39">
        <f>Tabella1[[#This Row],[FSP.2]]</f>
        <v>61</v>
      </c>
      <c r="E39" s="96">
        <f>Tabella1[[#This Row],[FSW.2]]+Tabella1[[#This Row],[SSW.2]]</f>
        <v>91</v>
      </c>
      <c r="F39" s="96">
        <f>Tabella1[[#This Row],[BPC.2]]</f>
        <v>2</v>
      </c>
      <c r="G39" s="96">
        <f>Tabella1[[#This Row],[BPW.2]]</f>
        <v>3</v>
      </c>
    </row>
    <row r="40" spans="1:7" x14ac:dyDescent="0.25">
      <c r="A40" t="str">
        <f>Tabella1[[#This Row],[Player2]]</f>
        <v>Julian Reister</v>
      </c>
      <c r="B40" s="22">
        <f>Tabella1[[#This Row],[ACE.2]]</f>
        <v>4</v>
      </c>
      <c r="C40" t="str">
        <f>IF(Tabella1[[#This Row],[Result]]=1,"No","Si")</f>
        <v>No</v>
      </c>
      <c r="D40">
        <f>Tabella1[[#This Row],[FSP.2]]</f>
        <v>60</v>
      </c>
      <c r="E40" s="96">
        <f>Tabella1[[#This Row],[FSW.2]]+Tabella1[[#This Row],[SSW.2]]</f>
        <v>57</v>
      </c>
      <c r="F40" s="96">
        <f>Tabella1[[#This Row],[BPC.2]]</f>
        <v>4</v>
      </c>
      <c r="G40" s="96">
        <f>Tabella1[[#This Row],[BPW.2]]</f>
        <v>8</v>
      </c>
    </row>
    <row r="41" spans="1:7" x14ac:dyDescent="0.25">
      <c r="A41" t="str">
        <f>Tabella1[[#This Row],[Player2]]</f>
        <v>Filippo Volandri</v>
      </c>
      <c r="B41" s="22">
        <f>Tabella1[[#This Row],[ACE.2]]</f>
        <v>2</v>
      </c>
      <c r="C41" t="str">
        <f>IF(Tabella1[[#This Row],[Result]]=1,"No","Si")</f>
        <v>No</v>
      </c>
      <c r="D41">
        <f>Tabella1[[#This Row],[FSP.2]]</f>
        <v>57</v>
      </c>
      <c r="E41" s="96">
        <f>Tabella1[[#This Row],[FSW.2]]+Tabella1[[#This Row],[SSW.2]]</f>
        <v>55</v>
      </c>
      <c r="F41" s="96">
        <f>Tabella1[[#This Row],[BPC.2]]</f>
        <v>1</v>
      </c>
      <c r="G41" s="96">
        <f>Tabella1[[#This Row],[BPW.2]]</f>
        <v>2</v>
      </c>
    </row>
    <row r="42" spans="1:7" x14ac:dyDescent="0.25">
      <c r="A42" t="str">
        <f>Tabella1[[#This Row],[Player2]]</f>
        <v>John Isner</v>
      </c>
      <c r="B42" s="22">
        <f>Tabella1[[#This Row],[ACE.2]]</f>
        <v>10</v>
      </c>
      <c r="C42" t="str">
        <f>IF(Tabella1[[#This Row],[Result]]=1,"No","Si")</f>
        <v>No</v>
      </c>
      <c r="D42">
        <f>Tabella1[[#This Row],[FSP.2]]</f>
        <v>78</v>
      </c>
      <c r="E42" s="96">
        <f>Tabella1[[#This Row],[FSW.2]]+Tabella1[[#This Row],[SSW.2]]</f>
        <v>42</v>
      </c>
      <c r="F42" s="96">
        <f>Tabella1[[#This Row],[BPC.2]]</f>
        <v>0</v>
      </c>
      <c r="G42" s="96">
        <f>Tabella1[[#This Row],[BPW.2]]</f>
        <v>3</v>
      </c>
    </row>
    <row r="43" spans="1:7" x14ac:dyDescent="0.25">
      <c r="A43" t="str">
        <f>Tabella1[[#This Row],[Player2]]</f>
        <v>Federico Delbonis</v>
      </c>
      <c r="B43" s="22">
        <f>Tabella1[[#This Row],[ACE.2]]</f>
        <v>4</v>
      </c>
      <c r="C43" t="str">
        <f>IF(Tabella1[[#This Row],[Result]]=1,"No","Si")</f>
        <v>No</v>
      </c>
      <c r="D43">
        <f>Tabella1[[#This Row],[FSP.2]]</f>
        <v>63</v>
      </c>
      <c r="E43" s="96">
        <f>Tabella1[[#This Row],[FSW.2]]+Tabella1[[#This Row],[SSW.2]]</f>
        <v>54</v>
      </c>
      <c r="F43" s="96">
        <f>Tabella1[[#This Row],[BPC.2]]</f>
        <v>0</v>
      </c>
      <c r="G43" s="96">
        <f>Tabella1[[#This Row],[BPW.2]]</f>
        <v>8</v>
      </c>
    </row>
    <row r="44" spans="1:7" x14ac:dyDescent="0.25">
      <c r="A44" t="str">
        <f>Tabella1[[#This Row],[Player2]]</f>
        <v>Horacio Zeballos</v>
      </c>
      <c r="B44" s="22">
        <f>Tabella1[[#This Row],[ACE.2]]</f>
        <v>11</v>
      </c>
      <c r="C44" t="str">
        <f>IF(Tabella1[[#This Row],[Result]]=1,"No","Si")</f>
        <v>No</v>
      </c>
      <c r="D44">
        <f>Tabella1[[#This Row],[FSP.2]]</f>
        <v>60</v>
      </c>
      <c r="E44" s="96">
        <f>Tabella1[[#This Row],[FSW.2]]+Tabella1[[#This Row],[SSW.2]]</f>
        <v>61</v>
      </c>
      <c r="F44" s="96">
        <f>Tabella1[[#This Row],[BPC.2]]</f>
        <v>2</v>
      </c>
      <c r="G44" s="96">
        <f>Tabella1[[#This Row],[BPW.2]]</f>
        <v>4</v>
      </c>
    </row>
    <row r="45" spans="1:7" x14ac:dyDescent="0.25">
      <c r="A45" t="str">
        <f>Tabella1[[#This Row],[Player2]]</f>
        <v>Aljaz Bedene</v>
      </c>
      <c r="B45" s="22">
        <f>Tabella1[[#This Row],[ACE.2]]</f>
        <v>16</v>
      </c>
      <c r="C45" t="str">
        <f>IF(Tabella1[[#This Row],[Result]]=1,"No","Si")</f>
        <v>No</v>
      </c>
      <c r="D45">
        <f>Tabella1[[#This Row],[FSP.2]]</f>
        <v>54</v>
      </c>
      <c r="E45" s="96">
        <f>Tabella1[[#This Row],[FSW.2]]+Tabella1[[#This Row],[SSW.2]]</f>
        <v>49</v>
      </c>
      <c r="F45" s="96">
        <f>Tabella1[[#This Row],[BPC.2]]</f>
        <v>4</v>
      </c>
      <c r="G45" s="96">
        <f>Tabella1[[#This Row],[BPW.2]]</f>
        <v>5</v>
      </c>
    </row>
    <row r="46" spans="1:7" x14ac:dyDescent="0.25">
      <c r="A46" t="str">
        <f>Tabella1[[#This Row],[Player2]]</f>
        <v>Feliciano Lopez</v>
      </c>
      <c r="B46" s="22">
        <f>Tabella1[[#This Row],[ACE.2]]</f>
        <v>12</v>
      </c>
      <c r="C46" t="str">
        <f>IF(Tabella1[[#This Row],[Result]]=1,"No","Si")</f>
        <v>Si</v>
      </c>
      <c r="D46">
        <f>Tabella1[[#This Row],[FSP.2]]</f>
        <v>65</v>
      </c>
      <c r="E46" s="96">
        <f>Tabella1[[#This Row],[FSW.2]]+Tabella1[[#This Row],[SSW.2]]</f>
        <v>68</v>
      </c>
      <c r="F46" s="96">
        <f>Tabella1[[#This Row],[BPC.2]]</f>
        <v>4</v>
      </c>
      <c r="G46" s="96">
        <f>Tabella1[[#This Row],[BPW.2]]</f>
        <v>7</v>
      </c>
    </row>
    <row r="47" spans="1:7" x14ac:dyDescent="0.25">
      <c r="A47" t="str">
        <f>Tabella1[[#This Row],[Player2]]</f>
        <v>Michael Llodra</v>
      </c>
      <c r="B47" s="22">
        <f>Tabella1[[#This Row],[ACE.2]]</f>
        <v>10</v>
      </c>
      <c r="C47" t="str">
        <f>IF(Tabella1[[#This Row],[Result]]=1,"No","Si")</f>
        <v>No</v>
      </c>
      <c r="D47">
        <f>Tabella1[[#This Row],[FSP.2]]</f>
        <v>72</v>
      </c>
      <c r="E47" s="96">
        <f>Tabella1[[#This Row],[FSW.2]]+Tabella1[[#This Row],[SSW.2]]</f>
        <v>59</v>
      </c>
      <c r="F47" s="96">
        <f>Tabella1[[#This Row],[BPC.2]]</f>
        <v>0</v>
      </c>
      <c r="G47" s="96">
        <f>Tabella1[[#This Row],[BPW.2]]</f>
        <v>2</v>
      </c>
    </row>
    <row r="48" spans="1:7" x14ac:dyDescent="0.25">
      <c r="A48" t="str">
        <f>Tabella1[[#This Row],[Player2]]</f>
        <v>Wayne Odesnik</v>
      </c>
      <c r="B48" s="22">
        <f>Tabella1[[#This Row],[ACE.2]]</f>
        <v>11</v>
      </c>
      <c r="C48" t="str">
        <f>IF(Tabella1[[#This Row],[Result]]=1,"No","Si")</f>
        <v>No</v>
      </c>
      <c r="D48">
        <f>Tabella1[[#This Row],[FSP.2]]</f>
        <v>67</v>
      </c>
      <c r="E48" s="96">
        <f>Tabella1[[#This Row],[FSW.2]]+Tabella1[[#This Row],[SSW.2]]</f>
        <v>89</v>
      </c>
      <c r="F48" s="96">
        <f>Tabella1[[#This Row],[BPC.2]]</f>
        <v>7</v>
      </c>
      <c r="G48" s="96">
        <f>Tabella1[[#This Row],[BPW.2]]</f>
        <v>20</v>
      </c>
    </row>
    <row r="49" spans="1:7" x14ac:dyDescent="0.25">
      <c r="A49" t="str">
        <f>Tabella1[[#This Row],[Player2]]</f>
        <v>Go Soeda</v>
      </c>
      <c r="B49" s="22">
        <f>Tabella1[[#This Row],[ACE.2]]</f>
        <v>6</v>
      </c>
      <c r="C49" t="str">
        <f>IF(Tabella1[[#This Row],[Result]]=1,"No","Si")</f>
        <v>No</v>
      </c>
      <c r="D49">
        <f>Tabella1[[#This Row],[FSP.2]]</f>
        <v>61</v>
      </c>
      <c r="E49" s="96">
        <f>Tabella1[[#This Row],[FSW.2]]+Tabella1[[#This Row],[SSW.2]]</f>
        <v>34</v>
      </c>
      <c r="F49" s="96">
        <f>Tabella1[[#This Row],[BPC.2]]</f>
        <v>0</v>
      </c>
      <c r="G49" s="96">
        <f>Tabella1[[#This Row],[BPW.2]]</f>
        <v>0</v>
      </c>
    </row>
    <row r="50" spans="1:7" x14ac:dyDescent="0.25">
      <c r="A50" t="str">
        <f>Tabella1[[#This Row],[Player2]]</f>
        <v>Juan Martin Del Potro</v>
      </c>
      <c r="B50" s="22">
        <f>Tabella1[[#This Row],[ACE.2]]</f>
        <v>16</v>
      </c>
      <c r="C50" t="str">
        <f>IF(Tabella1[[#This Row],[Result]]=1,"No","Si")</f>
        <v>Si</v>
      </c>
      <c r="D50">
        <f>Tabella1[[#This Row],[FSP.2]]</f>
        <v>64</v>
      </c>
      <c r="E50" s="96">
        <f>Tabella1[[#This Row],[FSW.2]]+Tabella1[[#This Row],[SSW.2]]</f>
        <v>85</v>
      </c>
      <c r="F50" s="96">
        <f>Tabella1[[#This Row],[BPC.2]]</f>
        <v>4</v>
      </c>
      <c r="G50" s="96">
        <f>Tabella1[[#This Row],[BPW.2]]</f>
        <v>8</v>
      </c>
    </row>
    <row r="51" spans="1:7" x14ac:dyDescent="0.25">
      <c r="A51" t="str">
        <f>Tabella1[[#This Row],[Player2]]</f>
        <v>Tim Smyczek</v>
      </c>
      <c r="B51" s="22">
        <f>Tabella1[[#This Row],[ACE.2]]</f>
        <v>8</v>
      </c>
      <c r="C51" t="str">
        <f>IF(Tabella1[[#This Row],[Result]]=1,"No","Si")</f>
        <v>No</v>
      </c>
      <c r="D51">
        <f>Tabella1[[#This Row],[FSP.2]]</f>
        <v>61</v>
      </c>
      <c r="E51" s="96">
        <f>Tabella1[[#This Row],[FSW.2]]+Tabella1[[#This Row],[SSW.2]]</f>
        <v>38</v>
      </c>
      <c r="F51" s="96">
        <f>Tabella1[[#This Row],[BPC.2]]</f>
        <v>1</v>
      </c>
      <c r="G51" s="96">
        <f>Tabella1[[#This Row],[BPW.2]]</f>
        <v>2</v>
      </c>
    </row>
    <row r="52" spans="1:7" x14ac:dyDescent="0.25">
      <c r="A52" t="str">
        <f>Tabella1[[#This Row],[Player2]]</f>
        <v>Benjamin Becker</v>
      </c>
      <c r="B52" s="22">
        <f>Tabella1[[#This Row],[ACE.2]]</f>
        <v>12</v>
      </c>
      <c r="C52" t="str">
        <f>IF(Tabella1[[#This Row],[Result]]=1,"No","Si")</f>
        <v>No</v>
      </c>
      <c r="D52">
        <f>Tabella1[[#This Row],[FSP.2]]</f>
        <v>53</v>
      </c>
      <c r="E52" s="96">
        <f>Tabella1[[#This Row],[FSW.2]]+Tabella1[[#This Row],[SSW.2]]</f>
        <v>76</v>
      </c>
      <c r="F52" s="96">
        <f>Tabella1[[#This Row],[BPC.2]]</f>
        <v>3</v>
      </c>
      <c r="G52" s="96">
        <f>Tabella1[[#This Row],[BPW.2]]</f>
        <v>7</v>
      </c>
    </row>
    <row r="53" spans="1:7" x14ac:dyDescent="0.25">
      <c r="A53" t="str">
        <f>Tabella1[[#This Row],[Player2]]</f>
        <v>Frank Dancevic</v>
      </c>
      <c r="B53" s="22">
        <f>Tabella1[[#This Row],[ACE.2]]</f>
        <v>12</v>
      </c>
      <c r="C53" t="str">
        <f>IF(Tabella1[[#This Row],[Result]]=1,"No","Si")</f>
        <v>No</v>
      </c>
      <c r="D53">
        <f>Tabella1[[#This Row],[FSP.2]]</f>
        <v>59</v>
      </c>
      <c r="E53" s="96">
        <f>Tabella1[[#This Row],[FSW.2]]+Tabella1[[#This Row],[SSW.2]]</f>
        <v>67</v>
      </c>
      <c r="F53" s="96">
        <f>Tabella1[[#This Row],[BPC.2]]</f>
        <v>1</v>
      </c>
      <c r="G53" s="96">
        <f>Tabella1[[#This Row],[BPW.2]]</f>
        <v>4</v>
      </c>
    </row>
    <row r="54" spans="1:7" x14ac:dyDescent="0.25">
      <c r="A54" t="str">
        <f>Tabella1[[#This Row],[Player2]]</f>
        <v>Grigor Dimitrov</v>
      </c>
      <c r="B54" s="22">
        <f>Tabella1[[#This Row],[ACE.2]]</f>
        <v>14</v>
      </c>
      <c r="C54" t="str">
        <f>IF(Tabella1[[#This Row],[Result]]=1,"No","Si")</f>
        <v>Si</v>
      </c>
      <c r="D54">
        <f>Tabella1[[#This Row],[FSP.2]]</f>
        <v>57</v>
      </c>
      <c r="E54" s="96">
        <f>Tabella1[[#This Row],[FSW.2]]+Tabella1[[#This Row],[SSW.2]]</f>
        <v>85</v>
      </c>
      <c r="F54" s="96">
        <f>Tabella1[[#This Row],[BPC.2]]</f>
        <v>4</v>
      </c>
      <c r="G54" s="96">
        <f>Tabella1[[#This Row],[BPW.2]]</f>
        <v>8</v>
      </c>
    </row>
    <row r="55" spans="1:7" x14ac:dyDescent="0.25">
      <c r="A55" t="str">
        <f>Tabella1[[#This Row],[Player2]]</f>
        <v>Yen-Hsun Lu</v>
      </c>
      <c r="B55" s="22">
        <f>Tabella1[[#This Row],[ACE.2]]</f>
        <v>9</v>
      </c>
      <c r="C55" t="str">
        <f>IF(Tabella1[[#This Row],[Result]]=1,"No","Si")</f>
        <v>Si</v>
      </c>
      <c r="D55">
        <f>Tabella1[[#This Row],[FSP.2]]</f>
        <v>62</v>
      </c>
      <c r="E55" s="96">
        <f>Tabella1[[#This Row],[FSW.2]]+Tabella1[[#This Row],[SSW.2]]</f>
        <v>44</v>
      </c>
      <c r="F55" s="96">
        <f>Tabella1[[#This Row],[BPC.2]]</f>
        <v>9</v>
      </c>
      <c r="G55" s="96">
        <f>Tabella1[[#This Row],[BPW.2]]</f>
        <v>19</v>
      </c>
    </row>
    <row r="56" spans="1:7" x14ac:dyDescent="0.25">
      <c r="A56" t="str">
        <f>Tabella1[[#This Row],[Player2]]</f>
        <v>Victor Hanescu</v>
      </c>
      <c r="B56" s="22">
        <f>Tabella1[[#This Row],[ACE.2]]</f>
        <v>9</v>
      </c>
      <c r="C56" t="str">
        <f>IF(Tabella1[[#This Row],[Result]]=1,"No","Si")</f>
        <v>Si</v>
      </c>
      <c r="D56">
        <f>Tabella1[[#This Row],[FSP.2]]</f>
        <v>66</v>
      </c>
      <c r="E56" s="96">
        <f>Tabella1[[#This Row],[FSW.2]]+Tabella1[[#This Row],[SSW.2]]</f>
        <v>83</v>
      </c>
      <c r="F56" s="96">
        <f>Tabella1[[#This Row],[BPC.2]]</f>
        <v>2</v>
      </c>
      <c r="G56" s="96">
        <f>Tabella1[[#This Row],[BPW.2]]</f>
        <v>6</v>
      </c>
    </row>
    <row r="57" spans="1:7" x14ac:dyDescent="0.25">
      <c r="A57" t="str">
        <f>Tabella1[[#This Row],[Player2]]</f>
        <v>Daniel Gimeno-Traver</v>
      </c>
      <c r="B57" s="22">
        <f>Tabella1[[#This Row],[ACE.2]]</f>
        <v>5</v>
      </c>
      <c r="C57" t="str">
        <f>IF(Tabella1[[#This Row],[Result]]=1,"No","Si")</f>
        <v>No</v>
      </c>
      <c r="D57">
        <f>Tabella1[[#This Row],[FSP.2]]</f>
        <v>56</v>
      </c>
      <c r="E57" s="96">
        <f>Tabella1[[#This Row],[FSW.2]]+Tabella1[[#This Row],[SSW.2]]</f>
        <v>68</v>
      </c>
      <c r="F57" s="96">
        <f>Tabella1[[#This Row],[BPC.2]]</f>
        <v>3</v>
      </c>
      <c r="G57" s="96">
        <f>Tabella1[[#This Row],[BPW.2]]</f>
        <v>6</v>
      </c>
    </row>
    <row r="58" spans="1:7" x14ac:dyDescent="0.25">
      <c r="A58" t="str">
        <f>Tabella1[[#This Row],[Player2]]</f>
        <v>Kei Nishikori</v>
      </c>
      <c r="B58" s="22">
        <f>Tabella1[[#This Row],[ACE.2]]</f>
        <v>6</v>
      </c>
      <c r="C58" t="str">
        <f>IF(Tabella1[[#This Row],[Result]]=1,"No","Si")</f>
        <v>Si</v>
      </c>
      <c r="D58">
        <f>Tabella1[[#This Row],[FSP.2]]</f>
        <v>66</v>
      </c>
      <c r="E58" s="96">
        <f>Tabella1[[#This Row],[FSW.2]]+Tabella1[[#This Row],[SSW.2]]</f>
        <v>93</v>
      </c>
      <c r="F58" s="96">
        <f>Tabella1[[#This Row],[BPC.2]]</f>
        <v>7</v>
      </c>
      <c r="G58" s="96">
        <f>Tabella1[[#This Row],[BPW.2]]</f>
        <v>15</v>
      </c>
    </row>
    <row r="59" spans="1:7" x14ac:dyDescent="0.25">
      <c r="A59" t="str">
        <f>Tabella1[[#This Row],[Player2]]</f>
        <v>Lucas Pouille</v>
      </c>
      <c r="B59" s="22">
        <f>Tabella1[[#This Row],[ACE.2]]</f>
        <v>2</v>
      </c>
      <c r="C59" t="str">
        <f>IF(Tabella1[[#This Row],[Result]]=1,"No","Si")</f>
        <v>No</v>
      </c>
      <c r="D59">
        <f>Tabella1[[#This Row],[FSP.2]]</f>
        <v>61</v>
      </c>
      <c r="E59" s="96">
        <f>Tabella1[[#This Row],[FSW.2]]+Tabella1[[#This Row],[SSW.2]]</f>
        <v>77</v>
      </c>
      <c r="F59" s="96">
        <f>Tabella1[[#This Row],[BPC.2]]</f>
        <v>4</v>
      </c>
      <c r="G59" s="96">
        <f>Tabella1[[#This Row],[BPW.2]]</f>
        <v>8</v>
      </c>
    </row>
    <row r="60" spans="1:7" x14ac:dyDescent="0.25">
      <c r="A60" t="str">
        <f>Tabella1[[#This Row],[Player2]]</f>
        <v>Donald Young</v>
      </c>
      <c r="B60" s="22">
        <f>Tabella1[[#This Row],[ACE.2]]</f>
        <v>0</v>
      </c>
      <c r="C60" t="str">
        <f>IF(Tabella1[[#This Row],[Result]]=1,"No","Si")</f>
        <v>Si</v>
      </c>
      <c r="D60">
        <f>Tabella1[[#This Row],[FSP.2]]</f>
        <v>73</v>
      </c>
      <c r="E60" s="96">
        <f>Tabella1[[#This Row],[FSW.2]]+Tabella1[[#This Row],[SSW.2]]</f>
        <v>74</v>
      </c>
      <c r="F60" s="96">
        <f>Tabella1[[#This Row],[BPC.2]]</f>
        <v>2</v>
      </c>
      <c r="G60" s="96">
        <f>Tabella1[[#This Row],[BPW.2]]</f>
        <v>7</v>
      </c>
    </row>
    <row r="61" spans="1:7" x14ac:dyDescent="0.25">
      <c r="A61" t="str">
        <f>Tabella1[[#This Row],[Player2]]</f>
        <v>Lleyton Hewitt</v>
      </c>
      <c r="B61" s="22">
        <f>Tabella1[[#This Row],[ACE.2]]</f>
        <v>23</v>
      </c>
      <c r="C61" t="str">
        <f>IF(Tabella1[[#This Row],[Result]]=1,"No","Si")</f>
        <v>No</v>
      </c>
      <c r="D61">
        <f>Tabella1[[#This Row],[FSP.2]]</f>
        <v>51</v>
      </c>
      <c r="E61" s="96">
        <f>Tabella1[[#This Row],[FSW.2]]+Tabella1[[#This Row],[SSW.2]]</f>
        <v>114</v>
      </c>
      <c r="F61" s="96">
        <f>Tabella1[[#This Row],[BPC.2]]</f>
        <v>7</v>
      </c>
      <c r="G61" s="96">
        <f>Tabella1[[#This Row],[BPW.2]]</f>
        <v>13</v>
      </c>
    </row>
    <row r="62" spans="1:7" x14ac:dyDescent="0.25">
      <c r="A62" t="str">
        <f>Tabella1[[#This Row],[Player2]]</f>
        <v>Gael Monfils</v>
      </c>
      <c r="B62" s="22">
        <f>Tabella1[[#This Row],[ACE.2]]</f>
        <v>9</v>
      </c>
      <c r="C62" t="str">
        <f>IF(Tabella1[[#This Row],[Result]]=1,"No","Si")</f>
        <v>Si</v>
      </c>
      <c r="D62">
        <f>Tabella1[[#This Row],[FSP.2]]</f>
        <v>64</v>
      </c>
      <c r="E62" s="96">
        <f>Tabella1[[#This Row],[FSW.2]]+Tabella1[[#This Row],[SSW.2]]</f>
        <v>61</v>
      </c>
      <c r="F62" s="96">
        <f>Tabella1[[#This Row],[BPC.2]]</f>
        <v>3</v>
      </c>
      <c r="G62" s="96">
        <f>Tabella1[[#This Row],[BPW.2]]</f>
        <v>4</v>
      </c>
    </row>
    <row r="63" spans="1:7" x14ac:dyDescent="0.25">
      <c r="A63" t="str">
        <f>Tabella1[[#This Row],[Player2]]</f>
        <v>Jack Sock</v>
      </c>
      <c r="B63" s="22">
        <f>Tabella1[[#This Row],[ACE.2]]</f>
        <v>16</v>
      </c>
      <c r="C63" t="str">
        <f>IF(Tabella1[[#This Row],[Result]]=1,"No","Si")</f>
        <v>Si</v>
      </c>
      <c r="D63">
        <f>Tabella1[[#This Row],[FSP.2]]</f>
        <v>50</v>
      </c>
      <c r="E63" s="96">
        <f>Tabella1[[#This Row],[FSW.2]]+Tabella1[[#This Row],[SSW.2]]</f>
        <v>97</v>
      </c>
      <c r="F63" s="96">
        <f>Tabella1[[#This Row],[BPC.2]]</f>
        <v>4</v>
      </c>
      <c r="G63" s="96">
        <f>Tabella1[[#This Row],[BPW.2]]</f>
        <v>10</v>
      </c>
    </row>
    <row r="64" spans="1:7" x14ac:dyDescent="0.25">
      <c r="A64" t="str">
        <f>Tabella1[[#This Row],[Player2]]</f>
        <v>Igor Sijsling</v>
      </c>
      <c r="B64" s="22">
        <f>Tabella1[[#This Row],[ACE.2]]</f>
        <v>20</v>
      </c>
      <c r="C64" t="str">
        <f>IF(Tabella1[[#This Row],[Result]]=1,"No","Si")</f>
        <v>No</v>
      </c>
      <c r="D64">
        <f>Tabella1[[#This Row],[FSP.2]]</f>
        <v>59</v>
      </c>
      <c r="E64" s="96">
        <f>Tabella1[[#This Row],[FSW.2]]+Tabella1[[#This Row],[SSW.2]]</f>
        <v>79</v>
      </c>
      <c r="F64" s="96">
        <f>Tabella1[[#This Row],[BPC.2]]</f>
        <v>4</v>
      </c>
      <c r="G64" s="96">
        <f>Tabella1[[#This Row],[BPW.2]]</f>
        <v>9</v>
      </c>
    </row>
    <row r="65" spans="1:7" x14ac:dyDescent="0.25">
      <c r="A65" t="str">
        <f>Tabella1[[#This Row],[Player2]]</f>
        <v>Bernard Tomic</v>
      </c>
      <c r="B65" s="22">
        <f>Tabella1[[#This Row],[ACE.2]]</f>
        <v>3</v>
      </c>
      <c r="C65" t="str">
        <f>IF(Tabella1[[#This Row],[Result]]=1,"No","Si")</f>
        <v>No</v>
      </c>
      <c r="D65">
        <f>Tabella1[[#This Row],[FSP.2]]</f>
        <v>71</v>
      </c>
      <c r="E65" s="96">
        <f>Tabella1[[#This Row],[FSW.2]]+Tabella1[[#This Row],[SSW.2]]</f>
        <v>18</v>
      </c>
      <c r="F65" s="96">
        <f>Tabella1[[#This Row],[BPC.2]]</f>
        <v>0</v>
      </c>
      <c r="G65" s="96">
        <f>Tabella1[[#This Row],[BPW.2]]</f>
        <v>0</v>
      </c>
    </row>
    <row r="66" spans="1:7" x14ac:dyDescent="0.25">
      <c r="A66" t="str">
        <f>Tabella1[[#This Row],[Player2]]</f>
        <v>Novak Djokovic</v>
      </c>
      <c r="B66" s="22">
        <f>Tabella1[[#This Row],[ACE.2]]</f>
        <v>12</v>
      </c>
      <c r="C66" t="str">
        <f>IF(Tabella1[[#This Row],[Result]]=1,"No","Si")</f>
        <v>Si</v>
      </c>
      <c r="D66">
        <f>Tabella1[[#This Row],[FSP.2]]</f>
        <v>66</v>
      </c>
      <c r="E66" s="96">
        <f>Tabella1[[#This Row],[FSW.2]]+Tabella1[[#This Row],[SSW.2]]</f>
        <v>53</v>
      </c>
      <c r="F66" s="96">
        <f>Tabella1[[#This Row],[BPC.2]]</f>
        <v>5</v>
      </c>
      <c r="G66" s="96">
        <f>Tabella1[[#This Row],[BPW.2]]</f>
        <v>6</v>
      </c>
    </row>
    <row r="67" spans="1:7" x14ac:dyDescent="0.25">
      <c r="A67" t="str">
        <f>Tabella1[[#This Row],[Player2]]</f>
        <v>Denis Istomin</v>
      </c>
      <c r="B67" s="22">
        <f>Tabella1[[#This Row],[ACE.2]]</f>
        <v>14</v>
      </c>
      <c r="C67" t="str">
        <f>IF(Tabella1[[#This Row],[Result]]=1,"No","Si")</f>
        <v>Si</v>
      </c>
      <c r="D67">
        <f>Tabella1[[#This Row],[FSP.2]]</f>
        <v>54</v>
      </c>
      <c r="E67" s="96">
        <f>Tabella1[[#This Row],[FSW.2]]+Tabella1[[#This Row],[SSW.2]]</f>
        <v>83</v>
      </c>
      <c r="F67" s="96">
        <f>Tabella1[[#This Row],[BPC.2]]</f>
        <v>5</v>
      </c>
      <c r="G67" s="96">
        <f>Tabella1[[#This Row],[BPW.2]]</f>
        <v>8</v>
      </c>
    </row>
    <row r="68" spans="1:7" x14ac:dyDescent="0.25">
      <c r="A68" t="str">
        <f>Tabella1[[#This Row],[Player2]]</f>
        <v>Ernests Gulbis</v>
      </c>
      <c r="B68" s="22">
        <f>Tabella1[[#This Row],[ACE.2]]</f>
        <v>7</v>
      </c>
      <c r="C68" t="str">
        <f>IF(Tabella1[[#This Row],[Result]]=1,"No","Si")</f>
        <v>No</v>
      </c>
      <c r="D68">
        <f>Tabella1[[#This Row],[FSP.2]]</f>
        <v>46</v>
      </c>
      <c r="E68" s="96">
        <f>Tabella1[[#This Row],[FSW.2]]+Tabella1[[#This Row],[SSW.2]]</f>
        <v>44</v>
      </c>
      <c r="F68" s="96">
        <f>Tabella1[[#This Row],[BPC.2]]</f>
        <v>1</v>
      </c>
      <c r="G68" s="96">
        <f>Tabella1[[#This Row],[BPW.2]]</f>
        <v>3</v>
      </c>
    </row>
    <row r="69" spans="1:7" x14ac:dyDescent="0.25">
      <c r="A69" t="str">
        <f>Tabella1[[#This Row],[Player2]]</f>
        <v>Jarkko Nieminen</v>
      </c>
      <c r="B69" s="22">
        <f>Tabella1[[#This Row],[ACE.2]]</f>
        <v>3</v>
      </c>
      <c r="C69" t="str">
        <f>IF(Tabella1[[#This Row],[Result]]=1,"No","Si")</f>
        <v>No</v>
      </c>
      <c r="D69">
        <f>Tabella1[[#This Row],[FSP.2]]</f>
        <v>65</v>
      </c>
      <c r="E69" s="96">
        <f>Tabella1[[#This Row],[FSW.2]]+Tabella1[[#This Row],[SSW.2]]</f>
        <v>80</v>
      </c>
      <c r="F69" s="96">
        <f>Tabella1[[#This Row],[BPC.2]]</f>
        <v>2</v>
      </c>
      <c r="G69" s="96">
        <f>Tabella1[[#This Row],[BPW.2]]</f>
        <v>16</v>
      </c>
    </row>
    <row r="70" spans="1:7" x14ac:dyDescent="0.25">
      <c r="A70" t="str">
        <f>Tabella1[[#This Row],[Player2]]</f>
        <v>Richard Gasquet</v>
      </c>
      <c r="B70" s="22">
        <f>Tabella1[[#This Row],[ACE.2]]</f>
        <v>9</v>
      </c>
      <c r="C70" t="str">
        <f>IF(Tabella1[[#This Row],[Result]]=1,"No","Si")</f>
        <v>Si</v>
      </c>
      <c r="D70">
        <f>Tabella1[[#This Row],[FSP.2]]</f>
        <v>58</v>
      </c>
      <c r="E70" s="96">
        <f>Tabella1[[#This Row],[FSW.2]]+Tabella1[[#This Row],[SSW.2]]</f>
        <v>62</v>
      </c>
      <c r="F70" s="96">
        <f>Tabella1[[#This Row],[BPC.2]]</f>
        <v>6</v>
      </c>
      <c r="G70" s="96">
        <f>Tabella1[[#This Row],[BPW.2]]</f>
        <v>11</v>
      </c>
    </row>
    <row r="71" spans="1:7" x14ac:dyDescent="0.25">
      <c r="A71" t="str">
        <f>Tabella1[[#This Row],[Player2]]</f>
        <v>Julien Benneteau</v>
      </c>
      <c r="B71" s="22">
        <f>Tabella1[[#This Row],[ACE.2]]</f>
        <v>14</v>
      </c>
      <c r="C71" t="str">
        <f>IF(Tabella1[[#This Row],[Result]]=1,"No","Si")</f>
        <v>No</v>
      </c>
      <c r="D71">
        <f>Tabella1[[#This Row],[FSP.2]]</f>
        <v>62</v>
      </c>
      <c r="E71" s="96">
        <f>Tabella1[[#This Row],[FSW.2]]+Tabella1[[#This Row],[SSW.2]]</f>
        <v>95</v>
      </c>
      <c r="F71" s="96">
        <f>Tabella1[[#This Row],[BPC.2]]</f>
        <v>1</v>
      </c>
      <c r="G71" s="96">
        <f>Tabella1[[#This Row],[BPW.2]]</f>
        <v>11</v>
      </c>
    </row>
    <row r="72" spans="1:7" x14ac:dyDescent="0.25">
      <c r="A72" t="str">
        <f>Tabella1[[#This Row],[Player2]]</f>
        <v>Vasek Pospisil</v>
      </c>
      <c r="B72" s="22">
        <f>Tabella1[[#This Row],[ACE.2]]</f>
        <v>13</v>
      </c>
      <c r="C72" t="str">
        <f>IF(Tabella1[[#This Row],[Result]]=1,"No","Si")</f>
        <v>Si</v>
      </c>
      <c r="D72">
        <f>Tabella1[[#This Row],[FSP.2]]</f>
        <v>60</v>
      </c>
      <c r="E72" s="96">
        <f>Tabella1[[#This Row],[FSW.2]]+Tabella1[[#This Row],[SSW.2]]</f>
        <v>90</v>
      </c>
      <c r="F72" s="96">
        <f>Tabella1[[#This Row],[BPC.2]]</f>
        <v>4</v>
      </c>
      <c r="G72" s="96">
        <f>Tabella1[[#This Row],[BPW.2]]</f>
        <v>5</v>
      </c>
    </row>
    <row r="73" spans="1:7" x14ac:dyDescent="0.25">
      <c r="A73" t="str">
        <f>Tabella1[[#This Row],[Player2]]</f>
        <v>Alejandro Falla</v>
      </c>
      <c r="B73" s="22">
        <f>Tabella1[[#This Row],[ACE.2]]</f>
        <v>1</v>
      </c>
      <c r="C73" t="str">
        <f>IF(Tabella1[[#This Row],[Result]]=1,"No","Si")</f>
        <v>No</v>
      </c>
      <c r="D73">
        <f>Tabella1[[#This Row],[FSP.2]]</f>
        <v>60</v>
      </c>
      <c r="E73" s="96">
        <f>Tabella1[[#This Row],[FSW.2]]+Tabella1[[#This Row],[SSW.2]]</f>
        <v>81</v>
      </c>
      <c r="F73" s="96">
        <f>Tabella1[[#This Row],[BPC.2]]</f>
        <v>2</v>
      </c>
      <c r="G73" s="96">
        <f>Tabella1[[#This Row],[BPW.2]]</f>
        <v>7</v>
      </c>
    </row>
    <row r="74" spans="1:7" x14ac:dyDescent="0.25">
      <c r="A74" t="str">
        <f>Tabella1[[#This Row],[Player2]]</f>
        <v>David Ferrer</v>
      </c>
      <c r="B74" s="22">
        <f>Tabella1[[#This Row],[ACE.2]]</f>
        <v>0</v>
      </c>
      <c r="C74" t="str">
        <f>IF(Tabella1[[#This Row],[Result]]=1,"No","Si")</f>
        <v>Si</v>
      </c>
      <c r="D74">
        <f>Tabella1[[#This Row],[FSP.2]]</f>
        <v>68</v>
      </c>
      <c r="E74" s="96">
        <f>Tabella1[[#This Row],[FSW.2]]+Tabella1[[#This Row],[SSW.2]]</f>
        <v>74</v>
      </c>
      <c r="F74" s="96">
        <f>Tabella1[[#This Row],[BPC.2]]</f>
        <v>9</v>
      </c>
      <c r="G74" s="96">
        <f>Tabella1[[#This Row],[BPW.2]]</f>
        <v>17</v>
      </c>
    </row>
    <row r="75" spans="1:7" x14ac:dyDescent="0.25">
      <c r="A75" t="str">
        <f>Tabella1[[#This Row],[Player2]]</f>
        <v>Alexandr Dolgopolov</v>
      </c>
      <c r="B75" s="22">
        <f>Tabella1[[#This Row],[ACE.2]]</f>
        <v>15</v>
      </c>
      <c r="C75" t="str">
        <f>IF(Tabella1[[#This Row],[Result]]=1,"No","Si")</f>
        <v>No</v>
      </c>
      <c r="D75">
        <f>Tabella1[[#This Row],[FSP.2]]</f>
        <v>71</v>
      </c>
      <c r="E75" s="96">
        <f>Tabella1[[#This Row],[FSW.2]]+Tabella1[[#This Row],[SSW.2]]</f>
        <v>103</v>
      </c>
      <c r="F75" s="96">
        <f>Tabella1[[#This Row],[BPC.2]]</f>
        <v>4</v>
      </c>
      <c r="G75" s="96">
        <f>Tabella1[[#This Row],[BPW.2]]</f>
        <v>12</v>
      </c>
    </row>
    <row r="76" spans="1:7" x14ac:dyDescent="0.25">
      <c r="A76" t="str">
        <f>Tabella1[[#This Row],[Player2]]</f>
        <v>Jerzy Janowicz</v>
      </c>
      <c r="B76" s="22">
        <f>Tabella1[[#This Row],[ACE.2]]</f>
        <v>15</v>
      </c>
      <c r="C76" t="str">
        <f>IF(Tabella1[[#This Row],[Result]]=1,"No","Si")</f>
        <v>Si</v>
      </c>
      <c r="D76">
        <f>Tabella1[[#This Row],[FSP.2]]</f>
        <v>67</v>
      </c>
      <c r="E76" s="96">
        <f>Tabella1[[#This Row],[FSW.2]]+Tabella1[[#This Row],[SSW.2]]</f>
        <v>101</v>
      </c>
      <c r="F76" s="96">
        <f>Tabella1[[#This Row],[BPC.2]]</f>
        <v>3</v>
      </c>
      <c r="G76" s="96">
        <f>Tabella1[[#This Row],[BPW.2]]</f>
        <v>11</v>
      </c>
    </row>
    <row r="77" spans="1:7" x14ac:dyDescent="0.25">
      <c r="A77" t="str">
        <f>Tabella1[[#This Row],[Player2]]</f>
        <v>Florian Mayer</v>
      </c>
      <c r="B77" s="22">
        <f>Tabella1[[#This Row],[ACE.2]]</f>
        <v>19</v>
      </c>
      <c r="C77" t="str">
        <f>IF(Tabella1[[#This Row],[Result]]=1,"No","Si")</f>
        <v>Si</v>
      </c>
      <c r="D77">
        <f>Tabella1[[#This Row],[FSP.2]]</f>
        <v>60</v>
      </c>
      <c r="E77" s="96">
        <f>Tabella1[[#This Row],[FSW.2]]+Tabella1[[#This Row],[SSW.2]]</f>
        <v>92</v>
      </c>
      <c r="F77" s="96">
        <f>Tabella1[[#This Row],[BPC.2]]</f>
        <v>4</v>
      </c>
      <c r="G77" s="96">
        <f>Tabella1[[#This Row],[BPW.2]]</f>
        <v>11</v>
      </c>
    </row>
    <row r="78" spans="1:7" x14ac:dyDescent="0.25">
      <c r="A78" t="str">
        <f>Tabella1[[#This Row],[Player2]]</f>
        <v>Guillermo Garcia-Lopez</v>
      </c>
      <c r="B78" s="22">
        <f>Tabella1[[#This Row],[ACE.2]]</f>
        <v>9</v>
      </c>
      <c r="C78" t="str">
        <f>IF(Tabella1[[#This Row],[Result]]=1,"No","Si")</f>
        <v>No</v>
      </c>
      <c r="D78">
        <f>Tabella1[[#This Row],[FSP.2]]</f>
        <v>51</v>
      </c>
      <c r="E78" s="96">
        <f>Tabella1[[#This Row],[FSW.2]]+Tabella1[[#This Row],[SSW.2]]</f>
        <v>72</v>
      </c>
      <c r="F78" s="96">
        <f>Tabella1[[#This Row],[BPC.2]]</f>
        <v>4</v>
      </c>
      <c r="G78" s="96">
        <f>Tabella1[[#This Row],[BPW.2]]</f>
        <v>13</v>
      </c>
    </row>
    <row r="79" spans="1:7" x14ac:dyDescent="0.25">
      <c r="A79" t="str">
        <f>Tabella1[[#This Row],[Player2]]</f>
        <v>Dominic Thiem</v>
      </c>
      <c r="B79" s="22">
        <f>Tabella1[[#This Row],[ACE.2]]</f>
        <v>10</v>
      </c>
      <c r="C79" t="str">
        <f>IF(Tabella1[[#This Row],[Result]]=1,"No","Si")</f>
        <v>No</v>
      </c>
      <c r="D79">
        <f>Tabella1[[#This Row],[FSP.2]]</f>
        <v>59</v>
      </c>
      <c r="E79" s="96">
        <f>Tabella1[[#This Row],[FSW.2]]+Tabella1[[#This Row],[SSW.2]]</f>
        <v>50</v>
      </c>
      <c r="F79" s="96">
        <f>Tabella1[[#This Row],[BPC.2]]</f>
        <v>0</v>
      </c>
      <c r="G79" s="96">
        <f>Tabella1[[#This Row],[BPW.2]]</f>
        <v>2</v>
      </c>
    </row>
    <row r="80" spans="1:7" x14ac:dyDescent="0.25">
      <c r="A80" t="str">
        <f>Tabella1[[#This Row],[Player2]]</f>
        <v>Ivan Dodig</v>
      </c>
      <c r="B80" s="22">
        <f>Tabella1[[#This Row],[ACE.2]]</f>
        <v>13</v>
      </c>
      <c r="C80" t="str">
        <f>IF(Tabella1[[#This Row],[Result]]=1,"No","Si")</f>
        <v>Si</v>
      </c>
      <c r="D80">
        <f>Tabella1[[#This Row],[FSP.2]]</f>
        <v>55</v>
      </c>
      <c r="E80" s="96">
        <f>Tabella1[[#This Row],[FSW.2]]+Tabella1[[#This Row],[SSW.2]]</f>
        <v>59</v>
      </c>
      <c r="F80" s="96">
        <f>Tabella1[[#This Row],[BPC.2]]</f>
        <v>3</v>
      </c>
      <c r="G80" s="96">
        <f>Tabella1[[#This Row],[BPW.2]]</f>
        <v>7</v>
      </c>
    </row>
    <row r="81" spans="1:7" x14ac:dyDescent="0.25">
      <c r="A81" t="str">
        <f>Tabella1[[#This Row],[Player2]]</f>
        <v>Kenny De Schepper</v>
      </c>
      <c r="B81" s="22">
        <f>Tabella1[[#This Row],[ACE.2]]</f>
        <v>8</v>
      </c>
      <c r="C81" t="str">
        <f>IF(Tabella1[[#This Row],[Result]]=1,"No","Si")</f>
        <v>No</v>
      </c>
      <c r="D81">
        <f>Tabella1[[#This Row],[FSP.2]]</f>
        <v>63</v>
      </c>
      <c r="E81" s="96">
        <f>Tabella1[[#This Row],[FSW.2]]+Tabella1[[#This Row],[SSW.2]]</f>
        <v>43</v>
      </c>
      <c r="F81" s="96">
        <f>Tabella1[[#This Row],[BPC.2]]</f>
        <v>0</v>
      </c>
      <c r="G81" s="96">
        <f>Tabella1[[#This Row],[BPW.2]]</f>
        <v>0</v>
      </c>
    </row>
    <row r="82" spans="1:7" x14ac:dyDescent="0.25">
      <c r="A82" t="str">
        <f>Tabella1[[#This Row],[Player2]]</f>
        <v>Roger Federer</v>
      </c>
      <c r="B82" s="22">
        <f>Tabella1[[#This Row],[ACE.2]]</f>
        <v>11</v>
      </c>
      <c r="C82" t="str">
        <f>IF(Tabella1[[#This Row],[Result]]=1,"No","Si")</f>
        <v>Si</v>
      </c>
      <c r="D82">
        <f>Tabella1[[#This Row],[FSP.2]]</f>
        <v>76</v>
      </c>
      <c r="E82" s="96">
        <f>Tabella1[[#This Row],[FSW.2]]+Tabella1[[#This Row],[SSW.2]]</f>
        <v>54</v>
      </c>
      <c r="F82" s="96">
        <f>Tabella1[[#This Row],[BPC.2]]</f>
        <v>6</v>
      </c>
      <c r="G82" s="96">
        <f>Tabella1[[#This Row],[BPW.2]]</f>
        <v>11</v>
      </c>
    </row>
    <row r="83" spans="1:7" x14ac:dyDescent="0.25">
      <c r="A83" t="str">
        <f>Tabella1[[#This Row],[Player2]]</f>
        <v>Teymuraz Gabashvili</v>
      </c>
      <c r="B83" s="22">
        <f>Tabella1[[#This Row],[ACE.2]]</f>
        <v>2</v>
      </c>
      <c r="C83" t="str">
        <f>IF(Tabella1[[#This Row],[Result]]=1,"No","Si")</f>
        <v>Si</v>
      </c>
      <c r="D83">
        <f>Tabella1[[#This Row],[FSP.2]]</f>
        <v>68</v>
      </c>
      <c r="E83" s="96">
        <f>Tabella1[[#This Row],[FSW.2]]+Tabella1[[#This Row],[SSW.2]]</f>
        <v>88</v>
      </c>
      <c r="F83" s="96">
        <f>Tabella1[[#This Row],[BPC.2]]</f>
        <v>5</v>
      </c>
      <c r="G83" s="96">
        <f>Tabella1[[#This Row],[BPW.2]]</f>
        <v>17</v>
      </c>
    </row>
    <row r="84" spans="1:7" x14ac:dyDescent="0.25">
      <c r="A84" t="str">
        <f>Tabella1[[#This Row],[Player2]]</f>
        <v>Gilles Simon</v>
      </c>
      <c r="B84" s="22">
        <f>Tabella1[[#This Row],[ACE.2]]</f>
        <v>7</v>
      </c>
      <c r="C84" t="str">
        <f>IF(Tabella1[[#This Row],[Result]]=1,"No","Si")</f>
        <v>Si</v>
      </c>
      <c r="D84">
        <f>Tabella1[[#This Row],[FSP.2]]</f>
        <v>49</v>
      </c>
      <c r="E84" s="96">
        <f>Tabella1[[#This Row],[FSW.2]]+Tabella1[[#This Row],[SSW.2]]</f>
        <v>106</v>
      </c>
      <c r="F84" s="96">
        <f>Tabella1[[#This Row],[BPC.2]]</f>
        <v>10</v>
      </c>
      <c r="G84" s="96">
        <f>Tabella1[[#This Row],[BPW.2]]</f>
        <v>12</v>
      </c>
    </row>
    <row r="85" spans="1:7" x14ac:dyDescent="0.25">
      <c r="A85" t="str">
        <f>Tabella1[[#This Row],[Player2]]</f>
        <v>Thomaz Bellucci</v>
      </c>
      <c r="B85" s="22">
        <f>Tabella1[[#This Row],[ACE.2]]</f>
        <v>9</v>
      </c>
      <c r="C85" t="str">
        <f>IF(Tabella1[[#This Row],[Result]]=1,"No","Si")</f>
        <v>No</v>
      </c>
      <c r="D85">
        <f>Tabella1[[#This Row],[FSP.2]]</f>
        <v>45</v>
      </c>
      <c r="E85" s="96">
        <f>Tabella1[[#This Row],[FSW.2]]+Tabella1[[#This Row],[SSW.2]]</f>
        <v>65</v>
      </c>
      <c r="F85" s="96">
        <f>Tabella1[[#This Row],[BPC.2]]</f>
        <v>1</v>
      </c>
      <c r="G85" s="96">
        <f>Tabella1[[#This Row],[BPW.2]]</f>
        <v>4</v>
      </c>
    </row>
    <row r="86" spans="1:7" x14ac:dyDescent="0.25">
      <c r="A86" t="str">
        <f>Tabella1[[#This Row],[Player2]]</f>
        <v>Martin Klizan</v>
      </c>
      <c r="B86" s="22">
        <f>Tabella1[[#This Row],[ACE.2]]</f>
        <v>16</v>
      </c>
      <c r="C86" t="str">
        <f>IF(Tabella1[[#This Row],[Result]]=1,"No","Si")</f>
        <v>Si</v>
      </c>
      <c r="D86">
        <f>Tabella1[[#This Row],[FSP.2]]</f>
        <v>58</v>
      </c>
      <c r="E86" s="96">
        <f>Tabella1[[#This Row],[FSW.2]]+Tabella1[[#This Row],[SSW.2]]</f>
        <v>83</v>
      </c>
      <c r="F86" s="96">
        <f>Tabella1[[#This Row],[BPC.2]]</f>
        <v>5</v>
      </c>
      <c r="G86" s="96">
        <f>Tabella1[[#This Row],[BPW.2]]</f>
        <v>14</v>
      </c>
    </row>
    <row r="87" spans="1:7" x14ac:dyDescent="0.25">
      <c r="A87" t="str">
        <f>Tabella1[[#This Row],[Player2]]</f>
        <v>Michal Przysiezny</v>
      </c>
      <c r="B87" s="22">
        <f>Tabella1[[#This Row],[ACE.2]]</f>
        <v>12</v>
      </c>
      <c r="C87" t="str">
        <f>IF(Tabella1[[#This Row],[Result]]=1,"No","Si")</f>
        <v>No</v>
      </c>
      <c r="D87">
        <f>Tabella1[[#This Row],[FSP.2]]</f>
        <v>58</v>
      </c>
      <c r="E87" s="96">
        <f>Tabella1[[#This Row],[FSW.2]]+Tabella1[[#This Row],[SSW.2]]</f>
        <v>74</v>
      </c>
      <c r="F87" s="96">
        <f>Tabella1[[#This Row],[BPC.2]]</f>
        <v>2</v>
      </c>
      <c r="G87" s="96">
        <f>Tabella1[[#This Row],[BPW.2]]</f>
        <v>7</v>
      </c>
    </row>
    <row r="88" spans="1:7" x14ac:dyDescent="0.25">
      <c r="A88" t="str">
        <f>Tabella1[[#This Row],[Player2]]</f>
        <v>Feliciano Lopez</v>
      </c>
      <c r="B88" s="22">
        <f>Tabella1[[#This Row],[ACE.2]]</f>
        <v>8</v>
      </c>
      <c r="C88" t="str">
        <f>IF(Tabella1[[#This Row],[Result]]=1,"No","Si")</f>
        <v>Si</v>
      </c>
      <c r="D88">
        <f>Tabella1[[#This Row],[FSP.2]]</f>
        <v>62</v>
      </c>
      <c r="E88" s="96">
        <f>Tabella1[[#This Row],[FSW.2]]+Tabella1[[#This Row],[SSW.2]]</f>
        <v>68</v>
      </c>
      <c r="F88" s="96">
        <f>Tabella1[[#This Row],[BPC.2]]</f>
        <v>4</v>
      </c>
      <c r="G88" s="96">
        <f>Tabella1[[#This Row],[BPW.2]]</f>
        <v>11</v>
      </c>
    </row>
    <row r="89" spans="1:7" x14ac:dyDescent="0.25">
      <c r="A89" t="str">
        <f>Tabella1[[#This Row],[Player2]]</f>
        <v>Vincent Millot</v>
      </c>
      <c r="B89" s="22">
        <f>Tabella1[[#This Row],[ACE.2]]</f>
        <v>2</v>
      </c>
      <c r="C89" t="str">
        <f>IF(Tabella1[[#This Row],[Result]]=1,"No","Si")</f>
        <v>No</v>
      </c>
      <c r="D89">
        <f>Tabella1[[#This Row],[FSP.2]]</f>
        <v>55</v>
      </c>
      <c r="E89" s="96">
        <f>Tabella1[[#This Row],[FSW.2]]+Tabella1[[#This Row],[SSW.2]]</f>
        <v>45</v>
      </c>
      <c r="F89" s="96">
        <f>Tabella1[[#This Row],[BPC.2]]</f>
        <v>3</v>
      </c>
      <c r="G89" s="96">
        <f>Tabella1[[#This Row],[BPW.2]]</f>
        <v>4</v>
      </c>
    </row>
    <row r="90" spans="1:7" x14ac:dyDescent="0.25">
      <c r="A90" t="str">
        <f>Tabella1[[#This Row],[Player2]]</f>
        <v>Juan Martin Del Potro</v>
      </c>
      <c r="B90" s="22">
        <f>Tabella1[[#This Row],[ACE.2]]</f>
        <v>28</v>
      </c>
      <c r="C90" t="str">
        <f>IF(Tabella1[[#This Row],[Result]]=1,"No","Si")</f>
        <v>No</v>
      </c>
      <c r="D90">
        <f>Tabella1[[#This Row],[FSP.2]]</f>
        <v>72</v>
      </c>
      <c r="E90" s="96">
        <f>Tabella1[[#This Row],[FSW.2]]+Tabella1[[#This Row],[SSW.2]]</f>
        <v>97</v>
      </c>
      <c r="F90" s="96">
        <f>Tabella1[[#This Row],[BPC.2]]</f>
        <v>4</v>
      </c>
      <c r="G90" s="96">
        <f>Tabella1[[#This Row],[BPW.2]]</f>
        <v>17</v>
      </c>
    </row>
    <row r="91" spans="1:7" x14ac:dyDescent="0.25">
      <c r="A91" t="str">
        <f>Tabella1[[#This Row],[Player2]]</f>
        <v>Nick Kyrgios</v>
      </c>
      <c r="B91" s="22">
        <f>Tabella1[[#This Row],[ACE.2]]</f>
        <v>24</v>
      </c>
      <c r="C91" t="str">
        <f>IF(Tabella1[[#This Row],[Result]]=1,"No","Si")</f>
        <v>No</v>
      </c>
      <c r="D91">
        <f>Tabella1[[#This Row],[FSP.2]]</f>
        <v>66</v>
      </c>
      <c r="E91" s="96">
        <f>Tabella1[[#This Row],[FSW.2]]+Tabella1[[#This Row],[SSW.2]]</f>
        <v>113</v>
      </c>
      <c r="F91" s="96">
        <f>Tabella1[[#This Row],[BPC.2]]</f>
        <v>2</v>
      </c>
      <c r="G91" s="96">
        <f>Tabella1[[#This Row],[BPW.2]]</f>
        <v>10</v>
      </c>
    </row>
    <row r="92" spans="1:7" x14ac:dyDescent="0.25">
      <c r="A92" t="str">
        <f>Tabella1[[#This Row],[Player2]]</f>
        <v>Grigor Dimitrov</v>
      </c>
      <c r="B92" s="22">
        <f>Tabella1[[#This Row],[ACE.2]]</f>
        <v>15</v>
      </c>
      <c r="C92" t="str">
        <f>IF(Tabella1[[#This Row],[Result]]=1,"No","Si")</f>
        <v>Si</v>
      </c>
      <c r="D92">
        <f>Tabella1[[#This Row],[FSP.2]]</f>
        <v>59</v>
      </c>
      <c r="E92" s="96">
        <f>Tabella1[[#This Row],[FSW.2]]+Tabella1[[#This Row],[SSW.2]]</f>
        <v>67</v>
      </c>
      <c r="F92" s="96">
        <f>Tabella1[[#This Row],[BPC.2]]</f>
        <v>5</v>
      </c>
      <c r="G92" s="96">
        <f>Tabella1[[#This Row],[BPW.2]]</f>
        <v>21</v>
      </c>
    </row>
    <row r="93" spans="1:7" x14ac:dyDescent="0.25">
      <c r="A93" t="str">
        <f>Tabella1[[#This Row],[Player2]]</f>
        <v>Victor Hanescu</v>
      </c>
      <c r="B93" s="22">
        <f>Tabella1[[#This Row],[ACE.2]]</f>
        <v>6</v>
      </c>
      <c r="C93" t="str">
        <f>IF(Tabella1[[#This Row],[Result]]=1,"No","Si")</f>
        <v>No</v>
      </c>
      <c r="D93">
        <f>Tabella1[[#This Row],[FSP.2]]</f>
        <v>67</v>
      </c>
      <c r="E93" s="96">
        <f>Tabella1[[#This Row],[FSW.2]]+Tabella1[[#This Row],[SSW.2]]</f>
        <v>77</v>
      </c>
      <c r="F93" s="96">
        <f>Tabella1[[#This Row],[BPC.2]]</f>
        <v>0</v>
      </c>
      <c r="G93" s="96">
        <f>Tabella1[[#This Row],[BPW.2]]</f>
        <v>5</v>
      </c>
    </row>
    <row r="94" spans="1:7" x14ac:dyDescent="0.25">
      <c r="A94" t="str">
        <f>Tabella1[[#This Row],[Player2]]</f>
        <v>Kei Nishikori</v>
      </c>
      <c r="B94" s="22">
        <f>Tabella1[[#This Row],[ACE.2]]</f>
        <v>5</v>
      </c>
      <c r="C94" t="str">
        <f>IF(Tabella1[[#This Row],[Result]]=1,"No","Si")</f>
        <v>Si</v>
      </c>
      <c r="D94">
        <f>Tabella1[[#This Row],[FSP.2]]</f>
        <v>64</v>
      </c>
      <c r="E94" s="96">
        <f>Tabella1[[#This Row],[FSW.2]]+Tabella1[[#This Row],[SSW.2]]</f>
        <v>58</v>
      </c>
      <c r="F94" s="96">
        <f>Tabella1[[#This Row],[BPC.2]]</f>
        <v>6</v>
      </c>
      <c r="G94" s="96">
        <f>Tabella1[[#This Row],[BPW.2]]</f>
        <v>12</v>
      </c>
    </row>
    <row r="95" spans="1:7" x14ac:dyDescent="0.25">
      <c r="A95" t="str">
        <f>Tabella1[[#This Row],[Player2]]</f>
        <v>Donald Young</v>
      </c>
      <c r="B95" s="22">
        <f>Tabella1[[#This Row],[ACE.2]]</f>
        <v>6</v>
      </c>
      <c r="C95" t="str">
        <f>IF(Tabella1[[#This Row],[Result]]=1,"No","Si")</f>
        <v>Si</v>
      </c>
      <c r="D95">
        <f>Tabella1[[#This Row],[FSP.2]]</f>
        <v>61</v>
      </c>
      <c r="E95" s="96">
        <f>Tabella1[[#This Row],[FSW.2]]+Tabella1[[#This Row],[SSW.2]]</f>
        <v>100</v>
      </c>
      <c r="F95" s="96">
        <f>Tabella1[[#This Row],[BPC.2]]</f>
        <v>6</v>
      </c>
      <c r="G95" s="96">
        <f>Tabella1[[#This Row],[BPW.2]]</f>
        <v>15</v>
      </c>
    </row>
    <row r="96" spans="1:7" x14ac:dyDescent="0.25">
      <c r="A96" t="str">
        <f>Tabella1[[#This Row],[Player2]]</f>
        <v>Gael Monfils</v>
      </c>
      <c r="B96" s="22">
        <f>Tabella1[[#This Row],[ACE.2]]</f>
        <v>13</v>
      </c>
      <c r="C96" t="str">
        <f>IF(Tabella1[[#This Row],[Result]]=1,"No","Si")</f>
        <v>Si</v>
      </c>
      <c r="D96">
        <f>Tabella1[[#This Row],[FSP.2]]</f>
        <v>62</v>
      </c>
      <c r="E96" s="96">
        <f>Tabella1[[#This Row],[FSW.2]]+Tabella1[[#This Row],[SSW.2]]</f>
        <v>70</v>
      </c>
      <c r="F96" s="96">
        <f>Tabella1[[#This Row],[BPC.2]]</f>
        <v>4</v>
      </c>
      <c r="G96" s="96">
        <f>Tabella1[[#This Row],[BPW.2]]</f>
        <v>11</v>
      </c>
    </row>
    <row r="97" spans="1:7" x14ac:dyDescent="0.25">
      <c r="A97" t="str">
        <f>Tabella1[[#This Row],[Player2]]</f>
        <v>Thanasi Kokkinakis</v>
      </c>
      <c r="B97" s="22">
        <f>Tabella1[[#This Row],[ACE.2]]</f>
        <v>4</v>
      </c>
      <c r="C97" t="str">
        <f>IF(Tabella1[[#This Row],[Result]]=1,"No","Si")</f>
        <v>No</v>
      </c>
      <c r="D97">
        <f>Tabella1[[#This Row],[FSP.2]]</f>
        <v>67</v>
      </c>
      <c r="E97" s="96">
        <f>Tabella1[[#This Row],[FSW.2]]+Tabella1[[#This Row],[SSW.2]]</f>
        <v>43</v>
      </c>
      <c r="F97" s="96">
        <f>Tabella1[[#This Row],[BPC.2]]</f>
        <v>0</v>
      </c>
      <c r="G97" s="96">
        <f>Tabella1[[#This Row],[BPW.2]]</f>
        <v>3</v>
      </c>
    </row>
    <row r="98" spans="1:7" x14ac:dyDescent="0.25">
      <c r="A98" t="str">
        <f>Tabella1[[#This Row],[Player2]]</f>
        <v>Novak Djokovic</v>
      </c>
      <c r="B98" s="22">
        <f>Tabella1[[#This Row],[ACE.2]]</f>
        <v>6</v>
      </c>
      <c r="C98" t="str">
        <f>IF(Tabella1[[#This Row],[Result]]=1,"No","Si")</f>
        <v>Si</v>
      </c>
      <c r="D98">
        <f>Tabella1[[#This Row],[FSP.2]]</f>
        <v>63</v>
      </c>
      <c r="E98" s="96">
        <f>Tabella1[[#This Row],[FSW.2]]+Tabella1[[#This Row],[SSW.2]]</f>
        <v>58</v>
      </c>
      <c r="F98" s="96">
        <f>Tabella1[[#This Row],[BPC.2]]</f>
        <v>5</v>
      </c>
      <c r="G98" s="96">
        <f>Tabella1[[#This Row],[BPW.2]]</f>
        <v>8</v>
      </c>
    </row>
    <row r="99" spans="1:7" x14ac:dyDescent="0.25">
      <c r="A99" t="str">
        <f>Tabella1[[#This Row],[Player2]]</f>
        <v>Sam Querrey</v>
      </c>
      <c r="B99" s="22">
        <f>Tabella1[[#This Row],[ACE.2]]</f>
        <v>10</v>
      </c>
      <c r="C99" t="str">
        <f>IF(Tabella1[[#This Row],[Result]]=1,"No","Si")</f>
        <v>No</v>
      </c>
      <c r="D99">
        <f>Tabella1[[#This Row],[FSP.2]]</f>
        <v>63</v>
      </c>
      <c r="E99" s="96">
        <f>Tabella1[[#This Row],[FSW.2]]+Tabella1[[#This Row],[SSW.2]]</f>
        <v>62</v>
      </c>
      <c r="F99" s="96">
        <f>Tabella1[[#This Row],[BPC.2]]</f>
        <v>1</v>
      </c>
      <c r="G99" s="96">
        <f>Tabella1[[#This Row],[BPW.2]]</f>
        <v>4</v>
      </c>
    </row>
    <row r="100" spans="1:7" x14ac:dyDescent="0.25">
      <c r="A100" t="str">
        <f>Tabella1[[#This Row],[Player2]]</f>
        <v>Richard Gasquet</v>
      </c>
      <c r="B100" s="22">
        <f>Tabella1[[#This Row],[ACE.2]]</f>
        <v>4</v>
      </c>
      <c r="C100" t="str">
        <f>IF(Tabella1[[#This Row],[Result]]=1,"No","Si")</f>
        <v>No</v>
      </c>
      <c r="D100">
        <f>Tabella1[[#This Row],[FSP.2]]</f>
        <v>62</v>
      </c>
      <c r="E100" s="96">
        <f>Tabella1[[#This Row],[FSW.2]]+Tabella1[[#This Row],[SSW.2]]</f>
        <v>89</v>
      </c>
      <c r="F100" s="96">
        <f>Tabella1[[#This Row],[BPC.2]]</f>
        <v>3</v>
      </c>
      <c r="G100" s="96">
        <f>Tabella1[[#This Row],[BPW.2]]</f>
        <v>9</v>
      </c>
    </row>
    <row r="101" spans="1:7" x14ac:dyDescent="0.25">
      <c r="A101" t="str">
        <f>Tabella1[[#This Row],[Player2]]</f>
        <v>David Ferrer</v>
      </c>
      <c r="B101" s="22">
        <f>Tabella1[[#This Row],[ACE.2]]</f>
        <v>2</v>
      </c>
      <c r="C101" t="str">
        <f>IF(Tabella1[[#This Row],[Result]]=1,"No","Si")</f>
        <v>Si</v>
      </c>
      <c r="D101">
        <f>Tabella1[[#This Row],[FSP.2]]</f>
        <v>72</v>
      </c>
      <c r="E101" s="96">
        <f>Tabella1[[#This Row],[FSW.2]]+Tabella1[[#This Row],[SSW.2]]</f>
        <v>61</v>
      </c>
      <c r="F101" s="96">
        <f>Tabella1[[#This Row],[BPC.2]]</f>
        <v>5</v>
      </c>
      <c r="G101" s="96">
        <f>Tabella1[[#This Row],[BPW.2]]</f>
        <v>11</v>
      </c>
    </row>
    <row r="102" spans="1:7" x14ac:dyDescent="0.25">
      <c r="A102" t="str">
        <f>Tabella1[[#This Row],[Player2]]</f>
        <v>Jerzy Janowicz</v>
      </c>
      <c r="B102" s="22">
        <f>Tabella1[[#This Row],[ACE.2]]</f>
        <v>3</v>
      </c>
      <c r="C102" t="str">
        <f>IF(Tabella1[[#This Row],[Result]]=1,"No","Si")</f>
        <v>No</v>
      </c>
      <c r="D102">
        <f>Tabella1[[#This Row],[FSP.2]]</f>
        <v>53</v>
      </c>
      <c r="E102" s="96">
        <f>Tabella1[[#This Row],[FSW.2]]+Tabella1[[#This Row],[SSW.2]]</f>
        <v>52</v>
      </c>
      <c r="F102" s="96">
        <f>Tabella1[[#This Row],[BPC.2]]</f>
        <v>0</v>
      </c>
      <c r="G102" s="96">
        <f>Tabella1[[#This Row],[BPW.2]]</f>
        <v>1</v>
      </c>
    </row>
    <row r="103" spans="1:7" x14ac:dyDescent="0.25">
      <c r="A103" t="str">
        <f>Tabella1[[#This Row],[Player2]]</f>
        <v>Edouard Roger-Vasselin</v>
      </c>
      <c r="B103" s="22">
        <f>Tabella1[[#This Row],[ACE.2]]</f>
        <v>8</v>
      </c>
      <c r="C103" t="str">
        <f>IF(Tabella1[[#This Row],[Result]]=1,"No","Si")</f>
        <v>No</v>
      </c>
      <c r="D103">
        <f>Tabella1[[#This Row],[FSP.2]]</f>
        <v>74</v>
      </c>
      <c r="E103" s="96">
        <f>Tabella1[[#This Row],[FSW.2]]+Tabella1[[#This Row],[SSW.2]]</f>
        <v>114</v>
      </c>
      <c r="F103" s="96">
        <f>Tabella1[[#This Row],[BPC.2]]</f>
        <v>3</v>
      </c>
      <c r="G103" s="96">
        <f>Tabella1[[#This Row],[BPW.2]]</f>
        <v>7</v>
      </c>
    </row>
    <row r="104" spans="1:7" x14ac:dyDescent="0.25">
      <c r="A104" t="str">
        <f>Tabella1[[#This Row],[Player2]]</f>
        <v>Damir Dzumhur</v>
      </c>
      <c r="B104" s="22">
        <f>Tabella1[[#This Row],[ACE.2]]</f>
        <v>5</v>
      </c>
      <c r="C104" t="str">
        <f>IF(Tabella1[[#This Row],[Result]]=1,"No","Si")</f>
        <v>No</v>
      </c>
      <c r="D104">
        <f>Tabella1[[#This Row],[FSP.2]]</f>
        <v>44</v>
      </c>
      <c r="E104" s="96">
        <f>Tabella1[[#This Row],[FSW.2]]+Tabella1[[#This Row],[SSW.2]]</f>
        <v>42</v>
      </c>
      <c r="F104" s="96">
        <f>Tabella1[[#This Row],[BPC.2]]</f>
        <v>0</v>
      </c>
      <c r="G104" s="96">
        <f>Tabella1[[#This Row],[BPW.2]]</f>
        <v>2</v>
      </c>
    </row>
    <row r="105" spans="1:7" x14ac:dyDescent="0.25">
      <c r="A105" t="str">
        <f>Tabella1[[#This Row],[Player2]]</f>
        <v>Roger Federer</v>
      </c>
      <c r="B105" s="22">
        <f>Tabella1[[#This Row],[ACE.2]]</f>
        <v>6</v>
      </c>
      <c r="C105" t="str">
        <f>IF(Tabella1[[#This Row],[Result]]=1,"No","Si")</f>
        <v>Si</v>
      </c>
      <c r="D105">
        <f>Tabella1[[#This Row],[FSP.2]]</f>
        <v>62</v>
      </c>
      <c r="E105" s="96">
        <f>Tabella1[[#This Row],[FSW.2]]+Tabella1[[#This Row],[SSW.2]]</f>
        <v>55</v>
      </c>
      <c r="F105" s="96">
        <f>Tabella1[[#This Row],[BPC.2]]</f>
        <v>5</v>
      </c>
      <c r="G105" s="96">
        <f>Tabella1[[#This Row],[BPW.2]]</f>
        <v>14</v>
      </c>
    </row>
    <row r="106" spans="1:7" x14ac:dyDescent="0.25">
      <c r="A106" t="str">
        <f>Tabella1[[#This Row],[Player2]]</f>
        <v>Gilles Simon</v>
      </c>
      <c r="B106" s="22">
        <f>Tabella1[[#This Row],[ACE.2]]</f>
        <v>7</v>
      </c>
      <c r="C106" t="str">
        <f>IF(Tabella1[[#This Row],[Result]]=1,"No","Si")</f>
        <v>No</v>
      </c>
      <c r="D106">
        <f>Tabella1[[#This Row],[FSP.2]]</f>
        <v>53</v>
      </c>
      <c r="E106" s="96">
        <f>Tabella1[[#This Row],[FSW.2]]+Tabella1[[#This Row],[SSW.2]]</f>
        <v>56</v>
      </c>
      <c r="F106" s="96">
        <f>Tabella1[[#This Row],[BPC.2]]</f>
        <v>0</v>
      </c>
      <c r="G106" s="96">
        <f>Tabella1[[#This Row],[BPW.2]]</f>
        <v>3</v>
      </c>
    </row>
    <row r="107" spans="1:7" x14ac:dyDescent="0.25">
      <c r="A107" t="str">
        <f>Tabella1[[#This Row],[Player2]]</f>
        <v>Martin Klizan</v>
      </c>
      <c r="B107" s="22">
        <f>Tabella1[[#This Row],[ACE.2]]</f>
        <v>6</v>
      </c>
      <c r="C107" t="str">
        <f>IF(Tabella1[[#This Row],[Result]]=1,"No","Si")</f>
        <v>No</v>
      </c>
      <c r="D107">
        <f>Tabella1[[#This Row],[FSP.2]]</f>
        <v>53</v>
      </c>
      <c r="E107" s="96">
        <f>Tabella1[[#This Row],[FSW.2]]+Tabella1[[#This Row],[SSW.2]]</f>
        <v>53</v>
      </c>
      <c r="F107" s="96">
        <f>Tabella1[[#This Row],[BPC.2]]</f>
        <v>0</v>
      </c>
      <c r="G107" s="96">
        <f>Tabella1[[#This Row],[BPW.2]]</f>
        <v>3</v>
      </c>
    </row>
    <row r="108" spans="1:7" x14ac:dyDescent="0.25">
      <c r="A108" t="str">
        <f>Tabella1[[#This Row],[Player2]]</f>
        <v>Feliciano Lopez</v>
      </c>
      <c r="B108" s="22">
        <f>Tabella1[[#This Row],[ACE.2]]</f>
        <v>8</v>
      </c>
      <c r="C108" t="str">
        <f>IF(Tabella1[[#This Row],[Result]]=1,"No","Si")</f>
        <v>No</v>
      </c>
      <c r="D108">
        <f>Tabella1[[#This Row],[FSP.2]]</f>
        <v>57</v>
      </c>
      <c r="E108" s="96">
        <f>Tabella1[[#This Row],[FSW.2]]+Tabella1[[#This Row],[SSW.2]]</f>
        <v>59</v>
      </c>
      <c r="F108" s="96">
        <f>Tabella1[[#This Row],[BPC.2]]</f>
        <v>1</v>
      </c>
      <c r="G108" s="96">
        <f>Tabella1[[#This Row],[BPW.2]]</f>
        <v>1</v>
      </c>
    </row>
    <row r="109" spans="1:7" x14ac:dyDescent="0.25">
      <c r="A109" t="str">
        <f>Tabella1[[#This Row],[Player2]]</f>
        <v>Roberto Bautista Agut</v>
      </c>
      <c r="B109" s="22">
        <f>Tabella1[[#This Row],[ACE.2]]</f>
        <v>4</v>
      </c>
      <c r="C109" t="str">
        <f>IF(Tabella1[[#This Row],[Result]]=1,"No","Si")</f>
        <v>Si</v>
      </c>
      <c r="D109">
        <f>Tabella1[[#This Row],[FSP.2]]</f>
        <v>83</v>
      </c>
      <c r="E109" s="96">
        <f>Tabella1[[#This Row],[FSW.2]]+Tabella1[[#This Row],[SSW.2]]</f>
        <v>53</v>
      </c>
      <c r="F109" s="96">
        <f>Tabella1[[#This Row],[BPC.2]]</f>
        <v>7</v>
      </c>
      <c r="G109" s="96">
        <f>Tabella1[[#This Row],[BPW.2]]</f>
        <v>20</v>
      </c>
    </row>
    <row r="110" spans="1:7" x14ac:dyDescent="0.25">
      <c r="A110" t="str">
        <f>Tabella1[[#This Row],[Player2]]</f>
        <v>Grigor Dimitrov</v>
      </c>
      <c r="B110" s="22">
        <f>Tabella1[[#This Row],[ACE.2]]</f>
        <v>15</v>
      </c>
      <c r="C110" t="str">
        <f>IF(Tabella1[[#This Row],[Result]]=1,"No","Si")</f>
        <v>Si</v>
      </c>
      <c r="D110">
        <f>Tabella1[[#This Row],[FSP.2]]</f>
        <v>60</v>
      </c>
      <c r="E110" s="96">
        <f>Tabella1[[#This Row],[FSW.2]]+Tabella1[[#This Row],[SSW.2]]</f>
        <v>88</v>
      </c>
      <c r="F110" s="96">
        <f>Tabella1[[#This Row],[BPC.2]]</f>
        <v>2</v>
      </c>
      <c r="G110" s="96">
        <f>Tabella1[[#This Row],[BPW.2]]</f>
        <v>4</v>
      </c>
    </row>
    <row r="111" spans="1:7" x14ac:dyDescent="0.25">
      <c r="A111" t="str">
        <f>Tabella1[[#This Row],[Player2]]</f>
        <v>Kei Nishikori</v>
      </c>
      <c r="B111" s="22">
        <f>Tabella1[[#This Row],[ACE.2]]</f>
        <v>3</v>
      </c>
      <c r="C111" t="str">
        <f>IF(Tabella1[[#This Row],[Result]]=1,"No","Si")</f>
        <v>Si</v>
      </c>
      <c r="D111">
        <f>Tabella1[[#This Row],[FSP.2]]</f>
        <v>54</v>
      </c>
      <c r="E111" s="96">
        <f>Tabella1[[#This Row],[FSW.2]]+Tabella1[[#This Row],[SSW.2]]</f>
        <v>50</v>
      </c>
      <c r="F111" s="96">
        <f>Tabella1[[#This Row],[BPC.2]]</f>
        <v>8</v>
      </c>
      <c r="G111" s="96">
        <f>Tabella1[[#This Row],[BPW.2]]</f>
        <v>12</v>
      </c>
    </row>
    <row r="112" spans="1:7" x14ac:dyDescent="0.25">
      <c r="A112" t="str">
        <f>Tabella1[[#This Row],[Player2]]</f>
        <v>Gael Monfils</v>
      </c>
      <c r="B112" s="22">
        <f>Tabella1[[#This Row],[ACE.2]]</f>
        <v>10</v>
      </c>
      <c r="C112" t="str">
        <f>IF(Tabella1[[#This Row],[Result]]=1,"No","Si")</f>
        <v>No</v>
      </c>
      <c r="D112">
        <f>Tabella1[[#This Row],[FSP.2]]</f>
        <v>69</v>
      </c>
      <c r="E112" s="96">
        <f>Tabella1[[#This Row],[FSW.2]]+Tabella1[[#This Row],[SSW.2]]</f>
        <v>49</v>
      </c>
      <c r="F112" s="96">
        <f>Tabella1[[#This Row],[BPC.2]]</f>
        <v>0</v>
      </c>
      <c r="G112" s="96">
        <f>Tabella1[[#This Row],[BPW.2]]</f>
        <v>6</v>
      </c>
    </row>
    <row r="113" spans="1:7" x14ac:dyDescent="0.25">
      <c r="A113" t="str">
        <f>Tabella1[[#This Row],[Player2]]</f>
        <v>Novak Djokovic</v>
      </c>
      <c r="B113" s="22">
        <f>Tabella1[[#This Row],[ACE.2]]</f>
        <v>7</v>
      </c>
      <c r="C113" t="str">
        <f>IF(Tabella1[[#This Row],[Result]]=1,"No","Si")</f>
        <v>Si</v>
      </c>
      <c r="D113">
        <f>Tabella1[[#This Row],[FSP.2]]</f>
        <v>72</v>
      </c>
      <c r="E113" s="96">
        <f>Tabella1[[#This Row],[FSW.2]]+Tabella1[[#This Row],[SSW.2]]</f>
        <v>50</v>
      </c>
      <c r="F113" s="96">
        <f>Tabella1[[#This Row],[BPC.2]]</f>
        <v>6</v>
      </c>
      <c r="G113" s="96">
        <f>Tabella1[[#This Row],[BPW.2]]</f>
        <v>22</v>
      </c>
    </row>
    <row r="114" spans="1:7" x14ac:dyDescent="0.25">
      <c r="A114" t="str">
        <f>Tabella1[[#This Row],[Player2]]</f>
        <v>Tommy Robredo</v>
      </c>
      <c r="B114" s="22">
        <f>Tabella1[[#This Row],[ACE.2]]</f>
        <v>1</v>
      </c>
      <c r="C114" t="str">
        <f>IF(Tabella1[[#This Row],[Result]]=1,"No","Si")</f>
        <v>No</v>
      </c>
      <c r="D114">
        <f>Tabella1[[#This Row],[FSP.2]]</f>
        <v>71</v>
      </c>
      <c r="E114" s="96">
        <f>Tabella1[[#This Row],[FSW.2]]+Tabella1[[#This Row],[SSW.2]]</f>
        <v>67</v>
      </c>
      <c r="F114" s="96">
        <f>Tabella1[[#This Row],[BPC.2]]</f>
        <v>1</v>
      </c>
      <c r="G114" s="96">
        <f>Tabella1[[#This Row],[BPW.2]]</f>
        <v>4</v>
      </c>
    </row>
    <row r="115" spans="1:7" x14ac:dyDescent="0.25">
      <c r="A115" t="str">
        <f>Tabella1[[#This Row],[Player2]]</f>
        <v>David Ferrer</v>
      </c>
      <c r="B115" s="22">
        <f>Tabella1[[#This Row],[ACE.2]]</f>
        <v>3</v>
      </c>
      <c r="C115" t="str">
        <f>IF(Tabella1[[#This Row],[Result]]=1,"No","Si")</f>
        <v>Si</v>
      </c>
      <c r="D115">
        <f>Tabella1[[#This Row],[FSP.2]]</f>
        <v>63</v>
      </c>
      <c r="E115" s="96">
        <f>Tabella1[[#This Row],[FSW.2]]+Tabella1[[#This Row],[SSW.2]]</f>
        <v>79</v>
      </c>
      <c r="F115" s="96">
        <f>Tabella1[[#This Row],[BPC.2]]</f>
        <v>9</v>
      </c>
      <c r="G115" s="96">
        <f>Tabella1[[#This Row],[BPW.2]]</f>
        <v>19</v>
      </c>
    </row>
    <row r="116" spans="1:7" x14ac:dyDescent="0.25">
      <c r="A116" t="str">
        <f>Tabella1[[#This Row],[Player2]]</f>
        <v>Kevin Anderson</v>
      </c>
      <c r="B116" s="22">
        <f>Tabella1[[#This Row],[ACE.2]]</f>
        <v>16</v>
      </c>
      <c r="C116" t="str">
        <f>IF(Tabella1[[#This Row],[Result]]=1,"No","Si")</f>
        <v>No</v>
      </c>
      <c r="D116">
        <f>Tabella1[[#This Row],[FSP.2]]</f>
        <v>72</v>
      </c>
      <c r="E116" s="96">
        <f>Tabella1[[#This Row],[FSW.2]]+Tabella1[[#This Row],[SSW.2]]</f>
        <v>49</v>
      </c>
      <c r="F116" s="96">
        <f>Tabella1[[#This Row],[BPC.2]]</f>
        <v>0</v>
      </c>
      <c r="G116" s="96">
        <f>Tabella1[[#This Row],[BPW.2]]</f>
        <v>0</v>
      </c>
    </row>
    <row r="117" spans="1:7" x14ac:dyDescent="0.25">
      <c r="A117" t="str">
        <f>Tabella1[[#This Row],[Player2]]</f>
        <v>Roger Federer</v>
      </c>
      <c r="B117" s="22">
        <f>Tabella1[[#This Row],[ACE.2]]</f>
        <v>7</v>
      </c>
      <c r="C117" t="str">
        <f>IF(Tabella1[[#This Row],[Result]]=1,"No","Si")</f>
        <v>Si</v>
      </c>
      <c r="D117">
        <f>Tabella1[[#This Row],[FSP.2]]</f>
        <v>57</v>
      </c>
      <c r="E117" s="96">
        <f>Tabella1[[#This Row],[FSW.2]]+Tabella1[[#This Row],[SSW.2]]</f>
        <v>67</v>
      </c>
      <c r="F117" s="96">
        <f>Tabella1[[#This Row],[BPC.2]]</f>
        <v>3</v>
      </c>
      <c r="G117" s="96">
        <f>Tabella1[[#This Row],[BPW.2]]</f>
        <v>7</v>
      </c>
    </row>
    <row r="118" spans="1:7" x14ac:dyDescent="0.25">
      <c r="A118" t="str">
        <f>Tabella1[[#This Row],[Player2]]</f>
        <v>Stephane Robert</v>
      </c>
      <c r="B118" s="22">
        <f>Tabella1[[#This Row],[ACE.2]]</f>
        <v>3</v>
      </c>
      <c r="C118" t="str">
        <f>IF(Tabella1[[#This Row],[Result]]=1,"No","Si")</f>
        <v>No</v>
      </c>
      <c r="D118">
        <f>Tabella1[[#This Row],[FSP.2]]</f>
        <v>51</v>
      </c>
      <c r="E118" s="96">
        <f>Tabella1[[#This Row],[FSW.2]]+Tabella1[[#This Row],[SSW.2]]</f>
        <v>61</v>
      </c>
      <c r="F118" s="96">
        <f>Tabella1[[#This Row],[BPC.2]]</f>
        <v>1</v>
      </c>
      <c r="G118" s="96">
        <f>Tabella1[[#This Row],[BPW.2]]</f>
        <v>6</v>
      </c>
    </row>
    <row r="119" spans="1:7" x14ac:dyDescent="0.25">
      <c r="A119" t="str">
        <f>Tabella1[[#This Row],[Player2]]</f>
        <v>Roberto Bautista Agut</v>
      </c>
      <c r="B119" s="22">
        <f>Tabella1[[#This Row],[ACE.2]]</f>
        <v>5</v>
      </c>
      <c r="C119" t="str">
        <f>IF(Tabella1[[#This Row],[Result]]=1,"No","Si")</f>
        <v>No</v>
      </c>
      <c r="D119">
        <f>Tabella1[[#This Row],[FSP.2]]</f>
        <v>64</v>
      </c>
      <c r="E119" s="96">
        <f>Tabella1[[#This Row],[FSW.2]]+Tabella1[[#This Row],[SSW.2]]</f>
        <v>66</v>
      </c>
      <c r="F119" s="96">
        <f>Tabella1[[#This Row],[BPC.2]]</f>
        <v>1</v>
      </c>
      <c r="G119" s="96">
        <f>Tabella1[[#This Row],[BPW.2]]</f>
        <v>5</v>
      </c>
    </row>
    <row r="120" spans="1:7" x14ac:dyDescent="0.25">
      <c r="A120" t="str">
        <f>Tabella1[[#This Row],[Player2]]</f>
        <v>Kei Nishikori</v>
      </c>
      <c r="B120" s="22">
        <f>Tabella1[[#This Row],[ACE.2]]</f>
        <v>2</v>
      </c>
      <c r="C120" t="str">
        <f>IF(Tabella1[[#This Row],[Result]]=1,"No","Si")</f>
        <v>No</v>
      </c>
      <c r="D120">
        <f>Tabella1[[#This Row],[FSP.2]]</f>
        <v>66</v>
      </c>
      <c r="E120" s="96">
        <f>Tabella1[[#This Row],[FSW.2]]+Tabella1[[#This Row],[SSW.2]]</f>
        <v>67</v>
      </c>
      <c r="F120" s="96">
        <f>Tabella1[[#This Row],[BPC.2]]</f>
        <v>4</v>
      </c>
      <c r="G120" s="96">
        <f>Tabella1[[#This Row],[BPW.2]]</f>
        <v>10</v>
      </c>
    </row>
    <row r="121" spans="1:7" x14ac:dyDescent="0.25">
      <c r="A121" t="str">
        <f>Tabella1[[#This Row],[Player2]]</f>
        <v>Novak Djokovic</v>
      </c>
      <c r="B121" s="22">
        <f>Tabella1[[#This Row],[ACE.2]]</f>
        <v>7</v>
      </c>
      <c r="C121" t="str">
        <f>IF(Tabella1[[#This Row],[Result]]=1,"No","Si")</f>
        <v>No</v>
      </c>
      <c r="D121">
        <f>Tabella1[[#This Row],[FSP.2]]</f>
        <v>73</v>
      </c>
      <c r="E121" s="96">
        <f>Tabella1[[#This Row],[FSW.2]]+Tabella1[[#This Row],[SSW.2]]</f>
        <v>98</v>
      </c>
      <c r="F121" s="96">
        <f>Tabella1[[#This Row],[BPC.2]]</f>
        <v>4</v>
      </c>
      <c r="G121" s="96">
        <f>Tabella1[[#This Row],[BPW.2]]</f>
        <v>7</v>
      </c>
    </row>
    <row r="122" spans="1:7" x14ac:dyDescent="0.25">
      <c r="A122" t="str">
        <f>Tabella1[[#This Row],[Player2]]</f>
        <v>David Ferrer</v>
      </c>
      <c r="B122" s="22">
        <f>Tabella1[[#This Row],[ACE.2]]</f>
        <v>2</v>
      </c>
      <c r="C122" t="str">
        <f>IF(Tabella1[[#This Row],[Result]]=1,"No","Si")</f>
        <v>No</v>
      </c>
      <c r="D122">
        <f>Tabella1[[#This Row],[FSP.2]]</f>
        <v>61</v>
      </c>
      <c r="E122" s="96">
        <f>Tabella1[[#This Row],[FSW.2]]+Tabella1[[#This Row],[SSW.2]]</f>
        <v>69</v>
      </c>
      <c r="F122" s="96">
        <f>Tabella1[[#This Row],[BPC.2]]</f>
        <v>3</v>
      </c>
      <c r="G122" s="96">
        <f>Tabella1[[#This Row],[BPW.2]]</f>
        <v>12</v>
      </c>
    </row>
    <row r="123" spans="1:7" x14ac:dyDescent="0.25">
      <c r="A123" t="str">
        <f>Tabella1[[#This Row],[Player2]]</f>
        <v>Roger Federer</v>
      </c>
      <c r="B123" s="22">
        <f>Tabella1[[#This Row],[ACE.2]]</f>
        <v>10</v>
      </c>
      <c r="C123" t="str">
        <f>IF(Tabella1[[#This Row],[Result]]=1,"No","Si")</f>
        <v>Si</v>
      </c>
      <c r="D123">
        <f>Tabella1[[#This Row],[FSP.2]]</f>
        <v>64</v>
      </c>
      <c r="E123" s="96">
        <f>Tabella1[[#This Row],[FSW.2]]+Tabella1[[#This Row],[SSW.2]]</f>
        <v>89</v>
      </c>
      <c r="F123" s="96">
        <f>Tabella1[[#This Row],[BPC.2]]</f>
        <v>4</v>
      </c>
      <c r="G123" s="96">
        <f>Tabella1[[#This Row],[BPW.2]]</f>
        <v>17</v>
      </c>
    </row>
    <row r="124" spans="1:7" x14ac:dyDescent="0.25">
      <c r="A124" t="str">
        <f>Tabella1[[#This Row],[Player2]]</f>
        <v>Grigor Dimitrov</v>
      </c>
      <c r="B124" s="22">
        <f>Tabella1[[#This Row],[ACE.2]]</f>
        <v>16</v>
      </c>
      <c r="C124" t="str">
        <f>IF(Tabella1[[#This Row],[Result]]=1,"No","Si")</f>
        <v>No</v>
      </c>
      <c r="D124">
        <f>Tabella1[[#This Row],[FSP.2]]</f>
        <v>58</v>
      </c>
      <c r="E124" s="96">
        <f>Tabella1[[#This Row],[FSW.2]]+Tabella1[[#This Row],[SSW.2]]</f>
        <v>96</v>
      </c>
      <c r="F124" s="96">
        <f>Tabella1[[#This Row],[BPC.2]]</f>
        <v>3</v>
      </c>
      <c r="G124" s="96">
        <f>Tabella1[[#This Row],[BPW.2]]</f>
        <v>6</v>
      </c>
    </row>
    <row r="125" spans="1:7" x14ac:dyDescent="0.25">
      <c r="A125" t="str">
        <f>Tabella1[[#This Row],[Player2]]</f>
        <v>Stanislas Wawrinka</v>
      </c>
      <c r="B125" s="22">
        <f>Tabella1[[#This Row],[ACE.2]]</f>
        <v>18</v>
      </c>
      <c r="C125" t="str">
        <f>IF(Tabella1[[#This Row],[Result]]=1,"No","Si")</f>
        <v>Si</v>
      </c>
      <c r="D125">
        <f>Tabella1[[#This Row],[FSP.2]]</f>
        <v>61</v>
      </c>
      <c r="E125" s="96">
        <f>Tabella1[[#This Row],[FSW.2]]+Tabella1[[#This Row],[SSW.2]]</f>
        <v>104</v>
      </c>
      <c r="F125" s="96">
        <f>Tabella1[[#This Row],[BPC.2]]</f>
        <v>1</v>
      </c>
      <c r="G125" s="96">
        <f>Tabella1[[#This Row],[BPW.2]]</f>
        <v>4</v>
      </c>
    </row>
    <row r="126" spans="1:7" x14ac:dyDescent="0.25">
      <c r="A126" t="str">
        <f>Tabella1[[#This Row],[Player2]]</f>
        <v>Roger Federer</v>
      </c>
      <c r="B126" s="22">
        <f>Tabella1[[#This Row],[ACE.2]]</f>
        <v>8</v>
      </c>
      <c r="C126" t="str">
        <f>IF(Tabella1[[#This Row],[Result]]=1,"No","Si")</f>
        <v>No</v>
      </c>
      <c r="D126">
        <f>Tabella1[[#This Row],[FSP.2]]</f>
        <v>66</v>
      </c>
      <c r="E126" s="96">
        <f>Tabella1[[#This Row],[FSW.2]]+Tabella1[[#This Row],[SSW.2]]</f>
        <v>63</v>
      </c>
      <c r="F126" s="96">
        <f>Tabella1[[#This Row],[BPC.2]]</f>
        <v>1</v>
      </c>
      <c r="G126" s="96">
        <f>Tabella1[[#This Row],[BPW.2]]</f>
        <v>2</v>
      </c>
    </row>
    <row r="127" spans="1:7" x14ac:dyDescent="0.25">
      <c r="A127" t="str">
        <f>Tabella1[[#This Row],[Player2]]</f>
        <v>Stanislas Wawrinka</v>
      </c>
      <c r="B127" s="22">
        <f>Tabella1[[#This Row],[ACE.2]]</f>
        <v>19</v>
      </c>
      <c r="C127" t="str">
        <f>IF(Tabella1[[#This Row],[Result]]=1,"No","Si")</f>
        <v>Si</v>
      </c>
      <c r="D127">
        <f>Tabella1[[#This Row],[FSP.2]]</f>
        <v>55</v>
      </c>
      <c r="E127" s="96">
        <f>Tabella1[[#This Row],[FSW.2]]+Tabella1[[#This Row],[SSW.2]]</f>
        <v>68</v>
      </c>
      <c r="F127" s="96">
        <f>Tabella1[[#This Row],[BPC.2]]</f>
        <v>5</v>
      </c>
      <c r="G127" s="96">
        <f>Tabella1[[#This Row],[BPW.2]]</f>
        <v>15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9"/>
  <sheetViews>
    <sheetView topLeftCell="F157" workbookViewId="0">
      <selection activeCell="O143" sqref="O143"/>
    </sheetView>
  </sheetViews>
  <sheetFormatPr defaultRowHeight="15" x14ac:dyDescent="0.25"/>
  <cols>
    <col min="1" max="1" width="22.42578125" bestFit="1" customWidth="1"/>
    <col min="3" max="3" width="9.85546875" customWidth="1"/>
    <col min="4" max="4" width="12.85546875" bestFit="1" customWidth="1"/>
    <col min="5" max="5" width="12.5703125" bestFit="1" customWidth="1"/>
    <col min="6" max="6" width="18.42578125" bestFit="1" customWidth="1"/>
    <col min="7" max="7" width="17.42578125" bestFit="1" customWidth="1"/>
    <col min="8" max="8" width="12.5703125" customWidth="1"/>
    <col min="10" max="10" width="17.85546875" bestFit="1" customWidth="1"/>
    <col min="11" max="11" width="14.7109375" bestFit="1" customWidth="1"/>
    <col min="12" max="12" width="13.85546875" bestFit="1" customWidth="1"/>
    <col min="13" max="13" width="11.28515625" bestFit="1" customWidth="1"/>
    <col min="14" max="14" width="14.7109375" bestFit="1" customWidth="1"/>
    <col min="15" max="15" width="17.85546875" bestFit="1" customWidth="1"/>
    <col min="16" max="16" width="10.28515625" bestFit="1" customWidth="1"/>
    <col min="17" max="17" width="11.28515625" bestFit="1" customWidth="1"/>
    <col min="18" max="18" width="6.28515625" bestFit="1" customWidth="1"/>
  </cols>
  <sheetData>
    <row r="1" spans="1:18" x14ac:dyDescent="0.25">
      <c r="J1" s="111" t="s">
        <v>242</v>
      </c>
      <c r="K1" s="111"/>
      <c r="L1" s="111"/>
      <c r="M1" s="111"/>
      <c r="N1" s="111"/>
      <c r="O1" s="111"/>
      <c r="P1" s="111"/>
      <c r="Q1" s="111"/>
      <c r="R1" s="111"/>
    </row>
    <row r="2" spans="1:18" ht="15.75" thickBot="1" x14ac:dyDescent="0.3">
      <c r="A2" t="s">
        <v>209</v>
      </c>
      <c r="B2" t="s">
        <v>205</v>
      </c>
      <c r="C2" t="s">
        <v>206</v>
      </c>
      <c r="D2" t="s">
        <v>234</v>
      </c>
      <c r="E2" t="s">
        <v>253</v>
      </c>
      <c r="F2" t="s">
        <v>265</v>
      </c>
      <c r="G2" t="s">
        <v>266</v>
      </c>
      <c r="J2" s="112" t="s">
        <v>214</v>
      </c>
      <c r="K2" s="112"/>
      <c r="L2" s="112"/>
      <c r="M2" s="112"/>
    </row>
    <row r="3" spans="1:18" ht="15.75" thickBot="1" x14ac:dyDescent="0.3">
      <c r="A3" t="s">
        <v>97</v>
      </c>
      <c r="B3" s="101">
        <v>5</v>
      </c>
      <c r="C3" t="s">
        <v>207</v>
      </c>
      <c r="D3" s="17">
        <v>55</v>
      </c>
      <c r="E3" s="100">
        <v>69</v>
      </c>
      <c r="F3" s="100">
        <v>5</v>
      </c>
      <c r="G3" s="100">
        <v>10</v>
      </c>
      <c r="H3" s="89"/>
      <c r="J3" s="26" t="s">
        <v>210</v>
      </c>
      <c r="K3" s="25" t="s">
        <v>211</v>
      </c>
      <c r="L3" s="29" t="s">
        <v>212</v>
      </c>
      <c r="M3" s="30" t="s">
        <v>4</v>
      </c>
      <c r="O3" s="26" t="s">
        <v>210</v>
      </c>
      <c r="P3" s="25" t="s">
        <v>211</v>
      </c>
      <c r="Q3" s="29" t="s">
        <v>212</v>
      </c>
      <c r="R3" s="30" t="s">
        <v>4</v>
      </c>
    </row>
    <row r="4" spans="1:18" x14ac:dyDescent="0.25">
      <c r="A4" t="s">
        <v>97</v>
      </c>
      <c r="B4" s="101">
        <v>3</v>
      </c>
      <c r="C4" t="s">
        <v>208</v>
      </c>
      <c r="D4" s="17">
        <v>58</v>
      </c>
      <c r="E4" s="100">
        <v>89</v>
      </c>
      <c r="F4" s="100">
        <v>7</v>
      </c>
      <c r="G4" s="100">
        <v>11</v>
      </c>
      <c r="H4" s="89"/>
      <c r="J4" s="27" t="s">
        <v>236</v>
      </c>
      <c r="K4" s="33">
        <f>SUMIFS(Tabella5[Aces],Tabella5[Aces],"&lt;15",Tabella5[Vittoria],"Si")</f>
        <v>667</v>
      </c>
      <c r="L4" s="34">
        <f>SUMIFS(Tabella5[Aces],Tabella5[Aces],"&lt;15",Tabella5[Vittoria],"No")</f>
        <v>700</v>
      </c>
      <c r="M4" s="35">
        <f>SUM(K4:L4)</f>
        <v>1367</v>
      </c>
      <c r="O4" s="27" t="s">
        <v>198</v>
      </c>
      <c r="P4" s="63">
        <f>K4/$M$4</f>
        <v>0.48792977322604242</v>
      </c>
      <c r="Q4" s="64">
        <f>1-P4</f>
        <v>0.51207022677395764</v>
      </c>
      <c r="R4" s="65">
        <f>SUM(P4:Q4)</f>
        <v>1</v>
      </c>
    </row>
    <row r="5" spans="1:18" x14ac:dyDescent="0.25">
      <c r="A5" t="s">
        <v>65</v>
      </c>
      <c r="B5" s="101">
        <v>1</v>
      </c>
      <c r="C5" t="s">
        <v>207</v>
      </c>
      <c r="D5" s="17">
        <v>60</v>
      </c>
      <c r="E5" s="100">
        <v>32</v>
      </c>
      <c r="F5" s="100">
        <v>0</v>
      </c>
      <c r="G5" s="100">
        <v>0</v>
      </c>
      <c r="H5" s="89"/>
      <c r="J5" s="28" t="s">
        <v>237</v>
      </c>
      <c r="K5" s="36">
        <f>SUMIFS(Tabella5[Aces],Tabella5[Aces],"&gt;14",Tabella5[Aces],"&lt;26",Tabella5[Vittoria],"Si")</f>
        <v>576</v>
      </c>
      <c r="L5" s="37">
        <f>SUMIFS(Tabella5[Aces],Tabella5[Aces],"&gt;14",Tabella5[Aces],"&lt;26",Tabella5[Vittoria],"No")</f>
        <v>265</v>
      </c>
      <c r="M5" s="38">
        <f>SUM(K5:L5)</f>
        <v>841</v>
      </c>
      <c r="O5" s="28" t="s">
        <v>199</v>
      </c>
      <c r="P5" s="63">
        <f>K5/$M$5</f>
        <v>0.68489892984542211</v>
      </c>
      <c r="Q5" s="64">
        <f t="shared" ref="Q5:Q6" si="0">1-P5</f>
        <v>0.31510107015457789</v>
      </c>
      <c r="R5" s="66">
        <f>SUM(P5:Q5)</f>
        <v>1</v>
      </c>
    </row>
    <row r="6" spans="1:18" ht="15.75" thickBot="1" x14ac:dyDescent="0.3">
      <c r="A6" t="s">
        <v>104</v>
      </c>
      <c r="B6" s="101">
        <v>2</v>
      </c>
      <c r="C6" t="s">
        <v>207</v>
      </c>
      <c r="D6" s="17">
        <v>61</v>
      </c>
      <c r="E6" s="100">
        <v>42</v>
      </c>
      <c r="F6" s="100">
        <v>3</v>
      </c>
      <c r="G6" s="100">
        <v>7</v>
      </c>
      <c r="H6" s="89"/>
      <c r="J6" s="31" t="s">
        <v>238</v>
      </c>
      <c r="K6" s="39">
        <f>SUMIFS(Tabella5[Aces],Tabella5[Aces],"&gt;25",Tabella5[Vittoria],"Si")</f>
        <v>152</v>
      </c>
      <c r="L6" s="40">
        <f>SUMIFS(Tabella5[Aces],Tabella5[Aces],"&gt;25",Tabella5[Vittoria],"No")</f>
        <v>98</v>
      </c>
      <c r="M6" s="41">
        <f>SUM(K6:L6)</f>
        <v>250</v>
      </c>
      <c r="O6" s="52" t="s">
        <v>200</v>
      </c>
      <c r="P6" s="68">
        <f>K6/$M$6</f>
        <v>0.60799999999999998</v>
      </c>
      <c r="Q6" s="69">
        <f t="shared" si="0"/>
        <v>0.39200000000000002</v>
      </c>
      <c r="R6" s="70">
        <f>SUM(P6:Q6)</f>
        <v>1</v>
      </c>
    </row>
    <row r="7" spans="1:18" ht="15.75" thickBot="1" x14ac:dyDescent="0.3">
      <c r="A7" t="s">
        <v>90</v>
      </c>
      <c r="B7" s="101">
        <v>4</v>
      </c>
      <c r="C7" t="s">
        <v>208</v>
      </c>
      <c r="D7" s="17">
        <v>60</v>
      </c>
      <c r="E7" s="100">
        <v>73</v>
      </c>
      <c r="F7" s="100">
        <v>10</v>
      </c>
      <c r="G7" s="100">
        <v>28</v>
      </c>
      <c r="H7" s="89"/>
      <c r="J7" s="32" t="s">
        <v>4</v>
      </c>
      <c r="K7" s="42">
        <f>SUM(K4:K6)</f>
        <v>1395</v>
      </c>
      <c r="L7" s="43">
        <f>SUM(L4:L6)</f>
        <v>1063</v>
      </c>
      <c r="M7" s="30">
        <f>SUM(M4:M6)</f>
        <v>2458</v>
      </c>
      <c r="N7" s="24"/>
      <c r="O7" s="49"/>
      <c r="P7" s="67"/>
      <c r="Q7" s="67"/>
      <c r="R7" s="67"/>
    </row>
    <row r="8" spans="1:18" x14ac:dyDescent="0.25">
      <c r="A8" t="s">
        <v>90</v>
      </c>
      <c r="B8" s="101">
        <v>1</v>
      </c>
      <c r="C8" t="s">
        <v>207</v>
      </c>
      <c r="D8" s="17">
        <v>60</v>
      </c>
      <c r="E8" s="100">
        <v>81</v>
      </c>
      <c r="F8" s="100">
        <v>2</v>
      </c>
      <c r="G8" s="100">
        <v>7</v>
      </c>
      <c r="H8" s="89"/>
    </row>
    <row r="9" spans="1:18" x14ac:dyDescent="0.25">
      <c r="A9" t="s">
        <v>94</v>
      </c>
      <c r="B9" s="101">
        <v>2</v>
      </c>
      <c r="C9" t="s">
        <v>207</v>
      </c>
      <c r="D9" s="17">
        <v>68</v>
      </c>
      <c r="E9" s="100">
        <v>41</v>
      </c>
      <c r="F9" s="100">
        <v>5</v>
      </c>
      <c r="G9" s="100">
        <v>7</v>
      </c>
      <c r="H9" s="89"/>
      <c r="J9" s="44" t="s">
        <v>215</v>
      </c>
      <c r="K9" s="53">
        <f>K7/M7</f>
        <v>0.56753458096013021</v>
      </c>
      <c r="L9" s="53">
        <f>L7/M7</f>
        <v>0.43246541903986979</v>
      </c>
    </row>
    <row r="10" spans="1:18" ht="15.75" thickBot="1" x14ac:dyDescent="0.3">
      <c r="A10" t="s">
        <v>125</v>
      </c>
      <c r="B10" s="101">
        <v>8</v>
      </c>
      <c r="C10" t="s">
        <v>207</v>
      </c>
      <c r="D10" s="17">
        <v>61</v>
      </c>
      <c r="E10" s="100">
        <v>54</v>
      </c>
      <c r="F10" s="100">
        <v>0</v>
      </c>
      <c r="G10" s="100">
        <v>2</v>
      </c>
      <c r="H10" s="89"/>
      <c r="J10" s="112" t="s">
        <v>303</v>
      </c>
      <c r="K10" s="112"/>
      <c r="L10" s="112"/>
      <c r="M10" s="112"/>
    </row>
    <row r="11" spans="1:18" ht="15.75" thickBot="1" x14ac:dyDescent="0.3">
      <c r="A11" t="s">
        <v>77</v>
      </c>
      <c r="B11" s="101">
        <v>0</v>
      </c>
      <c r="C11" t="s">
        <v>207</v>
      </c>
      <c r="D11" s="17">
        <v>54</v>
      </c>
      <c r="E11" s="100">
        <v>39</v>
      </c>
      <c r="F11" s="100">
        <v>2</v>
      </c>
      <c r="G11" s="100">
        <v>6</v>
      </c>
      <c r="H11" s="89"/>
      <c r="J11" s="26" t="s">
        <v>210</v>
      </c>
      <c r="K11" s="25" t="s">
        <v>211</v>
      </c>
      <c r="L11" s="29" t="s">
        <v>212</v>
      </c>
      <c r="M11" s="30" t="s">
        <v>4</v>
      </c>
    </row>
    <row r="12" spans="1:18" x14ac:dyDescent="0.25">
      <c r="A12" t="s">
        <v>99</v>
      </c>
      <c r="B12" s="101">
        <v>7</v>
      </c>
      <c r="C12" t="s">
        <v>208</v>
      </c>
      <c r="D12" s="17">
        <v>58</v>
      </c>
      <c r="E12" s="100">
        <v>65</v>
      </c>
      <c r="F12" s="100">
        <v>5</v>
      </c>
      <c r="G12" s="100">
        <v>16</v>
      </c>
      <c r="H12" s="89"/>
      <c r="J12" s="27" t="s">
        <v>236</v>
      </c>
      <c r="K12" s="54">
        <f>(M4*$K$9)</f>
        <v>775.81977217249801</v>
      </c>
      <c r="L12" s="55">
        <f>M4-K12</f>
        <v>591.18022782750199</v>
      </c>
      <c r="M12" s="35">
        <f>SUM(K12:L12)</f>
        <v>1367</v>
      </c>
    </row>
    <row r="13" spans="1:18" x14ac:dyDescent="0.25">
      <c r="A13" t="s">
        <v>99</v>
      </c>
      <c r="B13" s="101">
        <v>15</v>
      </c>
      <c r="C13" t="s">
        <v>207</v>
      </c>
      <c r="D13" s="17">
        <v>71</v>
      </c>
      <c r="E13" s="100">
        <v>103</v>
      </c>
      <c r="F13" s="100">
        <v>4</v>
      </c>
      <c r="G13" s="100">
        <v>12</v>
      </c>
      <c r="H13" s="89"/>
      <c r="J13" s="28" t="s">
        <v>237</v>
      </c>
      <c r="K13" s="54">
        <f t="shared" ref="K13:K14" si="1">(M5*$K$9)</f>
        <v>477.29658258746952</v>
      </c>
      <c r="L13" s="55">
        <f t="shared" ref="L13:L14" si="2">M5-K13</f>
        <v>363.70341741253048</v>
      </c>
      <c r="M13" s="38">
        <f>SUM(K13:L13)</f>
        <v>841</v>
      </c>
      <c r="N13" s="50"/>
    </row>
    <row r="14" spans="1:18" ht="15.75" thickBot="1" x14ac:dyDescent="0.3">
      <c r="A14" t="s">
        <v>149</v>
      </c>
      <c r="B14" s="101">
        <v>16</v>
      </c>
      <c r="C14" t="s">
        <v>207</v>
      </c>
      <c r="D14" s="17">
        <v>54</v>
      </c>
      <c r="E14" s="100">
        <v>49</v>
      </c>
      <c r="F14" s="100">
        <v>4</v>
      </c>
      <c r="G14" s="100">
        <v>5</v>
      </c>
      <c r="H14" s="89"/>
      <c r="J14" s="31" t="s">
        <v>238</v>
      </c>
      <c r="K14" s="54">
        <f t="shared" si="1"/>
        <v>141.88364524003256</v>
      </c>
      <c r="L14" s="55">
        <f t="shared" si="2"/>
        <v>108.11635475996744</v>
      </c>
      <c r="M14" s="41">
        <f>SUM(K14:L14)</f>
        <v>250</v>
      </c>
    </row>
    <row r="15" spans="1:18" ht="15.75" thickBot="1" x14ac:dyDescent="0.3">
      <c r="A15" t="s">
        <v>180</v>
      </c>
      <c r="B15" s="101">
        <v>17</v>
      </c>
      <c r="C15" t="s">
        <v>208</v>
      </c>
      <c r="D15" s="17">
        <v>59</v>
      </c>
      <c r="E15" s="100">
        <v>112</v>
      </c>
      <c r="F15" s="100">
        <v>7</v>
      </c>
      <c r="G15" s="100">
        <v>18</v>
      </c>
      <c r="H15" s="89"/>
      <c r="J15" s="32" t="s">
        <v>4</v>
      </c>
      <c r="K15" s="42">
        <f>SUM(K12:K14)</f>
        <v>1395.0000000000002</v>
      </c>
      <c r="L15" s="43">
        <f>SUM(L12:L14)</f>
        <v>1063</v>
      </c>
      <c r="M15" s="30">
        <f>SUM(M12:M14)</f>
        <v>2458</v>
      </c>
    </row>
    <row r="16" spans="1:18" ht="15.75" thickBot="1" x14ac:dyDescent="0.3">
      <c r="A16" t="s">
        <v>180</v>
      </c>
      <c r="B16" s="101">
        <v>12</v>
      </c>
      <c r="C16" t="s">
        <v>207</v>
      </c>
      <c r="D16" s="17">
        <v>57</v>
      </c>
      <c r="E16" s="100">
        <v>90</v>
      </c>
      <c r="F16" s="100">
        <v>6</v>
      </c>
      <c r="G16" s="100">
        <v>18</v>
      </c>
      <c r="H16" s="89"/>
    </row>
    <row r="17" spans="1:14" ht="15.75" thickBot="1" x14ac:dyDescent="0.3">
      <c r="A17" t="s">
        <v>93</v>
      </c>
      <c r="B17" s="101">
        <v>0</v>
      </c>
      <c r="C17" t="s">
        <v>207</v>
      </c>
      <c r="D17" s="17">
        <v>64</v>
      </c>
      <c r="E17" s="100">
        <v>28</v>
      </c>
      <c r="F17" s="100">
        <v>1</v>
      </c>
      <c r="G17" s="100">
        <v>2</v>
      </c>
      <c r="H17" s="89"/>
      <c r="J17" s="26" t="s">
        <v>216</v>
      </c>
      <c r="K17" s="47" t="s">
        <v>211</v>
      </c>
      <c r="L17" s="48" t="s">
        <v>212</v>
      </c>
      <c r="M17" s="26" t="s">
        <v>217</v>
      </c>
    </row>
    <row r="18" spans="1:14" x14ac:dyDescent="0.25">
      <c r="A18" t="s">
        <v>156</v>
      </c>
      <c r="B18" s="101">
        <v>12</v>
      </c>
      <c r="C18" t="s">
        <v>208</v>
      </c>
      <c r="D18" s="17">
        <v>69</v>
      </c>
      <c r="E18" s="100">
        <v>44</v>
      </c>
      <c r="F18" s="100">
        <v>7</v>
      </c>
      <c r="G18" s="100">
        <v>13</v>
      </c>
      <c r="H18" s="89"/>
      <c r="J18" s="27" t="s">
        <v>236</v>
      </c>
      <c r="K18" s="56">
        <f t="shared" ref="K18:L20" si="3">((K4-K12)^2)/K12</f>
        <v>15.263522844377114</v>
      </c>
      <c r="L18" s="57">
        <f t="shared" si="3"/>
        <v>20.030681437352847</v>
      </c>
      <c r="M18" s="124">
        <f>SUM(K18:L20)</f>
        <v>84.160199190082096</v>
      </c>
    </row>
    <row r="19" spans="1:14" x14ac:dyDescent="0.25">
      <c r="A19" t="s">
        <v>156</v>
      </c>
      <c r="B19" s="101">
        <v>5</v>
      </c>
      <c r="C19" t="s">
        <v>208</v>
      </c>
      <c r="D19" s="17">
        <v>59</v>
      </c>
      <c r="E19" s="100">
        <v>52</v>
      </c>
      <c r="F19" s="100">
        <v>8</v>
      </c>
      <c r="G19" s="100">
        <v>17</v>
      </c>
      <c r="H19" s="89"/>
      <c r="J19" s="28" t="s">
        <v>237</v>
      </c>
      <c r="K19" s="58">
        <f t="shared" si="3"/>
        <v>20.411553244521372</v>
      </c>
      <c r="L19" s="59">
        <f t="shared" si="3"/>
        <v>26.786563288906226</v>
      </c>
      <c r="M19" s="125"/>
    </row>
    <row r="20" spans="1:14" ht="15.75" thickBot="1" x14ac:dyDescent="0.3">
      <c r="A20" t="s">
        <v>156</v>
      </c>
      <c r="B20" s="101">
        <v>6</v>
      </c>
      <c r="C20" t="s">
        <v>208</v>
      </c>
      <c r="D20" s="17">
        <v>64</v>
      </c>
      <c r="E20" s="100">
        <v>66</v>
      </c>
      <c r="F20" s="100">
        <v>4</v>
      </c>
      <c r="G20" s="100">
        <v>11</v>
      </c>
      <c r="H20" s="89"/>
      <c r="J20" s="52" t="s">
        <v>238</v>
      </c>
      <c r="K20" s="60">
        <f t="shared" si="3"/>
        <v>0.72129972031928258</v>
      </c>
      <c r="L20" s="61">
        <f t="shared" si="3"/>
        <v>0.94657865460526758</v>
      </c>
      <c r="M20" s="126"/>
    </row>
    <row r="21" spans="1:14" x14ac:dyDescent="0.25">
      <c r="A21" t="s">
        <v>156</v>
      </c>
      <c r="B21" s="101">
        <v>8</v>
      </c>
      <c r="C21" t="s">
        <v>208</v>
      </c>
      <c r="D21" s="17">
        <v>62</v>
      </c>
      <c r="E21" s="100">
        <v>84</v>
      </c>
      <c r="F21" s="100">
        <v>7</v>
      </c>
      <c r="G21" s="100">
        <v>14</v>
      </c>
      <c r="H21" s="89"/>
    </row>
    <row r="22" spans="1:14" x14ac:dyDescent="0.25">
      <c r="A22" t="s">
        <v>156</v>
      </c>
      <c r="B22" s="101">
        <v>9</v>
      </c>
      <c r="C22" t="s">
        <v>207</v>
      </c>
      <c r="D22" s="17">
        <v>61</v>
      </c>
      <c r="E22" s="100">
        <v>88</v>
      </c>
      <c r="F22" s="100">
        <v>1</v>
      </c>
      <c r="G22" s="100">
        <v>2</v>
      </c>
      <c r="H22" s="89"/>
      <c r="J22" s="44"/>
    </row>
    <row r="23" spans="1:14" x14ac:dyDescent="0.25">
      <c r="A23" t="s">
        <v>163</v>
      </c>
      <c r="B23" s="101">
        <v>12</v>
      </c>
      <c r="C23" t="s">
        <v>207</v>
      </c>
      <c r="D23" s="17">
        <v>53</v>
      </c>
      <c r="E23" s="100">
        <v>76</v>
      </c>
      <c r="F23" s="100">
        <v>3</v>
      </c>
      <c r="G23" s="100">
        <v>7</v>
      </c>
      <c r="H23" s="89"/>
      <c r="J23" s="44"/>
      <c r="K23" s="62"/>
    </row>
    <row r="24" spans="1:14" x14ac:dyDescent="0.25">
      <c r="A24" t="s">
        <v>164</v>
      </c>
      <c r="B24" s="101">
        <v>24</v>
      </c>
      <c r="C24" t="s">
        <v>208</v>
      </c>
      <c r="D24" s="17">
        <v>57</v>
      </c>
      <c r="E24" s="100">
        <v>76</v>
      </c>
      <c r="F24" s="100">
        <v>3</v>
      </c>
      <c r="G24" s="100">
        <v>12</v>
      </c>
      <c r="H24" s="89"/>
    </row>
    <row r="25" spans="1:14" x14ac:dyDescent="0.25">
      <c r="A25" t="s">
        <v>164</v>
      </c>
      <c r="B25" s="101">
        <v>32</v>
      </c>
      <c r="C25" t="s">
        <v>208</v>
      </c>
      <c r="D25" s="17">
        <v>50</v>
      </c>
      <c r="E25" s="100">
        <v>115</v>
      </c>
      <c r="F25" s="100">
        <v>7</v>
      </c>
      <c r="G25" s="100">
        <v>24</v>
      </c>
      <c r="H25" s="89"/>
    </row>
    <row r="26" spans="1:14" x14ac:dyDescent="0.25">
      <c r="A26" t="s">
        <v>164</v>
      </c>
      <c r="B26" s="101">
        <v>13</v>
      </c>
      <c r="C26" t="s">
        <v>207</v>
      </c>
      <c r="D26" s="17">
        <v>58</v>
      </c>
      <c r="E26" s="100">
        <v>40</v>
      </c>
      <c r="F26" s="100">
        <v>2</v>
      </c>
      <c r="G26" s="100">
        <v>7</v>
      </c>
      <c r="H26" s="89"/>
      <c r="J26" t="s">
        <v>287</v>
      </c>
    </row>
    <row r="27" spans="1:14" x14ac:dyDescent="0.25">
      <c r="A27" t="s">
        <v>189</v>
      </c>
      <c r="B27" s="101">
        <v>3</v>
      </c>
      <c r="C27" t="s">
        <v>207</v>
      </c>
      <c r="D27" s="17">
        <v>71</v>
      </c>
      <c r="E27" s="100">
        <v>18</v>
      </c>
      <c r="F27" s="100">
        <v>0</v>
      </c>
      <c r="G27" s="100">
        <v>0</v>
      </c>
      <c r="H27" s="89"/>
    </row>
    <row r="28" spans="1:14" x14ac:dyDescent="0.25">
      <c r="A28" t="s">
        <v>129</v>
      </c>
      <c r="B28" s="101">
        <v>6</v>
      </c>
      <c r="C28" t="s">
        <v>207</v>
      </c>
      <c r="D28" s="17">
        <v>62</v>
      </c>
      <c r="E28" s="100">
        <v>50</v>
      </c>
      <c r="F28" s="100">
        <v>1</v>
      </c>
      <c r="G28" s="100">
        <v>2</v>
      </c>
      <c r="H28" s="89"/>
    </row>
    <row r="29" spans="1:14" x14ac:dyDescent="0.25">
      <c r="A29" t="s">
        <v>129</v>
      </c>
      <c r="B29" s="101">
        <v>10</v>
      </c>
      <c r="C29" t="s">
        <v>208</v>
      </c>
      <c r="D29" s="17">
        <v>63</v>
      </c>
      <c r="E29" s="100">
        <v>65</v>
      </c>
      <c r="F29" s="100">
        <v>6</v>
      </c>
      <c r="G29" s="100">
        <v>14</v>
      </c>
      <c r="H29" s="89"/>
      <c r="J29" s="106" t="s">
        <v>218</v>
      </c>
      <c r="K29" s="120" t="s">
        <v>219</v>
      </c>
      <c r="L29" s="106" t="s">
        <v>220</v>
      </c>
      <c r="M29" s="106"/>
      <c r="N29" s="106"/>
    </row>
    <row r="30" spans="1:14" x14ac:dyDescent="0.25">
      <c r="A30" t="s">
        <v>144</v>
      </c>
      <c r="B30" s="101">
        <v>6</v>
      </c>
      <c r="C30" t="s">
        <v>208</v>
      </c>
      <c r="D30" s="17">
        <v>68</v>
      </c>
      <c r="E30" s="100">
        <v>70</v>
      </c>
      <c r="F30" s="100">
        <v>4</v>
      </c>
      <c r="G30" s="100">
        <v>9</v>
      </c>
      <c r="H30" s="89"/>
      <c r="J30" s="106"/>
      <c r="K30" s="120"/>
      <c r="L30" s="106"/>
      <c r="M30" s="106"/>
      <c r="N30" s="106"/>
    </row>
    <row r="31" spans="1:14" x14ac:dyDescent="0.25">
      <c r="A31" t="s">
        <v>144</v>
      </c>
      <c r="B31" s="101">
        <v>12</v>
      </c>
      <c r="C31" t="s">
        <v>207</v>
      </c>
      <c r="D31" s="17">
        <v>63</v>
      </c>
      <c r="E31" s="100">
        <v>90</v>
      </c>
      <c r="F31" s="100">
        <v>3</v>
      </c>
      <c r="G31" s="100">
        <v>4</v>
      </c>
      <c r="H31" s="89"/>
      <c r="J31" s="71" t="s">
        <v>221</v>
      </c>
      <c r="K31" s="72">
        <v>15.26</v>
      </c>
      <c r="L31" s="105" t="s">
        <v>222</v>
      </c>
      <c r="M31" s="105"/>
      <c r="N31" s="105"/>
    </row>
    <row r="32" spans="1:14" x14ac:dyDescent="0.25">
      <c r="A32" t="s">
        <v>166</v>
      </c>
      <c r="B32" s="101">
        <v>10</v>
      </c>
      <c r="C32" t="s">
        <v>207</v>
      </c>
      <c r="D32" s="17">
        <v>58</v>
      </c>
      <c r="E32" s="100">
        <v>82</v>
      </c>
      <c r="F32" s="100">
        <v>0</v>
      </c>
      <c r="G32" s="100">
        <v>0</v>
      </c>
      <c r="H32" s="89"/>
      <c r="J32" s="71" t="s">
        <v>223</v>
      </c>
      <c r="K32" s="72">
        <v>20.03</v>
      </c>
      <c r="L32" s="105" t="s">
        <v>224</v>
      </c>
      <c r="M32" s="105"/>
      <c r="N32" s="105"/>
    </row>
    <row r="33" spans="1:18" x14ac:dyDescent="0.25">
      <c r="A33" t="s">
        <v>112</v>
      </c>
      <c r="B33" s="101">
        <v>9</v>
      </c>
      <c r="C33" t="s">
        <v>207</v>
      </c>
      <c r="D33" s="17">
        <v>57</v>
      </c>
      <c r="E33" s="100">
        <v>81</v>
      </c>
      <c r="F33" s="100">
        <v>4</v>
      </c>
      <c r="G33" s="100">
        <v>13</v>
      </c>
      <c r="H33" s="89"/>
      <c r="J33" s="71" t="s">
        <v>225</v>
      </c>
      <c r="K33" s="72">
        <v>20.41</v>
      </c>
      <c r="L33" s="105" t="s">
        <v>226</v>
      </c>
      <c r="M33" s="105"/>
      <c r="N33" s="105"/>
    </row>
    <row r="34" spans="1:18" x14ac:dyDescent="0.25">
      <c r="A34" t="s">
        <v>121</v>
      </c>
      <c r="B34" s="101">
        <v>7</v>
      </c>
      <c r="C34" t="s">
        <v>207</v>
      </c>
      <c r="D34" s="17">
        <v>51</v>
      </c>
      <c r="E34" s="100">
        <v>62</v>
      </c>
      <c r="F34" s="100">
        <v>3</v>
      </c>
      <c r="G34" s="100">
        <v>5</v>
      </c>
      <c r="H34" s="89"/>
      <c r="J34" s="71" t="s">
        <v>227</v>
      </c>
      <c r="K34" s="72">
        <v>26.79</v>
      </c>
      <c r="L34" s="105" t="s">
        <v>228</v>
      </c>
      <c r="M34" s="105"/>
      <c r="N34" s="105"/>
    </row>
    <row r="35" spans="1:18" x14ac:dyDescent="0.25">
      <c r="A35" t="s">
        <v>121</v>
      </c>
      <c r="B35" s="101">
        <v>4</v>
      </c>
      <c r="C35" t="s">
        <v>208</v>
      </c>
      <c r="D35" s="17">
        <v>53</v>
      </c>
      <c r="E35" s="100">
        <v>50</v>
      </c>
      <c r="F35" s="100">
        <v>7</v>
      </c>
      <c r="G35" s="100">
        <v>12</v>
      </c>
      <c r="H35" s="89"/>
      <c r="J35" s="71" t="s">
        <v>229</v>
      </c>
      <c r="K35" s="72">
        <v>0.72</v>
      </c>
      <c r="L35" s="105" t="s">
        <v>230</v>
      </c>
      <c r="M35" s="105"/>
      <c r="N35" s="105"/>
    </row>
    <row r="36" spans="1:18" x14ac:dyDescent="0.25">
      <c r="A36" t="s">
        <v>121</v>
      </c>
      <c r="B36" s="101">
        <v>5</v>
      </c>
      <c r="C36" t="s">
        <v>207</v>
      </c>
      <c r="D36" s="17">
        <v>44</v>
      </c>
      <c r="E36" s="100">
        <v>42</v>
      </c>
      <c r="F36" s="100">
        <v>0</v>
      </c>
      <c r="G36" s="100">
        <v>2</v>
      </c>
      <c r="H36" s="89"/>
      <c r="J36" s="71" t="s">
        <v>231</v>
      </c>
      <c r="K36" s="72">
        <v>0.95</v>
      </c>
      <c r="L36" s="105" t="s">
        <v>232</v>
      </c>
      <c r="M36" s="105"/>
      <c r="N36" s="105"/>
    </row>
    <row r="37" spans="1:18" x14ac:dyDescent="0.25">
      <c r="A37" t="s">
        <v>134</v>
      </c>
      <c r="B37" s="101">
        <v>41</v>
      </c>
      <c r="C37" t="s">
        <v>207</v>
      </c>
      <c r="D37" s="17">
        <v>63</v>
      </c>
      <c r="E37" s="100">
        <v>145</v>
      </c>
      <c r="F37" s="100">
        <v>2</v>
      </c>
      <c r="G37" s="100">
        <v>25</v>
      </c>
      <c r="H37" s="89"/>
    </row>
    <row r="38" spans="1:18" x14ac:dyDescent="0.25">
      <c r="A38" t="s">
        <v>173</v>
      </c>
      <c r="B38" s="101">
        <v>5</v>
      </c>
      <c r="C38" t="s">
        <v>207</v>
      </c>
      <c r="D38" s="17">
        <v>56</v>
      </c>
      <c r="E38" s="100">
        <v>68</v>
      </c>
      <c r="F38" s="100">
        <v>3</v>
      </c>
      <c r="G38" s="100">
        <v>6</v>
      </c>
      <c r="H38" s="89"/>
      <c r="J38" t="s">
        <v>285</v>
      </c>
    </row>
    <row r="39" spans="1:18" x14ac:dyDescent="0.25">
      <c r="A39" t="s">
        <v>95</v>
      </c>
      <c r="B39" s="101">
        <v>2</v>
      </c>
      <c r="C39" t="s">
        <v>208</v>
      </c>
      <c r="D39" s="17">
        <v>53</v>
      </c>
      <c r="E39" s="100">
        <v>49</v>
      </c>
      <c r="F39" s="100">
        <v>8</v>
      </c>
      <c r="G39" s="100">
        <v>12</v>
      </c>
      <c r="H39" s="89"/>
      <c r="J39" t="s">
        <v>286</v>
      </c>
    </row>
    <row r="40" spans="1:18" x14ac:dyDescent="0.25">
      <c r="A40" t="s">
        <v>95</v>
      </c>
      <c r="B40" s="101">
        <v>0</v>
      </c>
      <c r="C40" t="s">
        <v>208</v>
      </c>
      <c r="D40" s="17">
        <v>68</v>
      </c>
      <c r="E40" s="100">
        <v>74</v>
      </c>
      <c r="F40" s="100">
        <v>9</v>
      </c>
      <c r="G40" s="100">
        <v>17</v>
      </c>
      <c r="H40" s="89"/>
    </row>
    <row r="41" spans="1:18" x14ac:dyDescent="0.25">
      <c r="A41" t="s">
        <v>95</v>
      </c>
      <c r="B41" s="101">
        <v>2</v>
      </c>
      <c r="C41" t="s">
        <v>208</v>
      </c>
      <c r="D41" s="17">
        <v>72</v>
      </c>
      <c r="E41" s="100">
        <v>61</v>
      </c>
      <c r="F41" s="100">
        <v>5</v>
      </c>
      <c r="G41" s="100">
        <v>11</v>
      </c>
      <c r="H41" s="89"/>
      <c r="J41" t="s">
        <v>235</v>
      </c>
      <c r="K41" s="21">
        <f>AVERAGE(Tabella5[FirstServer])</f>
        <v>61.384920634920633</v>
      </c>
    </row>
    <row r="42" spans="1:18" x14ac:dyDescent="0.25">
      <c r="A42" t="s">
        <v>95</v>
      </c>
      <c r="B42" s="101">
        <v>3</v>
      </c>
      <c r="C42" t="s">
        <v>208</v>
      </c>
      <c r="D42" s="17">
        <v>63</v>
      </c>
      <c r="E42" s="100">
        <v>79</v>
      </c>
      <c r="F42" s="100">
        <v>9</v>
      </c>
      <c r="G42" s="100">
        <v>19</v>
      </c>
      <c r="H42" s="89"/>
      <c r="J42" s="111" t="s">
        <v>243</v>
      </c>
      <c r="K42" s="111"/>
      <c r="L42" s="111"/>
      <c r="M42" s="111"/>
      <c r="N42" s="111"/>
    </row>
    <row r="43" spans="1:18" ht="15.75" thickBot="1" x14ac:dyDescent="0.3">
      <c r="A43" t="s">
        <v>95</v>
      </c>
      <c r="B43" s="101">
        <v>2</v>
      </c>
      <c r="C43" t="s">
        <v>207</v>
      </c>
      <c r="D43" s="17">
        <v>61</v>
      </c>
      <c r="E43" s="100">
        <v>69</v>
      </c>
      <c r="F43" s="100">
        <v>3</v>
      </c>
      <c r="G43" s="100">
        <v>12</v>
      </c>
      <c r="H43" s="89"/>
      <c r="J43" s="112" t="s">
        <v>245</v>
      </c>
      <c r="K43" s="112"/>
      <c r="L43" s="112"/>
      <c r="M43" s="112"/>
    </row>
    <row r="44" spans="1:18" ht="15.75" thickBot="1" x14ac:dyDescent="0.3">
      <c r="A44" t="s">
        <v>78</v>
      </c>
      <c r="B44" s="101">
        <v>3</v>
      </c>
      <c r="C44" t="s">
        <v>207</v>
      </c>
      <c r="D44" s="17">
        <v>64</v>
      </c>
      <c r="E44" s="100">
        <v>38</v>
      </c>
      <c r="F44" s="100">
        <v>3</v>
      </c>
      <c r="G44" s="100">
        <v>7</v>
      </c>
      <c r="H44" s="89"/>
      <c r="J44" s="73"/>
      <c r="K44" s="74" t="s">
        <v>211</v>
      </c>
      <c r="L44" s="43" t="s">
        <v>212</v>
      </c>
      <c r="M44" s="30" t="s">
        <v>190</v>
      </c>
      <c r="O44" s="76" t="s">
        <v>213</v>
      </c>
      <c r="P44" s="74" t="s">
        <v>211</v>
      </c>
      <c r="Q44" s="43" t="s">
        <v>212</v>
      </c>
      <c r="R44" s="30" t="s">
        <v>190</v>
      </c>
    </row>
    <row r="45" spans="1:18" x14ac:dyDescent="0.25">
      <c r="A45" t="s">
        <v>67</v>
      </c>
      <c r="B45" s="101">
        <v>5</v>
      </c>
      <c r="C45" t="s">
        <v>207</v>
      </c>
      <c r="D45" s="17">
        <v>65</v>
      </c>
      <c r="E45" s="100">
        <v>51</v>
      </c>
      <c r="F45" s="100">
        <v>1</v>
      </c>
      <c r="G45" s="100">
        <v>1</v>
      </c>
      <c r="H45" s="89"/>
      <c r="J45" s="28" t="s">
        <v>239</v>
      </c>
      <c r="K45" s="33">
        <f>COUNTIFS(Tabella5[FirstServer],"&lt;55",Tabella5[Vittoria],"si")</f>
        <v>17</v>
      </c>
      <c r="L45" s="34">
        <f>COUNTIFS(Tabella5[FirstServer],"&lt;55",Tabella5[Vittoria],"no")</f>
        <v>29</v>
      </c>
      <c r="M45" s="35">
        <f>SUM(K45:L45)</f>
        <v>46</v>
      </c>
      <c r="O45" s="28" t="s">
        <v>239</v>
      </c>
      <c r="P45" s="63">
        <f>K45/M45</f>
        <v>0.36956521739130432</v>
      </c>
      <c r="Q45" s="64">
        <f>1-P45</f>
        <v>0.63043478260869568</v>
      </c>
      <c r="R45" s="65">
        <f>SUM(P45:Q45)</f>
        <v>1</v>
      </c>
    </row>
    <row r="46" spans="1:18" x14ac:dyDescent="0.25">
      <c r="A46" t="s">
        <v>67</v>
      </c>
      <c r="B46" s="101">
        <v>9</v>
      </c>
      <c r="C46" t="s">
        <v>208</v>
      </c>
      <c r="D46" s="17">
        <v>77</v>
      </c>
      <c r="E46" s="100">
        <v>72</v>
      </c>
      <c r="F46" s="100">
        <v>4</v>
      </c>
      <c r="G46" s="100">
        <v>13</v>
      </c>
      <c r="H46" s="89"/>
      <c r="J46" s="28" t="s">
        <v>240</v>
      </c>
      <c r="K46" s="36">
        <f>COUNTIFS(Tabella5[FirstServer],"&gt;54",Tabella5[Vittoria],"si",Tabella5[FirstServer],"&lt;65")</f>
        <v>67</v>
      </c>
      <c r="L46" s="37">
        <f>COUNTIFS(Tabella5[FirstServer],"&gt;54",Tabella5[Vittoria],"no",Tabella5[FirstServer],"&lt;65")</f>
        <v>62</v>
      </c>
      <c r="M46" s="38">
        <f>SUM(K46:L46)</f>
        <v>129</v>
      </c>
      <c r="O46" s="28" t="s">
        <v>240</v>
      </c>
      <c r="P46" s="63">
        <f>K46/M46</f>
        <v>0.51937984496124034</v>
      </c>
      <c r="Q46" s="64">
        <f t="shared" ref="Q46:Q47" si="4">1-P46</f>
        <v>0.48062015503875966</v>
      </c>
      <c r="R46" s="66">
        <f>SUM(P46:Q46)</f>
        <v>1</v>
      </c>
    </row>
    <row r="47" spans="1:18" ht="15.75" thickBot="1" x14ac:dyDescent="0.3">
      <c r="A47" t="s">
        <v>67</v>
      </c>
      <c r="B47" s="101">
        <v>14</v>
      </c>
      <c r="C47" t="s">
        <v>208</v>
      </c>
      <c r="D47" s="17">
        <v>54</v>
      </c>
      <c r="E47" s="100">
        <v>83</v>
      </c>
      <c r="F47" s="100">
        <v>5</v>
      </c>
      <c r="G47" s="100">
        <v>8</v>
      </c>
      <c r="H47" s="89"/>
      <c r="J47" s="31" t="s">
        <v>241</v>
      </c>
      <c r="K47" s="39">
        <f>COUNTIFS(Tabella5[FirstServer],"&gt;64",Tabella5[Vittoria],"si")</f>
        <v>42</v>
      </c>
      <c r="L47" s="40">
        <f>COUNTIFS(Tabella5[FirstServer],"&gt;64",Tabella5[Vittoria],"no")</f>
        <v>35</v>
      </c>
      <c r="M47" s="41">
        <f>SUM(K47:L47)</f>
        <v>77</v>
      </c>
      <c r="O47" s="52" t="s">
        <v>241</v>
      </c>
      <c r="P47" s="68">
        <f>K47/M47</f>
        <v>0.54545454545454541</v>
      </c>
      <c r="Q47" s="69">
        <f t="shared" si="4"/>
        <v>0.45454545454545459</v>
      </c>
      <c r="R47" s="70">
        <f>SUM(P47:Q47)</f>
        <v>1</v>
      </c>
    </row>
    <row r="48" spans="1:18" ht="15.75" thickBot="1" x14ac:dyDescent="0.3">
      <c r="A48" t="s">
        <v>107</v>
      </c>
      <c r="B48" s="101">
        <v>1</v>
      </c>
      <c r="C48" t="s">
        <v>207</v>
      </c>
      <c r="D48" s="17">
        <v>59</v>
      </c>
      <c r="E48" s="100">
        <v>53</v>
      </c>
      <c r="F48" s="100">
        <v>1</v>
      </c>
      <c r="G48" s="100">
        <v>3</v>
      </c>
      <c r="H48" s="89"/>
      <c r="J48" s="75" t="s">
        <v>190</v>
      </c>
      <c r="K48" s="74">
        <f>SUM(K45:K47)</f>
        <v>126</v>
      </c>
      <c r="L48" s="43">
        <f>SUM(L45:L47)</f>
        <v>126</v>
      </c>
      <c r="M48" s="30">
        <f>SUM(M45:M47)</f>
        <v>252</v>
      </c>
    </row>
    <row r="49" spans="1:13" x14ac:dyDescent="0.25">
      <c r="A49" t="s">
        <v>122</v>
      </c>
      <c r="B49" s="101">
        <v>3</v>
      </c>
      <c r="C49" t="s">
        <v>207</v>
      </c>
      <c r="D49" s="17">
        <v>60</v>
      </c>
      <c r="E49" s="100">
        <v>75</v>
      </c>
      <c r="F49" s="100">
        <v>2</v>
      </c>
      <c r="G49" s="100">
        <v>13</v>
      </c>
      <c r="H49" s="89"/>
    </row>
    <row r="50" spans="1:13" x14ac:dyDescent="0.25">
      <c r="A50" t="s">
        <v>68</v>
      </c>
      <c r="B50" s="101">
        <v>8</v>
      </c>
      <c r="C50" t="s">
        <v>208</v>
      </c>
      <c r="D50" s="17">
        <v>53</v>
      </c>
      <c r="E50" s="100">
        <v>63</v>
      </c>
      <c r="F50" s="100">
        <v>6</v>
      </c>
      <c r="G50" s="100">
        <v>9</v>
      </c>
      <c r="H50" s="89"/>
      <c r="J50" s="44" t="s">
        <v>215</v>
      </c>
      <c r="K50" s="53">
        <f>K48/M48</f>
        <v>0.5</v>
      </c>
      <c r="L50" s="53">
        <f>L48/M48</f>
        <v>0.5</v>
      </c>
    </row>
    <row r="51" spans="1:13" ht="15.75" thickBot="1" x14ac:dyDescent="0.3">
      <c r="A51" t="s">
        <v>68</v>
      </c>
      <c r="B51" s="101">
        <v>5</v>
      </c>
      <c r="C51" t="s">
        <v>207</v>
      </c>
      <c r="D51" s="17">
        <v>53</v>
      </c>
      <c r="E51" s="100">
        <v>71</v>
      </c>
      <c r="F51" s="100">
        <v>3</v>
      </c>
      <c r="G51" s="100">
        <v>10</v>
      </c>
      <c r="H51" s="89"/>
      <c r="J51" s="112" t="s">
        <v>303</v>
      </c>
      <c r="K51" s="112"/>
      <c r="L51" s="112"/>
      <c r="M51" s="112"/>
    </row>
    <row r="52" spans="1:13" ht="15.75" thickBot="1" x14ac:dyDescent="0.3">
      <c r="A52" t="s">
        <v>114</v>
      </c>
      <c r="B52" s="101">
        <v>20</v>
      </c>
      <c r="C52" t="s">
        <v>208</v>
      </c>
      <c r="D52" s="17">
        <v>55</v>
      </c>
      <c r="E52" s="100">
        <v>91</v>
      </c>
      <c r="F52" s="100">
        <v>5</v>
      </c>
      <c r="G52" s="100">
        <v>12</v>
      </c>
      <c r="H52" s="89"/>
      <c r="J52" s="73"/>
      <c r="K52" s="74" t="s">
        <v>211</v>
      </c>
      <c r="L52" s="43" t="s">
        <v>212</v>
      </c>
      <c r="M52" s="30" t="s">
        <v>190</v>
      </c>
    </row>
    <row r="53" spans="1:13" x14ac:dyDescent="0.25">
      <c r="A53" t="s">
        <v>114</v>
      </c>
      <c r="B53" s="101">
        <v>10</v>
      </c>
      <c r="C53" t="s">
        <v>207</v>
      </c>
      <c r="D53" s="17">
        <v>59</v>
      </c>
      <c r="E53" s="100">
        <v>50</v>
      </c>
      <c r="F53" s="100">
        <v>0</v>
      </c>
      <c r="G53" s="100">
        <v>2</v>
      </c>
      <c r="H53" s="89"/>
      <c r="J53" s="28" t="s">
        <v>239</v>
      </c>
      <c r="K53" s="33">
        <f>M45*$K$50</f>
        <v>23</v>
      </c>
      <c r="L53" s="34">
        <f>M45-K53</f>
        <v>23</v>
      </c>
      <c r="M53" s="35">
        <f>SUM(K53:L53)</f>
        <v>46</v>
      </c>
    </row>
    <row r="54" spans="1:13" x14ac:dyDescent="0.25">
      <c r="A54" t="s">
        <v>179</v>
      </c>
      <c r="B54" s="101">
        <v>1</v>
      </c>
      <c r="C54" t="s">
        <v>207</v>
      </c>
      <c r="D54" s="17">
        <v>64</v>
      </c>
      <c r="E54" s="100">
        <v>30</v>
      </c>
      <c r="F54" s="100">
        <v>1</v>
      </c>
      <c r="G54" s="100">
        <v>4</v>
      </c>
      <c r="H54" s="89"/>
      <c r="J54" s="28" t="s">
        <v>240</v>
      </c>
      <c r="K54" s="33">
        <f t="shared" ref="K54:K55" si="5">M46*$K$50</f>
        <v>64.5</v>
      </c>
      <c r="L54" s="34">
        <f t="shared" ref="L54:L55" si="6">M46-K54</f>
        <v>64.5</v>
      </c>
      <c r="M54" s="38">
        <f>SUM(K54:L54)</f>
        <v>129</v>
      </c>
    </row>
    <row r="55" spans="1:13" ht="15.75" thickBot="1" x14ac:dyDescent="0.3">
      <c r="A55" t="s">
        <v>179</v>
      </c>
      <c r="B55" s="101">
        <v>0</v>
      </c>
      <c r="C55" t="s">
        <v>208</v>
      </c>
      <c r="D55" s="17">
        <v>73</v>
      </c>
      <c r="E55" s="100">
        <v>74</v>
      </c>
      <c r="F55" s="100">
        <v>2</v>
      </c>
      <c r="G55" s="100">
        <v>7</v>
      </c>
      <c r="H55" s="89"/>
      <c r="J55" s="31" t="s">
        <v>241</v>
      </c>
      <c r="K55" s="33">
        <f t="shared" si="5"/>
        <v>38.5</v>
      </c>
      <c r="L55" s="34">
        <f t="shared" si="6"/>
        <v>38.5</v>
      </c>
      <c r="M55" s="41">
        <f>SUM(K55:L55)</f>
        <v>77</v>
      </c>
    </row>
    <row r="56" spans="1:13" ht="15.75" thickBot="1" x14ac:dyDescent="0.3">
      <c r="A56" t="s">
        <v>179</v>
      </c>
      <c r="B56" s="101">
        <v>6</v>
      </c>
      <c r="C56" t="s">
        <v>208</v>
      </c>
      <c r="D56" s="17">
        <v>61</v>
      </c>
      <c r="E56" s="100">
        <v>100</v>
      </c>
      <c r="F56" s="100">
        <v>6</v>
      </c>
      <c r="G56" s="100">
        <v>15</v>
      </c>
      <c r="H56" s="89"/>
      <c r="J56" s="75" t="s">
        <v>190</v>
      </c>
      <c r="K56" s="74">
        <f>SUM(K53:K55)</f>
        <v>126</v>
      </c>
      <c r="L56" s="43">
        <f>SUM(L53:L55)</f>
        <v>126</v>
      </c>
      <c r="M56" s="30">
        <f>SUM(M53:M55)</f>
        <v>252</v>
      </c>
    </row>
    <row r="57" spans="1:13" ht="15.75" thickBot="1" x14ac:dyDescent="0.3">
      <c r="A57" t="s">
        <v>74</v>
      </c>
      <c r="B57" s="101">
        <v>5</v>
      </c>
      <c r="C57" t="s">
        <v>207</v>
      </c>
      <c r="D57" s="17">
        <v>68</v>
      </c>
      <c r="E57" s="100">
        <v>97</v>
      </c>
      <c r="F57" s="100">
        <v>9</v>
      </c>
      <c r="G57" s="100">
        <v>17</v>
      </c>
      <c r="H57" s="89"/>
    </row>
    <row r="58" spans="1:13" ht="15.75" thickBot="1" x14ac:dyDescent="0.3">
      <c r="A58" t="s">
        <v>176</v>
      </c>
      <c r="B58" s="101">
        <v>7</v>
      </c>
      <c r="C58" t="s">
        <v>208</v>
      </c>
      <c r="D58" s="17">
        <v>61</v>
      </c>
      <c r="E58" s="100">
        <v>83</v>
      </c>
      <c r="F58" s="100">
        <v>5</v>
      </c>
      <c r="G58" s="100">
        <v>10</v>
      </c>
      <c r="H58" s="89"/>
      <c r="J58" s="26" t="s">
        <v>216</v>
      </c>
      <c r="K58" s="47" t="s">
        <v>211</v>
      </c>
      <c r="L58" s="48" t="s">
        <v>212</v>
      </c>
      <c r="M58" s="26" t="s">
        <v>217</v>
      </c>
    </row>
    <row r="59" spans="1:13" x14ac:dyDescent="0.25">
      <c r="A59" t="s">
        <v>176</v>
      </c>
      <c r="B59" s="101">
        <v>7</v>
      </c>
      <c r="C59" t="s">
        <v>207</v>
      </c>
      <c r="D59" s="17">
        <v>70</v>
      </c>
      <c r="E59" s="100">
        <v>45</v>
      </c>
      <c r="F59" s="100">
        <v>1</v>
      </c>
      <c r="G59" s="100">
        <v>5</v>
      </c>
      <c r="H59" s="89"/>
      <c r="J59" s="45" t="s">
        <v>198</v>
      </c>
      <c r="K59" s="56">
        <f t="shared" ref="K59:L61" si="7">((K45-K53)^2)/K53</f>
        <v>1.5652173913043479</v>
      </c>
      <c r="L59" s="57">
        <f t="shared" si="7"/>
        <v>1.5652173913043479</v>
      </c>
      <c r="M59" s="121">
        <f>SUM(K59:L61)</f>
        <v>3.9605968685847359</v>
      </c>
    </row>
    <row r="60" spans="1:13" x14ac:dyDescent="0.25">
      <c r="A60" t="s">
        <v>113</v>
      </c>
      <c r="B60" s="101">
        <v>11</v>
      </c>
      <c r="C60" t="s">
        <v>208</v>
      </c>
      <c r="D60" s="17">
        <v>57</v>
      </c>
      <c r="E60" s="100">
        <v>77</v>
      </c>
      <c r="F60" s="100">
        <v>7</v>
      </c>
      <c r="G60" s="100">
        <v>17</v>
      </c>
      <c r="H60" s="89"/>
      <c r="J60" s="46" t="s">
        <v>199</v>
      </c>
      <c r="K60" s="58">
        <f t="shared" si="7"/>
        <v>9.6899224806201556E-2</v>
      </c>
      <c r="L60" s="59">
        <f t="shared" si="7"/>
        <v>9.6899224806201556E-2</v>
      </c>
      <c r="M60" s="122"/>
    </row>
    <row r="61" spans="1:13" ht="15.75" thickBot="1" x14ac:dyDescent="0.3">
      <c r="A61" t="s">
        <v>113</v>
      </c>
      <c r="B61" s="101">
        <v>6</v>
      </c>
      <c r="C61" t="s">
        <v>208</v>
      </c>
      <c r="D61" s="17">
        <v>65</v>
      </c>
      <c r="E61" s="100">
        <v>99</v>
      </c>
      <c r="F61" s="100">
        <v>7</v>
      </c>
      <c r="G61" s="100">
        <v>16</v>
      </c>
      <c r="H61" s="89"/>
      <c r="J61" s="51" t="s">
        <v>200</v>
      </c>
      <c r="K61" s="60">
        <f t="shared" si="7"/>
        <v>0.31818181818181818</v>
      </c>
      <c r="L61" s="61">
        <f t="shared" si="7"/>
        <v>0.31818181818181818</v>
      </c>
      <c r="M61" s="123"/>
    </row>
    <row r="62" spans="1:13" x14ac:dyDescent="0.25">
      <c r="A62" t="s">
        <v>113</v>
      </c>
      <c r="B62" s="101">
        <v>8</v>
      </c>
      <c r="C62" t="s">
        <v>207</v>
      </c>
      <c r="D62" s="17">
        <v>74</v>
      </c>
      <c r="E62" s="100">
        <v>114</v>
      </c>
      <c r="F62" s="100">
        <v>3</v>
      </c>
      <c r="G62" s="100">
        <v>7</v>
      </c>
      <c r="H62" s="89"/>
    </row>
    <row r="63" spans="1:13" x14ac:dyDescent="0.25">
      <c r="A63" t="s">
        <v>71</v>
      </c>
      <c r="B63" s="101">
        <v>17</v>
      </c>
      <c r="C63" t="s">
        <v>208</v>
      </c>
      <c r="D63" s="17">
        <v>53</v>
      </c>
      <c r="E63" s="100">
        <v>91</v>
      </c>
      <c r="F63" s="100">
        <v>3</v>
      </c>
      <c r="G63" s="100">
        <v>5</v>
      </c>
      <c r="H63" s="89"/>
      <c r="J63" t="s">
        <v>246</v>
      </c>
    </row>
    <row r="64" spans="1:13" x14ac:dyDescent="0.25">
      <c r="A64" t="s">
        <v>71</v>
      </c>
      <c r="B64" s="101">
        <v>7</v>
      </c>
      <c r="C64" t="s">
        <v>207</v>
      </c>
      <c r="D64" s="17">
        <v>46</v>
      </c>
      <c r="E64" s="100">
        <v>44</v>
      </c>
      <c r="F64" s="100">
        <v>1</v>
      </c>
      <c r="G64" s="100">
        <v>3</v>
      </c>
      <c r="H64" s="89"/>
      <c r="J64" t="s">
        <v>247</v>
      </c>
    </row>
    <row r="65" spans="1:16" x14ac:dyDescent="0.25">
      <c r="A65" t="s">
        <v>76</v>
      </c>
      <c r="B65" s="101">
        <v>3</v>
      </c>
      <c r="C65" t="s">
        <v>208</v>
      </c>
      <c r="D65" s="17">
        <v>47</v>
      </c>
      <c r="E65" s="100">
        <v>33</v>
      </c>
      <c r="F65" s="100">
        <v>6</v>
      </c>
      <c r="G65" s="100">
        <v>20</v>
      </c>
      <c r="H65" s="89"/>
      <c r="J65" t="s">
        <v>248</v>
      </c>
    </row>
    <row r="66" spans="1:16" x14ac:dyDescent="0.25">
      <c r="A66" t="s">
        <v>76</v>
      </c>
      <c r="B66" s="101">
        <v>9</v>
      </c>
      <c r="C66" t="s">
        <v>208</v>
      </c>
      <c r="D66" s="17">
        <v>58</v>
      </c>
      <c r="E66" s="100">
        <v>92</v>
      </c>
      <c r="F66" s="100">
        <v>5</v>
      </c>
      <c r="G66" s="100">
        <v>15</v>
      </c>
      <c r="H66" s="89"/>
    </row>
    <row r="67" spans="1:16" x14ac:dyDescent="0.25">
      <c r="A67" t="s">
        <v>76</v>
      </c>
      <c r="B67" s="101">
        <v>9</v>
      </c>
      <c r="C67" t="s">
        <v>208</v>
      </c>
      <c r="D67" s="17">
        <v>60</v>
      </c>
      <c r="E67" s="100">
        <v>67</v>
      </c>
      <c r="F67" s="100">
        <v>4</v>
      </c>
      <c r="G67" s="100">
        <v>10</v>
      </c>
      <c r="H67" s="89"/>
      <c r="J67" s="111" t="s">
        <v>244</v>
      </c>
      <c r="K67" s="111"/>
      <c r="L67" s="111"/>
      <c r="M67" s="111"/>
      <c r="N67" s="111"/>
    </row>
    <row r="68" spans="1:16" ht="15.75" thickBot="1" x14ac:dyDescent="0.3">
      <c r="A68" t="s">
        <v>76</v>
      </c>
      <c r="B68" s="101">
        <v>3</v>
      </c>
      <c r="C68" t="s">
        <v>207</v>
      </c>
      <c r="D68" s="17">
        <v>59</v>
      </c>
      <c r="E68" s="100">
        <v>45</v>
      </c>
      <c r="F68" s="100">
        <v>0</v>
      </c>
      <c r="G68" s="100">
        <v>0</v>
      </c>
      <c r="H68" s="89"/>
      <c r="J68" s="112" t="s">
        <v>245</v>
      </c>
      <c r="K68" s="112"/>
      <c r="L68" s="112"/>
      <c r="M68" s="112"/>
      <c r="N68" s="112"/>
    </row>
    <row r="69" spans="1:16" ht="15.75" thickBot="1" x14ac:dyDescent="0.3">
      <c r="A69" t="s">
        <v>145</v>
      </c>
      <c r="B69" s="101">
        <v>4</v>
      </c>
      <c r="C69" t="s">
        <v>207</v>
      </c>
      <c r="D69" s="17">
        <v>63</v>
      </c>
      <c r="E69" s="100">
        <v>54</v>
      </c>
      <c r="F69" s="100">
        <v>0</v>
      </c>
      <c r="G69" s="100">
        <v>8</v>
      </c>
      <c r="H69" s="89"/>
      <c r="J69" s="79" t="s">
        <v>249</v>
      </c>
      <c r="K69" s="83" t="s">
        <v>236</v>
      </c>
      <c r="L69" s="84" t="s">
        <v>237</v>
      </c>
      <c r="M69" s="85" t="s">
        <v>238</v>
      </c>
      <c r="N69" s="30" t="s">
        <v>190</v>
      </c>
    </row>
    <row r="70" spans="1:16" x14ac:dyDescent="0.25">
      <c r="A70" t="s">
        <v>151</v>
      </c>
      <c r="B70" s="101">
        <v>12</v>
      </c>
      <c r="C70" t="s">
        <v>208</v>
      </c>
      <c r="D70" s="17">
        <v>65</v>
      </c>
      <c r="E70" s="100">
        <v>68</v>
      </c>
      <c r="F70" s="100">
        <v>4</v>
      </c>
      <c r="G70" s="100">
        <v>7</v>
      </c>
      <c r="H70" s="89"/>
      <c r="J70" s="80" t="s">
        <v>239</v>
      </c>
      <c r="K70" s="33">
        <f>COUNTIFS(Tabella5[FirstServer],"&lt;55",Tabella5[Aces],"&lt;15")</f>
        <v>38</v>
      </c>
      <c r="L70" s="82">
        <f>COUNTIFS(Tabella5[FirstServer],"&lt;55",Tabella5[Aces],"&lt;26",Tabella5[Aces],"&gt;14")</f>
        <v>6</v>
      </c>
      <c r="M70" s="34">
        <f>COUNTIFS(Tabella5[FirstServer],"&lt;55",Tabella5[Aces],"&gt;25")</f>
        <v>2</v>
      </c>
      <c r="N70" s="86">
        <f>SUM(K70:M70)</f>
        <v>46</v>
      </c>
      <c r="P70" s="53"/>
    </row>
    <row r="71" spans="1:16" x14ac:dyDescent="0.25">
      <c r="A71" t="s">
        <v>151</v>
      </c>
      <c r="B71" s="101">
        <v>8</v>
      </c>
      <c r="C71" t="s">
        <v>208</v>
      </c>
      <c r="D71" s="17">
        <v>62</v>
      </c>
      <c r="E71" s="100">
        <v>68</v>
      </c>
      <c r="F71" s="100">
        <v>4</v>
      </c>
      <c r="G71" s="100">
        <v>11</v>
      </c>
      <c r="H71" s="89"/>
      <c r="J71" s="81" t="s">
        <v>240</v>
      </c>
      <c r="K71" s="36">
        <f>COUNTIFS(Tabella5[FirstServer],"&gt;54",Tabella5[Aces],"&lt;15",Tabella5[FirstServer],"&lt;65")</f>
        <v>98</v>
      </c>
      <c r="L71" s="2">
        <f>COUNTIFS(Tabella5[FirstServer],"&gt;54",Tabella5[Aces],"&lt;26",Tabella5[Aces],"&gt;14",Tabella5[FirstServer],"&lt;65")</f>
        <v>27</v>
      </c>
      <c r="M71" s="37">
        <f>COUNTIFS(Tabella5[FirstServer],"&gt;54",Tabella5[Aces],"&gt;25",Tabella5[FirstServer],"&lt;65")</f>
        <v>4</v>
      </c>
      <c r="N71" s="86">
        <f>SUM(K71:M71)</f>
        <v>129</v>
      </c>
      <c r="P71" s="53"/>
    </row>
    <row r="72" spans="1:16" ht="15.75" thickBot="1" x14ac:dyDescent="0.3">
      <c r="A72" t="s">
        <v>151</v>
      </c>
      <c r="B72" s="101">
        <v>8</v>
      </c>
      <c r="C72" t="s">
        <v>207</v>
      </c>
      <c r="D72" s="17">
        <v>57</v>
      </c>
      <c r="E72" s="100">
        <v>59</v>
      </c>
      <c r="F72" s="100">
        <v>1</v>
      </c>
      <c r="G72" s="100">
        <v>1</v>
      </c>
      <c r="H72" s="89"/>
      <c r="J72" s="81" t="s">
        <v>241</v>
      </c>
      <c r="K72" s="39">
        <f>COUNTIFS(Tabella5[FirstServer],"&gt;64",Tabella5[Aces],"&lt;15")</f>
        <v>62</v>
      </c>
      <c r="L72" s="87">
        <f>COUNTIFS(Tabella5[FirstServer],"&gt;64",Tabella5[Aces],"&lt;26",Tabella5[Aces],"&gt;14")</f>
        <v>13</v>
      </c>
      <c r="M72" s="40">
        <f>COUNTIFS(Tabella5[FirstServer],"&gt;64",Tabella5[Aces],"&gt;25")</f>
        <v>2</v>
      </c>
      <c r="N72" s="86">
        <f>SUM(K72:M72)</f>
        <v>77</v>
      </c>
      <c r="P72" s="53"/>
    </row>
    <row r="73" spans="1:16" ht="15.75" thickBot="1" x14ac:dyDescent="0.3">
      <c r="A73" t="s">
        <v>132</v>
      </c>
      <c r="B73" s="101">
        <v>20</v>
      </c>
      <c r="C73" t="s">
        <v>208</v>
      </c>
      <c r="D73" s="17">
        <v>61</v>
      </c>
      <c r="E73" s="100">
        <v>83</v>
      </c>
      <c r="F73" s="100">
        <v>5</v>
      </c>
      <c r="G73" s="100">
        <v>14</v>
      </c>
      <c r="H73" s="89"/>
      <c r="J73" s="75" t="s">
        <v>190</v>
      </c>
      <c r="K73" s="88">
        <f>SUM(K70:K72)</f>
        <v>198</v>
      </c>
      <c r="L73" s="88">
        <f>SUM(L70:L72)</f>
        <v>46</v>
      </c>
      <c r="M73" s="88">
        <f>SUM(M70:M72)</f>
        <v>8</v>
      </c>
      <c r="N73" s="30">
        <f>SUM(N70:N72)</f>
        <v>252</v>
      </c>
      <c r="P73" s="90"/>
    </row>
    <row r="74" spans="1:16" x14ac:dyDescent="0.25">
      <c r="A74" t="s">
        <v>132</v>
      </c>
      <c r="B74" s="101">
        <v>12</v>
      </c>
      <c r="C74" t="s">
        <v>207</v>
      </c>
      <c r="D74" s="17">
        <v>60</v>
      </c>
      <c r="E74" s="100">
        <v>101</v>
      </c>
      <c r="F74" s="100">
        <v>6</v>
      </c>
      <c r="G74" s="100">
        <v>10</v>
      </c>
      <c r="H74" s="89"/>
    </row>
    <row r="75" spans="1:16" x14ac:dyDescent="0.25">
      <c r="A75" t="s">
        <v>141</v>
      </c>
      <c r="B75" s="101">
        <v>2</v>
      </c>
      <c r="C75" t="s">
        <v>207</v>
      </c>
      <c r="D75" s="17">
        <v>57</v>
      </c>
      <c r="E75" s="100">
        <v>55</v>
      </c>
      <c r="F75" s="100">
        <v>1</v>
      </c>
      <c r="G75" s="100">
        <v>2</v>
      </c>
      <c r="H75" s="89"/>
      <c r="K75" s="53"/>
      <c r="L75" s="53"/>
      <c r="M75" s="53"/>
    </row>
    <row r="76" spans="1:16" x14ac:dyDescent="0.25">
      <c r="A76" t="s">
        <v>106</v>
      </c>
      <c r="B76" s="101">
        <v>6</v>
      </c>
      <c r="C76" t="s">
        <v>208</v>
      </c>
      <c r="D76" s="17">
        <v>58</v>
      </c>
      <c r="E76" s="100">
        <v>58</v>
      </c>
      <c r="F76" s="100">
        <v>5</v>
      </c>
      <c r="G76" s="100">
        <v>11</v>
      </c>
      <c r="H76" s="89"/>
    </row>
    <row r="77" spans="1:16" ht="15.75" thickBot="1" x14ac:dyDescent="0.3">
      <c r="A77" t="s">
        <v>106</v>
      </c>
      <c r="B77" s="101">
        <v>17</v>
      </c>
      <c r="C77" t="s">
        <v>208</v>
      </c>
      <c r="D77" s="17">
        <v>68</v>
      </c>
      <c r="E77" s="100">
        <v>57</v>
      </c>
      <c r="F77" s="100">
        <v>5</v>
      </c>
      <c r="G77" s="100">
        <v>11</v>
      </c>
      <c r="H77" s="89"/>
      <c r="J77" s="112" t="s">
        <v>303</v>
      </c>
      <c r="K77" s="112"/>
      <c r="L77" s="112"/>
      <c r="M77" s="112"/>
      <c r="N77" s="112"/>
    </row>
    <row r="78" spans="1:16" ht="15.75" thickBot="1" x14ac:dyDescent="0.3">
      <c r="A78" t="s">
        <v>106</v>
      </c>
      <c r="B78" s="101">
        <v>4</v>
      </c>
      <c r="C78" t="s">
        <v>207</v>
      </c>
      <c r="D78" s="17">
        <v>61</v>
      </c>
      <c r="E78" s="100">
        <v>79</v>
      </c>
      <c r="F78" s="100">
        <v>3</v>
      </c>
      <c r="G78" s="100">
        <v>11</v>
      </c>
      <c r="H78" s="89"/>
      <c r="J78" s="79" t="s">
        <v>249</v>
      </c>
      <c r="K78" s="83" t="s">
        <v>236</v>
      </c>
      <c r="L78" s="84" t="s">
        <v>237</v>
      </c>
      <c r="M78" s="85" t="s">
        <v>238</v>
      </c>
      <c r="N78" s="30" t="s">
        <v>190</v>
      </c>
    </row>
    <row r="79" spans="1:16" x14ac:dyDescent="0.25">
      <c r="A79" t="s">
        <v>106</v>
      </c>
      <c r="B79" s="101">
        <v>19</v>
      </c>
      <c r="C79" t="s">
        <v>208</v>
      </c>
      <c r="D79" s="17">
        <v>60</v>
      </c>
      <c r="E79" s="100">
        <v>92</v>
      </c>
      <c r="F79" s="100">
        <v>4</v>
      </c>
      <c r="G79" s="100">
        <v>11</v>
      </c>
      <c r="H79" s="89"/>
      <c r="J79" s="80" t="s">
        <v>239</v>
      </c>
      <c r="K79" s="91">
        <f>(N70*$K$73)/$N$73</f>
        <v>36.142857142857146</v>
      </c>
      <c r="L79" s="91">
        <f>(N70*$L$73)/$N$73</f>
        <v>8.3968253968253972</v>
      </c>
      <c r="M79" s="91">
        <f>N70-K79-L79</f>
        <v>1.4603174603174569</v>
      </c>
      <c r="N79" s="86">
        <f>SUM(K79:M79)</f>
        <v>46</v>
      </c>
    </row>
    <row r="80" spans="1:16" x14ac:dyDescent="0.25">
      <c r="A80" t="s">
        <v>165</v>
      </c>
      <c r="B80" s="101">
        <v>12</v>
      </c>
      <c r="C80" t="s">
        <v>207</v>
      </c>
      <c r="D80" s="17">
        <v>59</v>
      </c>
      <c r="E80" s="100">
        <v>67</v>
      </c>
      <c r="F80" s="100">
        <v>1</v>
      </c>
      <c r="G80" s="100">
        <v>4</v>
      </c>
      <c r="H80" s="89"/>
      <c r="J80" s="81" t="s">
        <v>240</v>
      </c>
      <c r="K80" s="91">
        <f>(N71*$K$73)/$N$73</f>
        <v>101.35714285714286</v>
      </c>
      <c r="L80" s="91">
        <f t="shared" ref="L80:L81" si="8">(N71*$L$73)/$N$73</f>
        <v>23.547619047619047</v>
      </c>
      <c r="M80" s="91">
        <f t="shared" ref="M80:M81" si="9">N71-K80-L80</f>
        <v>4.0952380952380913</v>
      </c>
      <c r="N80" s="86">
        <f>SUM(K80:M80)</f>
        <v>129</v>
      </c>
    </row>
    <row r="81" spans="1:17" ht="15.75" thickBot="1" x14ac:dyDescent="0.3">
      <c r="A81" t="s">
        <v>183</v>
      </c>
      <c r="B81" s="101">
        <v>9</v>
      </c>
      <c r="C81" t="s">
        <v>208</v>
      </c>
      <c r="D81" s="17">
        <v>64</v>
      </c>
      <c r="E81" s="100">
        <v>61</v>
      </c>
      <c r="F81" s="100">
        <v>3</v>
      </c>
      <c r="G81" s="100">
        <v>4</v>
      </c>
      <c r="H81" s="89"/>
      <c r="J81" s="81" t="s">
        <v>241</v>
      </c>
      <c r="K81" s="91">
        <f>(N72*$K$73)/$N$73</f>
        <v>60.5</v>
      </c>
      <c r="L81" s="91">
        <f t="shared" si="8"/>
        <v>14.055555555555555</v>
      </c>
      <c r="M81" s="91">
        <f t="shared" si="9"/>
        <v>2.4444444444444446</v>
      </c>
      <c r="N81" s="86">
        <f>SUM(K81:M81)</f>
        <v>77</v>
      </c>
    </row>
    <row r="82" spans="1:17" ht="15.75" thickBot="1" x14ac:dyDescent="0.3">
      <c r="A82" t="s">
        <v>183</v>
      </c>
      <c r="B82" s="101">
        <v>13</v>
      </c>
      <c r="C82" t="s">
        <v>208</v>
      </c>
      <c r="D82" s="17">
        <v>62</v>
      </c>
      <c r="E82" s="100">
        <v>70</v>
      </c>
      <c r="F82" s="100">
        <v>4</v>
      </c>
      <c r="G82" s="100">
        <v>11</v>
      </c>
      <c r="H82" s="89"/>
      <c r="J82" s="75" t="s">
        <v>190</v>
      </c>
      <c r="K82" s="88">
        <f>SUM(K79:K81)</f>
        <v>198</v>
      </c>
      <c r="L82" s="88">
        <f>SUM(L79:L81)</f>
        <v>46</v>
      </c>
      <c r="M82" s="88">
        <f>SUM(M79:M81)</f>
        <v>7.9999999999999929</v>
      </c>
      <c r="N82" s="30">
        <f>SUM(N79:N81)</f>
        <v>252</v>
      </c>
    </row>
    <row r="83" spans="1:17" x14ac:dyDescent="0.25">
      <c r="A83" t="s">
        <v>183</v>
      </c>
      <c r="B83" s="101">
        <v>10</v>
      </c>
      <c r="C83" t="s">
        <v>207</v>
      </c>
      <c r="D83" s="17">
        <v>69</v>
      </c>
      <c r="E83" s="100">
        <v>49</v>
      </c>
      <c r="F83" s="100">
        <v>0</v>
      </c>
      <c r="G83" s="100">
        <v>6</v>
      </c>
      <c r="H83" s="89"/>
    </row>
    <row r="84" spans="1:17" ht="15.75" thickBot="1" x14ac:dyDescent="0.3">
      <c r="A84" t="s">
        <v>135</v>
      </c>
      <c r="B84" s="101">
        <v>32</v>
      </c>
      <c r="C84" t="s">
        <v>208</v>
      </c>
      <c r="D84" s="17">
        <v>56</v>
      </c>
      <c r="E84" s="100">
        <v>171</v>
      </c>
      <c r="F84" s="100">
        <v>4</v>
      </c>
      <c r="G84" s="100">
        <v>10</v>
      </c>
      <c r="H84" s="89"/>
    </row>
    <row r="85" spans="1:17" ht="15.75" thickBot="1" x14ac:dyDescent="0.3">
      <c r="A85" t="s">
        <v>135</v>
      </c>
      <c r="B85" s="101">
        <v>7</v>
      </c>
      <c r="C85" t="s">
        <v>208</v>
      </c>
      <c r="D85" s="17">
        <v>49</v>
      </c>
      <c r="E85" s="100">
        <v>106</v>
      </c>
      <c r="F85" s="100">
        <v>10</v>
      </c>
      <c r="G85" s="100">
        <v>12</v>
      </c>
      <c r="H85" s="89"/>
      <c r="J85" s="79" t="s">
        <v>250</v>
      </c>
      <c r="K85" s="83" t="s">
        <v>236</v>
      </c>
      <c r="L85" s="84" t="s">
        <v>237</v>
      </c>
      <c r="M85" s="85" t="s">
        <v>238</v>
      </c>
      <c r="N85" s="30" t="s">
        <v>190</v>
      </c>
    </row>
    <row r="86" spans="1:17" x14ac:dyDescent="0.25">
      <c r="A86" t="s">
        <v>135</v>
      </c>
      <c r="B86" s="101">
        <v>7</v>
      </c>
      <c r="C86" t="s">
        <v>207</v>
      </c>
      <c r="D86" s="17">
        <v>53</v>
      </c>
      <c r="E86" s="100">
        <v>56</v>
      </c>
      <c r="F86" s="100">
        <v>0</v>
      </c>
      <c r="G86" s="100">
        <v>3</v>
      </c>
      <c r="H86" s="89"/>
      <c r="J86" s="80" t="s">
        <v>239</v>
      </c>
      <c r="K86" s="91">
        <f>(K70-K79)^2/K79</f>
        <v>9.5426312817616835E-2</v>
      </c>
      <c r="L86" s="91">
        <f t="shared" ref="L86:M86" si="10">(L70-L79)^2/L79</f>
        <v>0.68415999039817577</v>
      </c>
      <c r="M86" s="91">
        <f t="shared" si="10"/>
        <v>0.19944789510007202</v>
      </c>
      <c r="N86" s="117">
        <f>SUM(K86:M88)</f>
        <v>1.7958762097529675</v>
      </c>
    </row>
    <row r="87" spans="1:17" x14ac:dyDescent="0.25">
      <c r="A87" t="s">
        <v>157</v>
      </c>
      <c r="B87" s="101">
        <v>6</v>
      </c>
      <c r="C87" t="s">
        <v>207</v>
      </c>
      <c r="D87" s="17">
        <v>61</v>
      </c>
      <c r="E87" s="100">
        <v>34</v>
      </c>
      <c r="F87" s="100">
        <v>0</v>
      </c>
      <c r="G87" s="100">
        <v>0</v>
      </c>
      <c r="H87" s="89"/>
      <c r="J87" s="81" t="s">
        <v>240</v>
      </c>
      <c r="K87" s="91">
        <f t="shared" ref="K87:M87" si="11">(K71-K80)^2/K80</f>
        <v>0.11119500654384402</v>
      </c>
      <c r="L87" s="91">
        <f t="shared" si="11"/>
        <v>0.50616303144109009</v>
      </c>
      <c r="M87" s="91">
        <f t="shared" si="11"/>
        <v>2.214839424141571E-3</v>
      </c>
      <c r="N87" s="118"/>
    </row>
    <row r="88" spans="1:17" ht="15.75" thickBot="1" x14ac:dyDescent="0.3">
      <c r="A88" t="s">
        <v>167</v>
      </c>
      <c r="B88" s="101">
        <v>11</v>
      </c>
      <c r="C88" t="s">
        <v>208</v>
      </c>
      <c r="D88" s="17">
        <v>60</v>
      </c>
      <c r="E88" s="100">
        <v>78</v>
      </c>
      <c r="F88" s="100">
        <v>4</v>
      </c>
      <c r="G88" s="100">
        <v>5</v>
      </c>
      <c r="H88" s="89"/>
      <c r="J88" s="92" t="s">
        <v>241</v>
      </c>
      <c r="K88" s="93">
        <f t="shared" ref="K88:M88" si="12">(K72-K81)^2/K81</f>
        <v>3.71900826446281E-2</v>
      </c>
      <c r="L88" s="93">
        <f t="shared" si="12"/>
        <v>7.9270970575318372E-2</v>
      </c>
      <c r="M88" s="93">
        <f t="shared" si="12"/>
        <v>8.080808080808087E-2</v>
      </c>
      <c r="N88" s="119"/>
    </row>
    <row r="89" spans="1:17" x14ac:dyDescent="0.25">
      <c r="A89" t="s">
        <v>167</v>
      </c>
      <c r="B89" s="101">
        <v>14</v>
      </c>
      <c r="C89" t="s">
        <v>208</v>
      </c>
      <c r="D89" s="17">
        <v>57</v>
      </c>
      <c r="E89" s="100">
        <v>85</v>
      </c>
      <c r="F89" s="100">
        <v>4</v>
      </c>
      <c r="G89" s="100">
        <v>8</v>
      </c>
      <c r="H89" s="89"/>
      <c r="J89" s="77"/>
      <c r="K89" s="8"/>
      <c r="L89" s="8"/>
      <c r="M89" s="8"/>
      <c r="N89" s="78"/>
    </row>
    <row r="90" spans="1:17" x14ac:dyDescent="0.25">
      <c r="A90" t="s">
        <v>167</v>
      </c>
      <c r="B90" s="101">
        <v>15</v>
      </c>
      <c r="C90" t="s">
        <v>208</v>
      </c>
      <c r="D90" s="17">
        <v>59</v>
      </c>
      <c r="E90" s="100">
        <v>67</v>
      </c>
      <c r="F90" s="100">
        <v>5</v>
      </c>
      <c r="G90" s="100">
        <v>21</v>
      </c>
      <c r="H90" s="89"/>
      <c r="J90" s="94" t="s">
        <v>282</v>
      </c>
    </row>
    <row r="91" spans="1:17" x14ac:dyDescent="0.25">
      <c r="A91" t="s">
        <v>167</v>
      </c>
      <c r="B91" s="101">
        <v>15</v>
      </c>
      <c r="C91" t="s">
        <v>208</v>
      </c>
      <c r="D91" s="17">
        <v>60</v>
      </c>
      <c r="E91" s="100">
        <v>88</v>
      </c>
      <c r="F91" s="100">
        <v>2</v>
      </c>
      <c r="G91" s="100">
        <v>4</v>
      </c>
      <c r="H91" s="89"/>
      <c r="J91" s="94" t="s">
        <v>283</v>
      </c>
    </row>
    <row r="92" spans="1:17" x14ac:dyDescent="0.25">
      <c r="A92" t="s">
        <v>167</v>
      </c>
      <c r="B92" s="101">
        <v>16</v>
      </c>
      <c r="C92" t="s">
        <v>207</v>
      </c>
      <c r="D92" s="17">
        <v>58</v>
      </c>
      <c r="E92" s="100">
        <v>96</v>
      </c>
      <c r="F92" s="100">
        <v>3</v>
      </c>
      <c r="G92" s="100">
        <v>6</v>
      </c>
      <c r="H92" s="89"/>
      <c r="J92" s="94" t="s">
        <v>284</v>
      </c>
      <c r="K92" s="95"/>
      <c r="L92" s="95"/>
      <c r="M92" s="95"/>
      <c r="N92" s="95"/>
      <c r="O92" s="95"/>
      <c r="P92" s="95"/>
      <c r="Q92" s="95"/>
    </row>
    <row r="93" spans="1:17" x14ac:dyDescent="0.25">
      <c r="A93" t="s">
        <v>110</v>
      </c>
      <c r="B93" s="101">
        <v>7</v>
      </c>
      <c r="C93" t="s">
        <v>208</v>
      </c>
      <c r="D93" s="17">
        <v>58</v>
      </c>
      <c r="E93" s="100">
        <v>38</v>
      </c>
      <c r="F93" s="100">
        <v>4</v>
      </c>
      <c r="G93" s="100">
        <v>4</v>
      </c>
      <c r="H93" s="89"/>
    </row>
    <row r="94" spans="1:17" x14ac:dyDescent="0.25">
      <c r="A94" t="s">
        <v>110</v>
      </c>
      <c r="B94" s="101">
        <v>9</v>
      </c>
      <c r="C94" t="s">
        <v>207</v>
      </c>
      <c r="D94" s="17">
        <v>51</v>
      </c>
      <c r="E94" s="100">
        <v>72</v>
      </c>
      <c r="F94" s="100">
        <v>4</v>
      </c>
      <c r="G94" s="100">
        <v>13</v>
      </c>
      <c r="H94" s="89"/>
    </row>
    <row r="95" spans="1:17" x14ac:dyDescent="0.25">
      <c r="A95" t="s">
        <v>147</v>
      </c>
      <c r="B95" s="101">
        <v>11</v>
      </c>
      <c r="C95" t="s">
        <v>207</v>
      </c>
      <c r="D95" s="17">
        <v>60</v>
      </c>
      <c r="E95" s="100">
        <v>61</v>
      </c>
      <c r="F95" s="100">
        <v>2</v>
      </c>
      <c r="G95" s="100">
        <v>4</v>
      </c>
      <c r="H95" s="89"/>
      <c r="J95" s="94" t="s">
        <v>251</v>
      </c>
    </row>
    <row r="96" spans="1:17" x14ac:dyDescent="0.25">
      <c r="A96" t="s">
        <v>187</v>
      </c>
      <c r="B96" s="101">
        <v>20</v>
      </c>
      <c r="C96" t="s">
        <v>207</v>
      </c>
      <c r="D96" s="17">
        <v>59</v>
      </c>
      <c r="E96" s="100">
        <v>79</v>
      </c>
      <c r="F96" s="100">
        <v>4</v>
      </c>
      <c r="G96" s="100">
        <v>9</v>
      </c>
      <c r="H96" s="89"/>
    </row>
    <row r="97" spans="1:14" x14ac:dyDescent="0.25">
      <c r="A97" t="s">
        <v>119</v>
      </c>
      <c r="B97" s="101">
        <v>8</v>
      </c>
      <c r="C97" t="s">
        <v>208</v>
      </c>
      <c r="D97" s="17">
        <v>83</v>
      </c>
      <c r="E97" s="100">
        <v>80</v>
      </c>
      <c r="F97" s="100">
        <v>2</v>
      </c>
      <c r="G97" s="100">
        <v>3</v>
      </c>
      <c r="H97" s="89"/>
      <c r="J97" s="111" t="s">
        <v>254</v>
      </c>
      <c r="K97" s="111"/>
      <c r="L97" s="111"/>
      <c r="M97" s="111"/>
      <c r="N97" s="111"/>
    </row>
    <row r="98" spans="1:14" ht="15.75" thickBot="1" x14ac:dyDescent="0.3">
      <c r="A98" t="s">
        <v>119</v>
      </c>
      <c r="B98" s="101">
        <v>13</v>
      </c>
      <c r="C98" t="s">
        <v>208</v>
      </c>
      <c r="D98" s="17">
        <v>55</v>
      </c>
      <c r="E98" s="100">
        <v>59</v>
      </c>
      <c r="F98" s="100">
        <v>3</v>
      </c>
      <c r="G98" s="100">
        <v>7</v>
      </c>
      <c r="H98" s="89"/>
      <c r="J98" s="112" t="s">
        <v>245</v>
      </c>
      <c r="K98" s="112"/>
      <c r="L98" s="112"/>
      <c r="M98" s="112"/>
    </row>
    <row r="99" spans="1:14" ht="15.75" thickBot="1" x14ac:dyDescent="0.3">
      <c r="A99" t="s">
        <v>118</v>
      </c>
      <c r="B99" s="101">
        <v>25</v>
      </c>
      <c r="C99" t="s">
        <v>207</v>
      </c>
      <c r="D99" s="17">
        <v>66</v>
      </c>
      <c r="E99" s="100">
        <v>73</v>
      </c>
      <c r="F99" s="100">
        <v>1</v>
      </c>
      <c r="G99" s="100">
        <v>3</v>
      </c>
      <c r="H99" s="89"/>
      <c r="J99" s="73"/>
      <c r="K99" s="74" t="s">
        <v>211</v>
      </c>
      <c r="L99" s="43" t="s">
        <v>212</v>
      </c>
      <c r="M99" s="30" t="s">
        <v>190</v>
      </c>
    </row>
    <row r="100" spans="1:14" x14ac:dyDescent="0.25">
      <c r="A100" t="s">
        <v>185</v>
      </c>
      <c r="B100" s="101">
        <v>5</v>
      </c>
      <c r="C100" t="s">
        <v>207</v>
      </c>
      <c r="D100" s="17">
        <v>58</v>
      </c>
      <c r="E100" s="100">
        <v>71</v>
      </c>
      <c r="F100" s="100">
        <v>1</v>
      </c>
      <c r="G100" s="100">
        <v>1</v>
      </c>
      <c r="H100" s="89"/>
      <c r="J100" s="28" t="s">
        <v>257</v>
      </c>
      <c r="K100" s="33">
        <f>COUNTIFS(Tabella5[ServeWon],"&lt;57",Tabella5[Vittoria],"si")</f>
        <v>27</v>
      </c>
      <c r="L100" s="33">
        <f>COUNTIFS(Tabella5[ServeWon],"&lt;57",Tabella5[Vittoria],"no")</f>
        <v>43</v>
      </c>
      <c r="M100" s="35">
        <f>SUM(K100:L100)</f>
        <v>70</v>
      </c>
    </row>
    <row r="101" spans="1:14" x14ac:dyDescent="0.25">
      <c r="A101" t="s">
        <v>185</v>
      </c>
      <c r="B101" s="101">
        <v>16</v>
      </c>
      <c r="C101" t="s">
        <v>208</v>
      </c>
      <c r="D101" s="17">
        <v>50</v>
      </c>
      <c r="E101" s="100">
        <v>97</v>
      </c>
      <c r="F101" s="100">
        <v>4</v>
      </c>
      <c r="G101" s="100">
        <v>10</v>
      </c>
      <c r="H101" s="89"/>
      <c r="J101" s="28" t="s">
        <v>258</v>
      </c>
      <c r="K101" s="36">
        <f>COUNTIFS(Tabella5[ServeWon],"&gt;56",Tabella5[Vittoria],"si",Tabella5[ServeWon],"&lt;117")</f>
        <v>98</v>
      </c>
      <c r="L101" s="36">
        <f>COUNTIFS(Tabella5[ServeWon],"&gt;56",Tabella5[Vittoria],"no",Tabella5[ServeWon],"&lt;117")</f>
        <v>82</v>
      </c>
      <c r="M101" s="38">
        <f>SUM(K101:L101)</f>
        <v>180</v>
      </c>
    </row>
    <row r="102" spans="1:14" ht="15.75" thickBot="1" x14ac:dyDescent="0.3">
      <c r="A102" t="s">
        <v>126</v>
      </c>
      <c r="B102" s="101">
        <v>13</v>
      </c>
      <c r="C102" t="s">
        <v>207</v>
      </c>
      <c r="D102" s="17">
        <v>52</v>
      </c>
      <c r="E102" s="100">
        <v>55</v>
      </c>
      <c r="F102" s="100">
        <v>0</v>
      </c>
      <c r="G102" s="100">
        <v>1</v>
      </c>
      <c r="H102" s="89"/>
      <c r="J102" s="31" t="s">
        <v>259</v>
      </c>
      <c r="K102" s="39">
        <f>COUNTIFS(Tabella5[ServeWon],"&gt;115",Tabella5[Vittoria],"si")</f>
        <v>1</v>
      </c>
      <c r="L102" s="39">
        <f>COUNTIFS(Tabella5[ServeWon],"&gt;115",Tabella5[Vittoria],"no")</f>
        <v>1</v>
      </c>
      <c r="M102" s="41">
        <f>SUM(K102:L102)</f>
        <v>2</v>
      </c>
    </row>
    <row r="103" spans="1:14" ht="15.75" thickBot="1" x14ac:dyDescent="0.3">
      <c r="A103" t="s">
        <v>120</v>
      </c>
      <c r="B103" s="101">
        <v>2</v>
      </c>
      <c r="C103" t="s">
        <v>207</v>
      </c>
      <c r="D103" s="17">
        <v>73</v>
      </c>
      <c r="E103" s="100">
        <v>37</v>
      </c>
      <c r="F103" s="100">
        <v>1</v>
      </c>
      <c r="G103" s="100">
        <v>2</v>
      </c>
      <c r="H103" s="89"/>
      <c r="J103" s="75" t="s">
        <v>190</v>
      </c>
      <c r="K103" s="74">
        <f>SUM(K100:K102)</f>
        <v>126</v>
      </c>
      <c r="L103" s="43">
        <f>SUM(L100:L102)</f>
        <v>126</v>
      </c>
      <c r="M103" s="30">
        <f>SUM(M100:M102)</f>
        <v>252</v>
      </c>
    </row>
    <row r="104" spans="1:14" x14ac:dyDescent="0.25">
      <c r="A104" t="s">
        <v>109</v>
      </c>
      <c r="B104" s="101">
        <v>2</v>
      </c>
      <c r="C104" t="s">
        <v>207</v>
      </c>
      <c r="D104" s="17">
        <v>49</v>
      </c>
      <c r="E104" s="100">
        <v>36</v>
      </c>
      <c r="F104" s="100">
        <v>2</v>
      </c>
      <c r="G104" s="100">
        <v>5</v>
      </c>
      <c r="H104" s="89"/>
    </row>
    <row r="105" spans="1:14" x14ac:dyDescent="0.25">
      <c r="A105" t="s">
        <v>75</v>
      </c>
      <c r="B105" s="101">
        <v>2</v>
      </c>
      <c r="C105" t="s">
        <v>208</v>
      </c>
      <c r="D105" s="17">
        <v>60</v>
      </c>
      <c r="E105" s="100">
        <v>100</v>
      </c>
      <c r="F105" s="100">
        <v>10</v>
      </c>
      <c r="G105" s="100">
        <v>17</v>
      </c>
      <c r="H105" s="89"/>
      <c r="J105" s="44" t="s">
        <v>215</v>
      </c>
      <c r="K105" s="53">
        <f>K103/M103</f>
        <v>0.5</v>
      </c>
      <c r="L105" s="53">
        <f>L103/M103</f>
        <v>0.5</v>
      </c>
    </row>
    <row r="106" spans="1:14" x14ac:dyDescent="0.25">
      <c r="A106" t="s">
        <v>75</v>
      </c>
      <c r="B106" s="101">
        <v>3</v>
      </c>
      <c r="C106" t="s">
        <v>207</v>
      </c>
      <c r="D106" s="17">
        <v>65</v>
      </c>
      <c r="E106" s="100">
        <v>80</v>
      </c>
      <c r="F106" s="100">
        <v>2</v>
      </c>
      <c r="G106" s="100">
        <v>16</v>
      </c>
      <c r="H106" s="89"/>
    </row>
    <row r="107" spans="1:14" ht="15.75" thickBot="1" x14ac:dyDescent="0.3">
      <c r="A107" t="s">
        <v>100</v>
      </c>
      <c r="B107" s="101">
        <v>9</v>
      </c>
      <c r="C107" t="s">
        <v>208</v>
      </c>
      <c r="D107" s="17">
        <v>66</v>
      </c>
      <c r="E107" s="100">
        <v>62</v>
      </c>
      <c r="F107" s="100">
        <v>4</v>
      </c>
      <c r="G107" s="100">
        <v>9</v>
      </c>
      <c r="H107" s="89"/>
      <c r="J107" s="112" t="s">
        <v>303</v>
      </c>
      <c r="K107" s="112"/>
      <c r="L107" s="112"/>
      <c r="M107" s="112"/>
    </row>
    <row r="108" spans="1:14" ht="15.75" thickBot="1" x14ac:dyDescent="0.3">
      <c r="A108" t="s">
        <v>100</v>
      </c>
      <c r="B108" s="101">
        <v>22</v>
      </c>
      <c r="C108" t="s">
        <v>208</v>
      </c>
      <c r="D108" s="17">
        <v>60</v>
      </c>
      <c r="E108" s="100">
        <v>104</v>
      </c>
      <c r="F108" s="100">
        <v>5</v>
      </c>
      <c r="G108" s="100">
        <v>14</v>
      </c>
      <c r="H108" s="89"/>
      <c r="J108" s="73"/>
      <c r="K108" s="74" t="s">
        <v>211</v>
      </c>
      <c r="L108" s="43" t="s">
        <v>212</v>
      </c>
      <c r="M108" s="30" t="s">
        <v>190</v>
      </c>
    </row>
    <row r="109" spans="1:14" x14ac:dyDescent="0.25">
      <c r="A109" t="s">
        <v>100</v>
      </c>
      <c r="B109" s="101">
        <v>8</v>
      </c>
      <c r="C109" t="s">
        <v>207</v>
      </c>
      <c r="D109" s="17">
        <v>58</v>
      </c>
      <c r="E109" s="100">
        <v>61</v>
      </c>
      <c r="F109" s="100">
        <v>1</v>
      </c>
      <c r="G109" s="100">
        <v>3</v>
      </c>
      <c r="H109" s="89"/>
      <c r="J109" s="28" t="s">
        <v>257</v>
      </c>
      <c r="K109" s="33">
        <f>(M100*$K$103)/$M$103</f>
        <v>35</v>
      </c>
      <c r="L109" s="33">
        <f>M100-K109</f>
        <v>35</v>
      </c>
      <c r="M109" s="35">
        <f>SUM(K109:L109)</f>
        <v>70</v>
      </c>
    </row>
    <row r="110" spans="1:14" x14ac:dyDescent="0.25">
      <c r="A110" t="s">
        <v>103</v>
      </c>
      <c r="B110" s="101">
        <v>18</v>
      </c>
      <c r="C110" t="s">
        <v>208</v>
      </c>
      <c r="D110" s="17">
        <v>64</v>
      </c>
      <c r="E110" s="100">
        <v>101</v>
      </c>
      <c r="F110" s="100">
        <v>5</v>
      </c>
      <c r="G110" s="100">
        <v>9</v>
      </c>
      <c r="H110" s="89"/>
      <c r="J110" s="28" t="s">
        <v>258</v>
      </c>
      <c r="K110" s="33">
        <f t="shared" ref="K110:K111" si="13">(M101*$K$103)/$M$103</f>
        <v>90</v>
      </c>
      <c r="L110" s="36">
        <f t="shared" ref="L110:L111" si="14">M101-K110</f>
        <v>90</v>
      </c>
      <c r="M110" s="38">
        <f>SUM(K110:L110)</f>
        <v>180</v>
      </c>
    </row>
    <row r="111" spans="1:14" ht="15.75" thickBot="1" x14ac:dyDescent="0.3">
      <c r="A111" t="s">
        <v>103</v>
      </c>
      <c r="B111" s="101">
        <v>15</v>
      </c>
      <c r="C111" t="s">
        <v>208</v>
      </c>
      <c r="D111" s="17">
        <v>67</v>
      </c>
      <c r="E111" s="100">
        <v>101</v>
      </c>
      <c r="F111" s="100">
        <v>3</v>
      </c>
      <c r="G111" s="100">
        <v>11</v>
      </c>
      <c r="H111" s="89"/>
      <c r="J111" s="31" t="s">
        <v>259</v>
      </c>
      <c r="K111" s="33">
        <f t="shared" si="13"/>
        <v>1</v>
      </c>
      <c r="L111" s="39">
        <f t="shared" si="14"/>
        <v>1</v>
      </c>
      <c r="M111" s="41">
        <f>SUM(K111:L111)</f>
        <v>2</v>
      </c>
    </row>
    <row r="112" spans="1:14" ht="15.75" thickBot="1" x14ac:dyDescent="0.3">
      <c r="A112" t="s">
        <v>103</v>
      </c>
      <c r="B112" s="101">
        <v>3</v>
      </c>
      <c r="C112" t="s">
        <v>207</v>
      </c>
      <c r="D112" s="17">
        <v>53</v>
      </c>
      <c r="E112" s="100">
        <v>52</v>
      </c>
      <c r="F112" s="100">
        <v>0</v>
      </c>
      <c r="G112" s="100">
        <v>1</v>
      </c>
      <c r="H112" s="89"/>
      <c r="J112" s="75" t="s">
        <v>190</v>
      </c>
      <c r="K112" s="74">
        <f>SUM(K109:K111)</f>
        <v>126</v>
      </c>
      <c r="L112" s="43">
        <f>SUM(L109:L111)</f>
        <v>126</v>
      </c>
      <c r="M112" s="30">
        <f>SUM(M109:M111)</f>
        <v>252</v>
      </c>
    </row>
    <row r="113" spans="1:18" x14ac:dyDescent="0.25">
      <c r="A113" t="s">
        <v>101</v>
      </c>
      <c r="B113" s="101">
        <v>9</v>
      </c>
      <c r="C113" t="s">
        <v>207</v>
      </c>
      <c r="D113" s="17">
        <v>57</v>
      </c>
      <c r="E113" s="100">
        <v>54</v>
      </c>
      <c r="F113" s="100">
        <v>0</v>
      </c>
      <c r="G113" s="100">
        <v>5</v>
      </c>
      <c r="H113" s="89"/>
    </row>
    <row r="114" spans="1:18" ht="15.75" thickBot="1" x14ac:dyDescent="0.3">
      <c r="A114" t="s">
        <v>168</v>
      </c>
      <c r="B114" s="101">
        <v>1</v>
      </c>
      <c r="C114" t="s">
        <v>207</v>
      </c>
      <c r="D114" s="17">
        <v>63</v>
      </c>
      <c r="E114" s="100">
        <v>44</v>
      </c>
      <c r="F114" s="100">
        <v>3</v>
      </c>
      <c r="G114" s="100">
        <v>7</v>
      </c>
      <c r="H114" s="89"/>
      <c r="J114" s="112"/>
      <c r="K114" s="112"/>
      <c r="L114" s="112"/>
      <c r="M114" s="112"/>
    </row>
    <row r="115" spans="1:18" ht="15.75" thickBot="1" x14ac:dyDescent="0.3">
      <c r="A115" t="s">
        <v>117</v>
      </c>
      <c r="B115" s="101">
        <v>16</v>
      </c>
      <c r="C115" t="s">
        <v>207</v>
      </c>
      <c r="D115" s="17">
        <v>57</v>
      </c>
      <c r="E115" s="100">
        <v>112</v>
      </c>
      <c r="F115" s="100">
        <v>2</v>
      </c>
      <c r="G115" s="100">
        <v>6</v>
      </c>
      <c r="H115" s="89"/>
      <c r="J115" s="73" t="s">
        <v>260</v>
      </c>
      <c r="K115" s="74" t="s">
        <v>211</v>
      </c>
      <c r="L115" s="43" t="s">
        <v>212</v>
      </c>
      <c r="M115" s="30" t="s">
        <v>190</v>
      </c>
    </row>
    <row r="116" spans="1:18" x14ac:dyDescent="0.25">
      <c r="A116" t="s">
        <v>115</v>
      </c>
      <c r="B116" s="101">
        <v>8</v>
      </c>
      <c r="C116" t="s">
        <v>207</v>
      </c>
      <c r="D116" s="17">
        <v>65</v>
      </c>
      <c r="E116" s="100">
        <v>87</v>
      </c>
      <c r="F116" s="100">
        <v>3</v>
      </c>
      <c r="G116" s="100">
        <v>8</v>
      </c>
      <c r="H116" s="89"/>
      <c r="J116" s="28" t="s">
        <v>257</v>
      </c>
      <c r="K116" s="98">
        <f>(K100-K109)^2/K109</f>
        <v>1.8285714285714285</v>
      </c>
      <c r="L116" s="98">
        <f>(L100-L109)^2/L109</f>
        <v>1.8285714285714285</v>
      </c>
      <c r="M116" s="127">
        <f>SUM(K116:L118)</f>
        <v>5.0793650793650791</v>
      </c>
    </row>
    <row r="117" spans="1:18" x14ac:dyDescent="0.25">
      <c r="A117" t="s">
        <v>143</v>
      </c>
      <c r="B117" s="101">
        <v>10</v>
      </c>
      <c r="C117" t="s">
        <v>207</v>
      </c>
      <c r="D117" s="17">
        <v>78</v>
      </c>
      <c r="E117" s="100">
        <v>42</v>
      </c>
      <c r="F117" s="100">
        <v>0</v>
      </c>
      <c r="G117" s="100">
        <v>3</v>
      </c>
      <c r="H117" s="89"/>
      <c r="J117" s="28" t="s">
        <v>258</v>
      </c>
      <c r="K117" s="98">
        <f t="shared" ref="K117:L117" si="15">(K101-K110)^2/K110</f>
        <v>0.71111111111111114</v>
      </c>
      <c r="L117" s="98">
        <f t="shared" si="15"/>
        <v>0.71111111111111114</v>
      </c>
      <c r="M117" s="128"/>
    </row>
    <row r="118" spans="1:18" ht="15.75" thickBot="1" x14ac:dyDescent="0.3">
      <c r="A118" t="s">
        <v>102</v>
      </c>
      <c r="B118" s="101">
        <v>13</v>
      </c>
      <c r="C118" t="s">
        <v>207</v>
      </c>
      <c r="D118" s="17">
        <v>60</v>
      </c>
      <c r="E118" s="100">
        <v>79</v>
      </c>
      <c r="F118" s="100">
        <v>3</v>
      </c>
      <c r="G118" s="100">
        <v>10</v>
      </c>
      <c r="H118" s="89"/>
      <c r="J118" s="52" t="s">
        <v>259</v>
      </c>
      <c r="K118" s="99">
        <f t="shared" ref="K118:L118" si="16">(K102-K111)^2/K111</f>
        <v>0</v>
      </c>
      <c r="L118" s="99">
        <f t="shared" si="16"/>
        <v>0</v>
      </c>
      <c r="M118" s="129"/>
    </row>
    <row r="119" spans="1:18" x14ac:dyDescent="0.25">
      <c r="A119" t="s">
        <v>140</v>
      </c>
      <c r="B119" s="101">
        <v>15</v>
      </c>
      <c r="C119" t="s">
        <v>208</v>
      </c>
      <c r="D119" s="17">
        <v>62</v>
      </c>
      <c r="E119" s="100">
        <v>60</v>
      </c>
      <c r="F119" s="100">
        <v>5</v>
      </c>
      <c r="G119" s="100">
        <v>13</v>
      </c>
      <c r="H119" s="89"/>
    </row>
    <row r="120" spans="1:18" x14ac:dyDescent="0.25">
      <c r="A120" t="s">
        <v>140</v>
      </c>
      <c r="B120" s="101">
        <v>14</v>
      </c>
      <c r="C120" t="s">
        <v>208</v>
      </c>
      <c r="D120" s="17">
        <v>64</v>
      </c>
      <c r="E120" s="100">
        <v>69</v>
      </c>
      <c r="F120" s="100">
        <v>3</v>
      </c>
      <c r="G120" s="100">
        <v>9</v>
      </c>
      <c r="H120" s="89"/>
    </row>
    <row r="121" spans="1:18" x14ac:dyDescent="0.25">
      <c r="A121" t="s">
        <v>140</v>
      </c>
      <c r="B121" s="101">
        <v>17</v>
      </c>
      <c r="C121" t="s">
        <v>208</v>
      </c>
      <c r="D121" s="17">
        <v>66</v>
      </c>
      <c r="E121" s="100">
        <v>69</v>
      </c>
      <c r="F121" s="100">
        <v>3</v>
      </c>
      <c r="G121" s="100">
        <v>6</v>
      </c>
      <c r="H121" s="89"/>
      <c r="J121" s="111" t="s">
        <v>267</v>
      </c>
      <c r="K121" s="111"/>
      <c r="L121" s="111"/>
      <c r="M121" s="111"/>
      <c r="N121" s="111"/>
    </row>
    <row r="122" spans="1:18" ht="15.75" thickBot="1" x14ac:dyDescent="0.3">
      <c r="A122" t="s">
        <v>140</v>
      </c>
      <c r="B122" s="101">
        <v>8</v>
      </c>
      <c r="C122" t="s">
        <v>207</v>
      </c>
      <c r="D122" s="17">
        <v>52</v>
      </c>
      <c r="E122" s="100">
        <v>55</v>
      </c>
      <c r="F122" s="100">
        <v>0</v>
      </c>
      <c r="G122" s="100">
        <v>1</v>
      </c>
      <c r="H122" s="89"/>
      <c r="J122" s="112" t="s">
        <v>245</v>
      </c>
      <c r="K122" s="112"/>
      <c r="L122" s="112"/>
      <c r="M122" s="112"/>
    </row>
    <row r="123" spans="1:18" ht="15.75" thickBot="1" x14ac:dyDescent="0.3">
      <c r="A123" t="s">
        <v>159</v>
      </c>
      <c r="B123" s="101">
        <v>16</v>
      </c>
      <c r="C123" t="s">
        <v>208</v>
      </c>
      <c r="D123" s="17">
        <v>64</v>
      </c>
      <c r="E123" s="100">
        <v>85</v>
      </c>
      <c r="F123" s="100">
        <v>4</v>
      </c>
      <c r="G123" s="100">
        <v>8</v>
      </c>
      <c r="H123" s="89"/>
      <c r="J123" s="73"/>
      <c r="K123" s="74" t="s">
        <v>211</v>
      </c>
      <c r="L123" s="43" t="s">
        <v>212</v>
      </c>
      <c r="M123" s="30" t="s">
        <v>190</v>
      </c>
      <c r="O123" s="76" t="s">
        <v>213</v>
      </c>
      <c r="P123" s="74" t="s">
        <v>211</v>
      </c>
      <c r="Q123" s="43" t="s">
        <v>212</v>
      </c>
      <c r="R123" s="30" t="s">
        <v>190</v>
      </c>
    </row>
    <row r="124" spans="1:18" x14ac:dyDescent="0.25">
      <c r="A124" t="s">
        <v>159</v>
      </c>
      <c r="B124" s="101">
        <v>28</v>
      </c>
      <c r="C124" t="s">
        <v>207</v>
      </c>
      <c r="D124" s="17">
        <v>72</v>
      </c>
      <c r="E124" s="100">
        <v>97</v>
      </c>
      <c r="F124" s="100">
        <v>4</v>
      </c>
      <c r="G124" s="100">
        <v>17</v>
      </c>
      <c r="H124" s="89"/>
      <c r="J124" s="28" t="s">
        <v>268</v>
      </c>
      <c r="K124" s="33">
        <f>COUNTIFS(Tabella5[BreakPointCreati],"&lt;4",Tabella5[Vittoria],"si")</f>
        <v>22</v>
      </c>
      <c r="L124" s="33">
        <f>COUNTIFS(Tabella5[BreakPointCreati],"&lt;4",Tabella5[Vittoria],"no")</f>
        <v>101</v>
      </c>
      <c r="M124" s="35">
        <f>SUM(K124:L124)</f>
        <v>123</v>
      </c>
      <c r="O124" s="28" t="s">
        <v>268</v>
      </c>
      <c r="P124" s="63">
        <f>K124/M124</f>
        <v>0.17886178861788618</v>
      </c>
      <c r="Q124" s="64">
        <f>1-P124</f>
        <v>0.82113821138211385</v>
      </c>
      <c r="R124" s="65">
        <f>SUM(P124:Q124)</f>
        <v>1</v>
      </c>
    </row>
    <row r="125" spans="1:18" x14ac:dyDescent="0.25">
      <c r="A125" t="s">
        <v>70</v>
      </c>
      <c r="B125" s="101">
        <v>0</v>
      </c>
      <c r="C125" t="s">
        <v>207</v>
      </c>
      <c r="D125" s="17">
        <v>76</v>
      </c>
      <c r="E125" s="100">
        <v>75</v>
      </c>
      <c r="F125" s="100">
        <v>3</v>
      </c>
      <c r="G125" s="100">
        <v>12</v>
      </c>
      <c r="H125" s="89"/>
      <c r="J125" s="28" t="s">
        <v>269</v>
      </c>
      <c r="K125" s="36">
        <f>COUNTIFS(Tabella5[BreakPointCreati],"&gt;3",Tabella5[Vittoria],"si",Tabella5[BreakPointCreati],"&lt;8")</f>
        <v>91</v>
      </c>
      <c r="L125" s="36">
        <f>COUNTIFS(Tabella5[BreakPointCreati],"&gt;3",Tabella5[Vittoria],"no",Tabella5[BreakPointCreati],"&lt;8")</f>
        <v>24</v>
      </c>
      <c r="M125" s="38">
        <f>SUM(K125:L125)</f>
        <v>115</v>
      </c>
      <c r="O125" s="28" t="s">
        <v>269</v>
      </c>
      <c r="P125" s="63">
        <f>K125/M125</f>
        <v>0.79130434782608694</v>
      </c>
      <c r="Q125" s="64">
        <f t="shared" ref="Q125:Q126" si="17">1-P125</f>
        <v>0.20869565217391306</v>
      </c>
      <c r="R125" s="66">
        <f>SUM(P125:Q125)</f>
        <v>1</v>
      </c>
    </row>
    <row r="126" spans="1:18" ht="15.75" thickBot="1" x14ac:dyDescent="0.3">
      <c r="A126" t="s">
        <v>139</v>
      </c>
      <c r="B126" s="101">
        <v>4</v>
      </c>
      <c r="C126" t="s">
        <v>207</v>
      </c>
      <c r="D126" s="17">
        <v>60</v>
      </c>
      <c r="E126" s="100">
        <v>57</v>
      </c>
      <c r="F126" s="100">
        <v>4</v>
      </c>
      <c r="G126" s="100">
        <v>8</v>
      </c>
      <c r="H126" s="89"/>
      <c r="J126" s="31" t="s">
        <v>270</v>
      </c>
      <c r="K126" s="33">
        <f>COUNTIFS(Tabella5[BreakPointCreati],"&gt;7",Tabella5[Vittoria],"si")</f>
        <v>13</v>
      </c>
      <c r="L126" s="33">
        <f>COUNTIFS(Tabella5[BreakPointCreati],"&gt;7",Tabella5[Vittoria],"no")</f>
        <v>1</v>
      </c>
      <c r="M126" s="41">
        <f>SUM(K126:L126)</f>
        <v>14</v>
      </c>
      <c r="O126" s="52" t="s">
        <v>270</v>
      </c>
      <c r="P126" s="68">
        <f>K126/M126</f>
        <v>0.9285714285714286</v>
      </c>
      <c r="Q126" s="69">
        <f t="shared" si="17"/>
        <v>7.1428571428571397E-2</v>
      </c>
      <c r="R126" s="70">
        <f>SUM(P126:Q126)</f>
        <v>1</v>
      </c>
    </row>
    <row r="127" spans="1:18" ht="15.75" thickBot="1" x14ac:dyDescent="0.3">
      <c r="A127" t="s">
        <v>83</v>
      </c>
      <c r="B127" s="101">
        <v>16</v>
      </c>
      <c r="C127" t="s">
        <v>208</v>
      </c>
      <c r="D127" s="17">
        <v>66</v>
      </c>
      <c r="E127" s="100">
        <v>86</v>
      </c>
      <c r="F127" s="100">
        <v>7</v>
      </c>
      <c r="G127" s="100">
        <v>19</v>
      </c>
      <c r="H127" s="89"/>
      <c r="J127" s="75" t="s">
        <v>190</v>
      </c>
      <c r="K127" s="74">
        <f>SUM(K124:K126)</f>
        <v>126</v>
      </c>
      <c r="L127" s="43">
        <f>SUM(L124:L126)</f>
        <v>126</v>
      </c>
      <c r="M127" s="30">
        <f>SUM(M124:M126)</f>
        <v>252</v>
      </c>
    </row>
    <row r="128" spans="1:18" x14ac:dyDescent="0.25">
      <c r="A128" t="s">
        <v>83</v>
      </c>
      <c r="B128" s="101">
        <v>14</v>
      </c>
      <c r="C128" t="s">
        <v>207</v>
      </c>
      <c r="D128" s="17">
        <v>62</v>
      </c>
      <c r="E128" s="100">
        <v>95</v>
      </c>
      <c r="F128" s="100">
        <v>1</v>
      </c>
      <c r="G128" s="100">
        <v>11</v>
      </c>
      <c r="H128" s="89"/>
    </row>
    <row r="129" spans="1:14" x14ac:dyDescent="0.25">
      <c r="A129" t="s">
        <v>175</v>
      </c>
      <c r="B129" s="101">
        <v>6</v>
      </c>
      <c r="C129" t="s">
        <v>208</v>
      </c>
      <c r="D129" s="17">
        <v>66</v>
      </c>
      <c r="E129" s="100">
        <v>93</v>
      </c>
      <c r="F129" s="100">
        <v>7</v>
      </c>
      <c r="G129" s="100">
        <v>15</v>
      </c>
      <c r="H129" s="89"/>
      <c r="J129" s="44" t="s">
        <v>215</v>
      </c>
      <c r="K129" s="53">
        <f>K127/M127</f>
        <v>0.5</v>
      </c>
      <c r="L129" s="53">
        <f>L127/M127</f>
        <v>0.5</v>
      </c>
    </row>
    <row r="130" spans="1:14" x14ac:dyDescent="0.25">
      <c r="A130" t="s">
        <v>175</v>
      </c>
      <c r="B130" s="101">
        <v>5</v>
      </c>
      <c r="C130" t="s">
        <v>208</v>
      </c>
      <c r="D130" s="17">
        <v>64</v>
      </c>
      <c r="E130" s="100">
        <v>58</v>
      </c>
      <c r="F130" s="100">
        <v>6</v>
      </c>
      <c r="G130" s="100">
        <v>12</v>
      </c>
      <c r="H130" s="89"/>
    </row>
    <row r="131" spans="1:14" ht="15.75" thickBot="1" x14ac:dyDescent="0.3">
      <c r="A131" t="s">
        <v>175</v>
      </c>
      <c r="B131" s="101">
        <v>3</v>
      </c>
      <c r="C131" t="s">
        <v>208</v>
      </c>
      <c r="D131" s="17">
        <v>54</v>
      </c>
      <c r="E131" s="100">
        <v>50</v>
      </c>
      <c r="F131" s="100">
        <v>8</v>
      </c>
      <c r="G131" s="100">
        <v>12</v>
      </c>
      <c r="H131" s="89"/>
      <c r="J131" s="112" t="s">
        <v>303</v>
      </c>
      <c r="K131" s="112"/>
      <c r="L131" s="112"/>
      <c r="M131" s="112"/>
    </row>
    <row r="132" spans="1:14" ht="15.75" thickBot="1" x14ac:dyDescent="0.3">
      <c r="A132" t="s">
        <v>175</v>
      </c>
      <c r="B132" s="101">
        <v>2</v>
      </c>
      <c r="C132" t="s">
        <v>207</v>
      </c>
      <c r="D132" s="17">
        <v>66</v>
      </c>
      <c r="E132" s="100">
        <v>67</v>
      </c>
      <c r="F132" s="100">
        <v>4</v>
      </c>
      <c r="G132" s="100">
        <v>10</v>
      </c>
      <c r="H132" s="89"/>
      <c r="J132" s="73"/>
      <c r="K132" s="74" t="s">
        <v>211</v>
      </c>
      <c r="L132" s="43" t="s">
        <v>212</v>
      </c>
      <c r="M132" s="30" t="s">
        <v>190</v>
      </c>
    </row>
    <row r="133" spans="1:14" x14ac:dyDescent="0.25">
      <c r="A133" t="s">
        <v>123</v>
      </c>
      <c r="B133" s="101">
        <v>19</v>
      </c>
      <c r="C133" t="s">
        <v>208</v>
      </c>
      <c r="D133" s="17">
        <v>62</v>
      </c>
      <c r="E133" s="100">
        <v>83</v>
      </c>
      <c r="F133" s="100">
        <v>4</v>
      </c>
      <c r="G133" s="100">
        <v>11</v>
      </c>
      <c r="H133" s="89"/>
      <c r="J133" s="28" t="s">
        <v>268</v>
      </c>
      <c r="K133" s="33">
        <f>(M124*$K$127)/$M$127</f>
        <v>61.5</v>
      </c>
      <c r="L133" s="33">
        <f>M124-K133</f>
        <v>61.5</v>
      </c>
      <c r="M133" s="35">
        <f>SUM(K133:L133)</f>
        <v>123</v>
      </c>
    </row>
    <row r="134" spans="1:14" x14ac:dyDescent="0.25">
      <c r="A134" t="s">
        <v>123</v>
      </c>
      <c r="B134" s="101">
        <v>8</v>
      </c>
      <c r="C134" t="s">
        <v>207</v>
      </c>
      <c r="D134" s="17">
        <v>63</v>
      </c>
      <c r="E134" s="100">
        <v>43</v>
      </c>
      <c r="F134" s="100">
        <v>0</v>
      </c>
      <c r="G134" s="100">
        <v>0</v>
      </c>
      <c r="H134" s="89"/>
      <c r="J134" s="28" t="s">
        <v>269</v>
      </c>
      <c r="K134" s="33">
        <f>(M125*$K$127)/$M$127</f>
        <v>57.5</v>
      </c>
      <c r="L134" s="33">
        <f t="shared" ref="L134:L135" si="18">M125-K134</f>
        <v>57.5</v>
      </c>
      <c r="M134" s="38">
        <f>SUM(K134:L134)</f>
        <v>115</v>
      </c>
    </row>
    <row r="135" spans="1:14" ht="15.75" thickBot="1" x14ac:dyDescent="0.3">
      <c r="A135" t="s">
        <v>116</v>
      </c>
      <c r="B135" s="101">
        <v>21</v>
      </c>
      <c r="C135" t="s">
        <v>208</v>
      </c>
      <c r="D135" s="17">
        <v>63</v>
      </c>
      <c r="E135" s="100">
        <v>104</v>
      </c>
      <c r="F135" s="100">
        <v>3</v>
      </c>
      <c r="G135" s="100">
        <v>14</v>
      </c>
      <c r="H135" s="89"/>
      <c r="J135" s="31" t="s">
        <v>270</v>
      </c>
      <c r="K135" s="33">
        <f>(M126*$K$127)/$M$127</f>
        <v>7</v>
      </c>
      <c r="L135" s="33">
        <f t="shared" si="18"/>
        <v>7</v>
      </c>
      <c r="M135" s="41">
        <f>SUM(K135:L135)</f>
        <v>14</v>
      </c>
    </row>
    <row r="136" spans="1:14" ht="15.75" thickBot="1" x14ac:dyDescent="0.3">
      <c r="A136" t="s">
        <v>116</v>
      </c>
      <c r="B136" s="101">
        <v>15</v>
      </c>
      <c r="C136" t="s">
        <v>208</v>
      </c>
      <c r="D136" s="17">
        <v>65</v>
      </c>
      <c r="E136" s="100">
        <v>61</v>
      </c>
      <c r="F136" s="100">
        <v>3</v>
      </c>
      <c r="G136" s="100">
        <v>5</v>
      </c>
      <c r="H136" s="89"/>
      <c r="J136" s="75" t="s">
        <v>190</v>
      </c>
      <c r="K136" s="74">
        <f>SUM(K133:K135)</f>
        <v>126</v>
      </c>
      <c r="L136" s="43">
        <f>SUM(L133:L135)</f>
        <v>126</v>
      </c>
      <c r="M136" s="30">
        <f>SUM(M133:M135)</f>
        <v>252</v>
      </c>
    </row>
    <row r="137" spans="1:14" ht="15.75" thickBot="1" x14ac:dyDescent="0.3">
      <c r="A137" t="s">
        <v>116</v>
      </c>
      <c r="B137" s="101">
        <v>27</v>
      </c>
      <c r="C137" t="s">
        <v>208</v>
      </c>
      <c r="D137" s="17">
        <v>67</v>
      </c>
      <c r="E137" s="100">
        <v>103</v>
      </c>
      <c r="F137" s="100">
        <v>3</v>
      </c>
      <c r="G137" s="100">
        <v>12</v>
      </c>
      <c r="H137" s="89"/>
    </row>
    <row r="138" spans="1:14" ht="15.75" thickBot="1" x14ac:dyDescent="0.3">
      <c r="A138" t="s">
        <v>116</v>
      </c>
      <c r="B138" s="101">
        <v>16</v>
      </c>
      <c r="C138" t="s">
        <v>207</v>
      </c>
      <c r="D138" s="17">
        <v>72</v>
      </c>
      <c r="E138" s="100">
        <v>49</v>
      </c>
      <c r="F138" s="100">
        <v>0</v>
      </c>
      <c r="G138" s="100">
        <v>0</v>
      </c>
      <c r="H138" s="89"/>
      <c r="J138" s="73" t="s">
        <v>260</v>
      </c>
      <c r="K138" s="74" t="s">
        <v>211</v>
      </c>
      <c r="L138" s="43" t="s">
        <v>212</v>
      </c>
      <c r="M138" s="30" t="s">
        <v>190</v>
      </c>
    </row>
    <row r="139" spans="1:14" x14ac:dyDescent="0.25">
      <c r="A139" t="s">
        <v>64</v>
      </c>
      <c r="B139" s="101">
        <v>13</v>
      </c>
      <c r="C139" t="s">
        <v>208</v>
      </c>
      <c r="D139" s="17">
        <v>61</v>
      </c>
      <c r="E139" s="100">
        <v>44</v>
      </c>
      <c r="F139" s="100">
        <v>7</v>
      </c>
      <c r="G139" s="100">
        <v>14</v>
      </c>
      <c r="H139" s="89"/>
      <c r="J139" s="28" t="s">
        <v>268</v>
      </c>
      <c r="K139" s="98">
        <f>(K124-K133)^2/K133</f>
        <v>25.369918699186993</v>
      </c>
      <c r="L139" s="98">
        <f>(L124-L133)^2/L133</f>
        <v>25.369918699186993</v>
      </c>
      <c r="M139" s="127">
        <f>SUM(K139:L141)</f>
        <v>100.06033429278392</v>
      </c>
    </row>
    <row r="140" spans="1:14" x14ac:dyDescent="0.25">
      <c r="A140" t="s">
        <v>64</v>
      </c>
      <c r="B140" s="101">
        <v>3</v>
      </c>
      <c r="C140" t="s">
        <v>207</v>
      </c>
      <c r="D140" s="17">
        <v>52</v>
      </c>
      <c r="E140" s="100">
        <v>45</v>
      </c>
      <c r="F140" s="100">
        <v>0</v>
      </c>
      <c r="G140" s="100">
        <v>0</v>
      </c>
      <c r="H140" s="89"/>
      <c r="J140" s="28" t="s">
        <v>269</v>
      </c>
      <c r="K140" s="98">
        <f t="shared" ref="K140:L140" si="19">(K125-K134)^2/K134</f>
        <v>19.517391304347825</v>
      </c>
      <c r="L140" s="98">
        <f t="shared" si="19"/>
        <v>19.517391304347825</v>
      </c>
      <c r="M140" s="128"/>
    </row>
    <row r="141" spans="1:14" ht="15.75" thickBot="1" x14ac:dyDescent="0.3">
      <c r="A141" t="s">
        <v>181</v>
      </c>
      <c r="B141" s="101">
        <v>23</v>
      </c>
      <c r="C141" t="s">
        <v>207</v>
      </c>
      <c r="D141" s="17">
        <v>51</v>
      </c>
      <c r="E141" s="100">
        <v>114</v>
      </c>
      <c r="F141" s="100">
        <v>7</v>
      </c>
      <c r="G141" s="100">
        <v>13</v>
      </c>
      <c r="H141" s="89"/>
      <c r="J141" s="52" t="s">
        <v>270</v>
      </c>
      <c r="K141" s="99">
        <f t="shared" ref="K141:L141" si="20">(K126-K135)^2/K135</f>
        <v>5.1428571428571432</v>
      </c>
      <c r="L141" s="99">
        <f t="shared" si="20"/>
        <v>5.1428571428571432</v>
      </c>
      <c r="M141" s="129"/>
    </row>
    <row r="142" spans="1:14" x14ac:dyDescent="0.25">
      <c r="A142" t="s">
        <v>177</v>
      </c>
      <c r="B142" s="101">
        <v>2</v>
      </c>
      <c r="C142" t="s">
        <v>207</v>
      </c>
      <c r="D142" s="17">
        <v>61</v>
      </c>
      <c r="E142" s="100">
        <v>77</v>
      </c>
      <c r="F142" s="100">
        <v>4</v>
      </c>
      <c r="G142" s="100">
        <v>8</v>
      </c>
      <c r="H142" s="89"/>
    </row>
    <row r="143" spans="1:14" x14ac:dyDescent="0.25">
      <c r="A143" t="s">
        <v>61</v>
      </c>
      <c r="B143" s="101">
        <v>5</v>
      </c>
      <c r="C143" t="s">
        <v>207</v>
      </c>
      <c r="D143" s="17">
        <v>61</v>
      </c>
      <c r="E143" s="100">
        <v>53</v>
      </c>
      <c r="F143" s="100">
        <v>1</v>
      </c>
      <c r="G143" s="100">
        <v>3</v>
      </c>
      <c r="H143" s="89"/>
      <c r="J143" s="111" t="s">
        <v>273</v>
      </c>
      <c r="K143" s="111"/>
      <c r="L143" s="111"/>
      <c r="M143" s="111"/>
      <c r="N143" s="111"/>
    </row>
    <row r="144" spans="1:14" ht="15.75" thickBot="1" x14ac:dyDescent="0.3">
      <c r="A144" t="s">
        <v>85</v>
      </c>
      <c r="B144" s="101">
        <v>11</v>
      </c>
      <c r="C144" t="s">
        <v>207</v>
      </c>
      <c r="D144" s="17">
        <v>51</v>
      </c>
      <c r="E144" s="100">
        <v>113</v>
      </c>
      <c r="F144" s="100">
        <v>3</v>
      </c>
      <c r="G144" s="100">
        <v>7</v>
      </c>
      <c r="H144" s="89"/>
      <c r="J144" s="112" t="s">
        <v>245</v>
      </c>
      <c r="K144" s="112"/>
      <c r="L144" s="112"/>
      <c r="M144" s="112"/>
      <c r="N144" s="112"/>
    </row>
    <row r="145" spans="1:14" ht="15.75" thickBot="1" x14ac:dyDescent="0.3">
      <c r="A145" t="s">
        <v>81</v>
      </c>
      <c r="B145" s="101">
        <v>8</v>
      </c>
      <c r="C145" t="s">
        <v>207</v>
      </c>
      <c r="D145" s="17">
        <v>60</v>
      </c>
      <c r="E145" s="100">
        <v>93</v>
      </c>
      <c r="F145" s="100">
        <v>6</v>
      </c>
      <c r="G145" s="100">
        <v>14</v>
      </c>
      <c r="H145" s="89"/>
      <c r="J145" s="79" t="s">
        <v>274</v>
      </c>
      <c r="K145" s="83" t="s">
        <v>275</v>
      </c>
      <c r="L145" s="84" t="s">
        <v>276</v>
      </c>
      <c r="M145" s="85" t="s">
        <v>277</v>
      </c>
      <c r="N145" s="30" t="s">
        <v>190</v>
      </c>
    </row>
    <row r="146" spans="1:14" x14ac:dyDescent="0.25">
      <c r="A146" t="s">
        <v>137</v>
      </c>
      <c r="B146" s="101">
        <v>13</v>
      </c>
      <c r="C146" t="s">
        <v>207</v>
      </c>
      <c r="D146" s="17">
        <v>61</v>
      </c>
      <c r="E146" s="100">
        <v>91</v>
      </c>
      <c r="F146" s="100">
        <v>2</v>
      </c>
      <c r="G146" s="100">
        <v>3</v>
      </c>
      <c r="H146" s="89"/>
      <c r="J146" s="28" t="s">
        <v>268</v>
      </c>
      <c r="K146" s="33">
        <f>COUNTIFS(Tabella5[BreakPointCreati],"&lt;4",Tabella5[BreakPointWon],"&lt;10")</f>
        <v>106</v>
      </c>
      <c r="L146" s="33">
        <f>COUNTIFS(Tabella5[BreakPointCreati],"&lt;4",Tabella5[BreakPointWon],"&lt;18",Tabella5[BreakPointWon],"&gt;9")</f>
        <v>16</v>
      </c>
      <c r="M146" s="33">
        <f>COUNTIFS(Tabella5[BreakPointCreati],"&lt;4",Tabella5[BreakPointWon],"&gt;17")</f>
        <v>1</v>
      </c>
      <c r="N146" s="86">
        <f>SUM(K146:M146)</f>
        <v>123</v>
      </c>
    </row>
    <row r="147" spans="1:14" x14ac:dyDescent="0.25">
      <c r="A147" t="s">
        <v>66</v>
      </c>
      <c r="B147" s="101">
        <v>8</v>
      </c>
      <c r="C147" t="s">
        <v>207</v>
      </c>
      <c r="D147" s="17">
        <v>52</v>
      </c>
      <c r="E147" s="100">
        <v>73</v>
      </c>
      <c r="F147" s="100">
        <v>1</v>
      </c>
      <c r="G147" s="100">
        <v>9</v>
      </c>
      <c r="H147" s="89"/>
      <c r="J147" s="28" t="s">
        <v>269</v>
      </c>
      <c r="K147" s="36">
        <f>COUNTIFS(Tabella5[BreakPointCreati],"&gt;3",Tabella5[BreakPointWon],"&lt;10",Tabella5[BreakPointCreati],"&lt;8")</f>
        <v>35</v>
      </c>
      <c r="L147" s="33">
        <f>COUNTIFS(Tabella5[BreakPointCreati],"&gt;3",Tabella5[BreakPointWon],"&lt;18",Tabella5[BreakPointWon],"&gt;9",Tabella5[BreakPointCreati],"&lt;8")</f>
        <v>68</v>
      </c>
      <c r="M147" s="36">
        <f>COUNTIFS(Tabella5[BreakPointCreati],"&gt;3",Tabella5[BreakPointWon],"&gt;17",Tabella5[BreakPointCreati],"&lt;8")</f>
        <v>12</v>
      </c>
      <c r="N147" s="86">
        <f>SUM(K147:M147)</f>
        <v>115</v>
      </c>
    </row>
    <row r="148" spans="1:14" ht="15.75" thickBot="1" x14ac:dyDescent="0.3">
      <c r="A148" t="s">
        <v>136</v>
      </c>
      <c r="B148" s="101">
        <v>22</v>
      </c>
      <c r="C148" t="s">
        <v>208</v>
      </c>
      <c r="D148" s="17">
        <v>58</v>
      </c>
      <c r="E148" s="100">
        <v>87</v>
      </c>
      <c r="F148" s="100">
        <v>5</v>
      </c>
      <c r="G148" s="100">
        <v>8</v>
      </c>
      <c r="H148" s="89"/>
      <c r="J148" s="52" t="s">
        <v>270</v>
      </c>
      <c r="K148" s="33">
        <f>COUNTIFS(Tabella5[BreakPointCreati],"&gt;7",Tabella5[BreakPointWon],"&lt;10")</f>
        <v>0</v>
      </c>
      <c r="L148" s="33">
        <f>COUNTIFS(Tabella5[BreakPointCreati],"&gt;7",Tabella5[BreakPointWon],"&lt;18",Tabella5[BreakPointWon],"&gt;9")</f>
        <v>9</v>
      </c>
      <c r="M148" s="33">
        <f>COUNTIFS(Tabella5[BreakPointCreati],"&gt;7",Tabella5[BreakPointWon],"&gt;17")</f>
        <v>5</v>
      </c>
      <c r="N148" s="86">
        <f>SUM(K148:M148)</f>
        <v>14</v>
      </c>
    </row>
    <row r="149" spans="1:14" ht="15.75" thickBot="1" x14ac:dyDescent="0.3">
      <c r="A149" t="s">
        <v>136</v>
      </c>
      <c r="B149" s="101">
        <v>15</v>
      </c>
      <c r="C149" t="s">
        <v>207</v>
      </c>
      <c r="D149" s="17">
        <v>50</v>
      </c>
      <c r="E149" s="100">
        <v>82</v>
      </c>
      <c r="F149" s="100">
        <v>7</v>
      </c>
      <c r="G149" s="100">
        <v>15</v>
      </c>
      <c r="H149" s="89"/>
      <c r="J149" s="75" t="s">
        <v>190</v>
      </c>
      <c r="K149" s="88">
        <f>SUM(K146:K148)</f>
        <v>141</v>
      </c>
      <c r="L149" s="88">
        <f>SUM(L146:L148)</f>
        <v>93</v>
      </c>
      <c r="M149" s="88">
        <f>SUM(M146:M148)</f>
        <v>18</v>
      </c>
      <c r="N149" s="30">
        <f>SUM(N146:N148)</f>
        <v>252</v>
      </c>
    </row>
    <row r="150" spans="1:14" x14ac:dyDescent="0.25">
      <c r="A150" t="s">
        <v>174</v>
      </c>
      <c r="B150" s="101">
        <v>14</v>
      </c>
      <c r="C150" t="s">
        <v>207</v>
      </c>
      <c r="D150" s="17">
        <v>61</v>
      </c>
      <c r="E150" s="100">
        <v>98</v>
      </c>
      <c r="F150" s="100">
        <v>3</v>
      </c>
      <c r="G150" s="100">
        <v>9</v>
      </c>
      <c r="H150" s="89"/>
    </row>
    <row r="151" spans="1:14" ht="15.75" thickBot="1" x14ac:dyDescent="0.3">
      <c r="A151" t="s">
        <v>142</v>
      </c>
      <c r="B151" s="101">
        <v>9</v>
      </c>
      <c r="C151" t="s">
        <v>208</v>
      </c>
      <c r="D151" s="17">
        <v>54</v>
      </c>
      <c r="E151" s="100">
        <v>46</v>
      </c>
      <c r="F151" s="100">
        <v>2</v>
      </c>
      <c r="G151" s="100">
        <v>5</v>
      </c>
      <c r="H151" s="89"/>
      <c r="J151" s="130" t="s">
        <v>303</v>
      </c>
      <c r="K151" s="130"/>
      <c r="L151" s="130"/>
      <c r="M151" s="130"/>
      <c r="N151" s="130"/>
    </row>
    <row r="152" spans="1:14" ht="15.75" thickBot="1" x14ac:dyDescent="0.3">
      <c r="A152" t="s">
        <v>142</v>
      </c>
      <c r="B152" s="101">
        <v>16</v>
      </c>
      <c r="C152" t="s">
        <v>208</v>
      </c>
      <c r="D152" s="17">
        <v>58</v>
      </c>
      <c r="E152" s="100">
        <v>83</v>
      </c>
      <c r="F152" s="100">
        <v>5</v>
      </c>
      <c r="G152" s="100">
        <v>14</v>
      </c>
      <c r="H152" s="89"/>
      <c r="J152" s="79" t="s">
        <v>274</v>
      </c>
      <c r="K152" s="83" t="s">
        <v>275</v>
      </c>
      <c r="L152" s="84" t="s">
        <v>276</v>
      </c>
      <c r="M152" s="85" t="s">
        <v>277</v>
      </c>
      <c r="N152" s="30" t="s">
        <v>190</v>
      </c>
    </row>
    <row r="153" spans="1:14" x14ac:dyDescent="0.25">
      <c r="A153" t="s">
        <v>142</v>
      </c>
      <c r="B153" s="101">
        <v>6</v>
      </c>
      <c r="C153" t="s">
        <v>207</v>
      </c>
      <c r="D153" s="17">
        <v>53</v>
      </c>
      <c r="E153" s="100">
        <v>53</v>
      </c>
      <c r="F153" s="100">
        <v>0</v>
      </c>
      <c r="G153" s="100">
        <v>3</v>
      </c>
      <c r="H153" s="89"/>
      <c r="J153" s="28" t="s">
        <v>268</v>
      </c>
      <c r="K153" s="91">
        <f>(N146*$K$149)/$N$149</f>
        <v>68.821428571428569</v>
      </c>
      <c r="L153" s="91">
        <f>(N146*$L$149)/$N$149</f>
        <v>45.392857142857146</v>
      </c>
      <c r="M153" s="91">
        <f>N146-K153-L153</f>
        <v>8.7857142857142847</v>
      </c>
      <c r="N153" s="86">
        <f>SUM(K153:M153)</f>
        <v>123</v>
      </c>
    </row>
    <row r="154" spans="1:14" x14ac:dyDescent="0.25">
      <c r="A154" t="s">
        <v>89</v>
      </c>
      <c r="B154" s="101">
        <v>8</v>
      </c>
      <c r="C154" t="s">
        <v>207</v>
      </c>
      <c r="D154" s="17">
        <v>68</v>
      </c>
      <c r="E154" s="100">
        <v>83</v>
      </c>
      <c r="F154" s="100">
        <v>3</v>
      </c>
      <c r="G154" s="100">
        <v>11</v>
      </c>
      <c r="H154" s="89"/>
      <c r="J154" s="28" t="s">
        <v>269</v>
      </c>
      <c r="K154" s="102">
        <f t="shared" ref="K154:K155" si="21">(N147*$K$149)/$N$149</f>
        <v>64.345238095238102</v>
      </c>
      <c r="L154" s="91">
        <f t="shared" ref="L154:L155" si="22">(N147*$L$149)/$N$149</f>
        <v>42.44047619047619</v>
      </c>
      <c r="M154" s="91">
        <f t="shared" ref="M154:M155" si="23">N147-K154-L154</f>
        <v>8.2142857142857082</v>
      </c>
      <c r="N154" s="86">
        <f>SUM(K154:M154)</f>
        <v>115</v>
      </c>
    </row>
    <row r="155" spans="1:14" ht="15.75" thickBot="1" x14ac:dyDescent="0.3">
      <c r="A155" t="s">
        <v>89</v>
      </c>
      <c r="B155" s="101">
        <v>7</v>
      </c>
      <c r="C155" t="s">
        <v>208</v>
      </c>
      <c r="D155" s="17">
        <v>67</v>
      </c>
      <c r="E155" s="100">
        <v>81</v>
      </c>
      <c r="F155" s="100">
        <v>6</v>
      </c>
      <c r="G155" s="100">
        <v>12</v>
      </c>
      <c r="H155" s="89"/>
      <c r="J155" s="52" t="s">
        <v>270</v>
      </c>
      <c r="K155" s="91">
        <f t="shared" si="21"/>
        <v>7.833333333333333</v>
      </c>
      <c r="L155" s="91">
        <f t="shared" si="22"/>
        <v>5.166666666666667</v>
      </c>
      <c r="M155" s="91">
        <f t="shared" si="23"/>
        <v>1</v>
      </c>
      <c r="N155" s="86">
        <f>SUM(K155:M155)</f>
        <v>14</v>
      </c>
    </row>
    <row r="156" spans="1:14" ht="15.75" thickBot="1" x14ac:dyDescent="0.3">
      <c r="A156" t="s">
        <v>152</v>
      </c>
      <c r="B156" s="101">
        <v>9</v>
      </c>
      <c r="C156" t="s">
        <v>208</v>
      </c>
      <c r="D156" s="17">
        <v>63</v>
      </c>
      <c r="E156" s="100">
        <v>58</v>
      </c>
      <c r="F156" s="100">
        <v>5</v>
      </c>
      <c r="G156" s="100">
        <v>12</v>
      </c>
      <c r="H156" s="89"/>
      <c r="J156" s="75" t="s">
        <v>190</v>
      </c>
      <c r="K156" s="88">
        <f>SUM(K153:K155)</f>
        <v>141.00000000000003</v>
      </c>
      <c r="L156" s="103">
        <f>SUM(L153:L155)</f>
        <v>93.000000000000014</v>
      </c>
      <c r="M156" s="103">
        <f>SUM(M153:M155)</f>
        <v>17.999999999999993</v>
      </c>
      <c r="N156" s="30">
        <f>SUM(N153:N155)</f>
        <v>252</v>
      </c>
    </row>
    <row r="157" spans="1:14" ht="15.75" thickBot="1" x14ac:dyDescent="0.3">
      <c r="A157" t="s">
        <v>152</v>
      </c>
      <c r="B157" s="101">
        <v>6</v>
      </c>
      <c r="C157" t="s">
        <v>207</v>
      </c>
      <c r="D157" s="17">
        <v>68</v>
      </c>
      <c r="E157" s="100">
        <v>64</v>
      </c>
      <c r="F157" s="100">
        <v>2</v>
      </c>
      <c r="G157" s="100">
        <v>4</v>
      </c>
      <c r="H157" s="89"/>
    </row>
    <row r="158" spans="1:14" ht="15.75" thickBot="1" x14ac:dyDescent="0.3">
      <c r="A158" t="s">
        <v>153</v>
      </c>
      <c r="B158" s="101">
        <v>10</v>
      </c>
      <c r="C158" t="s">
        <v>207</v>
      </c>
      <c r="D158" s="17">
        <v>72</v>
      </c>
      <c r="E158" s="100">
        <v>59</v>
      </c>
      <c r="F158" s="100">
        <v>0</v>
      </c>
      <c r="G158" s="100">
        <v>2</v>
      </c>
      <c r="H158" s="89"/>
      <c r="J158" s="79" t="s">
        <v>250</v>
      </c>
      <c r="K158" s="83" t="s">
        <v>275</v>
      </c>
      <c r="L158" s="84" t="s">
        <v>276</v>
      </c>
      <c r="M158" s="85" t="s">
        <v>277</v>
      </c>
      <c r="N158" s="30" t="s">
        <v>190</v>
      </c>
    </row>
    <row r="159" spans="1:14" x14ac:dyDescent="0.25">
      <c r="A159" t="s">
        <v>69</v>
      </c>
      <c r="B159" s="101">
        <v>1</v>
      </c>
      <c r="C159" t="s">
        <v>207</v>
      </c>
      <c r="D159" s="17">
        <v>50</v>
      </c>
      <c r="E159" s="100">
        <v>43</v>
      </c>
      <c r="F159" s="100">
        <v>1</v>
      </c>
      <c r="G159" s="100">
        <v>7</v>
      </c>
      <c r="H159" s="89"/>
      <c r="J159" s="28" t="s">
        <v>268</v>
      </c>
      <c r="K159" s="91">
        <f>(K146-K153)^2/K153</f>
        <v>20.084531840759141</v>
      </c>
      <c r="L159" s="91">
        <f>(L146-L153)^2/L153</f>
        <v>19.032510958750141</v>
      </c>
      <c r="M159" s="91">
        <f t="shared" ref="M159" si="24">(M146-M153)^2/M153</f>
        <v>6.8995354239256672</v>
      </c>
      <c r="N159" s="131">
        <f>SUM(K159:M161)</f>
        <v>103.21495487587744</v>
      </c>
    </row>
    <row r="160" spans="1:14" x14ac:dyDescent="0.25">
      <c r="A160" t="s">
        <v>146</v>
      </c>
      <c r="B160" s="101">
        <v>15</v>
      </c>
      <c r="C160" t="s">
        <v>208</v>
      </c>
      <c r="D160" s="17">
        <v>69</v>
      </c>
      <c r="E160" s="100">
        <v>65</v>
      </c>
      <c r="F160" s="100">
        <v>5</v>
      </c>
      <c r="G160" s="100">
        <v>8</v>
      </c>
      <c r="H160" s="89"/>
      <c r="J160" s="28" t="s">
        <v>269</v>
      </c>
      <c r="K160" s="91">
        <f t="shared" ref="K160:M160" si="25">(K147-K154)^2/K154</f>
        <v>13.383165939826444</v>
      </c>
      <c r="L160" s="91">
        <f t="shared" si="25"/>
        <v>15.393070860882924</v>
      </c>
      <c r="M160" s="91">
        <f t="shared" si="25"/>
        <v>1.7447204968944168</v>
      </c>
      <c r="N160" s="132"/>
    </row>
    <row r="161" spans="1:18" ht="15.75" thickBot="1" x14ac:dyDescent="0.3">
      <c r="A161" t="s">
        <v>146</v>
      </c>
      <c r="B161" s="101">
        <v>12</v>
      </c>
      <c r="C161" t="s">
        <v>207</v>
      </c>
      <c r="D161" s="17">
        <v>58</v>
      </c>
      <c r="E161" s="100">
        <v>74</v>
      </c>
      <c r="F161" s="100">
        <v>2</v>
      </c>
      <c r="G161" s="100">
        <v>7</v>
      </c>
      <c r="H161" s="89"/>
      <c r="J161" s="52" t="s">
        <v>270</v>
      </c>
      <c r="K161" s="93">
        <f t="shared" ref="K161:M161" si="26">(K148-K155)^2/K155</f>
        <v>7.833333333333333</v>
      </c>
      <c r="L161" s="93">
        <f t="shared" si="26"/>
        <v>2.844086021505376</v>
      </c>
      <c r="M161" s="93">
        <f t="shared" si="26"/>
        <v>16</v>
      </c>
      <c r="N161" s="133"/>
    </row>
    <row r="162" spans="1:18" x14ac:dyDescent="0.25">
      <c r="A162" t="s">
        <v>91</v>
      </c>
      <c r="B162" s="101">
        <v>2</v>
      </c>
      <c r="C162" t="s">
        <v>207</v>
      </c>
      <c r="D162" s="17">
        <v>55</v>
      </c>
      <c r="E162" s="100">
        <v>78</v>
      </c>
      <c r="F162" s="100">
        <v>4</v>
      </c>
      <c r="G162" s="100">
        <v>14</v>
      </c>
      <c r="H162" s="89"/>
    </row>
    <row r="163" spans="1:18" x14ac:dyDescent="0.25">
      <c r="A163" t="s">
        <v>108</v>
      </c>
      <c r="B163" s="101">
        <v>5</v>
      </c>
      <c r="C163" t="s">
        <v>208</v>
      </c>
      <c r="D163" s="17">
        <v>69</v>
      </c>
      <c r="E163" s="100">
        <v>56</v>
      </c>
      <c r="F163" s="100">
        <v>7</v>
      </c>
      <c r="G163" s="100">
        <v>9</v>
      </c>
      <c r="H163" s="89"/>
      <c r="J163" s="72" t="s">
        <v>278</v>
      </c>
      <c r="M163" s="72"/>
    </row>
    <row r="164" spans="1:18" x14ac:dyDescent="0.25">
      <c r="A164" t="s">
        <v>108</v>
      </c>
      <c r="B164" s="101">
        <v>14</v>
      </c>
      <c r="C164" t="s">
        <v>207</v>
      </c>
      <c r="D164" s="17">
        <v>55</v>
      </c>
      <c r="E164" s="100">
        <v>91</v>
      </c>
      <c r="F164" s="100">
        <v>3</v>
      </c>
      <c r="G164" s="100">
        <v>7</v>
      </c>
      <c r="H164" s="89"/>
      <c r="J164" s="72" t="s">
        <v>279</v>
      </c>
      <c r="K164" s="71"/>
    </row>
    <row r="165" spans="1:18" x14ac:dyDescent="0.25">
      <c r="A165" t="s">
        <v>172</v>
      </c>
      <c r="B165" s="101">
        <v>21</v>
      </c>
      <c r="C165" t="s">
        <v>208</v>
      </c>
      <c r="D165" s="17">
        <v>64</v>
      </c>
      <c r="E165" s="100">
        <v>73</v>
      </c>
      <c r="F165" s="100">
        <v>7</v>
      </c>
      <c r="G165" s="100">
        <v>20</v>
      </c>
      <c r="H165" s="89"/>
      <c r="J165" s="72" t="s">
        <v>280</v>
      </c>
      <c r="M165" s="72"/>
    </row>
    <row r="166" spans="1:18" x14ac:dyDescent="0.25">
      <c r="A166" t="s">
        <v>172</v>
      </c>
      <c r="B166" s="101">
        <v>27</v>
      </c>
      <c r="C166" t="s">
        <v>208</v>
      </c>
      <c r="D166" s="17">
        <v>64</v>
      </c>
      <c r="E166" s="100">
        <v>80</v>
      </c>
      <c r="F166" s="100">
        <v>2</v>
      </c>
      <c r="G166" s="100">
        <v>6</v>
      </c>
      <c r="H166" s="89"/>
      <c r="J166" s="72" t="s">
        <v>281</v>
      </c>
      <c r="M166" s="72"/>
    </row>
    <row r="167" spans="1:18" x14ac:dyDescent="0.25">
      <c r="A167" t="s">
        <v>172</v>
      </c>
      <c r="B167" s="101">
        <v>21</v>
      </c>
      <c r="C167" t="s">
        <v>207</v>
      </c>
      <c r="D167" s="17">
        <v>59</v>
      </c>
      <c r="E167" s="100">
        <v>85</v>
      </c>
      <c r="F167" s="100">
        <v>1</v>
      </c>
      <c r="G167" s="100">
        <v>3</v>
      </c>
      <c r="H167" s="89"/>
      <c r="J167" t="s">
        <v>296</v>
      </c>
    </row>
    <row r="168" spans="1:18" x14ac:dyDescent="0.25">
      <c r="A168" t="s">
        <v>162</v>
      </c>
      <c r="B168" s="101">
        <v>34</v>
      </c>
      <c r="C168" t="s">
        <v>208</v>
      </c>
      <c r="D168" s="17">
        <v>54</v>
      </c>
      <c r="E168" s="100">
        <v>85</v>
      </c>
      <c r="F168" s="100">
        <v>6</v>
      </c>
      <c r="G168" s="100">
        <v>8</v>
      </c>
      <c r="H168" s="89"/>
      <c r="J168" t="s">
        <v>297</v>
      </c>
    </row>
    <row r="169" spans="1:18" ht="15.75" x14ac:dyDescent="0.3">
      <c r="A169" t="s">
        <v>162</v>
      </c>
      <c r="B169" s="101">
        <v>24</v>
      </c>
      <c r="C169" t="s">
        <v>207</v>
      </c>
      <c r="D169" s="17">
        <v>66</v>
      </c>
      <c r="E169" s="100">
        <v>113</v>
      </c>
      <c r="F169" s="100">
        <v>2</v>
      </c>
      <c r="G169" s="100">
        <v>10</v>
      </c>
      <c r="H169" s="89"/>
      <c r="J169" t="s">
        <v>298</v>
      </c>
    </row>
    <row r="170" spans="1:18" x14ac:dyDescent="0.25">
      <c r="A170" t="s">
        <v>88</v>
      </c>
      <c r="B170" s="101">
        <v>7</v>
      </c>
      <c r="C170" t="s">
        <v>207</v>
      </c>
      <c r="D170" s="17">
        <v>64</v>
      </c>
      <c r="E170" s="100">
        <v>86</v>
      </c>
      <c r="F170" s="100">
        <v>6</v>
      </c>
      <c r="G170" s="100">
        <v>15</v>
      </c>
      <c r="H170" s="89"/>
    </row>
    <row r="171" spans="1:18" x14ac:dyDescent="0.25">
      <c r="A171" t="s">
        <v>80</v>
      </c>
      <c r="B171" s="101">
        <v>6</v>
      </c>
      <c r="C171" t="s">
        <v>208</v>
      </c>
      <c r="D171" s="17">
        <v>77</v>
      </c>
      <c r="E171" s="100">
        <v>87</v>
      </c>
      <c r="F171" s="100">
        <v>7</v>
      </c>
      <c r="G171" s="100">
        <v>24</v>
      </c>
      <c r="H171" s="89"/>
      <c r="J171" s="111" t="s">
        <v>300</v>
      </c>
      <c r="K171" s="111"/>
      <c r="L171" s="111"/>
      <c r="M171" s="111"/>
      <c r="N171" s="111"/>
    </row>
    <row r="172" spans="1:18" ht="15.75" thickBot="1" x14ac:dyDescent="0.3">
      <c r="A172" t="s">
        <v>80</v>
      </c>
      <c r="B172" s="101">
        <v>6</v>
      </c>
      <c r="C172" t="s">
        <v>207</v>
      </c>
      <c r="D172" s="17">
        <v>77</v>
      </c>
      <c r="E172" s="100">
        <v>59</v>
      </c>
      <c r="F172" s="100">
        <v>4</v>
      </c>
      <c r="G172" s="100">
        <v>5</v>
      </c>
      <c r="H172" s="89"/>
      <c r="J172" s="112" t="s">
        <v>245</v>
      </c>
      <c r="K172" s="112"/>
      <c r="L172" s="112"/>
      <c r="M172" s="112"/>
    </row>
    <row r="173" spans="1:18" ht="15.75" thickBot="1" x14ac:dyDescent="0.3">
      <c r="A173" t="s">
        <v>62</v>
      </c>
      <c r="B173" s="101">
        <v>10</v>
      </c>
      <c r="C173" t="s">
        <v>208</v>
      </c>
      <c r="D173" s="17">
        <v>68</v>
      </c>
      <c r="E173" s="100">
        <v>62</v>
      </c>
      <c r="F173" s="100">
        <v>4</v>
      </c>
      <c r="G173" s="100">
        <v>8</v>
      </c>
      <c r="H173" s="89"/>
      <c r="J173" s="73"/>
      <c r="K173" s="74" t="s">
        <v>211</v>
      </c>
      <c r="L173" s="43" t="s">
        <v>212</v>
      </c>
      <c r="M173" s="30" t="s">
        <v>190</v>
      </c>
      <c r="O173" s="76" t="s">
        <v>213</v>
      </c>
      <c r="P173" s="74" t="s">
        <v>211</v>
      </c>
      <c r="Q173" s="43" t="s">
        <v>212</v>
      </c>
      <c r="R173" s="30" t="s">
        <v>190</v>
      </c>
    </row>
    <row r="174" spans="1:18" x14ac:dyDescent="0.25">
      <c r="A174" t="s">
        <v>62</v>
      </c>
      <c r="B174" s="101">
        <v>12</v>
      </c>
      <c r="C174" t="s">
        <v>208</v>
      </c>
      <c r="D174" s="17">
        <v>66</v>
      </c>
      <c r="E174" s="100">
        <v>53</v>
      </c>
      <c r="F174" s="100">
        <v>5</v>
      </c>
      <c r="G174" s="100">
        <v>6</v>
      </c>
      <c r="H174" s="89"/>
      <c r="J174" s="28" t="s">
        <v>275</v>
      </c>
      <c r="K174" s="33">
        <f>COUNTIFS(Tabella5[BreakPointWon],"&lt;10",Tabella5[Vittoria],"si")</f>
        <v>44</v>
      </c>
      <c r="L174" s="33">
        <f>COUNTIFS(Tabella5[BreakPointWon],"&lt;10",Tabella5[Vittoria],"no")</f>
        <v>97</v>
      </c>
      <c r="M174" s="35">
        <f>SUM(K174:L174)</f>
        <v>141</v>
      </c>
      <c r="O174" s="28" t="s">
        <v>275</v>
      </c>
      <c r="P174" s="63">
        <f>K174/M174</f>
        <v>0.31205673758865249</v>
      </c>
      <c r="Q174" s="64">
        <f>1-P174</f>
        <v>0.68794326241134751</v>
      </c>
      <c r="R174" s="65">
        <f>SUM(P174:Q174)</f>
        <v>1</v>
      </c>
    </row>
    <row r="175" spans="1:18" x14ac:dyDescent="0.25">
      <c r="A175" t="s">
        <v>62</v>
      </c>
      <c r="B175" s="101">
        <v>6</v>
      </c>
      <c r="C175" t="s">
        <v>208</v>
      </c>
      <c r="D175" s="17">
        <v>63</v>
      </c>
      <c r="E175" s="100">
        <v>58</v>
      </c>
      <c r="F175" s="100">
        <v>5</v>
      </c>
      <c r="G175" s="100">
        <v>8</v>
      </c>
      <c r="H175" s="89"/>
      <c r="J175" s="28" t="s">
        <v>276</v>
      </c>
      <c r="K175" s="36">
        <f>COUNTIFS(Tabella5[BreakPointWon],"&gt;9",Tabella5[Vittoria],"si",Tabella5[BreakPointWon],"&lt;18")</f>
        <v>67</v>
      </c>
      <c r="L175" s="36">
        <f>COUNTIFS(Tabella5[BreakPointWon],"&gt;9",Tabella5[Vittoria],"no",Tabella5[BreakPointWon],"&lt;18")</f>
        <v>26</v>
      </c>
      <c r="M175" s="38">
        <f>SUM(K175:L175)</f>
        <v>93</v>
      </c>
      <c r="O175" s="28" t="s">
        <v>276</v>
      </c>
      <c r="P175" s="63">
        <f>K175/M175</f>
        <v>0.72043010752688175</v>
      </c>
      <c r="Q175" s="64">
        <f t="shared" ref="Q175:Q176" si="27">1-P175</f>
        <v>0.27956989247311825</v>
      </c>
      <c r="R175" s="66">
        <f>SUM(P175:Q175)</f>
        <v>1</v>
      </c>
    </row>
    <row r="176" spans="1:18" ht="15.75" thickBot="1" x14ac:dyDescent="0.3">
      <c r="A176" t="s">
        <v>62</v>
      </c>
      <c r="B176" s="101">
        <v>7</v>
      </c>
      <c r="C176" t="s">
        <v>208</v>
      </c>
      <c r="D176" s="17">
        <v>72</v>
      </c>
      <c r="E176" s="100">
        <v>50</v>
      </c>
      <c r="F176" s="100">
        <v>6</v>
      </c>
      <c r="G176" s="100">
        <v>22</v>
      </c>
      <c r="H176" s="89"/>
      <c r="J176" s="31" t="s">
        <v>277</v>
      </c>
      <c r="K176" s="33">
        <f>COUNTIFS(Tabella5[BreakPointWon],"&gt;17",Tabella5[Vittoria],"si")</f>
        <v>15</v>
      </c>
      <c r="L176" s="33">
        <f>COUNTIFS(Tabella5[BreakPointWon],"&gt;17",Tabella5[Vittoria],"no")</f>
        <v>3</v>
      </c>
      <c r="M176" s="41">
        <f>SUM(K176:L176)</f>
        <v>18</v>
      </c>
      <c r="O176" s="52" t="s">
        <v>277</v>
      </c>
      <c r="P176" s="68">
        <f>K176/M176</f>
        <v>0.83333333333333337</v>
      </c>
      <c r="Q176" s="69">
        <f t="shared" si="27"/>
        <v>0.16666666666666663</v>
      </c>
      <c r="R176" s="70">
        <f>SUM(P176:Q176)</f>
        <v>1</v>
      </c>
    </row>
    <row r="177" spans="1:13" ht="15.75" thickBot="1" x14ac:dyDescent="0.3">
      <c r="A177" t="s">
        <v>62</v>
      </c>
      <c r="B177" s="101">
        <v>7</v>
      </c>
      <c r="C177" t="s">
        <v>207</v>
      </c>
      <c r="D177" s="17">
        <v>73</v>
      </c>
      <c r="E177" s="100">
        <v>98</v>
      </c>
      <c r="F177" s="100">
        <v>4</v>
      </c>
      <c r="G177" s="100">
        <v>7</v>
      </c>
      <c r="H177" s="89"/>
      <c r="J177" s="75" t="s">
        <v>190</v>
      </c>
      <c r="K177" s="74">
        <f>SUM(K174:K176)</f>
        <v>126</v>
      </c>
      <c r="L177" s="43">
        <f>SUM(L174:L176)</f>
        <v>126</v>
      </c>
      <c r="M177" s="30">
        <f>SUM(M174:M176)</f>
        <v>252</v>
      </c>
    </row>
    <row r="178" spans="1:13" x14ac:dyDescent="0.25">
      <c r="A178" t="s">
        <v>105</v>
      </c>
      <c r="B178" s="101">
        <v>11</v>
      </c>
      <c r="C178" t="s">
        <v>207</v>
      </c>
      <c r="D178" s="17">
        <v>79</v>
      </c>
      <c r="E178" s="100">
        <v>91</v>
      </c>
      <c r="F178" s="100">
        <v>3</v>
      </c>
      <c r="G178" s="100">
        <v>11</v>
      </c>
      <c r="H178" s="89"/>
    </row>
    <row r="179" spans="1:13" x14ac:dyDescent="0.25">
      <c r="A179" t="s">
        <v>105</v>
      </c>
      <c r="B179" s="101">
        <v>2</v>
      </c>
      <c r="C179" t="s">
        <v>208</v>
      </c>
      <c r="D179" s="17">
        <v>73</v>
      </c>
      <c r="E179" s="100">
        <v>55</v>
      </c>
      <c r="F179" s="100">
        <v>7</v>
      </c>
      <c r="G179" s="100">
        <v>12</v>
      </c>
      <c r="H179" s="89"/>
      <c r="J179" s="44"/>
      <c r="K179" s="53"/>
      <c r="L179" s="53"/>
    </row>
    <row r="180" spans="1:13" x14ac:dyDescent="0.25">
      <c r="A180" t="s">
        <v>82</v>
      </c>
      <c r="B180" s="101">
        <v>7</v>
      </c>
      <c r="C180" t="s">
        <v>207</v>
      </c>
      <c r="D180" s="17">
        <v>53</v>
      </c>
      <c r="E180" s="100">
        <v>81</v>
      </c>
      <c r="F180" s="100">
        <v>4</v>
      </c>
      <c r="G180" s="100">
        <v>5</v>
      </c>
      <c r="H180" s="89"/>
    </row>
    <row r="181" spans="1:13" ht="15.75" thickBot="1" x14ac:dyDescent="0.3">
      <c r="A181" t="s">
        <v>170</v>
      </c>
      <c r="B181" s="101">
        <v>8</v>
      </c>
      <c r="C181" t="s">
        <v>207</v>
      </c>
      <c r="D181" s="17">
        <v>55</v>
      </c>
      <c r="E181" s="100">
        <v>66</v>
      </c>
      <c r="F181" s="100">
        <v>1</v>
      </c>
      <c r="G181" s="100">
        <v>6</v>
      </c>
      <c r="H181" s="89"/>
      <c r="J181" s="113" t="s">
        <v>303</v>
      </c>
      <c r="K181" s="113"/>
      <c r="L181" s="113"/>
      <c r="M181" s="113"/>
    </row>
    <row r="182" spans="1:13" ht="15.75" thickBot="1" x14ac:dyDescent="0.3">
      <c r="A182" t="s">
        <v>128</v>
      </c>
      <c r="B182" s="101">
        <v>5</v>
      </c>
      <c r="C182" t="s">
        <v>207</v>
      </c>
      <c r="D182" s="17">
        <v>51</v>
      </c>
      <c r="E182" s="100">
        <v>66</v>
      </c>
      <c r="F182" s="100">
        <v>4</v>
      </c>
      <c r="G182" s="100">
        <v>11</v>
      </c>
      <c r="H182" s="89"/>
      <c r="J182" s="73"/>
      <c r="K182" s="74" t="s">
        <v>211</v>
      </c>
      <c r="L182" s="43" t="s">
        <v>212</v>
      </c>
      <c r="M182" s="30" t="s">
        <v>190</v>
      </c>
    </row>
    <row r="183" spans="1:13" x14ac:dyDescent="0.25">
      <c r="A183" t="s">
        <v>188</v>
      </c>
      <c r="B183" s="101">
        <v>5</v>
      </c>
      <c r="C183" t="s">
        <v>208</v>
      </c>
      <c r="D183" s="17">
        <v>62</v>
      </c>
      <c r="E183" s="100">
        <v>20</v>
      </c>
      <c r="F183" s="100">
        <v>1</v>
      </c>
      <c r="G183" s="100">
        <v>1</v>
      </c>
      <c r="H183" s="89"/>
      <c r="J183" s="28" t="s">
        <v>275</v>
      </c>
      <c r="K183" s="33">
        <f>(M174*$K$177)/$M$177</f>
        <v>70.5</v>
      </c>
      <c r="L183" s="33">
        <f>M174-K183</f>
        <v>70.5</v>
      </c>
      <c r="M183" s="35">
        <f>SUM(K183:L183)</f>
        <v>141</v>
      </c>
    </row>
    <row r="184" spans="1:13" x14ac:dyDescent="0.25">
      <c r="A184" t="s">
        <v>188</v>
      </c>
      <c r="B184" s="101">
        <v>7</v>
      </c>
      <c r="C184" t="s">
        <v>208</v>
      </c>
      <c r="D184" s="17">
        <v>74</v>
      </c>
      <c r="E184" s="100">
        <v>56</v>
      </c>
      <c r="F184" s="100">
        <v>5</v>
      </c>
      <c r="G184" s="100">
        <v>10</v>
      </c>
      <c r="H184" s="89"/>
      <c r="J184" s="28" t="s">
        <v>276</v>
      </c>
      <c r="K184" s="33">
        <f>(M175*$K$177)/$M$177</f>
        <v>46.5</v>
      </c>
      <c r="L184" s="33">
        <f t="shared" ref="L184:L185" si="28">M175-K184</f>
        <v>46.5</v>
      </c>
      <c r="M184" s="38">
        <f>SUM(K184:L184)</f>
        <v>93</v>
      </c>
    </row>
    <row r="185" spans="1:13" ht="15.75" thickBot="1" x14ac:dyDescent="0.3">
      <c r="A185" t="s">
        <v>188</v>
      </c>
      <c r="B185" s="101">
        <v>2</v>
      </c>
      <c r="C185" t="s">
        <v>208</v>
      </c>
      <c r="D185" s="17">
        <v>67</v>
      </c>
      <c r="E185" s="100">
        <v>58</v>
      </c>
      <c r="F185" s="100">
        <v>6</v>
      </c>
      <c r="G185" s="100">
        <v>12</v>
      </c>
      <c r="H185" s="89"/>
      <c r="J185" s="31" t="s">
        <v>277</v>
      </c>
      <c r="K185" s="33">
        <f>(M176*$K$177)/$M$177</f>
        <v>9</v>
      </c>
      <c r="L185" s="33">
        <f t="shared" si="28"/>
        <v>9</v>
      </c>
      <c r="M185" s="41">
        <f>SUM(K185:L185)</f>
        <v>18</v>
      </c>
    </row>
    <row r="186" spans="1:13" ht="15.75" thickBot="1" x14ac:dyDescent="0.3">
      <c r="A186" t="s">
        <v>188</v>
      </c>
      <c r="B186" s="101">
        <v>12</v>
      </c>
      <c r="C186" t="s">
        <v>208</v>
      </c>
      <c r="D186" s="17">
        <v>71</v>
      </c>
      <c r="E186" s="100">
        <v>81</v>
      </c>
      <c r="F186" s="100">
        <v>5</v>
      </c>
      <c r="G186" s="100">
        <v>8</v>
      </c>
      <c r="H186" s="89"/>
      <c r="J186" s="75" t="s">
        <v>190</v>
      </c>
      <c r="K186" s="74">
        <f>SUM(K183:K185)</f>
        <v>126</v>
      </c>
      <c r="L186" s="43">
        <f>SUM(L183:L185)</f>
        <v>126</v>
      </c>
      <c r="M186" s="30">
        <f>SUM(M183:M185)</f>
        <v>252</v>
      </c>
    </row>
    <row r="187" spans="1:13" x14ac:dyDescent="0.25">
      <c r="A187" t="s">
        <v>188</v>
      </c>
      <c r="B187" s="101">
        <v>3</v>
      </c>
      <c r="C187" t="s">
        <v>208</v>
      </c>
      <c r="D187" s="17">
        <v>73</v>
      </c>
      <c r="E187" s="100">
        <v>88</v>
      </c>
      <c r="F187" s="100">
        <v>4</v>
      </c>
      <c r="G187" s="100">
        <v>11</v>
      </c>
      <c r="H187" s="89"/>
    </row>
    <row r="188" spans="1:13" x14ac:dyDescent="0.25">
      <c r="A188" t="s">
        <v>188</v>
      </c>
      <c r="B188" s="101">
        <v>3</v>
      </c>
      <c r="C188" t="s">
        <v>208</v>
      </c>
      <c r="D188" s="17">
        <v>65</v>
      </c>
      <c r="E188" s="100">
        <v>63</v>
      </c>
      <c r="F188" s="100">
        <v>4</v>
      </c>
      <c r="G188" s="100">
        <v>14</v>
      </c>
      <c r="H188" s="89"/>
      <c r="J188" s="44"/>
      <c r="K188" s="53"/>
      <c r="L188" s="53"/>
    </row>
    <row r="189" spans="1:13" ht="15.75" thickBot="1" x14ac:dyDescent="0.3">
      <c r="A189" t="s">
        <v>188</v>
      </c>
      <c r="B189" s="101">
        <v>1</v>
      </c>
      <c r="C189" t="s">
        <v>207</v>
      </c>
      <c r="D189" s="17">
        <v>78</v>
      </c>
      <c r="E189" s="100">
        <v>60</v>
      </c>
      <c r="F189" s="100">
        <v>2</v>
      </c>
      <c r="G189" s="100">
        <v>6</v>
      </c>
      <c r="H189" s="89"/>
    </row>
    <row r="190" spans="1:13" ht="15.75" thickBot="1" x14ac:dyDescent="0.3">
      <c r="A190" t="s">
        <v>158</v>
      </c>
      <c r="B190" s="101">
        <v>29</v>
      </c>
      <c r="C190" t="s">
        <v>207</v>
      </c>
      <c r="D190" s="17">
        <v>57</v>
      </c>
      <c r="E190" s="100">
        <v>77</v>
      </c>
      <c r="F190" s="100">
        <v>1</v>
      </c>
      <c r="G190" s="100">
        <v>2</v>
      </c>
      <c r="H190" s="89"/>
      <c r="J190" s="73" t="s">
        <v>260</v>
      </c>
      <c r="K190" s="74" t="s">
        <v>211</v>
      </c>
      <c r="L190" s="43" t="s">
        <v>212</v>
      </c>
      <c r="M190" s="30" t="s">
        <v>190</v>
      </c>
    </row>
    <row r="191" spans="1:13" x14ac:dyDescent="0.25">
      <c r="A191" t="s">
        <v>98</v>
      </c>
      <c r="B191" s="101">
        <v>10</v>
      </c>
      <c r="C191" t="s">
        <v>207</v>
      </c>
      <c r="D191" s="17">
        <v>50</v>
      </c>
      <c r="E191" s="100">
        <v>65</v>
      </c>
      <c r="F191" s="100">
        <v>1</v>
      </c>
      <c r="G191" s="100">
        <v>3</v>
      </c>
      <c r="H191" s="89"/>
      <c r="J191" s="28" t="s">
        <v>275</v>
      </c>
      <c r="K191" s="98">
        <f>(K174-K183)^2/K183</f>
        <v>9.960992907801419</v>
      </c>
      <c r="L191" s="98">
        <f>(L174-L183)^2/L183</f>
        <v>9.960992907801419</v>
      </c>
      <c r="M191" s="114">
        <f>SUM(K191:L193)</f>
        <v>45.997254632807142</v>
      </c>
    </row>
    <row r="192" spans="1:13" x14ac:dyDescent="0.25">
      <c r="A192" t="s">
        <v>79</v>
      </c>
      <c r="B192" s="101">
        <v>12</v>
      </c>
      <c r="C192" t="s">
        <v>208</v>
      </c>
      <c r="D192" s="17">
        <v>67</v>
      </c>
      <c r="E192" s="100">
        <v>56</v>
      </c>
      <c r="F192" s="100">
        <v>7</v>
      </c>
      <c r="G192" s="100">
        <v>10</v>
      </c>
      <c r="H192" s="89"/>
      <c r="J192" s="28" t="s">
        <v>276</v>
      </c>
      <c r="K192" s="98">
        <f t="shared" ref="K192:L192" si="29">(K175-K184)^2/K184</f>
        <v>9.0376344086021501</v>
      </c>
      <c r="L192" s="98">
        <f t="shared" si="29"/>
        <v>9.0376344086021501</v>
      </c>
      <c r="M192" s="115"/>
    </row>
    <row r="193" spans="1:13" ht="15.75" thickBot="1" x14ac:dyDescent="0.3">
      <c r="A193" t="s">
        <v>79</v>
      </c>
      <c r="B193" s="101">
        <v>9</v>
      </c>
      <c r="C193" t="s">
        <v>208</v>
      </c>
      <c r="D193" s="17">
        <v>58</v>
      </c>
      <c r="E193" s="100">
        <v>62</v>
      </c>
      <c r="F193" s="100">
        <v>6</v>
      </c>
      <c r="G193" s="100">
        <v>11</v>
      </c>
      <c r="H193" s="89"/>
      <c r="J193" s="52" t="s">
        <v>277</v>
      </c>
      <c r="K193" s="99">
        <f t="shared" ref="K193:L193" si="30">(K176-K185)^2/K185</f>
        <v>4</v>
      </c>
      <c r="L193" s="99">
        <f t="shared" si="30"/>
        <v>4</v>
      </c>
      <c r="M193" s="116"/>
    </row>
    <row r="194" spans="1:13" x14ac:dyDescent="0.25">
      <c r="A194" t="s">
        <v>79</v>
      </c>
      <c r="B194" s="101">
        <v>4</v>
      </c>
      <c r="C194" t="s">
        <v>207</v>
      </c>
      <c r="D194" s="17">
        <v>62</v>
      </c>
      <c r="E194" s="100">
        <v>89</v>
      </c>
      <c r="F194" s="100">
        <v>3</v>
      </c>
      <c r="G194" s="100">
        <v>9</v>
      </c>
      <c r="H194" s="89"/>
    </row>
    <row r="195" spans="1:13" x14ac:dyDescent="0.25">
      <c r="A195" t="s">
        <v>160</v>
      </c>
      <c r="B195" s="101">
        <v>1</v>
      </c>
      <c r="C195" t="s">
        <v>208</v>
      </c>
      <c r="D195" s="17">
        <v>82</v>
      </c>
      <c r="E195" s="100">
        <v>44</v>
      </c>
      <c r="F195" s="100">
        <v>8</v>
      </c>
      <c r="G195" s="100">
        <v>18</v>
      </c>
      <c r="H195" s="89"/>
    </row>
    <row r="196" spans="1:13" x14ac:dyDescent="0.25">
      <c r="A196" t="s">
        <v>160</v>
      </c>
      <c r="B196" s="101">
        <v>12</v>
      </c>
      <c r="C196" t="s">
        <v>208</v>
      </c>
      <c r="D196" s="17">
        <v>69</v>
      </c>
      <c r="E196" s="100">
        <v>111</v>
      </c>
      <c r="F196" s="100">
        <v>5</v>
      </c>
      <c r="G196" s="100">
        <v>8</v>
      </c>
      <c r="H196" s="89"/>
      <c r="J196" s="94" t="s">
        <v>301</v>
      </c>
    </row>
    <row r="197" spans="1:13" x14ac:dyDescent="0.25">
      <c r="A197" t="s">
        <v>160</v>
      </c>
      <c r="B197" s="101">
        <v>4</v>
      </c>
      <c r="C197" t="s">
        <v>208</v>
      </c>
      <c r="D197" s="17">
        <v>83</v>
      </c>
      <c r="E197" s="100">
        <v>53</v>
      </c>
      <c r="F197" s="100">
        <v>7</v>
      </c>
      <c r="G197" s="100">
        <v>20</v>
      </c>
      <c r="H197" s="89"/>
    </row>
    <row r="198" spans="1:13" ht="15.75" x14ac:dyDescent="0.3">
      <c r="A198" t="s">
        <v>160</v>
      </c>
      <c r="B198" s="101">
        <v>5</v>
      </c>
      <c r="C198" t="s">
        <v>207</v>
      </c>
      <c r="D198" s="17">
        <v>64</v>
      </c>
      <c r="E198" s="100">
        <v>66</v>
      </c>
      <c r="F198" s="100">
        <v>1</v>
      </c>
      <c r="G198" s="100">
        <v>5</v>
      </c>
      <c r="H198" s="89"/>
      <c r="J198" s="24" t="s">
        <v>302</v>
      </c>
    </row>
    <row r="199" spans="1:13" x14ac:dyDescent="0.25">
      <c r="A199" t="s">
        <v>178</v>
      </c>
      <c r="B199" s="101">
        <v>11</v>
      </c>
      <c r="C199" t="s">
        <v>207</v>
      </c>
      <c r="D199" s="17">
        <v>67</v>
      </c>
      <c r="E199" s="100">
        <v>74</v>
      </c>
      <c r="F199" s="100">
        <v>1</v>
      </c>
      <c r="G199" s="100">
        <v>4</v>
      </c>
      <c r="H199" s="89"/>
    </row>
    <row r="200" spans="1:13" x14ac:dyDescent="0.25">
      <c r="A200" t="s">
        <v>127</v>
      </c>
      <c r="B200" s="101">
        <v>11</v>
      </c>
      <c r="C200" t="s">
        <v>208</v>
      </c>
      <c r="D200" s="17">
        <v>58</v>
      </c>
      <c r="E200" s="100">
        <v>59</v>
      </c>
      <c r="F200" s="100">
        <v>4</v>
      </c>
      <c r="G200" s="100">
        <v>17</v>
      </c>
      <c r="H200" s="89"/>
    </row>
    <row r="201" spans="1:13" x14ac:dyDescent="0.25">
      <c r="A201" t="s">
        <v>127</v>
      </c>
      <c r="B201" s="101">
        <v>11</v>
      </c>
      <c r="C201" t="s">
        <v>208</v>
      </c>
      <c r="D201" s="17">
        <v>76</v>
      </c>
      <c r="E201" s="100">
        <v>54</v>
      </c>
      <c r="F201" s="100">
        <v>6</v>
      </c>
      <c r="G201" s="100">
        <v>11</v>
      </c>
      <c r="H201" s="89"/>
    </row>
    <row r="202" spans="1:13" x14ac:dyDescent="0.25">
      <c r="A202" t="s">
        <v>127</v>
      </c>
      <c r="B202" s="101">
        <v>6</v>
      </c>
      <c r="C202" t="s">
        <v>208</v>
      </c>
      <c r="D202" s="17">
        <v>62</v>
      </c>
      <c r="E202" s="100">
        <v>55</v>
      </c>
      <c r="F202" s="100">
        <v>5</v>
      </c>
      <c r="G202" s="100">
        <v>14</v>
      </c>
      <c r="H202" s="89"/>
    </row>
    <row r="203" spans="1:13" x14ac:dyDescent="0.25">
      <c r="A203" t="s">
        <v>127</v>
      </c>
      <c r="B203" s="101">
        <v>7</v>
      </c>
      <c r="C203" t="s">
        <v>208</v>
      </c>
      <c r="D203" s="17">
        <v>57</v>
      </c>
      <c r="E203" s="100">
        <v>67</v>
      </c>
      <c r="F203" s="100">
        <v>3</v>
      </c>
      <c r="G203" s="100">
        <v>7</v>
      </c>
      <c r="H203" s="89"/>
    </row>
    <row r="204" spans="1:13" x14ac:dyDescent="0.25">
      <c r="A204" t="s">
        <v>127</v>
      </c>
      <c r="B204" s="101">
        <v>10</v>
      </c>
      <c r="C204" t="s">
        <v>208</v>
      </c>
      <c r="D204" s="17">
        <v>64</v>
      </c>
      <c r="E204" s="100">
        <v>89</v>
      </c>
      <c r="F204" s="100">
        <v>4</v>
      </c>
      <c r="G204" s="100">
        <v>17</v>
      </c>
      <c r="H204" s="89"/>
    </row>
    <row r="205" spans="1:13" x14ac:dyDescent="0.25">
      <c r="A205" t="s">
        <v>127</v>
      </c>
      <c r="B205" s="101">
        <v>8</v>
      </c>
      <c r="C205" t="s">
        <v>207</v>
      </c>
      <c r="D205" s="17">
        <v>66</v>
      </c>
      <c r="E205" s="100">
        <v>63</v>
      </c>
      <c r="F205" s="100">
        <v>1</v>
      </c>
      <c r="G205" s="100">
        <v>2</v>
      </c>
      <c r="H205" s="89"/>
    </row>
    <row r="206" spans="1:13" x14ac:dyDescent="0.25">
      <c r="A206" t="s">
        <v>182</v>
      </c>
      <c r="B206" s="101">
        <v>2</v>
      </c>
      <c r="C206" t="s">
        <v>207</v>
      </c>
      <c r="D206" s="17">
        <v>62</v>
      </c>
      <c r="E206" s="100">
        <v>59</v>
      </c>
      <c r="F206" s="100">
        <v>0</v>
      </c>
      <c r="G206" s="100">
        <v>0</v>
      </c>
      <c r="H206" s="89"/>
    </row>
    <row r="207" spans="1:13" x14ac:dyDescent="0.25">
      <c r="A207" t="s">
        <v>73</v>
      </c>
      <c r="B207" s="101">
        <v>19</v>
      </c>
      <c r="C207" t="s">
        <v>208</v>
      </c>
      <c r="D207" s="17">
        <v>72</v>
      </c>
      <c r="E207" s="100">
        <v>56</v>
      </c>
      <c r="F207" s="100">
        <v>5</v>
      </c>
      <c r="G207" s="100">
        <v>9</v>
      </c>
      <c r="H207" s="89"/>
    </row>
    <row r="208" spans="1:13" x14ac:dyDescent="0.25">
      <c r="A208" t="s">
        <v>73</v>
      </c>
      <c r="B208" s="101">
        <v>24</v>
      </c>
      <c r="C208" t="s">
        <v>208</v>
      </c>
      <c r="D208" s="17">
        <v>63</v>
      </c>
      <c r="E208" s="100">
        <v>82</v>
      </c>
      <c r="F208" s="100">
        <v>4</v>
      </c>
      <c r="G208" s="100">
        <v>7</v>
      </c>
      <c r="H208" s="89"/>
    </row>
    <row r="209" spans="1:8" x14ac:dyDescent="0.25">
      <c r="A209" t="s">
        <v>73</v>
      </c>
      <c r="B209" s="101">
        <v>10</v>
      </c>
      <c r="C209" t="s">
        <v>207</v>
      </c>
      <c r="D209" s="17">
        <v>63</v>
      </c>
      <c r="E209" s="100">
        <v>62</v>
      </c>
      <c r="F209" s="100">
        <v>1</v>
      </c>
      <c r="G209" s="100">
        <v>4</v>
      </c>
      <c r="H209" s="89"/>
    </row>
    <row r="210" spans="1:8" x14ac:dyDescent="0.25">
      <c r="A210" t="s">
        <v>86</v>
      </c>
      <c r="B210" s="101">
        <v>16</v>
      </c>
      <c r="C210" t="s">
        <v>207</v>
      </c>
      <c r="D210" s="17">
        <v>65</v>
      </c>
      <c r="E210" s="100">
        <v>57</v>
      </c>
      <c r="F210" s="100">
        <v>0</v>
      </c>
      <c r="G210" s="100">
        <v>2</v>
      </c>
      <c r="H210" s="89"/>
    </row>
    <row r="211" spans="1:8" x14ac:dyDescent="0.25">
      <c r="A211" t="s">
        <v>72</v>
      </c>
      <c r="B211" s="101">
        <v>9</v>
      </c>
      <c r="C211" t="s">
        <v>207</v>
      </c>
      <c r="D211" s="17">
        <v>65</v>
      </c>
      <c r="E211" s="100">
        <v>73</v>
      </c>
      <c r="F211" s="100">
        <v>2</v>
      </c>
      <c r="G211" s="100">
        <v>7</v>
      </c>
      <c r="H211" s="89"/>
    </row>
    <row r="212" spans="1:8" x14ac:dyDescent="0.25">
      <c r="A212" t="s">
        <v>131</v>
      </c>
      <c r="B212" s="101">
        <v>14</v>
      </c>
      <c r="C212" t="s">
        <v>207</v>
      </c>
      <c r="D212" s="17">
        <v>55</v>
      </c>
      <c r="E212" s="100">
        <v>71</v>
      </c>
      <c r="F212" s="100">
        <v>3</v>
      </c>
      <c r="G212" s="100">
        <v>6</v>
      </c>
      <c r="H212" s="89"/>
    </row>
    <row r="213" spans="1:8" x14ac:dyDescent="0.25">
      <c r="A213" t="s">
        <v>150</v>
      </c>
      <c r="B213" s="101">
        <v>6</v>
      </c>
      <c r="C213" t="s">
        <v>207</v>
      </c>
      <c r="D213" s="17">
        <v>52</v>
      </c>
      <c r="E213" s="100">
        <v>62</v>
      </c>
      <c r="F213" s="100">
        <v>2</v>
      </c>
      <c r="G213" s="100">
        <v>7</v>
      </c>
      <c r="H213" s="89"/>
    </row>
    <row r="214" spans="1:8" x14ac:dyDescent="0.25">
      <c r="A214" t="s">
        <v>92</v>
      </c>
      <c r="B214" s="101">
        <v>4</v>
      </c>
      <c r="C214" t="s">
        <v>208</v>
      </c>
      <c r="D214" s="17">
        <v>63</v>
      </c>
      <c r="E214" s="100">
        <v>26</v>
      </c>
      <c r="F214" s="100">
        <v>4</v>
      </c>
      <c r="G214" s="100">
        <v>9</v>
      </c>
      <c r="H214" s="89"/>
    </row>
    <row r="215" spans="1:8" x14ac:dyDescent="0.25">
      <c r="A215" t="s">
        <v>92</v>
      </c>
      <c r="B215" s="101">
        <v>9</v>
      </c>
      <c r="C215" t="s">
        <v>208</v>
      </c>
      <c r="D215" s="17">
        <v>56</v>
      </c>
      <c r="E215" s="100">
        <v>88</v>
      </c>
      <c r="F215" s="100">
        <v>6</v>
      </c>
      <c r="G215" s="100">
        <v>17</v>
      </c>
      <c r="H215" s="89"/>
    </row>
    <row r="216" spans="1:8" x14ac:dyDescent="0.25">
      <c r="A216" t="s">
        <v>92</v>
      </c>
      <c r="B216" s="101">
        <v>14</v>
      </c>
      <c r="C216" t="s">
        <v>208</v>
      </c>
      <c r="D216" s="17">
        <v>56</v>
      </c>
      <c r="E216" s="100">
        <v>78</v>
      </c>
      <c r="F216" s="100">
        <v>2</v>
      </c>
      <c r="G216" s="100">
        <v>5</v>
      </c>
      <c r="H216" s="89"/>
    </row>
    <row r="217" spans="1:8" x14ac:dyDescent="0.25">
      <c r="A217" t="s">
        <v>92</v>
      </c>
      <c r="B217" s="101">
        <v>17</v>
      </c>
      <c r="C217" t="s">
        <v>208</v>
      </c>
      <c r="D217" s="17">
        <v>58</v>
      </c>
      <c r="E217" s="100">
        <v>107</v>
      </c>
      <c r="F217" s="100">
        <v>5</v>
      </c>
      <c r="G217" s="100">
        <v>10</v>
      </c>
      <c r="H217" s="89"/>
    </row>
    <row r="218" spans="1:8" x14ac:dyDescent="0.25">
      <c r="A218" t="s">
        <v>92</v>
      </c>
      <c r="B218" s="101">
        <v>18</v>
      </c>
      <c r="C218" t="s">
        <v>208</v>
      </c>
      <c r="D218" s="17">
        <v>61</v>
      </c>
      <c r="E218" s="100">
        <v>104</v>
      </c>
      <c r="F218" s="100">
        <v>1</v>
      </c>
      <c r="G218" s="100">
        <v>4</v>
      </c>
      <c r="H218" s="89"/>
    </row>
    <row r="219" spans="1:8" x14ac:dyDescent="0.25">
      <c r="A219" t="s">
        <v>92</v>
      </c>
      <c r="B219" s="101">
        <v>19</v>
      </c>
      <c r="C219" t="s">
        <v>208</v>
      </c>
      <c r="D219" s="17">
        <v>55</v>
      </c>
      <c r="E219" s="100">
        <v>68</v>
      </c>
      <c r="F219" s="100">
        <v>5</v>
      </c>
      <c r="G219" s="100">
        <v>15</v>
      </c>
      <c r="H219" s="89"/>
    </row>
    <row r="220" spans="1:8" x14ac:dyDescent="0.25">
      <c r="A220" t="s">
        <v>148</v>
      </c>
      <c r="B220" s="101">
        <v>4</v>
      </c>
      <c r="C220" t="s">
        <v>208</v>
      </c>
      <c r="D220" s="17">
        <v>46</v>
      </c>
      <c r="E220" s="100">
        <v>46</v>
      </c>
      <c r="F220" s="100">
        <v>9</v>
      </c>
      <c r="G220" s="100">
        <v>17</v>
      </c>
      <c r="H220" s="89"/>
    </row>
    <row r="221" spans="1:8" x14ac:dyDescent="0.25">
      <c r="A221" t="s">
        <v>148</v>
      </c>
      <c r="B221" s="101">
        <v>13</v>
      </c>
      <c r="C221" t="s">
        <v>208</v>
      </c>
      <c r="D221" s="17">
        <v>58</v>
      </c>
      <c r="E221" s="100">
        <v>86</v>
      </c>
      <c r="F221" s="100">
        <v>6</v>
      </c>
      <c r="G221" s="100">
        <v>17</v>
      </c>
      <c r="H221" s="89"/>
    </row>
    <row r="222" spans="1:8" x14ac:dyDescent="0.25">
      <c r="A222" t="s">
        <v>148</v>
      </c>
      <c r="B222" s="101">
        <v>7</v>
      </c>
      <c r="C222" t="s">
        <v>208</v>
      </c>
      <c r="D222" s="17">
        <v>72</v>
      </c>
      <c r="E222" s="100">
        <v>65</v>
      </c>
      <c r="F222" s="100">
        <v>4</v>
      </c>
      <c r="G222" s="100">
        <v>10</v>
      </c>
      <c r="H222" s="89"/>
    </row>
    <row r="223" spans="1:8" x14ac:dyDescent="0.25">
      <c r="A223" t="s">
        <v>148</v>
      </c>
      <c r="B223" s="101">
        <v>3</v>
      </c>
      <c r="C223" t="s">
        <v>207</v>
      </c>
      <c r="D223" s="17">
        <v>51</v>
      </c>
      <c r="E223" s="100">
        <v>61</v>
      </c>
      <c r="F223" s="100">
        <v>1</v>
      </c>
      <c r="G223" s="100">
        <v>6</v>
      </c>
      <c r="H223" s="89"/>
    </row>
    <row r="224" spans="1:8" x14ac:dyDescent="0.25">
      <c r="A224" t="s">
        <v>96</v>
      </c>
      <c r="B224" s="101">
        <v>21</v>
      </c>
      <c r="C224" t="s">
        <v>207</v>
      </c>
      <c r="D224" s="17">
        <v>53</v>
      </c>
      <c r="E224" s="100">
        <v>78</v>
      </c>
      <c r="F224" s="100">
        <v>4</v>
      </c>
      <c r="G224" s="100">
        <v>6</v>
      </c>
      <c r="H224" s="89"/>
    </row>
    <row r="225" spans="1:8" x14ac:dyDescent="0.25">
      <c r="A225" t="s">
        <v>130</v>
      </c>
      <c r="B225" s="101">
        <v>5</v>
      </c>
      <c r="C225" t="s">
        <v>208</v>
      </c>
      <c r="D225" s="17">
        <v>58</v>
      </c>
      <c r="E225" s="100">
        <v>73</v>
      </c>
      <c r="F225" s="100">
        <v>9</v>
      </c>
      <c r="G225" s="100">
        <v>17</v>
      </c>
      <c r="H225" s="89"/>
    </row>
    <row r="226" spans="1:8" x14ac:dyDescent="0.25">
      <c r="A226" t="s">
        <v>130</v>
      </c>
      <c r="B226" s="101">
        <v>3</v>
      </c>
      <c r="C226" t="s">
        <v>207</v>
      </c>
      <c r="D226" s="17">
        <v>69</v>
      </c>
      <c r="E226" s="100">
        <v>48</v>
      </c>
      <c r="F226" s="100">
        <v>0</v>
      </c>
      <c r="G226" s="100">
        <v>5</v>
      </c>
      <c r="H226" s="89"/>
    </row>
    <row r="227" spans="1:8" x14ac:dyDescent="0.25">
      <c r="A227" t="s">
        <v>130</v>
      </c>
      <c r="B227" s="101">
        <v>2</v>
      </c>
      <c r="C227" t="s">
        <v>208</v>
      </c>
      <c r="D227" s="17">
        <v>68</v>
      </c>
      <c r="E227" s="100">
        <v>88</v>
      </c>
      <c r="F227" s="100">
        <v>5</v>
      </c>
      <c r="G227" s="100">
        <v>17</v>
      </c>
      <c r="H227" s="89"/>
    </row>
    <row r="228" spans="1:8" x14ac:dyDescent="0.25">
      <c r="A228" t="s">
        <v>186</v>
      </c>
      <c r="B228" s="101">
        <v>8</v>
      </c>
      <c r="C228" t="s">
        <v>208</v>
      </c>
      <c r="D228" s="17">
        <v>54</v>
      </c>
      <c r="E228" s="100">
        <v>91</v>
      </c>
      <c r="F228" s="100">
        <v>3</v>
      </c>
      <c r="G228" s="100">
        <v>5</v>
      </c>
      <c r="H228" s="89"/>
    </row>
    <row r="229" spans="1:8" x14ac:dyDescent="0.25">
      <c r="A229" t="s">
        <v>186</v>
      </c>
      <c r="B229" s="101">
        <v>4</v>
      </c>
      <c r="C229" t="s">
        <v>207</v>
      </c>
      <c r="D229" s="17">
        <v>67</v>
      </c>
      <c r="E229" s="100">
        <v>43</v>
      </c>
      <c r="F229" s="100">
        <v>0</v>
      </c>
      <c r="G229" s="100">
        <v>3</v>
      </c>
      <c r="H229" s="89"/>
    </row>
    <row r="230" spans="1:8" x14ac:dyDescent="0.25">
      <c r="A230" t="s">
        <v>138</v>
      </c>
      <c r="B230" s="101">
        <v>8</v>
      </c>
      <c r="C230" t="s">
        <v>208</v>
      </c>
      <c r="D230" s="17">
        <v>53</v>
      </c>
      <c r="E230" s="100">
        <v>63</v>
      </c>
      <c r="F230" s="100">
        <v>4</v>
      </c>
      <c r="G230" s="100">
        <v>7</v>
      </c>
      <c r="H230" s="89"/>
    </row>
    <row r="231" spans="1:8" x14ac:dyDescent="0.25">
      <c r="A231" t="s">
        <v>138</v>
      </c>
      <c r="B231" s="101">
        <v>9</v>
      </c>
      <c r="C231" t="s">
        <v>207</v>
      </c>
      <c r="D231" s="17">
        <v>45</v>
      </c>
      <c r="E231" s="100">
        <v>65</v>
      </c>
      <c r="F231" s="100">
        <v>1</v>
      </c>
      <c r="G231" s="100">
        <v>4</v>
      </c>
      <c r="H231" s="89"/>
    </row>
    <row r="232" spans="1:8" x14ac:dyDescent="0.25">
      <c r="A232" t="s">
        <v>161</v>
      </c>
      <c r="B232" s="101">
        <v>8</v>
      </c>
      <c r="C232" t="s">
        <v>207</v>
      </c>
      <c r="D232" s="17">
        <v>61</v>
      </c>
      <c r="E232" s="100">
        <v>38</v>
      </c>
      <c r="F232" s="100">
        <v>1</v>
      </c>
      <c r="G232" s="100">
        <v>2</v>
      </c>
      <c r="H232" s="89"/>
    </row>
    <row r="233" spans="1:8" x14ac:dyDescent="0.25">
      <c r="A233" t="s">
        <v>184</v>
      </c>
      <c r="B233" s="101">
        <v>6</v>
      </c>
      <c r="C233" t="s">
        <v>207</v>
      </c>
      <c r="D233" s="17">
        <v>49</v>
      </c>
      <c r="E233" s="100">
        <v>87</v>
      </c>
      <c r="F233" s="100">
        <v>2</v>
      </c>
      <c r="G233" s="100">
        <v>12</v>
      </c>
      <c r="H233" s="89"/>
    </row>
    <row r="234" spans="1:8" x14ac:dyDescent="0.25">
      <c r="A234" t="s">
        <v>124</v>
      </c>
      <c r="B234" s="101">
        <v>9</v>
      </c>
      <c r="C234" t="s">
        <v>208</v>
      </c>
      <c r="D234" s="17">
        <v>66</v>
      </c>
      <c r="E234" s="100">
        <v>58</v>
      </c>
      <c r="F234" s="100">
        <v>4</v>
      </c>
      <c r="G234" s="100">
        <v>14</v>
      </c>
      <c r="H234" s="89"/>
    </row>
    <row r="235" spans="1:8" x14ac:dyDescent="0.25">
      <c r="A235" t="s">
        <v>124</v>
      </c>
      <c r="B235" s="101">
        <v>5</v>
      </c>
      <c r="C235" t="s">
        <v>208</v>
      </c>
      <c r="D235" s="17">
        <v>64</v>
      </c>
      <c r="E235" s="100">
        <v>52</v>
      </c>
      <c r="F235" s="100">
        <v>5</v>
      </c>
      <c r="G235" s="100">
        <v>8</v>
      </c>
      <c r="H235" s="89"/>
    </row>
    <row r="236" spans="1:8" x14ac:dyDescent="0.25">
      <c r="A236" t="s">
        <v>124</v>
      </c>
      <c r="B236" s="101">
        <v>13</v>
      </c>
      <c r="C236" t="s">
        <v>208</v>
      </c>
      <c r="D236" s="17">
        <v>57</v>
      </c>
      <c r="E236" s="100">
        <v>56</v>
      </c>
      <c r="F236" s="100">
        <v>5</v>
      </c>
      <c r="G236" s="100">
        <v>9</v>
      </c>
      <c r="H236" s="89"/>
    </row>
    <row r="237" spans="1:8" x14ac:dyDescent="0.25">
      <c r="A237" t="s">
        <v>124</v>
      </c>
      <c r="B237" s="101">
        <v>4</v>
      </c>
      <c r="C237" t="s">
        <v>208</v>
      </c>
      <c r="D237" s="17">
        <v>52</v>
      </c>
      <c r="E237" s="100">
        <v>54</v>
      </c>
      <c r="F237" s="100">
        <v>5</v>
      </c>
      <c r="G237" s="100">
        <v>17</v>
      </c>
      <c r="H237" s="89"/>
    </row>
    <row r="238" spans="1:8" x14ac:dyDescent="0.25">
      <c r="A238" t="s">
        <v>124</v>
      </c>
      <c r="B238" s="101">
        <v>10</v>
      </c>
      <c r="C238" t="s">
        <v>208</v>
      </c>
      <c r="D238" s="17">
        <v>52</v>
      </c>
      <c r="E238" s="100">
        <v>79</v>
      </c>
      <c r="F238" s="100">
        <v>5</v>
      </c>
      <c r="G238" s="100">
        <v>13</v>
      </c>
      <c r="H238" s="89"/>
    </row>
    <row r="239" spans="1:8" x14ac:dyDescent="0.25">
      <c r="A239" t="s">
        <v>124</v>
      </c>
      <c r="B239" s="101">
        <v>21</v>
      </c>
      <c r="C239" t="s">
        <v>207</v>
      </c>
      <c r="D239" s="17">
        <v>62</v>
      </c>
      <c r="E239" s="100">
        <v>101</v>
      </c>
      <c r="F239" s="100">
        <v>0</v>
      </c>
      <c r="G239" s="100">
        <v>1</v>
      </c>
      <c r="H239" s="89"/>
    </row>
    <row r="240" spans="1:8" x14ac:dyDescent="0.25">
      <c r="A240" t="s">
        <v>111</v>
      </c>
      <c r="B240" s="101">
        <v>4</v>
      </c>
      <c r="C240" t="s">
        <v>207</v>
      </c>
      <c r="D240" s="17">
        <v>52</v>
      </c>
      <c r="E240" s="100">
        <v>33</v>
      </c>
      <c r="F240" s="100">
        <v>1</v>
      </c>
      <c r="G240" s="100">
        <v>2</v>
      </c>
      <c r="H240" s="89"/>
    </row>
    <row r="241" spans="1:8" x14ac:dyDescent="0.25">
      <c r="A241" t="s">
        <v>84</v>
      </c>
      <c r="B241" s="101">
        <v>13</v>
      </c>
      <c r="C241" t="s">
        <v>208</v>
      </c>
      <c r="D241" s="17">
        <v>57</v>
      </c>
      <c r="E241" s="100">
        <v>105</v>
      </c>
      <c r="F241" s="100">
        <v>6</v>
      </c>
      <c r="G241" s="100">
        <v>18</v>
      </c>
      <c r="H241" s="89"/>
    </row>
    <row r="242" spans="1:8" x14ac:dyDescent="0.25">
      <c r="A242" t="s">
        <v>84</v>
      </c>
      <c r="B242" s="101">
        <v>17</v>
      </c>
      <c r="C242" t="s">
        <v>208</v>
      </c>
      <c r="D242" s="17">
        <v>58</v>
      </c>
      <c r="E242" s="100">
        <v>99</v>
      </c>
      <c r="F242" s="100">
        <v>4</v>
      </c>
      <c r="G242" s="100">
        <v>13</v>
      </c>
      <c r="H242" s="89"/>
    </row>
    <row r="243" spans="1:8" x14ac:dyDescent="0.25">
      <c r="A243" t="s">
        <v>84</v>
      </c>
      <c r="B243" s="101">
        <v>16</v>
      </c>
      <c r="C243" t="s">
        <v>208</v>
      </c>
      <c r="D243" s="17">
        <v>65</v>
      </c>
      <c r="E243" s="100">
        <v>91</v>
      </c>
      <c r="F243" s="100">
        <v>3</v>
      </c>
      <c r="G243" s="100">
        <v>7</v>
      </c>
      <c r="H243" s="89"/>
    </row>
    <row r="244" spans="1:8" x14ac:dyDescent="0.25">
      <c r="A244" t="s">
        <v>84</v>
      </c>
      <c r="B244" s="101">
        <v>1</v>
      </c>
      <c r="C244" t="s">
        <v>207</v>
      </c>
      <c r="D244" s="17">
        <v>71</v>
      </c>
      <c r="E244" s="100">
        <v>67</v>
      </c>
      <c r="F244" s="100">
        <v>1</v>
      </c>
      <c r="G244" s="100">
        <v>4</v>
      </c>
      <c r="H244" s="89"/>
    </row>
    <row r="245" spans="1:8" x14ac:dyDescent="0.25">
      <c r="A245" t="s">
        <v>87</v>
      </c>
      <c r="B245" s="101">
        <v>6</v>
      </c>
      <c r="C245" t="s">
        <v>208</v>
      </c>
      <c r="D245" s="17">
        <v>67</v>
      </c>
      <c r="E245" s="100">
        <v>58</v>
      </c>
      <c r="F245" s="100">
        <v>4</v>
      </c>
      <c r="G245" s="100">
        <v>10</v>
      </c>
      <c r="H245" s="89"/>
    </row>
    <row r="246" spans="1:8" x14ac:dyDescent="0.25">
      <c r="A246" t="s">
        <v>87</v>
      </c>
      <c r="B246" s="101">
        <v>13</v>
      </c>
      <c r="C246" t="s">
        <v>208</v>
      </c>
      <c r="D246" s="17">
        <v>60</v>
      </c>
      <c r="E246" s="100">
        <v>90</v>
      </c>
      <c r="F246" s="100">
        <v>4</v>
      </c>
      <c r="G246" s="100">
        <v>5</v>
      </c>
      <c r="H246" s="89"/>
    </row>
    <row r="247" spans="1:8" x14ac:dyDescent="0.25">
      <c r="A247" t="s">
        <v>171</v>
      </c>
      <c r="B247" s="101">
        <v>9</v>
      </c>
      <c r="C247" t="s">
        <v>208</v>
      </c>
      <c r="D247" s="17">
        <v>66</v>
      </c>
      <c r="E247" s="100">
        <v>83</v>
      </c>
      <c r="F247" s="100">
        <v>2</v>
      </c>
      <c r="G247" s="100">
        <v>6</v>
      </c>
      <c r="H247" s="89"/>
    </row>
    <row r="248" spans="1:8" x14ac:dyDescent="0.25">
      <c r="A248" t="s">
        <v>171</v>
      </c>
      <c r="B248" s="101">
        <v>6</v>
      </c>
      <c r="C248" t="s">
        <v>207</v>
      </c>
      <c r="D248" s="17">
        <v>67</v>
      </c>
      <c r="E248" s="100">
        <v>77</v>
      </c>
      <c r="F248" s="100">
        <v>0</v>
      </c>
      <c r="G248" s="100">
        <v>5</v>
      </c>
      <c r="H248" s="89"/>
    </row>
    <row r="249" spans="1:8" x14ac:dyDescent="0.25">
      <c r="A249" t="s">
        <v>154</v>
      </c>
      <c r="B249" s="101">
        <v>18</v>
      </c>
      <c r="C249" t="s">
        <v>208</v>
      </c>
      <c r="D249" s="17">
        <v>57</v>
      </c>
      <c r="E249" s="100">
        <v>97</v>
      </c>
      <c r="F249" s="100">
        <v>11</v>
      </c>
      <c r="G249" s="100">
        <v>26</v>
      </c>
      <c r="H249" s="89"/>
    </row>
    <row r="250" spans="1:8" x14ac:dyDescent="0.25">
      <c r="A250" t="s">
        <v>154</v>
      </c>
      <c r="B250" s="101">
        <v>2</v>
      </c>
      <c r="C250" t="s">
        <v>207</v>
      </c>
      <c r="D250" s="17">
        <v>55</v>
      </c>
      <c r="E250" s="100">
        <v>45</v>
      </c>
      <c r="F250" s="100">
        <v>3</v>
      </c>
      <c r="G250" s="100">
        <v>4</v>
      </c>
      <c r="H250" s="89"/>
    </row>
    <row r="251" spans="1:8" x14ac:dyDescent="0.25">
      <c r="A251" t="s">
        <v>155</v>
      </c>
      <c r="B251" s="101">
        <v>11</v>
      </c>
      <c r="C251" t="s">
        <v>207</v>
      </c>
      <c r="D251" s="17">
        <v>67</v>
      </c>
      <c r="E251" s="100">
        <v>89</v>
      </c>
      <c r="F251" s="100">
        <v>7</v>
      </c>
      <c r="G251" s="100">
        <v>20</v>
      </c>
      <c r="H251" s="89"/>
    </row>
    <row r="252" spans="1:8" x14ac:dyDescent="0.25">
      <c r="A252" t="s">
        <v>169</v>
      </c>
      <c r="B252" s="101">
        <v>2</v>
      </c>
      <c r="C252" t="s">
        <v>207</v>
      </c>
      <c r="D252" s="17">
        <v>70</v>
      </c>
      <c r="E252" s="100">
        <v>66</v>
      </c>
      <c r="F252" s="100">
        <v>2</v>
      </c>
      <c r="G252" s="100">
        <v>4</v>
      </c>
      <c r="H252" s="89"/>
    </row>
    <row r="253" spans="1:8" x14ac:dyDescent="0.25">
      <c r="A253" t="s">
        <v>169</v>
      </c>
      <c r="B253" s="101">
        <v>9</v>
      </c>
      <c r="C253" t="s">
        <v>208</v>
      </c>
      <c r="D253" s="17">
        <v>62</v>
      </c>
      <c r="E253" s="100">
        <v>44</v>
      </c>
      <c r="F253" s="100">
        <v>9</v>
      </c>
      <c r="G253" s="100">
        <v>19</v>
      </c>
      <c r="H253" s="89"/>
    </row>
    <row r="254" spans="1:8" x14ac:dyDescent="0.25">
      <c r="A254" t="s">
        <v>133</v>
      </c>
      <c r="B254" s="101">
        <v>7</v>
      </c>
      <c r="C254" t="s">
        <v>207</v>
      </c>
      <c r="D254" s="17">
        <v>58</v>
      </c>
      <c r="E254" s="100">
        <v>69</v>
      </c>
      <c r="F254" s="100">
        <v>1</v>
      </c>
      <c r="G254" s="100">
        <v>5</v>
      </c>
      <c r="H254" s="89"/>
    </row>
    <row r="255" spans="1:8" x14ac:dyDescent="0.25">
      <c r="A255" t="s">
        <v>190</v>
      </c>
      <c r="B255" s="23">
        <f>SUBTOTAL(109,Tabella5[Aces])</f>
        <v>2458</v>
      </c>
      <c r="C255">
        <f>SUBTOTAL(103,Tabella5[Vittoria])</f>
        <v>252</v>
      </c>
      <c r="E255" s="23">
        <f>SUBTOTAL(101,Tabella5[ServeWon])</f>
        <v>70.63095238095238</v>
      </c>
      <c r="F255" s="17">
        <f>SUBTOTAL(101,Tabella5[BreakPointCreati])</f>
        <v>3.6071428571428572</v>
      </c>
      <c r="G255" s="17">
        <f>SUBTOTAL(101,Tabella5[BreakPointWon])</f>
        <v>9.0476190476190474</v>
      </c>
      <c r="H255" s="23"/>
    </row>
    <row r="257" spans="1:8" x14ac:dyDescent="0.25">
      <c r="A257" s="97" t="s">
        <v>255</v>
      </c>
      <c r="B257" s="15">
        <f>MAX(Tabella5[Aces])</f>
        <v>41</v>
      </c>
      <c r="C257" s="15"/>
      <c r="D257" s="15">
        <f>MAX(Tabella5[FirstServer])</f>
        <v>83</v>
      </c>
      <c r="E257" s="15">
        <f>MAX(Tabella5[ServeWon])</f>
        <v>171</v>
      </c>
      <c r="F257" s="15">
        <f>MAX(Tabella5[BreakPointCreati])</f>
        <v>11</v>
      </c>
      <c r="G257" s="15">
        <f>MAX(Tabella5[BreakPointWon])</f>
        <v>28</v>
      </c>
      <c r="H257" s="15"/>
    </row>
    <row r="258" spans="1:8" x14ac:dyDescent="0.25">
      <c r="A258" s="97" t="s">
        <v>256</v>
      </c>
      <c r="B258" s="15">
        <f>MIN(Tabella5[Aces])</f>
        <v>0</v>
      </c>
      <c r="C258" s="15"/>
      <c r="D258" s="15">
        <f>MIN(Tabella5[FirstServer])</f>
        <v>44</v>
      </c>
      <c r="E258" s="15">
        <f>MIN(Tabella5[ServeWon])</f>
        <v>18</v>
      </c>
      <c r="F258" s="15">
        <f>MIN(Tabella5[BreakPointCreati])</f>
        <v>0</v>
      </c>
      <c r="G258" s="15">
        <f>MIN(Tabella5[BreakPointWon])</f>
        <v>0</v>
      </c>
      <c r="H258" s="15"/>
    </row>
    <row r="259" spans="1:8" x14ac:dyDescent="0.25">
      <c r="G259">
        <f>COUNTIF(Tabella5[BreakPointWon],"&gt;18")</f>
        <v>14</v>
      </c>
    </row>
  </sheetData>
  <mergeCells count="38">
    <mergeCell ref="J122:M122"/>
    <mergeCell ref="J131:M131"/>
    <mergeCell ref="M139:M141"/>
    <mergeCell ref="J143:N143"/>
    <mergeCell ref="J1:R1"/>
    <mergeCell ref="J42:N42"/>
    <mergeCell ref="J2:M2"/>
    <mergeCell ref="J10:M10"/>
    <mergeCell ref="M18:M20"/>
    <mergeCell ref="L31:N31"/>
    <mergeCell ref="L32:N32"/>
    <mergeCell ref="L33:N33"/>
    <mergeCell ref="J67:N67"/>
    <mergeCell ref="K29:K30"/>
    <mergeCell ref="J29:J30"/>
    <mergeCell ref="L29:N30"/>
    <mergeCell ref="J43:M43"/>
    <mergeCell ref="J51:M51"/>
    <mergeCell ref="M59:M61"/>
    <mergeCell ref="L34:N34"/>
    <mergeCell ref="L35:N35"/>
    <mergeCell ref="L36:N36"/>
    <mergeCell ref="J171:N171"/>
    <mergeCell ref="J172:M172"/>
    <mergeCell ref="J181:M181"/>
    <mergeCell ref="M191:M193"/>
    <mergeCell ref="J68:N68"/>
    <mergeCell ref="J77:N77"/>
    <mergeCell ref="N86:N88"/>
    <mergeCell ref="J97:N97"/>
    <mergeCell ref="J98:M98"/>
    <mergeCell ref="J107:M107"/>
    <mergeCell ref="J114:M114"/>
    <mergeCell ref="M116:M118"/>
    <mergeCell ref="J144:N144"/>
    <mergeCell ref="J151:N151"/>
    <mergeCell ref="N159:N161"/>
    <mergeCell ref="J121:N12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abSelected="1" workbookViewId="0">
      <selection activeCell="D44" sqref="D44"/>
    </sheetView>
  </sheetViews>
  <sheetFormatPr defaultRowHeight="16.5" x14ac:dyDescent="0.3"/>
  <cols>
    <col min="1" max="16384" width="9.140625" style="135"/>
  </cols>
  <sheetData>
    <row r="1" spans="1:13" x14ac:dyDescent="0.3">
      <c r="A1" s="134" t="s">
        <v>242</v>
      </c>
      <c r="K1" s="135" t="s">
        <v>264</v>
      </c>
      <c r="M1" s="135" t="s">
        <v>261</v>
      </c>
    </row>
    <row r="2" spans="1:13" x14ac:dyDescent="0.3">
      <c r="A2" s="136"/>
      <c r="M2" s="135" t="s">
        <v>262</v>
      </c>
    </row>
    <row r="3" spans="1:13" x14ac:dyDescent="0.3">
      <c r="A3" s="137" t="s">
        <v>252</v>
      </c>
      <c r="M3" s="135" t="s">
        <v>263</v>
      </c>
    </row>
    <row r="4" spans="1:13" x14ac:dyDescent="0.3">
      <c r="A4" s="137" t="s">
        <v>288</v>
      </c>
      <c r="M4" s="135" t="s">
        <v>271</v>
      </c>
    </row>
    <row r="5" spans="1:13" x14ac:dyDescent="0.3">
      <c r="A5" s="137" t="s">
        <v>289</v>
      </c>
      <c r="M5" s="135" t="s">
        <v>272</v>
      </c>
    </row>
    <row r="6" spans="1:13" x14ac:dyDescent="0.3">
      <c r="A6" s="136" t="s">
        <v>290</v>
      </c>
    </row>
    <row r="9" spans="1:13" x14ac:dyDescent="0.3">
      <c r="J9" s="138" t="s">
        <v>205</v>
      </c>
      <c r="K9" s="138"/>
      <c r="L9" s="138"/>
    </row>
    <row r="10" spans="1:13" ht="17.25" thickBot="1" x14ac:dyDescent="0.35">
      <c r="A10" s="134" t="s">
        <v>243</v>
      </c>
      <c r="J10" s="138" t="s">
        <v>307</v>
      </c>
      <c r="K10" s="138"/>
      <c r="L10" s="138"/>
    </row>
    <row r="11" spans="1:13" ht="17.25" thickBot="1" x14ac:dyDescent="0.35">
      <c r="A11" s="136"/>
      <c r="J11" s="139" t="s">
        <v>304</v>
      </c>
      <c r="K11" s="140"/>
      <c r="L11" s="141"/>
    </row>
    <row r="12" spans="1:13" x14ac:dyDescent="0.3">
      <c r="A12" s="137" t="s">
        <v>318</v>
      </c>
      <c r="J12" s="142" t="s">
        <v>306</v>
      </c>
      <c r="K12" s="142"/>
      <c r="L12" s="142"/>
    </row>
    <row r="13" spans="1:13" x14ac:dyDescent="0.3">
      <c r="A13" s="137" t="s">
        <v>291</v>
      </c>
      <c r="J13" s="138" t="s">
        <v>266</v>
      </c>
      <c r="K13" s="138"/>
      <c r="L13" s="138"/>
    </row>
    <row r="14" spans="1:13" x14ac:dyDescent="0.3">
      <c r="A14" s="136" t="s">
        <v>292</v>
      </c>
      <c r="J14" s="138" t="s">
        <v>306</v>
      </c>
      <c r="K14" s="138"/>
      <c r="L14" s="138"/>
    </row>
    <row r="15" spans="1:13" x14ac:dyDescent="0.3">
      <c r="J15" s="138" t="s">
        <v>305</v>
      </c>
      <c r="K15" s="138"/>
      <c r="L15" s="138"/>
    </row>
    <row r="18" spans="1:5" x14ac:dyDescent="0.3">
      <c r="A18" s="134" t="s">
        <v>244</v>
      </c>
    </row>
    <row r="19" spans="1:5" x14ac:dyDescent="0.3">
      <c r="A19" s="136"/>
    </row>
    <row r="20" spans="1:5" x14ac:dyDescent="0.3">
      <c r="A20" s="137" t="s">
        <v>319</v>
      </c>
    </row>
    <row r="21" spans="1:5" x14ac:dyDescent="0.3">
      <c r="A21" s="136" t="s">
        <v>293</v>
      </c>
    </row>
    <row r="22" spans="1:5" x14ac:dyDescent="0.3">
      <c r="A22" s="136" t="s">
        <v>294</v>
      </c>
    </row>
    <row r="24" spans="1:5" x14ac:dyDescent="0.3">
      <c r="A24" s="143" t="s">
        <v>267</v>
      </c>
    </row>
    <row r="25" spans="1:5" x14ac:dyDescent="0.3">
      <c r="A25" s="136" t="s">
        <v>320</v>
      </c>
    </row>
    <row r="26" spans="1:5" x14ac:dyDescent="0.3">
      <c r="A26" s="135" t="s">
        <v>295</v>
      </c>
    </row>
    <row r="28" spans="1:5" x14ac:dyDescent="0.3">
      <c r="A28" s="144" t="s">
        <v>273</v>
      </c>
      <c r="B28" s="144"/>
      <c r="C28" s="144"/>
      <c r="D28" s="144"/>
      <c r="E28" s="144"/>
    </row>
    <row r="30" spans="1:5" x14ac:dyDescent="0.3">
      <c r="A30" s="143" t="s">
        <v>299</v>
      </c>
    </row>
    <row r="31" spans="1:5" x14ac:dyDescent="0.3">
      <c r="A31" s="135" t="s">
        <v>321</v>
      </c>
    </row>
    <row r="32" spans="1:5" x14ac:dyDescent="0.3">
      <c r="A32" s="135" t="s">
        <v>322</v>
      </c>
    </row>
    <row r="36" spans="1:1" ht="18.75" x14ac:dyDescent="0.3">
      <c r="A36" s="145" t="s">
        <v>308</v>
      </c>
    </row>
    <row r="37" spans="1:1" x14ac:dyDescent="0.3">
      <c r="A37" s="136" t="s">
        <v>323</v>
      </c>
    </row>
    <row r="38" spans="1:1" x14ac:dyDescent="0.3">
      <c r="A38" s="136"/>
    </row>
    <row r="40" spans="1:1" ht="18" x14ac:dyDescent="0.3">
      <c r="A40" s="146" t="s">
        <v>314</v>
      </c>
    </row>
    <row r="41" spans="1:1" x14ac:dyDescent="0.3">
      <c r="A41" s="136"/>
    </row>
    <row r="42" spans="1:1" x14ac:dyDescent="0.3">
      <c r="A42" s="136" t="s">
        <v>309</v>
      </c>
    </row>
    <row r="43" spans="1:1" x14ac:dyDescent="0.3">
      <c r="A43" s="136"/>
    </row>
    <row r="44" spans="1:1" x14ac:dyDescent="0.3">
      <c r="A44" s="136" t="s">
        <v>305</v>
      </c>
    </row>
    <row r="45" spans="1:1" x14ac:dyDescent="0.3">
      <c r="A45" s="136"/>
    </row>
    <row r="46" spans="1:1" x14ac:dyDescent="0.3">
      <c r="A46" s="136" t="s">
        <v>310</v>
      </c>
    </row>
    <row r="47" spans="1:1" x14ac:dyDescent="0.3">
      <c r="A47" s="136"/>
    </row>
    <row r="48" spans="1:1" x14ac:dyDescent="0.3">
      <c r="A48" s="136" t="s">
        <v>315</v>
      </c>
    </row>
    <row r="50" spans="1:1" ht="18" x14ac:dyDescent="0.3">
      <c r="A50" s="146" t="s">
        <v>316</v>
      </c>
    </row>
    <row r="51" spans="1:1" x14ac:dyDescent="0.3">
      <c r="A51" s="136"/>
    </row>
    <row r="52" spans="1:1" x14ac:dyDescent="0.3">
      <c r="A52" s="136" t="s">
        <v>324</v>
      </c>
    </row>
    <row r="53" spans="1:1" x14ac:dyDescent="0.3">
      <c r="A53" s="136"/>
    </row>
    <row r="54" spans="1:1" x14ac:dyDescent="0.3">
      <c r="A54" s="136" t="s">
        <v>325</v>
      </c>
    </row>
    <row r="56" spans="1:1" x14ac:dyDescent="0.3">
      <c r="A56" s="136" t="s">
        <v>326</v>
      </c>
    </row>
    <row r="58" spans="1:1" ht="18" x14ac:dyDescent="0.3">
      <c r="A58" s="146" t="s">
        <v>317</v>
      </c>
    </row>
    <row r="59" spans="1:1" x14ac:dyDescent="0.3">
      <c r="A59" s="136"/>
    </row>
    <row r="60" spans="1:1" x14ac:dyDescent="0.3">
      <c r="A60" s="147" t="s">
        <v>242</v>
      </c>
    </row>
    <row r="61" spans="1:1" x14ac:dyDescent="0.3">
      <c r="A61" s="148"/>
    </row>
    <row r="62" spans="1:1" x14ac:dyDescent="0.3">
      <c r="A62" s="147" t="s">
        <v>311</v>
      </c>
    </row>
    <row r="63" spans="1:1" x14ac:dyDescent="0.3">
      <c r="A63" s="148"/>
    </row>
    <row r="64" spans="1:1" x14ac:dyDescent="0.3">
      <c r="A64" s="147" t="s">
        <v>312</v>
      </c>
    </row>
    <row r="65" spans="1:1" x14ac:dyDescent="0.3">
      <c r="A65" s="148"/>
    </row>
    <row r="66" spans="1:1" x14ac:dyDescent="0.3">
      <c r="A66" s="147" t="s">
        <v>313</v>
      </c>
    </row>
  </sheetData>
  <mergeCells count="8">
    <mergeCell ref="J10:L10"/>
    <mergeCell ref="J9:L9"/>
    <mergeCell ref="A28:E28"/>
    <mergeCell ref="J11:L11"/>
    <mergeCell ref="J13:L13"/>
    <mergeCell ref="J15:L15"/>
    <mergeCell ref="J12:L12"/>
    <mergeCell ref="J14:L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Esempio</vt:lpstr>
      <vt:lpstr>AO_CSV</vt:lpstr>
      <vt:lpstr>Giocatore1</vt:lpstr>
      <vt:lpstr>Giocatore2</vt:lpstr>
      <vt:lpstr>Analisi</vt:lpstr>
      <vt:lpstr>Annotazioni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2025-03-16T09:34:28Z</dcterms:modified>
</cp:coreProperties>
</file>