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erification Blog" sheetId="1" state="visible" r:id="rId2"/>
    <sheet name="Verification DBLP" sheetId="2" state="visible" r:id="rId3"/>
    <sheet name="DBLP Extractors" sheetId="3" state="visible" r:id="rId4"/>
    <sheet name="Update" sheetId="4" state="visible" r:id="rId5"/>
    <sheet name="DBLP Shift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<sst xmlns="http://schemas.openxmlformats.org/spreadsheetml/2006/main" count="715" uniqueCount="191">
  <si>
    <t xml:space="preserve">Q1</t>
  </si>
  <si>
    <t xml:space="preserve">Hashtag</t>
  </si>
  <si>
    <t xml:space="preserve">EnableURL</t>
  </si>
  <si>
    <t xml:space="preserve">DateFormat</t>
  </si>
  <si>
    <t xml:space="preserve">DOI</t>
  </si>
  <si>
    <t xml:space="preserve">Well_Defined </t>
  </si>
  <si>
    <t xml:space="preserve">Time:Well_Defined </t>
  </si>
  <si>
    <t xml:space="preserve">1s</t>
  </si>
  <si>
    <t xml:space="preserve">4s</t>
  </si>
  <si>
    <t xml:space="preserve">2s</t>
  </si>
  <si>
    <t xml:space="preserve">Durable</t>
  </si>
  <si>
    <t xml:space="preserve">Time: Durable</t>
  </si>
  <si>
    <t xml:space="preserve">3s</t>
  </si>
  <si>
    <t xml:space="preserve">0s</t>
  </si>
  <si>
    <t xml:space="preserve">Dependency: Update with Extractor</t>
  </si>
  <si>
    <t xml:space="preserve">dependent</t>
  </si>
  <si>
    <t xml:space="preserve">Time: Dependency: Update with Extractor</t>
  </si>
  <si>
    <t xml:space="preserve">1m12s</t>
  </si>
  <si>
    <t xml:space="preserve">1m54s</t>
  </si>
  <si>
    <t xml:space="preserve">33s</t>
  </si>
  <si>
    <t xml:space="preserve">3m56s</t>
  </si>
  <si>
    <t xml:space="preserve">Dependency:Post Update with Extractor</t>
  </si>
  <si>
    <t xml:space="preserve">Time: Dependency:Post Update with Extractor</t>
  </si>
  <si>
    <t xml:space="preserve">2m59s</t>
  </si>
  <si>
    <t xml:space="preserve">4m35s</t>
  </si>
  <si>
    <t xml:space="preserve">26s</t>
  </si>
  <si>
    <t xml:space="preserve">2m21s</t>
  </si>
  <si>
    <t xml:space="preserve">Dependency Time Total-with some overhead</t>
  </si>
  <si>
    <t xml:space="preserve">4m15s</t>
  </si>
  <si>
    <t xml:space="preserve">6m33s</t>
  </si>
  <si>
    <t xml:space="preserve">1m3s</t>
  </si>
  <si>
    <t xml:space="preserve">6m22s</t>
  </si>
  <si>
    <t xml:space="preserve">Second Test</t>
  </si>
  <si>
    <t xml:space="preserve">passed</t>
  </si>
  <si>
    <t xml:space="preserve">NA</t>
  </si>
  <si>
    <t xml:space="preserve">failed</t>
  </si>
  <si>
    <t xml:space="preserve">Time: Second Test</t>
  </si>
  <si>
    <t xml:space="preserve">bad character inside upvar_expression there is no reference variable</t>
  </si>
  <si>
    <t xml:space="preserve">Verification Result</t>
  </si>
  <si>
    <t xml:space="preserve">pseudo-irrelevant</t>
  </si>
  <si>
    <t xml:space="preserve">not pseudo-irrelevant</t>
  </si>
  <si>
    <t xml:space="preserve">Verification time</t>
  </si>
  <si>
    <t xml:space="preserve">4m18s</t>
  </si>
  <si>
    <t xml:space="preserve">6m41s</t>
  </si>
  <si>
    <t xml:space="preserve">1m6s</t>
  </si>
  <si>
    <t xml:space="preserve">6m27s</t>
  </si>
  <si>
    <t xml:space="preserve">Q2</t>
  </si>
  <si>
    <t xml:space="preserve">not dependent</t>
  </si>
  <si>
    <t xml:space="preserve">stopped in middle</t>
  </si>
  <si>
    <t xml:space="preserve">1m24s</t>
  </si>
  <si>
    <t xml:space="preserve">2m3s</t>
  </si>
  <si>
    <t xml:space="preserve">57s</t>
  </si>
  <si>
    <t xml:space="preserve">1m44s</t>
  </si>
  <si>
    <t xml:space="preserve">2m29s</t>
  </si>
  <si>
    <t xml:space="preserve">3m57s</t>
  </si>
  <si>
    <t xml:space="preserve">43s</t>
  </si>
  <si>
    <t xml:space="preserve">1m26s</t>
  </si>
  <si>
    <t xml:space="preserve">4m0s</t>
  </si>
  <si>
    <t xml:space="preserve">6m8s</t>
  </si>
  <si>
    <t xml:space="preserve">1m48s</t>
  </si>
  <si>
    <t xml:space="preserve">3m18s</t>
  </si>
  <si>
    <t xml:space="preserve">4m3s</t>
  </si>
  <si>
    <t xml:space="preserve">6m16s</t>
  </si>
  <si>
    <t xml:space="preserve">1m51s</t>
  </si>
  <si>
    <t xml:space="preserve">3m23s</t>
  </si>
  <si>
    <t xml:space="preserve">QRN</t>
  </si>
  <si>
    <t xml:space="preserve">14s</t>
  </si>
  <si>
    <t xml:space="preserve">19s</t>
  </si>
  <si>
    <t xml:space="preserve">10s</t>
  </si>
  <si>
    <t xml:space="preserve">20s</t>
  </si>
  <si>
    <t xml:space="preserve">28s</t>
  </si>
  <si>
    <t xml:space="preserve">35s</t>
  </si>
  <si>
    <t xml:space="preserve">8s</t>
  </si>
  <si>
    <t xml:space="preserve">55s</t>
  </si>
  <si>
    <t xml:space="preserve">18s</t>
  </si>
  <si>
    <t xml:space="preserve">36s</t>
  </si>
  <si>
    <t xml:space="preserve">46s</t>
  </si>
  <si>
    <t xml:space="preserve">21s</t>
  </si>
  <si>
    <t xml:space="preserve">40s</t>
  </si>
  <si>
    <t xml:space="preserve">Q10</t>
  </si>
  <si>
    <t xml:space="preserve">5m13s</t>
  </si>
  <si>
    <t xml:space="preserve">8m37s</t>
  </si>
  <si>
    <t xml:space="preserve">2m46s</t>
  </si>
  <si>
    <t xml:space="preserve">11m57s</t>
  </si>
  <si>
    <t xml:space="preserve">11m22s</t>
  </si>
  <si>
    <t xml:space="preserve">20m10s</t>
  </si>
  <si>
    <t xml:space="preserve">2m7s</t>
  </si>
  <si>
    <t xml:space="preserve">7m47s</t>
  </si>
  <si>
    <t xml:space="preserve">16m56s</t>
  </si>
  <si>
    <t xml:space="preserve">29m9s</t>
  </si>
  <si>
    <t xml:space="preserve">5m7s</t>
  </si>
  <si>
    <t xml:space="preserve">20m7s</t>
  </si>
  <si>
    <t xml:space="preserve">16m59s</t>
  </si>
  <si>
    <t xml:space="preserve">29m17s</t>
  </si>
  <si>
    <t xml:space="preserve">5m10s</t>
  </si>
  <si>
    <t xml:space="preserve">20m12s</t>
  </si>
  <si>
    <t xml:space="preserve">Q12</t>
  </si>
  <si>
    <t xml:space="preserve">4m10s</t>
  </si>
  <si>
    <t xml:space="preserve">6m20s</t>
  </si>
  <si>
    <t xml:space="preserve">5m1s</t>
  </si>
  <si>
    <t xml:space="preserve">7m16s</t>
  </si>
  <si>
    <t xml:space="preserve">12m11s</t>
  </si>
  <si>
    <t xml:space="preserve">2m2s</t>
  </si>
  <si>
    <t xml:space="preserve">4m16s</t>
  </si>
  <si>
    <t xml:space="preserve">11m49s</t>
  </si>
  <si>
    <t xml:space="preserve">18m55s</t>
  </si>
  <si>
    <t xml:space="preserve">5m11s</t>
  </si>
  <si>
    <t xml:space="preserve">9m39s</t>
  </si>
  <si>
    <t xml:space="preserve">11m52s</t>
  </si>
  <si>
    <t xml:space="preserve">19m3s</t>
  </si>
  <si>
    <t xml:space="preserve">5m14s</t>
  </si>
  <si>
    <t xml:space="preserve">9m44s</t>
  </si>
  <si>
    <t xml:space="preserve">SJrn</t>
  </si>
  <si>
    <t xml:space="preserve">1m7s</t>
  </si>
  <si>
    <t xml:space="preserve">32s</t>
  </si>
  <si>
    <t xml:space="preserve">2m15s</t>
  </si>
  <si>
    <t xml:space="preserve">45s</t>
  </si>
  <si>
    <t xml:space="preserve">2m4s</t>
  </si>
  <si>
    <t xml:space="preserve">3m25s</t>
  </si>
  <si>
    <t xml:space="preserve">1m1s</t>
  </si>
  <si>
    <t xml:space="preserve">1m45s</t>
  </si>
  <si>
    <t xml:space="preserve">3m32s</t>
  </si>
  <si>
    <t xml:space="preserve">1m4s</t>
  </si>
  <si>
    <t xml:space="preserve">1m50s</t>
  </si>
  <si>
    <t xml:space="preserve">Smod</t>
  </si>
  <si>
    <t xml:space="preserve">9s</t>
  </si>
  <si>
    <t xml:space="preserve">16s</t>
  </si>
  <si>
    <t xml:space="preserve">7s</t>
  </si>
  <si>
    <t xml:space="preserve">11s</t>
  </si>
  <si>
    <t xml:space="preserve">29s</t>
  </si>
  <si>
    <t xml:space="preserve">47s</t>
  </si>
  <si>
    <t xml:space="preserve">15s</t>
  </si>
  <si>
    <t xml:space="preserve">SAAPlus</t>
  </si>
  <si>
    <t xml:space="preserve">5s</t>
  </si>
  <si>
    <t xml:space="preserve">17s</t>
  </si>
  <si>
    <t xml:space="preserve">S2010</t>
  </si>
  <si>
    <t xml:space="preserve">12s</t>
  </si>
  <si>
    <t xml:space="preserve">24s</t>
  </si>
  <si>
    <t xml:space="preserve">13s</t>
  </si>
  <si>
    <t xml:space="preserve">1m0s</t>
  </si>
  <si>
    <t xml:space="preserve">23s</t>
  </si>
  <si>
    <t xml:space="preserve">39s</t>
  </si>
  <si>
    <t xml:space="preserve">38s</t>
  </si>
  <si>
    <t xml:space="preserve">SVLDB</t>
  </si>
  <si>
    <t xml:space="preserve">51s</t>
  </si>
  <si>
    <t xml:space="preserve">25s</t>
  </si>
  <si>
    <t xml:space="preserve">52s</t>
  </si>
  <si>
    <t xml:space="preserve">34s</t>
  </si>
  <si>
    <t xml:space="preserve">1m39s</t>
  </si>
  <si>
    <t xml:space="preserve">2m44s</t>
  </si>
  <si>
    <t xml:space="preserve">1m28s</t>
  </si>
  <si>
    <t xml:space="preserve">1m42s</t>
  </si>
  <si>
    <t xml:space="preserve">2m52s</t>
  </si>
  <si>
    <t xml:space="preserve">50s</t>
  </si>
  <si>
    <t xml:space="preserve">1m33s</t>
  </si>
  <si>
    <t xml:space="preserve">Min (sec)</t>
  </si>
  <si>
    <t xml:space="preserve">Mean (sec)</t>
  </si>
  <si>
    <t xml:space="preserve">Max (sec)</t>
  </si>
  <si>
    <t xml:space="preserve">Sample Rate=0.01</t>
  </si>
  <si>
    <t xml:space="preserve">First 1%</t>
  </si>
  <si>
    <t xml:space="preserve">Second 1%</t>
  </si>
  <si>
    <t xml:space="preserve">Third 1%</t>
  </si>
  <si>
    <t xml:space="preserve">Fourth 1%</t>
  </si>
  <si>
    <t xml:space="preserve">Fifth 1%</t>
  </si>
  <si>
    <t xml:space="preserve">Average</t>
  </si>
  <si>
    <t xml:space="preserve">Std Dev.</t>
  </si>
  <si>
    <t xml:space="preserve">Est. total</t>
  </si>
  <si>
    <t xml:space="preserve">± (95% conf)</t>
  </si>
  <si>
    <t xml:space="preserve">Extraction Time (sec)</t>
  </si>
  <si>
    <t xml:space="preserve">Number of Extracted Documents</t>
  </si>
  <si>
    <t xml:space="preserve">Number of Extracted Records</t>
  </si>
  <si>
    <t xml:space="preserve">SVAAPlus</t>
  </si>
  <si>
    <t xml:space="preserve">SJ2010</t>
  </si>
  <si>
    <t xml:space="preserve">S2010Delta</t>
  </si>
  <si>
    <t xml:space="preserve">&gt;4500 seconds</t>
  </si>
  <si>
    <t xml:space="preserve">&gt;450,000</t>
  </si>
  <si>
    <t xml:space="preserve">Max (sec) of those &lt; 450,000</t>
  </si>
  <si>
    <t xml:space="preserve">HashTag</t>
  </si>
  <si>
    <t xml:space="preserve">Update Match Time (sec)</t>
  </si>
  <si>
    <t xml:space="preserve">Number of Updated Documents</t>
  </si>
  <si>
    <t xml:space="preserve">Number of Updated Records</t>
  </si>
  <si>
    <t xml:space="preserve">Hyperlink</t>
  </si>
  <si>
    <t xml:space="preserve">Std. Dev.</t>
  </si>
  <si>
    <t xml:space="preserve">± (95% Confidence Interval)</t>
  </si>
  <si>
    <t xml:space="preserve">Shift Time</t>
  </si>
  <si>
    <t xml:space="preserve"># shifted Docs</t>
  </si>
  <si>
    <t xml:space="preserve"># shifted Recs</t>
  </si>
  <si>
    <t xml:space="preserve">Min</t>
  </si>
  <si>
    <t xml:space="preserve">Mean</t>
  </si>
  <si>
    <t xml:space="preserve">Max</t>
  </si>
  <si>
    <t xml:space="preserve"> 5441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</si>
</sst>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#,##0"/>
    <numFmt numFmtId="167" formatCode="0"/>
    <numFmt numFmtId="168" formatCode="0.000"/>
    <numFmt numFmtId="169" formatCode="0.0000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2"/>
      <color rgb="FF70AD47"/>
      <name val="Times New Roman"/>
      <family val="1"/>
      <charset val="1"/>
    </font>
    <font>
      <b val="true"/>
      <sz val="12"/>
      <color rgb="FFFF0000"/>
      <name val="Times New Roman"/>
      <family val="1"/>
      <charset val="1"/>
    </font>
    <font>
      <b val="true"/>
      <sz val="12"/>
      <color rgb="FF000000"/>
      <name val="Times New Roman"/>
      <family val="0"/>
      <charset val="1"/>
    </font>
    <font>
      <b val="true"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C5E0B4"/>
        <bgColor rgb="FFC6E0B4"/>
      </patternFill>
    </fill>
    <fill>
      <patternFill patternType="solid">
        <fgColor rgb="FFDAE3F3"/>
        <bgColor rgb="FFCCFFFF"/>
      </patternFill>
    </fill>
    <fill>
      <patternFill patternType="solid">
        <fgColor rgb="FFFAABFF"/>
        <bgColor rgb="FFCC99FF"/>
      </patternFill>
    </fill>
    <fill>
      <patternFill patternType="solid">
        <fgColor rgb="FFFFC000"/>
        <bgColor rgb="FFFF9900"/>
      </patternFill>
    </fill>
    <fill>
      <patternFill patternType="solid">
        <fgColor rgb="FFFFFD78"/>
        <bgColor rgb="FFFFF2CC"/>
      </patternFill>
    </fill>
    <fill>
      <patternFill patternType="solid">
        <fgColor rgb="FF808080"/>
        <bgColor rgb="FF666699"/>
      </patternFill>
    </fill>
    <fill>
      <patternFill patternType="solid">
        <fgColor rgb="FFC6E0B4"/>
        <bgColor rgb="FFC5E0B4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FFF"/>
      </patternFill>
    </fill>
    <fill>
      <patternFill patternType="solid">
        <fgColor rgb="FFFF8B82"/>
        <bgColor rgb="FFFF99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1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1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8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4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4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CCFFFF"/>
      <rgbColor rgb="FF660066"/>
      <rgbColor rgb="FFFF8B82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0B4"/>
      <rgbColor rgb="FFFFFD78"/>
      <rgbColor rgb="FF99CCFF"/>
      <rgbColor rgb="FFFAABFF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4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51.73"/>
    <col collapsed="false" customWidth="true" hidden="false" outlineLevel="0" max="2" min="2" style="1" width="23.51"/>
    <col collapsed="false" customWidth="true" hidden="false" outlineLevel="0" max="3" min="3" style="1" width="21.5"/>
    <col collapsed="false" customWidth="true" hidden="false" outlineLevel="0" max="4" min="4" style="1" width="23.51"/>
    <col collapsed="false" customWidth="true" hidden="false" outlineLevel="0" max="6" min="5" style="1" width="23.16"/>
    <col collapsed="false" customWidth="true" hidden="false" outlineLevel="0" max="7" min="7" style="1" width="10.48"/>
    <col collapsed="false" customWidth="true" hidden="false" outlineLevel="0" max="8" min="8" style="1" width="23.33"/>
    <col collapsed="false" customWidth="true" hidden="false" outlineLevel="0" max="1023" min="9" style="1" width="10.48"/>
    <col collapsed="false" customWidth="true" hidden="false" outlineLevel="0" max="1025" min="1024" style="1" width="10.5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customFormat="false" ht="15" hidden="false" customHeight="false" outlineLevel="0" collapsed="false">
      <c r="A2" s="4" t="s">
        <v>5</v>
      </c>
      <c r="B2" s="4"/>
      <c r="C2" s="4"/>
      <c r="D2" s="4"/>
      <c r="E2" s="4"/>
    </row>
    <row r="3" customFormat="false" ht="15" hidden="false" customHeight="false" outlineLevel="0" collapsed="false">
      <c r="A3" s="4" t="s">
        <v>6</v>
      </c>
      <c r="B3" s="4" t="s">
        <v>7</v>
      </c>
      <c r="C3" s="4" t="s">
        <v>8</v>
      </c>
      <c r="D3" s="4" t="s">
        <v>9</v>
      </c>
      <c r="E3" s="4" t="s">
        <v>9</v>
      </c>
    </row>
    <row r="4" customFormat="false" ht="15" hidden="false" customHeight="false" outlineLevel="0" collapsed="false">
      <c r="A4" s="4" t="s">
        <v>10</v>
      </c>
      <c r="B4" s="4"/>
      <c r="C4" s="4"/>
      <c r="D4" s="4"/>
      <c r="E4" s="4"/>
    </row>
    <row r="5" customFormat="false" ht="15" hidden="false" customHeight="false" outlineLevel="0" collapsed="false">
      <c r="A5" s="4" t="s">
        <v>11</v>
      </c>
      <c r="B5" s="4" t="s">
        <v>7</v>
      </c>
      <c r="C5" s="4" t="s">
        <v>12</v>
      </c>
      <c r="D5" s="4" t="s">
        <v>13</v>
      </c>
      <c r="E5" s="4" t="s">
        <v>9</v>
      </c>
    </row>
    <row r="6" customFormat="false" ht="15" hidden="false" customHeight="false" outlineLevel="0" collapsed="false">
      <c r="A6" s="5" t="s">
        <v>14</v>
      </c>
      <c r="B6" s="6"/>
      <c r="C6" s="6"/>
      <c r="D6" s="6" t="s">
        <v>15</v>
      </c>
      <c r="E6" s="6"/>
    </row>
    <row r="7" customFormat="false" ht="15" hidden="false" customHeight="false" outlineLevel="0" collapsed="false">
      <c r="A7" s="5" t="s">
        <v>16</v>
      </c>
      <c r="B7" s="6" t="s">
        <v>17</v>
      </c>
      <c r="C7" s="6" t="s">
        <v>18</v>
      </c>
      <c r="D7" s="6" t="s">
        <v>19</v>
      </c>
      <c r="E7" s="6" t="s">
        <v>20</v>
      </c>
    </row>
    <row r="8" customFormat="false" ht="15" hidden="false" customHeight="false" outlineLevel="0" collapsed="false">
      <c r="A8" s="5" t="s">
        <v>21</v>
      </c>
      <c r="B8" s="6"/>
      <c r="C8" s="6"/>
      <c r="D8" s="6"/>
      <c r="E8" s="6"/>
    </row>
    <row r="9" customFormat="false" ht="15" hidden="false" customHeight="false" outlineLevel="0" collapsed="false">
      <c r="A9" s="5" t="s">
        <v>22</v>
      </c>
      <c r="B9" s="6" t="s">
        <v>23</v>
      </c>
      <c r="C9" s="6" t="s">
        <v>24</v>
      </c>
      <c r="D9" s="6" t="s">
        <v>25</v>
      </c>
      <c r="E9" s="6" t="s">
        <v>26</v>
      </c>
    </row>
    <row r="10" customFormat="false" ht="15" hidden="false" customHeight="false" outlineLevel="0" collapsed="false">
      <c r="A10" s="5" t="s">
        <v>27</v>
      </c>
      <c r="B10" s="6" t="s">
        <v>28</v>
      </c>
      <c r="C10" s="6" t="s">
        <v>29</v>
      </c>
      <c r="D10" s="6" t="s">
        <v>30</v>
      </c>
      <c r="E10" s="6" t="s">
        <v>31</v>
      </c>
    </row>
    <row r="11" customFormat="false" ht="15" hidden="false" customHeight="false" outlineLevel="0" collapsed="false">
      <c r="A11" s="7" t="s">
        <v>32</v>
      </c>
      <c r="B11" s="7" t="s">
        <v>33</v>
      </c>
      <c r="C11" s="7" t="s">
        <v>33</v>
      </c>
      <c r="D11" s="7" t="s">
        <v>34</v>
      </c>
      <c r="E11" s="7" t="s">
        <v>35</v>
      </c>
    </row>
    <row r="12" customFormat="false" ht="15" hidden="false" customHeight="false" outlineLevel="0" collapsed="false">
      <c r="A12" s="7" t="s">
        <v>36</v>
      </c>
      <c r="B12" s="7" t="s">
        <v>13</v>
      </c>
      <c r="C12" s="7" t="s">
        <v>13</v>
      </c>
      <c r="D12" s="7" t="s">
        <v>34</v>
      </c>
      <c r="E12" s="7" t="s">
        <v>37</v>
      </c>
    </row>
    <row r="13" customFormat="false" ht="15" hidden="false" customHeight="false" outlineLevel="0" collapsed="false">
      <c r="A13" s="8" t="s">
        <v>38</v>
      </c>
      <c r="B13" s="9" t="s">
        <v>39</v>
      </c>
      <c r="C13" s="9" t="s">
        <v>39</v>
      </c>
      <c r="D13" s="10" t="s">
        <v>40</v>
      </c>
      <c r="E13" s="10" t="s">
        <v>40</v>
      </c>
    </row>
    <row r="14" customFormat="false" ht="15" hidden="false" customHeight="false" outlineLevel="0" collapsed="false">
      <c r="A14" s="8" t="s">
        <v>41</v>
      </c>
      <c r="B14" s="8" t="s">
        <v>42</v>
      </c>
      <c r="C14" s="8" t="s">
        <v>43</v>
      </c>
      <c r="D14" s="8" t="s">
        <v>44</v>
      </c>
      <c r="E14" s="8" t="s">
        <v>45</v>
      </c>
    </row>
    <row r="15" customFormat="false" ht="15" hidden="false" customHeight="false" outlineLevel="0" collapsed="false">
      <c r="A15" s="11"/>
      <c r="B15" s="11"/>
      <c r="C15" s="12"/>
      <c r="D15" s="11"/>
      <c r="E15" s="12"/>
    </row>
    <row r="16" customFormat="false" ht="15" hidden="false" customHeight="false" outlineLevel="0" collapsed="false">
      <c r="A16" s="2" t="s">
        <v>46</v>
      </c>
      <c r="B16" s="3" t="s">
        <v>1</v>
      </c>
      <c r="C16" s="3" t="s">
        <v>2</v>
      </c>
      <c r="D16" s="3" t="s">
        <v>3</v>
      </c>
      <c r="E16" s="3" t="s">
        <v>4</v>
      </c>
    </row>
    <row r="17" customFormat="false" ht="15" hidden="false" customHeight="false" outlineLevel="0" collapsed="false">
      <c r="A17" s="4" t="s">
        <v>5</v>
      </c>
      <c r="B17" s="4"/>
      <c r="C17" s="4"/>
      <c r="D17" s="4"/>
      <c r="E17" s="4"/>
    </row>
    <row r="18" customFormat="false" ht="15" hidden="false" customHeight="false" outlineLevel="0" collapsed="false">
      <c r="A18" s="4" t="s">
        <v>6</v>
      </c>
      <c r="B18" s="4" t="s">
        <v>7</v>
      </c>
      <c r="C18" s="4" t="s">
        <v>8</v>
      </c>
      <c r="D18" s="4" t="s">
        <v>9</v>
      </c>
      <c r="E18" s="4" t="s">
        <v>9</v>
      </c>
      <c r="H18" s="13" t="s">
        <v>33</v>
      </c>
    </row>
    <row r="19" customFormat="false" ht="15" hidden="false" customHeight="false" outlineLevel="0" collapsed="false">
      <c r="A19" s="4" t="s">
        <v>10</v>
      </c>
      <c r="B19" s="4"/>
      <c r="C19" s="4"/>
      <c r="D19" s="4"/>
      <c r="E19" s="4"/>
      <c r="H19" s="6" t="s">
        <v>47</v>
      </c>
    </row>
    <row r="20" customFormat="false" ht="15" hidden="false" customHeight="false" outlineLevel="0" collapsed="false">
      <c r="A20" s="4" t="s">
        <v>11</v>
      </c>
      <c r="B20" s="4" t="s">
        <v>7</v>
      </c>
      <c r="C20" s="4" t="s">
        <v>12</v>
      </c>
      <c r="D20" s="4" t="s">
        <v>13</v>
      </c>
      <c r="E20" s="4" t="s">
        <v>9</v>
      </c>
      <c r="H20" s="6" t="s">
        <v>48</v>
      </c>
    </row>
    <row r="21" customFormat="false" ht="15" hidden="false" customHeight="false" outlineLevel="0" collapsed="false">
      <c r="A21" s="5" t="s">
        <v>14</v>
      </c>
      <c r="B21" s="6"/>
      <c r="C21" s="6"/>
      <c r="D21" s="6"/>
      <c r="E21" s="6"/>
      <c r="H21" s="10" t="s">
        <v>40</v>
      </c>
    </row>
    <row r="22" customFormat="false" ht="15" hidden="false" customHeight="false" outlineLevel="0" collapsed="false">
      <c r="A22" s="5" t="s">
        <v>16</v>
      </c>
      <c r="B22" s="6" t="s">
        <v>49</v>
      </c>
      <c r="C22" s="6" t="s">
        <v>50</v>
      </c>
      <c r="D22" s="6" t="s">
        <v>51</v>
      </c>
      <c r="E22" s="6" t="s">
        <v>52</v>
      </c>
      <c r="H22" s="9" t="s">
        <v>39</v>
      </c>
    </row>
    <row r="23" customFormat="false" ht="15" hidden="false" customHeight="false" outlineLevel="0" collapsed="false">
      <c r="A23" s="5" t="s">
        <v>21</v>
      </c>
      <c r="B23" s="6"/>
      <c r="C23" s="6"/>
      <c r="D23" s="6"/>
      <c r="E23" s="6"/>
      <c r="H23" s="6" t="s">
        <v>15</v>
      </c>
    </row>
    <row r="24" customFormat="false" ht="15" hidden="false" customHeight="false" outlineLevel="0" collapsed="false">
      <c r="A24" s="5" t="s">
        <v>22</v>
      </c>
      <c r="B24" s="6" t="s">
        <v>53</v>
      </c>
      <c r="C24" s="6" t="s">
        <v>54</v>
      </c>
      <c r="D24" s="6" t="s">
        <v>55</v>
      </c>
      <c r="E24" s="6" t="s">
        <v>56</v>
      </c>
    </row>
    <row r="25" customFormat="false" ht="15" hidden="false" customHeight="false" outlineLevel="0" collapsed="false">
      <c r="A25" s="5" t="s">
        <v>27</v>
      </c>
      <c r="B25" s="6" t="s">
        <v>57</v>
      </c>
      <c r="C25" s="6" t="s">
        <v>58</v>
      </c>
      <c r="D25" s="6" t="s">
        <v>59</v>
      </c>
      <c r="E25" s="6" t="s">
        <v>60</v>
      </c>
    </row>
    <row r="26" customFormat="false" ht="15" hidden="false" customHeight="false" outlineLevel="0" collapsed="false">
      <c r="A26" s="7" t="s">
        <v>32</v>
      </c>
      <c r="B26" s="7" t="s">
        <v>33</v>
      </c>
      <c r="C26" s="7" t="s">
        <v>33</v>
      </c>
      <c r="D26" s="7" t="s">
        <v>33</v>
      </c>
      <c r="E26" s="7" t="s">
        <v>35</v>
      </c>
    </row>
    <row r="27" customFormat="false" ht="15" hidden="false" customHeight="false" outlineLevel="0" collapsed="false">
      <c r="A27" s="7" t="s">
        <v>36</v>
      </c>
      <c r="B27" s="7" t="s">
        <v>13</v>
      </c>
      <c r="C27" s="7" t="s">
        <v>13</v>
      </c>
      <c r="D27" s="7" t="s">
        <v>13</v>
      </c>
      <c r="E27" s="7" t="s">
        <v>37</v>
      </c>
    </row>
    <row r="28" customFormat="false" ht="15" hidden="false" customHeight="false" outlineLevel="0" collapsed="false">
      <c r="A28" s="8" t="s">
        <v>38</v>
      </c>
      <c r="B28" s="9" t="s">
        <v>39</v>
      </c>
      <c r="C28" s="9" t="s">
        <v>39</v>
      </c>
      <c r="D28" s="9" t="s">
        <v>39</v>
      </c>
      <c r="E28" s="10" t="s">
        <v>40</v>
      </c>
    </row>
    <row r="29" customFormat="false" ht="15" hidden="false" customHeight="false" outlineLevel="0" collapsed="false">
      <c r="A29" s="8" t="s">
        <v>41</v>
      </c>
      <c r="B29" s="8" t="s">
        <v>61</v>
      </c>
      <c r="C29" s="8" t="s">
        <v>62</v>
      </c>
      <c r="D29" s="8" t="s">
        <v>63</v>
      </c>
      <c r="E29" s="8" t="s">
        <v>64</v>
      </c>
    </row>
    <row r="30" customFormat="false" ht="15" hidden="false" customHeight="false" outlineLevel="0" collapsed="false">
      <c r="A30" s="11"/>
      <c r="B30" s="11"/>
      <c r="C30" s="12"/>
      <c r="D30" s="11"/>
      <c r="E30" s="12"/>
    </row>
    <row r="31" customFormat="false" ht="15" hidden="false" customHeight="false" outlineLevel="0" collapsed="false">
      <c r="A31" s="14" t="s">
        <v>65</v>
      </c>
      <c r="B31" s="3" t="s">
        <v>1</v>
      </c>
      <c r="C31" s="3" t="s">
        <v>2</v>
      </c>
      <c r="D31" s="3" t="s">
        <v>3</v>
      </c>
      <c r="E31" s="3" t="s">
        <v>4</v>
      </c>
    </row>
    <row r="32" customFormat="false" ht="15" hidden="false" customHeight="false" outlineLevel="0" collapsed="false">
      <c r="A32" s="4" t="s">
        <v>5</v>
      </c>
      <c r="B32" s="4"/>
      <c r="C32" s="4"/>
      <c r="D32" s="4"/>
      <c r="E32" s="4"/>
    </row>
    <row r="33" customFormat="false" ht="15" hidden="false" customHeight="false" outlineLevel="0" collapsed="false">
      <c r="A33" s="4" t="s">
        <v>6</v>
      </c>
      <c r="B33" s="4" t="s">
        <v>7</v>
      </c>
      <c r="C33" s="4" t="s">
        <v>8</v>
      </c>
      <c r="D33" s="4" t="s">
        <v>9</v>
      </c>
      <c r="E33" s="4" t="s">
        <v>9</v>
      </c>
    </row>
    <row r="34" customFormat="false" ht="15" hidden="false" customHeight="false" outlineLevel="0" collapsed="false">
      <c r="A34" s="4" t="s">
        <v>10</v>
      </c>
      <c r="B34" s="4"/>
      <c r="C34" s="4"/>
      <c r="D34" s="4"/>
      <c r="E34" s="4"/>
    </row>
    <row r="35" customFormat="false" ht="15" hidden="false" customHeight="false" outlineLevel="0" collapsed="false">
      <c r="A35" s="4" t="s">
        <v>11</v>
      </c>
      <c r="B35" s="4" t="s">
        <v>7</v>
      </c>
      <c r="C35" s="4" t="s">
        <v>12</v>
      </c>
      <c r="D35" s="4" t="s">
        <v>13</v>
      </c>
      <c r="E35" s="4" t="s">
        <v>9</v>
      </c>
    </row>
    <row r="36" customFormat="false" ht="15" hidden="false" customHeight="false" outlineLevel="0" collapsed="false">
      <c r="A36" s="5" t="s">
        <v>14</v>
      </c>
      <c r="B36" s="6"/>
      <c r="C36" s="6" t="s">
        <v>15</v>
      </c>
      <c r="D36" s="6"/>
      <c r="E36" s="6"/>
    </row>
    <row r="37" customFormat="false" ht="15" hidden="false" customHeight="false" outlineLevel="0" collapsed="false">
      <c r="A37" s="5" t="s">
        <v>16</v>
      </c>
      <c r="B37" s="6" t="s">
        <v>66</v>
      </c>
      <c r="C37" s="6" t="s">
        <v>67</v>
      </c>
      <c r="D37" s="6" t="s">
        <v>68</v>
      </c>
      <c r="E37" s="6" t="s">
        <v>69</v>
      </c>
    </row>
    <row r="38" customFormat="false" ht="15" hidden="false" customHeight="false" outlineLevel="0" collapsed="false">
      <c r="A38" s="5" t="s">
        <v>21</v>
      </c>
      <c r="B38" s="6"/>
      <c r="C38" s="6" t="s">
        <v>48</v>
      </c>
      <c r="D38" s="6"/>
      <c r="E38" s="6"/>
    </row>
    <row r="39" customFormat="false" ht="15" hidden="false" customHeight="false" outlineLevel="0" collapsed="false">
      <c r="A39" s="5" t="s">
        <v>22</v>
      </c>
      <c r="B39" s="6" t="s">
        <v>70</v>
      </c>
      <c r="C39" s="6" t="s">
        <v>71</v>
      </c>
      <c r="D39" s="6" t="s">
        <v>72</v>
      </c>
      <c r="E39" s="6" t="s">
        <v>66</v>
      </c>
    </row>
    <row r="40" customFormat="false" ht="15" hidden="false" customHeight="false" outlineLevel="0" collapsed="false">
      <c r="A40" s="5" t="s">
        <v>27</v>
      </c>
      <c r="B40" s="6" t="s">
        <v>55</v>
      </c>
      <c r="C40" s="5" t="s">
        <v>73</v>
      </c>
      <c r="D40" s="6" t="s">
        <v>74</v>
      </c>
      <c r="E40" s="6" t="s">
        <v>75</v>
      </c>
    </row>
    <row r="41" customFormat="false" ht="15" hidden="false" customHeight="false" outlineLevel="0" collapsed="false">
      <c r="A41" s="7" t="s">
        <v>32</v>
      </c>
      <c r="B41" s="7" t="s">
        <v>33</v>
      </c>
      <c r="C41" s="7" t="s">
        <v>34</v>
      </c>
      <c r="D41" s="7" t="s">
        <v>33</v>
      </c>
      <c r="E41" s="7" t="s">
        <v>35</v>
      </c>
    </row>
    <row r="42" customFormat="false" ht="15" hidden="false" customHeight="false" outlineLevel="0" collapsed="false">
      <c r="A42" s="7" t="s">
        <v>36</v>
      </c>
      <c r="B42" s="7" t="s">
        <v>13</v>
      </c>
      <c r="C42" s="7" t="s">
        <v>34</v>
      </c>
      <c r="D42" s="7" t="s">
        <v>13</v>
      </c>
      <c r="E42" s="7" t="s">
        <v>37</v>
      </c>
    </row>
    <row r="43" customFormat="false" ht="15" hidden="false" customHeight="false" outlineLevel="0" collapsed="false">
      <c r="A43" s="8" t="s">
        <v>38</v>
      </c>
      <c r="B43" s="9" t="s">
        <v>39</v>
      </c>
      <c r="C43" s="10" t="s">
        <v>40</v>
      </c>
      <c r="D43" s="9" t="s">
        <v>39</v>
      </c>
      <c r="E43" s="10" t="s">
        <v>40</v>
      </c>
    </row>
    <row r="44" customFormat="false" ht="15" hidden="false" customHeight="false" outlineLevel="0" collapsed="false">
      <c r="A44" s="8" t="s">
        <v>41</v>
      </c>
      <c r="B44" s="8" t="s">
        <v>76</v>
      </c>
      <c r="C44" s="8" t="s">
        <v>30</v>
      </c>
      <c r="D44" s="8" t="s">
        <v>77</v>
      </c>
      <c r="E44" s="8" t="s">
        <v>78</v>
      </c>
    </row>
    <row r="45" customFormat="false" ht="15" hidden="false" customHeight="false" outlineLevel="0" collapsed="false">
      <c r="A45" s="11"/>
      <c r="B45" s="11"/>
      <c r="C45" s="12"/>
      <c r="D45" s="11"/>
      <c r="E45" s="12"/>
    </row>
    <row r="46" customFormat="false" ht="15" hidden="false" customHeight="false" outlineLevel="0" collapsed="false">
      <c r="A46" s="14" t="s">
        <v>79</v>
      </c>
      <c r="B46" s="3" t="s">
        <v>1</v>
      </c>
      <c r="C46" s="3" t="s">
        <v>2</v>
      </c>
      <c r="D46" s="3" t="s">
        <v>3</v>
      </c>
      <c r="E46" s="3" t="s">
        <v>4</v>
      </c>
    </row>
    <row r="47" customFormat="false" ht="15" hidden="false" customHeight="false" outlineLevel="0" collapsed="false">
      <c r="A47" s="4" t="s">
        <v>5</v>
      </c>
      <c r="B47" s="4"/>
      <c r="C47" s="4"/>
      <c r="D47" s="4"/>
      <c r="E47" s="4"/>
    </row>
    <row r="48" customFormat="false" ht="15" hidden="false" customHeight="false" outlineLevel="0" collapsed="false">
      <c r="A48" s="4" t="s">
        <v>6</v>
      </c>
      <c r="B48" s="4" t="s">
        <v>7</v>
      </c>
      <c r="C48" s="4" t="s">
        <v>8</v>
      </c>
      <c r="D48" s="4" t="s">
        <v>9</v>
      </c>
      <c r="E48" s="4" t="s">
        <v>9</v>
      </c>
    </row>
    <row r="49" customFormat="false" ht="15" hidden="false" customHeight="false" outlineLevel="0" collapsed="false">
      <c r="A49" s="4" t="s">
        <v>10</v>
      </c>
      <c r="B49" s="4"/>
      <c r="C49" s="4"/>
      <c r="D49" s="4"/>
      <c r="E49" s="4"/>
    </row>
    <row r="50" customFormat="false" ht="15" hidden="false" customHeight="false" outlineLevel="0" collapsed="false">
      <c r="A50" s="4" t="s">
        <v>11</v>
      </c>
      <c r="B50" s="4" t="s">
        <v>7</v>
      </c>
      <c r="C50" s="4" t="s">
        <v>12</v>
      </c>
      <c r="D50" s="4" t="s">
        <v>13</v>
      </c>
      <c r="E50" s="4" t="s">
        <v>9</v>
      </c>
    </row>
    <row r="51" customFormat="false" ht="15" hidden="false" customHeight="false" outlineLevel="0" collapsed="false">
      <c r="A51" s="5" t="s">
        <v>14</v>
      </c>
      <c r="B51" s="6"/>
      <c r="C51" s="6"/>
      <c r="D51" s="6" t="s">
        <v>15</v>
      </c>
      <c r="E51" s="6"/>
    </row>
    <row r="52" customFormat="false" ht="15" hidden="false" customHeight="false" outlineLevel="0" collapsed="false">
      <c r="A52" s="5" t="s">
        <v>16</v>
      </c>
      <c r="B52" s="6" t="s">
        <v>80</v>
      </c>
      <c r="C52" s="6" t="s">
        <v>81</v>
      </c>
      <c r="D52" s="6" t="s">
        <v>82</v>
      </c>
      <c r="E52" s="6" t="s">
        <v>83</v>
      </c>
    </row>
    <row r="53" customFormat="false" ht="15" hidden="false" customHeight="false" outlineLevel="0" collapsed="false">
      <c r="A53" s="5" t="s">
        <v>21</v>
      </c>
      <c r="B53" s="6"/>
      <c r="C53" s="6"/>
      <c r="D53" s="6"/>
      <c r="E53" s="6"/>
    </row>
    <row r="54" customFormat="false" ht="15" hidden="false" customHeight="false" outlineLevel="0" collapsed="false">
      <c r="A54" s="5" t="s">
        <v>22</v>
      </c>
      <c r="B54" s="6" t="s">
        <v>84</v>
      </c>
      <c r="C54" s="6" t="s">
        <v>85</v>
      </c>
      <c r="D54" s="6" t="s">
        <v>86</v>
      </c>
      <c r="E54" s="6" t="s">
        <v>87</v>
      </c>
    </row>
    <row r="55" customFormat="false" ht="15" hidden="false" customHeight="false" outlineLevel="0" collapsed="false">
      <c r="A55" s="5" t="s">
        <v>27</v>
      </c>
      <c r="B55" s="6" t="s">
        <v>88</v>
      </c>
      <c r="C55" s="6" t="s">
        <v>89</v>
      </c>
      <c r="D55" s="6" t="s">
        <v>90</v>
      </c>
      <c r="E55" s="6" t="s">
        <v>91</v>
      </c>
    </row>
    <row r="56" customFormat="false" ht="15" hidden="false" customHeight="false" outlineLevel="0" collapsed="false">
      <c r="A56" s="7" t="s">
        <v>32</v>
      </c>
      <c r="B56" s="7" t="s">
        <v>33</v>
      </c>
      <c r="C56" s="7" t="s">
        <v>33</v>
      </c>
      <c r="D56" s="7" t="s">
        <v>34</v>
      </c>
      <c r="E56" s="7" t="s">
        <v>35</v>
      </c>
    </row>
    <row r="57" customFormat="false" ht="15" hidden="false" customHeight="false" outlineLevel="0" collapsed="false">
      <c r="A57" s="7" t="s">
        <v>36</v>
      </c>
      <c r="B57" s="7" t="s">
        <v>13</v>
      </c>
      <c r="C57" s="7" t="s">
        <v>13</v>
      </c>
      <c r="D57" s="7" t="s">
        <v>34</v>
      </c>
      <c r="E57" s="7" t="s">
        <v>37</v>
      </c>
    </row>
    <row r="58" customFormat="false" ht="15" hidden="false" customHeight="false" outlineLevel="0" collapsed="false">
      <c r="A58" s="8" t="s">
        <v>38</v>
      </c>
      <c r="B58" s="9" t="s">
        <v>39</v>
      </c>
      <c r="C58" s="9" t="s">
        <v>39</v>
      </c>
      <c r="D58" s="10" t="s">
        <v>40</v>
      </c>
      <c r="E58" s="10" t="s">
        <v>40</v>
      </c>
    </row>
    <row r="59" customFormat="false" ht="15" hidden="false" customHeight="false" outlineLevel="0" collapsed="false">
      <c r="A59" s="8" t="s">
        <v>41</v>
      </c>
      <c r="B59" s="8" t="s">
        <v>92</v>
      </c>
      <c r="C59" s="8" t="s">
        <v>93</v>
      </c>
      <c r="D59" s="8" t="s">
        <v>94</v>
      </c>
      <c r="E59" s="8" t="s">
        <v>95</v>
      </c>
    </row>
    <row r="60" customFormat="false" ht="15" hidden="false" customHeight="false" outlineLevel="0" collapsed="false">
      <c r="A60" s="11"/>
      <c r="B60" s="11"/>
      <c r="C60" s="12"/>
      <c r="D60" s="11"/>
      <c r="E60" s="12"/>
    </row>
    <row r="61" customFormat="false" ht="15" hidden="false" customHeight="false" outlineLevel="0" collapsed="false">
      <c r="A61" s="14" t="s">
        <v>96</v>
      </c>
      <c r="B61" s="3" t="s">
        <v>1</v>
      </c>
      <c r="C61" s="3" t="s">
        <v>2</v>
      </c>
      <c r="D61" s="3" t="s">
        <v>3</v>
      </c>
      <c r="E61" s="3" t="s">
        <v>4</v>
      </c>
    </row>
    <row r="62" customFormat="false" ht="15" hidden="false" customHeight="false" outlineLevel="0" collapsed="false">
      <c r="A62" s="4" t="s">
        <v>5</v>
      </c>
      <c r="B62" s="4"/>
      <c r="C62" s="4"/>
      <c r="D62" s="4"/>
      <c r="E62" s="4"/>
    </row>
    <row r="63" customFormat="false" ht="15" hidden="false" customHeight="false" outlineLevel="0" collapsed="false">
      <c r="A63" s="4" t="s">
        <v>6</v>
      </c>
      <c r="B63" s="4" t="s">
        <v>7</v>
      </c>
      <c r="C63" s="4" t="s">
        <v>8</v>
      </c>
      <c r="D63" s="4" t="s">
        <v>9</v>
      </c>
      <c r="E63" s="4" t="s">
        <v>9</v>
      </c>
    </row>
    <row r="64" customFormat="false" ht="15" hidden="false" customHeight="false" outlineLevel="0" collapsed="false">
      <c r="A64" s="4" t="s">
        <v>10</v>
      </c>
      <c r="B64" s="4"/>
      <c r="C64" s="4"/>
      <c r="D64" s="4"/>
      <c r="E64" s="4"/>
    </row>
    <row r="65" customFormat="false" ht="15" hidden="false" customHeight="false" outlineLevel="0" collapsed="false">
      <c r="A65" s="4" t="s">
        <v>11</v>
      </c>
      <c r="B65" s="4" t="s">
        <v>7</v>
      </c>
      <c r="C65" s="4" t="s">
        <v>12</v>
      </c>
      <c r="D65" s="4" t="s">
        <v>13</v>
      </c>
      <c r="E65" s="4" t="s">
        <v>9</v>
      </c>
    </row>
    <row r="66" customFormat="false" ht="15" hidden="false" customHeight="false" outlineLevel="0" collapsed="false">
      <c r="A66" s="5" t="s">
        <v>14</v>
      </c>
      <c r="B66" s="6"/>
      <c r="C66" s="6"/>
      <c r="D66" s="6"/>
      <c r="E66" s="6"/>
    </row>
    <row r="67" customFormat="false" ht="15" hidden="false" customHeight="false" outlineLevel="0" collapsed="false">
      <c r="A67" s="5" t="s">
        <v>16</v>
      </c>
      <c r="B67" s="5" t="s">
        <v>97</v>
      </c>
      <c r="C67" s="5" t="s">
        <v>98</v>
      </c>
      <c r="D67" s="5" t="s">
        <v>82</v>
      </c>
      <c r="E67" s="5" t="s">
        <v>99</v>
      </c>
    </row>
    <row r="68" customFormat="false" ht="15" hidden="false" customHeight="false" outlineLevel="0" collapsed="false">
      <c r="A68" s="5" t="s">
        <v>21</v>
      </c>
      <c r="B68" s="6"/>
      <c r="C68" s="6"/>
      <c r="D68" s="6"/>
      <c r="E68" s="6"/>
    </row>
    <row r="69" customFormat="false" ht="15" hidden="false" customHeight="false" outlineLevel="0" collapsed="false">
      <c r="A69" s="5" t="s">
        <v>22</v>
      </c>
      <c r="B69" s="5" t="s">
        <v>100</v>
      </c>
      <c r="C69" s="5" t="s">
        <v>101</v>
      </c>
      <c r="D69" s="5" t="s">
        <v>102</v>
      </c>
      <c r="E69" s="5" t="s">
        <v>103</v>
      </c>
    </row>
    <row r="70" customFormat="false" ht="15" hidden="false" customHeight="false" outlineLevel="0" collapsed="false">
      <c r="A70" s="5" t="s">
        <v>27</v>
      </c>
      <c r="B70" s="6" t="s">
        <v>104</v>
      </c>
      <c r="C70" s="5" t="s">
        <v>105</v>
      </c>
      <c r="D70" s="6" t="s">
        <v>106</v>
      </c>
      <c r="E70" s="5" t="s">
        <v>107</v>
      </c>
    </row>
    <row r="71" customFormat="false" ht="15" hidden="false" customHeight="false" outlineLevel="0" collapsed="false">
      <c r="A71" s="7" t="s">
        <v>32</v>
      </c>
      <c r="B71" s="7" t="s">
        <v>33</v>
      </c>
      <c r="C71" s="7" t="s">
        <v>33</v>
      </c>
      <c r="D71" s="7" t="s">
        <v>33</v>
      </c>
      <c r="E71" s="7" t="s">
        <v>35</v>
      </c>
    </row>
    <row r="72" customFormat="false" ht="15" hidden="false" customHeight="false" outlineLevel="0" collapsed="false">
      <c r="A72" s="7" t="s">
        <v>36</v>
      </c>
      <c r="B72" s="7" t="s">
        <v>13</v>
      </c>
      <c r="C72" s="7" t="s">
        <v>13</v>
      </c>
      <c r="D72" s="7" t="s">
        <v>13</v>
      </c>
      <c r="E72" s="7" t="s">
        <v>37</v>
      </c>
    </row>
    <row r="73" customFormat="false" ht="15" hidden="false" customHeight="false" outlineLevel="0" collapsed="false">
      <c r="A73" s="8" t="s">
        <v>38</v>
      </c>
      <c r="B73" s="9" t="s">
        <v>39</v>
      </c>
      <c r="C73" s="9" t="s">
        <v>39</v>
      </c>
      <c r="D73" s="9" t="s">
        <v>39</v>
      </c>
      <c r="E73" s="10" t="s">
        <v>40</v>
      </c>
    </row>
    <row r="74" customFormat="false" ht="15" hidden="false" customHeight="false" outlineLevel="0" collapsed="false">
      <c r="A74" s="8" t="s">
        <v>41</v>
      </c>
      <c r="B74" s="8" t="s">
        <v>108</v>
      </c>
      <c r="C74" s="8" t="s">
        <v>109</v>
      </c>
      <c r="D74" s="8" t="s">
        <v>110</v>
      </c>
      <c r="E74" s="8" t="s">
        <v>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82" activeCellId="0" sqref="A82"/>
    </sheetView>
  </sheetViews>
  <sheetFormatPr defaultRowHeight="15" zeroHeight="false" outlineLevelRow="0" outlineLevelCol="0"/>
  <cols>
    <col collapsed="false" customWidth="true" hidden="false" outlineLevel="0" max="1" min="1" style="1" width="45.15"/>
    <col collapsed="false" customWidth="true" hidden="false" outlineLevel="0" max="2" min="2" style="1" width="23.51"/>
    <col collapsed="false" customWidth="true" hidden="false" outlineLevel="0" max="3" min="3" style="1" width="21.5"/>
    <col collapsed="false" customWidth="true" hidden="false" outlineLevel="0" max="4" min="4" style="1" width="23.51"/>
    <col collapsed="false" customWidth="true" hidden="false" outlineLevel="0" max="7" min="5" style="1" width="23.16"/>
    <col collapsed="false" customWidth="true" hidden="false" outlineLevel="0" max="9" min="8" style="1" width="10.48"/>
    <col collapsed="false" customWidth="true" hidden="false" outlineLevel="0" max="10" min="10" style="1" width="23.16"/>
    <col collapsed="false" customWidth="true" hidden="false" outlineLevel="0" max="1023" min="11" style="1" width="10.48"/>
    <col collapsed="false" customWidth="true" hidden="false" outlineLevel="0" max="1025" min="1024" style="1" width="10.5"/>
  </cols>
  <sheetData>
    <row r="1" customFormat="false" ht="15" hidden="false" customHeight="false" outlineLevel="0" collapsed="false">
      <c r="A1" s="2" t="s">
        <v>112</v>
      </c>
      <c r="B1" s="3" t="s">
        <v>1</v>
      </c>
      <c r="C1" s="3" t="s">
        <v>2</v>
      </c>
      <c r="D1" s="3" t="s">
        <v>3</v>
      </c>
      <c r="E1" s="3" t="s">
        <v>4</v>
      </c>
    </row>
    <row r="2" customFormat="false" ht="15" hidden="false" customHeight="false" outlineLevel="0" collapsed="false">
      <c r="A2" s="4" t="s">
        <v>5</v>
      </c>
      <c r="B2" s="4"/>
      <c r="C2" s="4"/>
      <c r="D2" s="4"/>
      <c r="E2" s="4"/>
    </row>
    <row r="3" customFormat="false" ht="15" hidden="false" customHeight="false" outlineLevel="0" collapsed="false">
      <c r="A3" s="4" t="s">
        <v>6</v>
      </c>
      <c r="B3" s="4" t="s">
        <v>7</v>
      </c>
      <c r="C3" s="4" t="s">
        <v>8</v>
      </c>
      <c r="D3" s="4" t="s">
        <v>9</v>
      </c>
      <c r="E3" s="4" t="s">
        <v>9</v>
      </c>
    </row>
    <row r="4" customFormat="false" ht="15" hidden="false" customHeight="false" outlineLevel="0" collapsed="false">
      <c r="A4" s="4" t="s">
        <v>10</v>
      </c>
      <c r="B4" s="4"/>
      <c r="C4" s="4"/>
      <c r="D4" s="4"/>
      <c r="E4" s="4"/>
    </row>
    <row r="5" customFormat="false" ht="15" hidden="false" customHeight="false" outlineLevel="0" collapsed="false">
      <c r="A5" s="4" t="s">
        <v>11</v>
      </c>
      <c r="B5" s="4" t="s">
        <v>7</v>
      </c>
      <c r="C5" s="4" t="s">
        <v>12</v>
      </c>
      <c r="D5" s="4" t="s">
        <v>13</v>
      </c>
      <c r="E5" s="4" t="s">
        <v>9</v>
      </c>
    </row>
    <row r="6" customFormat="false" ht="15" hidden="false" customHeight="false" outlineLevel="0" collapsed="false">
      <c r="A6" s="5" t="s">
        <v>14</v>
      </c>
      <c r="B6" s="6"/>
      <c r="C6" s="6"/>
      <c r="D6" s="6"/>
      <c r="E6" s="6"/>
    </row>
    <row r="7" customFormat="false" ht="15" hidden="false" customHeight="false" outlineLevel="0" collapsed="false">
      <c r="A7" s="5" t="s">
        <v>16</v>
      </c>
      <c r="B7" s="6" t="s">
        <v>55</v>
      </c>
      <c r="C7" s="6" t="s">
        <v>113</v>
      </c>
      <c r="D7" s="6" t="s">
        <v>114</v>
      </c>
      <c r="E7" s="6" t="s">
        <v>51</v>
      </c>
    </row>
    <row r="8" customFormat="false" ht="15" hidden="false" customHeight="false" outlineLevel="0" collapsed="false">
      <c r="A8" s="5" t="s">
        <v>21</v>
      </c>
      <c r="B8" s="6"/>
      <c r="C8" s="6"/>
      <c r="D8" s="6"/>
      <c r="E8" s="6"/>
    </row>
    <row r="9" customFormat="false" ht="15" hidden="false" customHeight="false" outlineLevel="0" collapsed="false">
      <c r="A9" s="5" t="s">
        <v>22</v>
      </c>
      <c r="B9" s="6" t="s">
        <v>74</v>
      </c>
      <c r="C9" s="6" t="s">
        <v>115</v>
      </c>
      <c r="D9" s="6" t="s">
        <v>25</v>
      </c>
      <c r="E9" s="6" t="s">
        <v>116</v>
      </c>
    </row>
    <row r="10" customFormat="false" ht="15" hidden="false" customHeight="false" outlineLevel="0" collapsed="false">
      <c r="A10" s="5" t="s">
        <v>27</v>
      </c>
      <c r="B10" s="6" t="s">
        <v>117</v>
      </c>
      <c r="C10" s="6" t="s">
        <v>118</v>
      </c>
      <c r="D10" s="6" t="s">
        <v>119</v>
      </c>
      <c r="E10" s="6" t="s">
        <v>120</v>
      </c>
    </row>
    <row r="11" customFormat="false" ht="15" hidden="false" customHeight="false" outlineLevel="0" collapsed="false">
      <c r="A11" s="7" t="s">
        <v>32</v>
      </c>
      <c r="B11" s="7" t="s">
        <v>33</v>
      </c>
      <c r="C11" s="7" t="s">
        <v>33</v>
      </c>
      <c r="D11" s="7" t="s">
        <v>33</v>
      </c>
      <c r="E11" s="7" t="s">
        <v>33</v>
      </c>
    </row>
    <row r="12" customFormat="false" ht="15" hidden="false" customHeight="false" outlineLevel="0" collapsed="false">
      <c r="A12" s="7" t="s">
        <v>36</v>
      </c>
      <c r="B12" s="7" t="s">
        <v>13</v>
      </c>
      <c r="C12" s="7" t="s">
        <v>13</v>
      </c>
      <c r="D12" s="7" t="s">
        <v>13</v>
      </c>
      <c r="E12" s="7" t="s">
        <v>13</v>
      </c>
    </row>
    <row r="13" customFormat="false" ht="15" hidden="false" customHeight="false" outlineLevel="0" collapsed="false">
      <c r="A13" s="8" t="s">
        <v>38</v>
      </c>
      <c r="B13" s="9" t="s">
        <v>39</v>
      </c>
      <c r="C13" s="9" t="s">
        <v>39</v>
      </c>
      <c r="D13" s="9" t="s">
        <v>39</v>
      </c>
      <c r="E13" s="9" t="s">
        <v>39</v>
      </c>
    </row>
    <row r="14" customFormat="false" ht="15" hidden="false" customHeight="false" outlineLevel="0" collapsed="false">
      <c r="A14" s="8" t="s">
        <v>41</v>
      </c>
      <c r="B14" s="8" t="s">
        <v>86</v>
      </c>
      <c r="C14" s="8" t="s">
        <v>121</v>
      </c>
      <c r="D14" s="8" t="s">
        <v>122</v>
      </c>
      <c r="E14" s="8" t="s">
        <v>123</v>
      </c>
    </row>
    <row r="15" s="16" customFormat="true" ht="15" hidden="false" customHeight="false" outlineLevel="0" collapsed="false">
      <c r="A15" s="15"/>
      <c r="B15" s="16" t="str">
        <f aca="false">"="&amp;IFERROR(LEFT(B14,FIND("m",B14)-1)*60+MID(B14,FIND("m",B14)+1,FIND("s",B14)-FIND("m",B14)-1),1*LEFT(B14,FIND("s",B14)-1))&amp;"s"</f>
        <v>=127s</v>
      </c>
      <c r="C15" s="16" t="str">
        <f aca="false">"="&amp;IFERROR(LEFT(C14,FIND("m",C14)-1)*60+MID(C14,FIND("m",C14)+1,FIND("s",C14)-FIND("m",C14)-1),1*LEFT(C14,FIND("s",C14)-1))&amp;"s"</f>
        <v>=212s</v>
      </c>
      <c r="D15" s="16" t="str">
        <f aca="false">"="&amp;IFERROR(LEFT(D14,FIND("m",D14)-1)*60+MID(D14,FIND("m",D14)+1,FIND("s",D14)-FIND("m",D14)-1),1*LEFT(D14,FIND("s",D14)-1))&amp;"s"</f>
        <v>=64s</v>
      </c>
      <c r="E15" s="16" t="str">
        <f aca="false">"="&amp;IFERROR(LEFT(E14,FIND("m",E14)-1)*60+MID(E14,FIND("m",E14)+1,FIND("s",E14)-FIND("m",E14)-1),1*LEFT(E14,FIND("s",E14)-1))&amp;"s"</f>
        <v>=110s</v>
      </c>
      <c r="F15" s="1"/>
    </row>
    <row r="16" customFormat="false" ht="15" hidden="false" customHeight="false" outlineLevel="0" collapsed="false">
      <c r="A16" s="11"/>
      <c r="B16" s="11"/>
      <c r="C16" s="12"/>
      <c r="D16" s="11"/>
      <c r="E16" s="12"/>
    </row>
    <row r="17" customFormat="false" ht="15" hidden="false" customHeight="false" outlineLevel="0" collapsed="false">
      <c r="A17" s="14" t="s">
        <v>124</v>
      </c>
      <c r="B17" s="3" t="s">
        <v>1</v>
      </c>
      <c r="C17" s="3" t="s">
        <v>2</v>
      </c>
      <c r="D17" s="3" t="s">
        <v>3</v>
      </c>
      <c r="E17" s="3" t="s">
        <v>4</v>
      </c>
    </row>
    <row r="18" customFormat="false" ht="15" hidden="false" customHeight="false" outlineLevel="0" collapsed="false">
      <c r="A18" s="4" t="s">
        <v>5</v>
      </c>
      <c r="B18" s="4"/>
      <c r="C18" s="4"/>
      <c r="D18" s="4"/>
      <c r="E18" s="4"/>
      <c r="G18" s="13" t="s">
        <v>33</v>
      </c>
    </row>
    <row r="19" customFormat="false" ht="15" hidden="false" customHeight="false" outlineLevel="0" collapsed="false">
      <c r="A19" s="4" t="s">
        <v>6</v>
      </c>
      <c r="B19" s="4" t="s">
        <v>7</v>
      </c>
      <c r="C19" s="4" t="s">
        <v>8</v>
      </c>
      <c r="D19" s="4" t="s">
        <v>9</v>
      </c>
      <c r="E19" s="4" t="s">
        <v>9</v>
      </c>
      <c r="G19" s="6" t="s">
        <v>47</v>
      </c>
    </row>
    <row r="20" customFormat="false" ht="15" hidden="false" customHeight="false" outlineLevel="0" collapsed="false">
      <c r="A20" s="4" t="s">
        <v>10</v>
      </c>
      <c r="B20" s="4"/>
      <c r="C20" s="4"/>
      <c r="D20" s="4"/>
      <c r="E20" s="4"/>
      <c r="G20" s="6" t="s">
        <v>48</v>
      </c>
    </row>
    <row r="21" customFormat="false" ht="15" hidden="false" customHeight="false" outlineLevel="0" collapsed="false">
      <c r="A21" s="4" t="s">
        <v>11</v>
      </c>
      <c r="B21" s="4" t="s">
        <v>7</v>
      </c>
      <c r="C21" s="4" t="s">
        <v>12</v>
      </c>
      <c r="D21" s="4" t="s">
        <v>13</v>
      </c>
      <c r="E21" s="4" t="s">
        <v>9</v>
      </c>
      <c r="G21" s="10" t="s">
        <v>40</v>
      </c>
    </row>
    <row r="22" customFormat="false" ht="15" hidden="false" customHeight="false" outlineLevel="0" collapsed="false">
      <c r="A22" s="5" t="s">
        <v>14</v>
      </c>
      <c r="B22" s="6"/>
      <c r="C22" s="6"/>
      <c r="D22" s="6"/>
      <c r="E22" s="6"/>
      <c r="G22" s="9" t="s">
        <v>39</v>
      </c>
    </row>
    <row r="23" customFormat="false" ht="15" hidden="false" customHeight="false" outlineLevel="0" collapsed="false">
      <c r="A23" s="5" t="s">
        <v>16</v>
      </c>
      <c r="B23" s="6" t="s">
        <v>125</v>
      </c>
      <c r="C23" s="6" t="s">
        <v>66</v>
      </c>
      <c r="D23" s="6" t="s">
        <v>72</v>
      </c>
      <c r="E23" s="6" t="s">
        <v>126</v>
      </c>
      <c r="G23" s="6" t="s">
        <v>15</v>
      </c>
    </row>
    <row r="24" customFormat="false" ht="15" hidden="false" customHeight="false" outlineLevel="0" collapsed="false">
      <c r="A24" s="5" t="s">
        <v>21</v>
      </c>
      <c r="B24" s="6"/>
      <c r="C24" s="6"/>
      <c r="D24" s="6"/>
      <c r="E24" s="6"/>
    </row>
    <row r="25" customFormat="false" ht="15" hidden="false" customHeight="false" outlineLevel="0" collapsed="false">
      <c r="A25" s="5" t="s">
        <v>22</v>
      </c>
      <c r="B25" s="6" t="s">
        <v>67</v>
      </c>
      <c r="C25" s="6" t="s">
        <v>114</v>
      </c>
      <c r="D25" s="6" t="s">
        <v>127</v>
      </c>
      <c r="E25" s="6" t="s">
        <v>128</v>
      </c>
    </row>
    <row r="26" customFormat="false" ht="15" hidden="false" customHeight="false" outlineLevel="0" collapsed="false">
      <c r="A26" s="5" t="s">
        <v>27</v>
      </c>
      <c r="B26" s="6" t="s">
        <v>129</v>
      </c>
      <c r="C26" s="6" t="s">
        <v>130</v>
      </c>
      <c r="D26" s="6" t="s">
        <v>131</v>
      </c>
      <c r="E26" s="6" t="s">
        <v>70</v>
      </c>
    </row>
    <row r="27" customFormat="false" ht="15" hidden="false" customHeight="false" outlineLevel="0" collapsed="false">
      <c r="A27" s="7" t="s">
        <v>32</v>
      </c>
      <c r="B27" s="7" t="s">
        <v>33</v>
      </c>
      <c r="C27" s="7" t="s">
        <v>33</v>
      </c>
      <c r="D27" s="7" t="s">
        <v>33</v>
      </c>
      <c r="E27" s="7" t="s">
        <v>33</v>
      </c>
    </row>
    <row r="28" customFormat="false" ht="15" hidden="false" customHeight="false" outlineLevel="0" collapsed="false">
      <c r="A28" s="7" t="s">
        <v>36</v>
      </c>
      <c r="B28" s="7" t="s">
        <v>13</v>
      </c>
      <c r="C28" s="7" t="s">
        <v>13</v>
      </c>
      <c r="D28" s="7" t="s">
        <v>13</v>
      </c>
      <c r="E28" s="7" t="s">
        <v>13</v>
      </c>
    </row>
    <row r="29" customFormat="false" ht="15" hidden="false" customHeight="false" outlineLevel="0" collapsed="false">
      <c r="A29" s="8" t="s">
        <v>38</v>
      </c>
      <c r="B29" s="9" t="s">
        <v>39</v>
      </c>
      <c r="C29" s="9" t="s">
        <v>39</v>
      </c>
      <c r="D29" s="9" t="s">
        <v>39</v>
      </c>
      <c r="E29" s="9" t="s">
        <v>39</v>
      </c>
    </row>
    <row r="30" customFormat="false" ht="15" hidden="false" customHeight="false" outlineLevel="0" collapsed="false">
      <c r="A30" s="8" t="s">
        <v>41</v>
      </c>
      <c r="B30" s="8" t="s">
        <v>114</v>
      </c>
      <c r="C30" s="8" t="s">
        <v>73</v>
      </c>
      <c r="D30" s="8" t="s">
        <v>74</v>
      </c>
      <c r="E30" s="8" t="s">
        <v>114</v>
      </c>
    </row>
    <row r="31" s="16" customFormat="true" ht="15" hidden="false" customHeight="false" outlineLevel="0" collapsed="false">
      <c r="A31" s="15"/>
      <c r="B31" s="16" t="str">
        <f aca="false">"="&amp;IFERROR(LEFT(B30,FIND("m",B30)-1)*60+MID(B30,FIND("m",B30)+1,FIND("s",B30)-FIND("m",B30)-1),1*LEFT(B30,FIND("s",B30)-1))&amp;"s"</f>
        <v>=32s</v>
      </c>
      <c r="C31" s="16" t="str">
        <f aca="false">"="&amp;IFERROR(LEFT(C30,FIND("m",C30)-1)*60+MID(C30,FIND("m",C30)+1,FIND("s",C30)-FIND("m",C30)-1),1*LEFT(C30,FIND("s",C30)-1))&amp;"s"</f>
        <v>=55s</v>
      </c>
      <c r="D31" s="16" t="str">
        <f aca="false">"="&amp;IFERROR(LEFT(D30,FIND("m",D30)-1)*60+MID(D30,FIND("m",D30)+1,FIND("s",D30)-FIND("m",D30)-1),1*LEFT(D30,FIND("s",D30)-1))&amp;"s"</f>
        <v>=18s</v>
      </c>
      <c r="E31" s="16" t="str">
        <f aca="false">"="&amp;IFERROR(LEFT(E30,FIND("m",E30)-1)*60+MID(E30,FIND("m",E30)+1,FIND("s",E30)-FIND("m",E30)-1),1*LEFT(E30,FIND("s",E30)-1))&amp;"s"</f>
        <v>=32s</v>
      </c>
      <c r="F31" s="1"/>
    </row>
    <row r="32" customFormat="false" ht="15" hidden="false" customHeight="false" outlineLevel="0" collapsed="false">
      <c r="A32" s="11"/>
      <c r="B32" s="11"/>
      <c r="C32" s="12"/>
      <c r="D32" s="11"/>
      <c r="E32" s="12"/>
    </row>
    <row r="33" customFormat="false" ht="15" hidden="false" customHeight="false" outlineLevel="0" collapsed="false">
      <c r="A33" s="14" t="s">
        <v>132</v>
      </c>
      <c r="B33" s="3" t="s">
        <v>1</v>
      </c>
      <c r="C33" s="3" t="s">
        <v>2</v>
      </c>
      <c r="D33" s="3" t="s">
        <v>3</v>
      </c>
      <c r="E33" s="3" t="s">
        <v>4</v>
      </c>
    </row>
    <row r="34" customFormat="false" ht="15" hidden="false" customHeight="false" outlineLevel="0" collapsed="false">
      <c r="A34" s="4" t="s">
        <v>5</v>
      </c>
      <c r="B34" s="4"/>
      <c r="C34" s="4"/>
      <c r="D34" s="4"/>
      <c r="E34" s="4"/>
    </row>
    <row r="35" customFormat="false" ht="15" hidden="false" customHeight="false" outlineLevel="0" collapsed="false">
      <c r="A35" s="4" t="s">
        <v>6</v>
      </c>
      <c r="B35" s="4" t="s">
        <v>7</v>
      </c>
      <c r="C35" s="4" t="s">
        <v>8</v>
      </c>
      <c r="D35" s="4" t="s">
        <v>9</v>
      </c>
      <c r="E35" s="4" t="s">
        <v>9</v>
      </c>
    </row>
    <row r="36" customFormat="false" ht="15" hidden="false" customHeight="false" outlineLevel="0" collapsed="false">
      <c r="A36" s="4" t="s">
        <v>10</v>
      </c>
      <c r="B36" s="4"/>
      <c r="C36" s="4"/>
      <c r="D36" s="4"/>
      <c r="E36" s="4"/>
    </row>
    <row r="37" customFormat="false" ht="15" hidden="false" customHeight="false" outlineLevel="0" collapsed="false">
      <c r="A37" s="4" t="s">
        <v>11</v>
      </c>
      <c r="B37" s="4" t="s">
        <v>7</v>
      </c>
      <c r="C37" s="4" t="s">
        <v>12</v>
      </c>
      <c r="D37" s="4" t="s">
        <v>13</v>
      </c>
      <c r="E37" s="4" t="s">
        <v>9</v>
      </c>
    </row>
    <row r="38" customFormat="false" ht="15" hidden="false" customHeight="false" outlineLevel="0" collapsed="false">
      <c r="A38" s="5" t="s">
        <v>14</v>
      </c>
      <c r="B38" s="6"/>
      <c r="C38" s="6"/>
      <c r="D38" s="6"/>
      <c r="E38" s="6"/>
    </row>
    <row r="39" customFormat="false" ht="15" hidden="false" customHeight="false" outlineLevel="0" collapsed="false">
      <c r="A39" s="5" t="s">
        <v>16</v>
      </c>
      <c r="B39" s="6" t="s">
        <v>133</v>
      </c>
      <c r="C39" s="6" t="s">
        <v>72</v>
      </c>
      <c r="D39" s="6" t="s">
        <v>12</v>
      </c>
      <c r="E39" s="6" t="s">
        <v>72</v>
      </c>
    </row>
    <row r="40" customFormat="false" ht="15" hidden="false" customHeight="false" outlineLevel="0" collapsed="false">
      <c r="A40" s="5" t="s">
        <v>21</v>
      </c>
      <c r="B40" s="6"/>
      <c r="C40" s="6"/>
      <c r="D40" s="6"/>
      <c r="E40" s="6"/>
    </row>
    <row r="41" customFormat="false" ht="15" hidden="false" customHeight="false" outlineLevel="0" collapsed="false">
      <c r="A41" s="5" t="s">
        <v>22</v>
      </c>
      <c r="B41" s="6" t="s">
        <v>128</v>
      </c>
      <c r="C41" s="6" t="s">
        <v>67</v>
      </c>
      <c r="D41" s="6" t="s">
        <v>12</v>
      </c>
      <c r="E41" s="6" t="s">
        <v>133</v>
      </c>
    </row>
    <row r="42" customFormat="false" ht="15" hidden="false" customHeight="false" outlineLevel="0" collapsed="false">
      <c r="A42" s="5" t="s">
        <v>27</v>
      </c>
      <c r="B42" s="6" t="s">
        <v>134</v>
      </c>
      <c r="C42" s="6" t="s">
        <v>70</v>
      </c>
      <c r="D42" s="6" t="s">
        <v>127</v>
      </c>
      <c r="E42" s="6" t="s">
        <v>66</v>
      </c>
    </row>
    <row r="43" customFormat="false" ht="15" hidden="false" customHeight="false" outlineLevel="0" collapsed="false">
      <c r="A43" s="7" t="s">
        <v>32</v>
      </c>
      <c r="B43" s="7" t="s">
        <v>33</v>
      </c>
      <c r="C43" s="7" t="s">
        <v>33</v>
      </c>
      <c r="D43" s="7" t="s">
        <v>33</v>
      </c>
      <c r="E43" s="7" t="s">
        <v>33</v>
      </c>
    </row>
    <row r="44" customFormat="false" ht="15" hidden="false" customHeight="false" outlineLevel="0" collapsed="false">
      <c r="A44" s="7" t="s">
        <v>36</v>
      </c>
      <c r="B44" s="7" t="s">
        <v>13</v>
      </c>
      <c r="C44" s="7" t="s">
        <v>13</v>
      </c>
      <c r="D44" s="7" t="s">
        <v>13</v>
      </c>
      <c r="E44" s="7" t="s">
        <v>13</v>
      </c>
    </row>
    <row r="45" customFormat="false" ht="15" hidden="false" customHeight="false" outlineLevel="0" collapsed="false">
      <c r="A45" s="8" t="s">
        <v>38</v>
      </c>
      <c r="B45" s="9" t="s">
        <v>39</v>
      </c>
      <c r="C45" s="9" t="s">
        <v>39</v>
      </c>
      <c r="D45" s="9" t="s">
        <v>39</v>
      </c>
      <c r="E45" s="9" t="s">
        <v>39</v>
      </c>
    </row>
    <row r="46" customFormat="false" ht="15" hidden="false" customHeight="false" outlineLevel="0" collapsed="false">
      <c r="A46" s="8" t="s">
        <v>41</v>
      </c>
      <c r="B46" s="8" t="s">
        <v>69</v>
      </c>
      <c r="C46" s="8" t="s">
        <v>75</v>
      </c>
      <c r="D46" s="8" t="s">
        <v>68</v>
      </c>
      <c r="E46" s="8" t="s">
        <v>74</v>
      </c>
    </row>
    <row r="47" s="16" customFormat="true" ht="15" hidden="false" customHeight="false" outlineLevel="0" collapsed="false">
      <c r="A47" s="15"/>
      <c r="B47" s="16" t="str">
        <f aca="false">"="&amp;IFERROR(LEFT(B46,FIND("m",B46)-1)*60+MID(B46,FIND("m",B46)+1,FIND("s",B46)-FIND("m",B46)-1),1*LEFT(B46,FIND("s",B46)-1))&amp;"s"</f>
        <v>=20s</v>
      </c>
      <c r="C47" s="16" t="str">
        <f aca="false">"="&amp;IFERROR(LEFT(C46,FIND("m",C46)-1)*60+MID(C46,FIND("m",C46)+1,FIND("s",C46)-FIND("m",C46)-1),1*LEFT(C46,FIND("s",C46)-1))&amp;"s"</f>
        <v>=36s</v>
      </c>
      <c r="D47" s="16" t="str">
        <f aca="false">"="&amp;IFERROR(LEFT(D46,FIND("m",D46)-1)*60+MID(D46,FIND("m",D46)+1,FIND("s",D46)-FIND("m",D46)-1),1*LEFT(D46,FIND("s",D46)-1))&amp;"s"</f>
        <v>=10s</v>
      </c>
      <c r="E47" s="16" t="str">
        <f aca="false">"="&amp;IFERROR(LEFT(E46,FIND("m",E46)-1)*60+MID(E46,FIND("m",E46)+1,FIND("s",E46)-FIND("m",E46)-1),1*LEFT(E46,FIND("s",E46)-1))&amp;"s"</f>
        <v>=18s</v>
      </c>
      <c r="F47" s="1"/>
    </row>
    <row r="48" customFormat="false" ht="15" hidden="false" customHeight="false" outlineLevel="0" collapsed="false">
      <c r="A48" s="11"/>
      <c r="B48" s="11"/>
      <c r="C48" s="12"/>
      <c r="D48" s="11"/>
      <c r="E48" s="12"/>
    </row>
    <row r="49" customFormat="false" ht="15" hidden="false" customHeight="false" outlineLevel="0" collapsed="false">
      <c r="A49" s="14" t="s">
        <v>135</v>
      </c>
      <c r="B49" s="3" t="s">
        <v>1</v>
      </c>
      <c r="C49" s="3" t="s">
        <v>2</v>
      </c>
      <c r="D49" s="3" t="s">
        <v>3</v>
      </c>
      <c r="E49" s="3" t="s">
        <v>4</v>
      </c>
    </row>
    <row r="50" customFormat="false" ht="15" hidden="false" customHeight="false" outlineLevel="0" collapsed="false">
      <c r="A50" s="4" t="s">
        <v>5</v>
      </c>
      <c r="B50" s="4"/>
      <c r="C50" s="4"/>
      <c r="D50" s="4"/>
      <c r="E50" s="4"/>
    </row>
    <row r="51" customFormat="false" ht="15" hidden="false" customHeight="false" outlineLevel="0" collapsed="false">
      <c r="A51" s="4" t="s">
        <v>6</v>
      </c>
      <c r="B51" s="4" t="s">
        <v>7</v>
      </c>
      <c r="C51" s="4" t="s">
        <v>8</v>
      </c>
      <c r="D51" s="4" t="s">
        <v>9</v>
      </c>
      <c r="E51" s="4" t="s">
        <v>9</v>
      </c>
    </row>
    <row r="52" customFormat="false" ht="15" hidden="false" customHeight="false" outlineLevel="0" collapsed="false">
      <c r="A52" s="4" t="s">
        <v>10</v>
      </c>
      <c r="B52" s="4"/>
      <c r="C52" s="4"/>
      <c r="D52" s="4"/>
      <c r="E52" s="4"/>
    </row>
    <row r="53" customFormat="false" ht="15" hidden="false" customHeight="false" outlineLevel="0" collapsed="false">
      <c r="A53" s="4" t="s">
        <v>11</v>
      </c>
      <c r="B53" s="4" t="s">
        <v>7</v>
      </c>
      <c r="C53" s="4" t="s">
        <v>12</v>
      </c>
      <c r="D53" s="4" t="s">
        <v>13</v>
      </c>
      <c r="E53" s="4" t="s">
        <v>9</v>
      </c>
    </row>
    <row r="54" customFormat="false" ht="15" hidden="false" customHeight="false" outlineLevel="0" collapsed="false">
      <c r="A54" s="5" t="s">
        <v>14</v>
      </c>
      <c r="B54" s="6"/>
      <c r="C54" s="6"/>
      <c r="D54" s="6"/>
      <c r="E54" s="6"/>
    </row>
    <row r="55" customFormat="false" ht="15" hidden="false" customHeight="false" outlineLevel="0" collapsed="false">
      <c r="A55" s="5" t="s">
        <v>16</v>
      </c>
      <c r="B55" s="5" t="s">
        <v>128</v>
      </c>
      <c r="C55" s="5" t="s">
        <v>74</v>
      </c>
      <c r="D55" s="5" t="s">
        <v>136</v>
      </c>
      <c r="E55" s="5" t="s">
        <v>67</v>
      </c>
    </row>
    <row r="56" customFormat="false" ht="15" hidden="false" customHeight="false" outlineLevel="0" collapsed="false">
      <c r="A56" s="5" t="s">
        <v>21</v>
      </c>
      <c r="B56" s="6"/>
      <c r="C56" s="6"/>
      <c r="D56" s="6"/>
      <c r="E56" s="6"/>
    </row>
    <row r="57" customFormat="false" ht="15" hidden="false" customHeight="false" outlineLevel="0" collapsed="false">
      <c r="A57" s="5" t="s">
        <v>22</v>
      </c>
      <c r="B57" s="5" t="s">
        <v>137</v>
      </c>
      <c r="C57" s="5" t="s">
        <v>78</v>
      </c>
      <c r="D57" s="5" t="s">
        <v>68</v>
      </c>
      <c r="E57" s="5" t="s">
        <v>138</v>
      </c>
    </row>
    <row r="58" customFormat="false" ht="15" hidden="false" customHeight="false" outlineLevel="0" collapsed="false">
      <c r="A58" s="5" t="s">
        <v>27</v>
      </c>
      <c r="B58" s="5" t="s">
        <v>75</v>
      </c>
      <c r="C58" s="5" t="s">
        <v>139</v>
      </c>
      <c r="D58" s="5" t="s">
        <v>140</v>
      </c>
      <c r="E58" s="5" t="s">
        <v>19</v>
      </c>
    </row>
    <row r="59" customFormat="false" ht="15" hidden="false" customHeight="false" outlineLevel="0" collapsed="false">
      <c r="A59" s="7" t="s">
        <v>32</v>
      </c>
      <c r="B59" s="7" t="s">
        <v>33</v>
      </c>
      <c r="C59" s="7" t="s">
        <v>33</v>
      </c>
      <c r="D59" s="7" t="s">
        <v>33</v>
      </c>
      <c r="E59" s="7" t="s">
        <v>33</v>
      </c>
    </row>
    <row r="60" customFormat="false" ht="15" hidden="false" customHeight="false" outlineLevel="0" collapsed="false">
      <c r="A60" s="7" t="s">
        <v>36</v>
      </c>
      <c r="B60" s="7" t="s">
        <v>13</v>
      </c>
      <c r="C60" s="7" t="s">
        <v>13</v>
      </c>
      <c r="D60" s="7" t="s">
        <v>13</v>
      </c>
      <c r="E60" s="7" t="s">
        <v>13</v>
      </c>
    </row>
    <row r="61" customFormat="false" ht="15" hidden="false" customHeight="false" outlineLevel="0" collapsed="false">
      <c r="A61" s="8" t="s">
        <v>38</v>
      </c>
      <c r="B61" s="9" t="s">
        <v>39</v>
      </c>
      <c r="C61" s="9" t="s">
        <v>39</v>
      </c>
      <c r="D61" s="9" t="s">
        <v>39</v>
      </c>
      <c r="E61" s="9" t="s">
        <v>39</v>
      </c>
    </row>
    <row r="62" customFormat="false" ht="15" hidden="false" customHeight="false" outlineLevel="0" collapsed="false">
      <c r="A62" s="8" t="s">
        <v>41</v>
      </c>
      <c r="B62" s="8" t="s">
        <v>141</v>
      </c>
      <c r="C62" s="8" t="s">
        <v>113</v>
      </c>
      <c r="D62" s="8" t="s">
        <v>25</v>
      </c>
      <c r="E62" s="8" t="s">
        <v>142</v>
      </c>
    </row>
    <row r="63" s="16" customFormat="true" ht="15" hidden="false" customHeight="false" outlineLevel="0" collapsed="false">
      <c r="A63" s="15"/>
      <c r="B63" s="16" t="str">
        <f aca="false">"="&amp;IFERROR(LEFT(B62,FIND("m",B62)-1)*60+MID(B62,FIND("m",B62)+1,FIND("s",B62)-FIND("m",B62)-1),1*LEFT(B62,FIND("s",B62)-1))&amp;"s"</f>
        <v>=39s</v>
      </c>
      <c r="C63" s="16" t="str">
        <f aca="false">"="&amp;IFERROR(LEFT(C62,FIND("m",C62)-1)*60+MID(C62,FIND("m",C62)+1,FIND("s",C62)-FIND("m",C62)-1),1*LEFT(C62,FIND("s",C62)-1))&amp;"s"</f>
        <v>=67s</v>
      </c>
      <c r="D63" s="16" t="str">
        <f aca="false">"="&amp;IFERROR(LEFT(D62,FIND("m",D62)-1)*60+MID(D62,FIND("m",D62)+1,FIND("s",D62)-FIND("m",D62)-1),1*LEFT(D62,FIND("s",D62)-1))&amp;"s"</f>
        <v>=26s</v>
      </c>
      <c r="E63" s="16" t="str">
        <f aca="false">"="&amp;IFERROR(LEFT(E62,FIND("m",E62)-1)*60+MID(E62,FIND("m",E62)+1,FIND("s",E62)-FIND("m",E62)-1),1*LEFT(E62,FIND("s",E62)-1))&amp;"s"</f>
        <v>=38s</v>
      </c>
      <c r="F63" s="1"/>
    </row>
    <row r="64" customFormat="false" ht="15" hidden="false" customHeight="false" outlineLevel="0" collapsed="false">
      <c r="A64" s="11"/>
      <c r="B64" s="11"/>
      <c r="C64" s="12"/>
      <c r="D64" s="11"/>
      <c r="E64" s="12"/>
    </row>
    <row r="65" customFormat="false" ht="15" hidden="false" customHeight="false" outlineLevel="0" collapsed="false">
      <c r="A65" s="14" t="s">
        <v>143</v>
      </c>
      <c r="B65" s="3" t="s">
        <v>1</v>
      </c>
      <c r="C65" s="3" t="s">
        <v>2</v>
      </c>
      <c r="D65" s="3" t="s">
        <v>3</v>
      </c>
      <c r="E65" s="3" t="s">
        <v>4</v>
      </c>
    </row>
    <row r="66" customFormat="false" ht="15" hidden="false" customHeight="false" outlineLevel="0" collapsed="false">
      <c r="A66" s="4" t="s">
        <v>5</v>
      </c>
      <c r="B66" s="4"/>
      <c r="C66" s="4"/>
      <c r="D66" s="4"/>
      <c r="E66" s="4"/>
    </row>
    <row r="67" customFormat="false" ht="15" hidden="false" customHeight="false" outlineLevel="0" collapsed="false">
      <c r="A67" s="4" t="s">
        <v>6</v>
      </c>
      <c r="B67" s="4" t="s">
        <v>7</v>
      </c>
      <c r="C67" s="4" t="s">
        <v>8</v>
      </c>
      <c r="D67" s="4" t="s">
        <v>9</v>
      </c>
      <c r="E67" s="4" t="s">
        <v>9</v>
      </c>
    </row>
    <row r="68" customFormat="false" ht="15" hidden="false" customHeight="false" outlineLevel="0" collapsed="false">
      <c r="A68" s="4" t="s">
        <v>10</v>
      </c>
      <c r="B68" s="4"/>
      <c r="C68" s="4"/>
      <c r="D68" s="4"/>
      <c r="E68" s="4"/>
    </row>
    <row r="69" customFormat="false" ht="15" hidden="false" customHeight="false" outlineLevel="0" collapsed="false">
      <c r="A69" s="4" t="s">
        <v>11</v>
      </c>
      <c r="B69" s="4" t="s">
        <v>7</v>
      </c>
      <c r="C69" s="4" t="s">
        <v>12</v>
      </c>
      <c r="D69" s="4" t="s">
        <v>13</v>
      </c>
      <c r="E69" s="4" t="s">
        <v>9</v>
      </c>
    </row>
    <row r="70" customFormat="false" ht="15" hidden="false" customHeight="false" outlineLevel="0" collapsed="false">
      <c r="A70" s="5" t="s">
        <v>14</v>
      </c>
      <c r="B70" s="6"/>
      <c r="C70" s="6"/>
      <c r="D70" s="6"/>
      <c r="E70" s="6"/>
    </row>
    <row r="71" customFormat="false" ht="15" hidden="false" customHeight="false" outlineLevel="0" collapsed="false">
      <c r="A71" s="5" t="s">
        <v>16</v>
      </c>
      <c r="B71" s="5" t="s">
        <v>114</v>
      </c>
      <c r="C71" s="5" t="s">
        <v>144</v>
      </c>
      <c r="D71" s="5" t="s">
        <v>145</v>
      </c>
      <c r="E71" s="5" t="s">
        <v>146</v>
      </c>
    </row>
    <row r="72" customFormat="false" ht="15" hidden="false" customHeight="false" outlineLevel="0" collapsed="false">
      <c r="A72" s="5" t="s">
        <v>21</v>
      </c>
      <c r="B72" s="6"/>
      <c r="C72" s="6"/>
      <c r="D72" s="6"/>
      <c r="E72" s="6"/>
    </row>
    <row r="73" customFormat="false" ht="15" hidden="false" customHeight="false" outlineLevel="0" collapsed="false">
      <c r="A73" s="5" t="s">
        <v>22</v>
      </c>
      <c r="B73" s="5" t="s">
        <v>44</v>
      </c>
      <c r="C73" s="5" t="s">
        <v>144</v>
      </c>
      <c r="D73" s="5" t="s">
        <v>69</v>
      </c>
      <c r="E73" s="5" t="s">
        <v>147</v>
      </c>
    </row>
    <row r="74" customFormat="false" ht="15" hidden="false" customHeight="false" outlineLevel="0" collapsed="false">
      <c r="A74" s="5" t="s">
        <v>27</v>
      </c>
      <c r="B74" s="5" t="s">
        <v>148</v>
      </c>
      <c r="C74" s="5" t="s">
        <v>149</v>
      </c>
      <c r="D74" s="5" t="s">
        <v>130</v>
      </c>
      <c r="E74" s="5" t="s">
        <v>150</v>
      </c>
    </row>
    <row r="75" customFormat="false" ht="15" hidden="false" customHeight="false" outlineLevel="0" collapsed="false">
      <c r="A75" s="7" t="s">
        <v>32</v>
      </c>
      <c r="B75" s="7"/>
      <c r="C75" s="7" t="s">
        <v>33</v>
      </c>
      <c r="D75" s="7"/>
      <c r="E75" s="7"/>
    </row>
    <row r="76" customFormat="false" ht="15" hidden="false" customHeight="false" outlineLevel="0" collapsed="false">
      <c r="A76" s="7" t="s">
        <v>36</v>
      </c>
      <c r="B76" s="7"/>
      <c r="C76" s="7" t="s">
        <v>13</v>
      </c>
      <c r="D76" s="7"/>
      <c r="E76" s="7"/>
    </row>
    <row r="77" customFormat="false" ht="15" hidden="false" customHeight="false" outlineLevel="0" collapsed="false">
      <c r="A77" s="8" t="s">
        <v>38</v>
      </c>
      <c r="B77" s="9" t="s">
        <v>39</v>
      </c>
      <c r="C77" s="9" t="s">
        <v>39</v>
      </c>
      <c r="D77" s="9" t="s">
        <v>39</v>
      </c>
      <c r="E77" s="9" t="s">
        <v>39</v>
      </c>
    </row>
    <row r="78" customFormat="false" ht="15" hidden="false" customHeight="false" outlineLevel="0" collapsed="false">
      <c r="A78" s="8" t="s">
        <v>41</v>
      </c>
      <c r="B78" s="8" t="s">
        <v>151</v>
      </c>
      <c r="C78" s="8" t="s">
        <v>152</v>
      </c>
      <c r="D78" s="8" t="s">
        <v>153</v>
      </c>
      <c r="E78" s="8" t="s">
        <v>154</v>
      </c>
    </row>
    <row r="79" s="16" customFormat="true" ht="15" hidden="false" customHeight="false" outlineLevel="0" collapsed="false">
      <c r="A79" s="15"/>
      <c r="B79" s="16" t="str">
        <f aca="false">"="&amp;IFERROR(LEFT(B78,FIND("m",B78)-1)*60+MID(B78,FIND("m",B78)+1,FIND("s",B78)-FIND("m",B78)-1),1*LEFT(B78,FIND("s",B78)-1))&amp;"s"</f>
        <v>=102s</v>
      </c>
      <c r="C79" s="16" t="str">
        <f aca="false">"="&amp;IFERROR(LEFT(C78,FIND("m",C78)-1)*60+MID(C78,FIND("m",C78)+1,FIND("s",C78)-FIND("m",C78)-1),1*LEFT(C78,FIND("s",C78)-1))&amp;"s"</f>
        <v>=172s</v>
      </c>
      <c r="D79" s="16" t="str">
        <f aca="false">"="&amp;IFERROR(LEFT(D78,FIND("m",D78)-1)*60+MID(D78,FIND("m",D78)+1,FIND("s",D78)-FIND("m",D78)-1),1*LEFT(D78,FIND("s",D78)-1))&amp;"s"</f>
        <v>=50s</v>
      </c>
      <c r="E79" s="16" t="str">
        <f aca="false">"="&amp;IFERROR(LEFT(E78,FIND("m",E78)-1)*60+MID(E78,FIND("m",E78)+1,FIND("s",E78)-FIND("m",E78)-1),1*LEFT(E78,FIND("s",E78)-1))&amp;"s"</f>
        <v>=93s</v>
      </c>
      <c r="F79" s="1"/>
    </row>
    <row r="81" customFormat="false" ht="15" hidden="false" customHeight="false" outlineLevel="0" collapsed="false">
      <c r="A81" s="17" t="s">
        <v>155</v>
      </c>
      <c r="B81" s="17" t="n">
        <f aca="false">MIN(MID(B$15,2,LEN(B$15)-2)+0,MID(B$31,2,LEN(B$31)-2)+0,MID(B$47,2,LEN(B$47)-2)+0,MID(B$63,2,LEN(B$63)-2)+0,MID(B$79,2,LEN(B$79)-2)+0)</f>
        <v>20</v>
      </c>
      <c r="C81" s="17" t="n">
        <f aca="false">MIN(MID(C$15,2,LEN(C$15)-2)+0,MID(C$31,2,LEN(C$31)-2)+0,MID(C$47,2,LEN(C$47)-2)+0,MID(C$63,2,LEN(C$63)-2)+0,MID(C$79,2,LEN(C$79)-2)+0)</f>
        <v>36</v>
      </c>
      <c r="D81" s="17" t="n">
        <f aca="false">MIN(MID(D$15,2,LEN(D$15)-2)+0,MID(D$31,2,LEN(D$31)-2)+0,MID(D$47,2,LEN(D$47)-2)+0,MID(D$63,2,LEN(D$63)-2)+0,MID(D$79,2,LEN(D$79)-2)+0)</f>
        <v>10</v>
      </c>
      <c r="E81" s="17" t="n">
        <f aca="false">MIN(MID(E$15,2,LEN(E$15)-2)+0,MID(E$31,2,LEN(E$31)-2)+0,MID(E$47,2,LEN(E$47)-2)+0,MID(E$63,2,LEN(E$63)-2)+0,MID(E$79,2,LEN(E$79)-2)+0)</f>
        <v>18</v>
      </c>
    </row>
    <row r="82" customFormat="false" ht="15" hidden="false" customHeight="false" outlineLevel="0" collapsed="false">
      <c r="A82" s="17" t="s">
        <v>156</v>
      </c>
      <c r="B82" s="17" t="n">
        <f aca="false">AVERAGE(MID(B$15,2,LEN(B$15)-2)+0,MID(B$31,2,LEN(B$31)-2)+0,MID(B$47,2,LEN(B$47)-2)+0,MID(B$63,2,LEN(B$63)-2)+0,MID(B$79,2,LEN(B$79)-2)+0)</f>
        <v>64</v>
      </c>
      <c r="C82" s="17" t="n">
        <f aca="false">AVERAGE(MID(C$15,2,LEN(C$15)-2)+0,MID(C$31,2,LEN(C$31)-2)+0,MID(C$47,2,LEN(C$47)-2)+0,MID(C$63,2,LEN(C$63)-2)+0,MID(C$79,2,LEN(C$79)-2)+0)</f>
        <v>108.4</v>
      </c>
      <c r="D82" s="17" t="n">
        <f aca="false">AVERAGE(MID(D$15,2,LEN(D$15)-2)+0,MID(D$31,2,LEN(D$31)-2)+0,MID(D$47,2,LEN(D$47)-2)+0,MID(D$63,2,LEN(D$63)-2)+0,MID(D$79,2,LEN(D$79)-2)+0)</f>
        <v>33.6</v>
      </c>
      <c r="E82" s="17" t="n">
        <f aca="false">AVERAGE(MID(E$15,2,LEN(E$15)-2)+0,MID(E$31,2,LEN(E$31)-2)+0,MID(E$47,2,LEN(E$47)-2)+0,MID(E$63,2,LEN(E$63)-2)+0,MID(E$79,2,LEN(E$79)-2)+0)</f>
        <v>58.2</v>
      </c>
    </row>
    <row r="83" customFormat="false" ht="15" hidden="false" customHeight="false" outlineLevel="0" collapsed="false">
      <c r="A83" s="17" t="s">
        <v>157</v>
      </c>
      <c r="B83" s="17" t="n">
        <f aca="false">MAX(MID(B$15,2,LEN(B$15)-2)+0,MID(B$31,2,LEN(B$31)-2)+0,MID(B$47,2,LEN(B$47)-2)+0,MID(B$63,2,LEN(B$63)-2)+0,MID(B$79,2,LEN(B$79)-2)+0)</f>
        <v>127</v>
      </c>
      <c r="C83" s="17" t="n">
        <f aca="false">MAX(MID(C$15,2,LEN(C$15)-2)+0,MID(C$31,2,LEN(C$31)-2)+0,MID(C$47,2,LEN(C$47)-2)+0,MID(C$63,2,LEN(C$63)-2)+0,MID(C$79,2,LEN(C$79)-2)+0)</f>
        <v>212</v>
      </c>
      <c r="D83" s="17" t="n">
        <f aca="false">MAX(MID(D$15,2,LEN(D$15)-2)+0,MID(D$31,2,LEN(D$31)-2)+0,MID(D$47,2,LEN(D$47)-2)+0,MID(D$63,2,LEN(D$63)-2)+0,MID(D$79,2,LEN(D$79)-2)+0)</f>
        <v>64</v>
      </c>
      <c r="E83" s="17" t="n">
        <f aca="false">MAX(MID(E$15,2,LEN(E$15)-2)+0,MID(E$31,2,LEN(E$31)-2)+0,MID(E$47,2,LEN(E$47)-2)+0,MID(E$63,2,LEN(E$63)-2)+0,MID(E$79,2,LEN(E$79)-2)+0)</f>
        <v>110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L17" colorId="64" zoomScale="100" zoomScaleNormal="100" zoomScalePageLayoutView="100" workbookViewId="0">
      <selection pane="topLeft" activeCell="O35" activeCellId="0" sqref="O35"/>
    </sheetView>
  </sheetViews>
  <sheetFormatPr defaultRowHeight="15" zeroHeight="false" outlineLevelRow="0" outlineLevelCol="0"/>
  <cols>
    <col collapsed="false" customWidth="true" hidden="false" outlineLevel="0" max="1" min="1" style="1" width="27.88"/>
    <col collapsed="false" customWidth="true" hidden="false" outlineLevel="0" max="6" min="2" style="18" width="13.71"/>
    <col collapsed="false" customWidth="true" hidden="false" outlineLevel="0" max="7" min="7" style="19" width="10.5"/>
    <col collapsed="false" customWidth="true" hidden="false" outlineLevel="0" max="8" min="8" style="18" width="9.02"/>
    <col collapsed="false" customWidth="true" hidden="false" outlineLevel="0" max="9" min="9" style="20" width="8.65"/>
    <col collapsed="false" customWidth="true" hidden="false" outlineLevel="0" max="10" min="10" style="21" width="10.5"/>
    <col collapsed="false" customWidth="true" hidden="false" outlineLevel="0" max="11" min="11" style="22" width="24.55"/>
    <col collapsed="false" customWidth="true" hidden="false" outlineLevel="0" max="12" min="12" style="23" width="13.53"/>
    <col collapsed="false" customWidth="true" hidden="false" outlineLevel="0" max="1023" min="13" style="1" width="10.5"/>
    <col collapsed="false" customWidth="true" hidden="false" outlineLevel="0" max="1025" min="1024" style="0" width="10.5"/>
  </cols>
  <sheetData>
    <row r="1" customFormat="false" ht="15" hidden="false" customHeight="false" outlineLevel="0" collapsed="false">
      <c r="B1" s="24" t="s">
        <v>158</v>
      </c>
      <c r="C1" s="24"/>
      <c r="D1" s="24"/>
      <c r="E1" s="24"/>
      <c r="F1" s="24"/>
      <c r="G1" s="24"/>
      <c r="H1" s="24"/>
      <c r="I1" s="24"/>
      <c r="J1" s="24"/>
      <c r="K1" s="24"/>
      <c r="L1" s="24"/>
    </row>
    <row r="2" s="25" customFormat="true" ht="15" hidden="false" customHeight="false" outlineLevel="0" collapsed="false">
      <c r="B2" s="26" t="s">
        <v>159</v>
      </c>
      <c r="C2" s="26" t="s">
        <v>160</v>
      </c>
      <c r="D2" s="26" t="s">
        <v>161</v>
      </c>
      <c r="E2" s="26" t="s">
        <v>162</v>
      </c>
      <c r="F2" s="26" t="s">
        <v>163</v>
      </c>
      <c r="G2" s="27"/>
      <c r="H2" s="27" t="s">
        <v>164</v>
      </c>
      <c r="I2" s="28" t="s">
        <v>165</v>
      </c>
      <c r="J2" s="28"/>
      <c r="K2" s="29" t="s">
        <v>166</v>
      </c>
      <c r="L2" s="30" t="s">
        <v>167</v>
      </c>
      <c r="AMJ2" s="31"/>
    </row>
    <row r="3" customFormat="false" ht="15" hidden="false" customHeight="false" outlineLevel="0" collapsed="false">
      <c r="A3" s="14" t="s">
        <v>112</v>
      </c>
      <c r="B3" s="32"/>
      <c r="C3" s="32"/>
      <c r="D3" s="32"/>
      <c r="E3" s="32"/>
      <c r="F3" s="32"/>
      <c r="G3" s="33"/>
      <c r="H3" s="32"/>
      <c r="I3" s="34"/>
      <c r="J3" s="35"/>
      <c r="K3" s="36"/>
      <c r="L3" s="36"/>
    </row>
    <row r="4" customFormat="false" ht="15" hidden="false" customHeight="false" outlineLevel="0" collapsed="false">
      <c r="A4" s="4" t="s">
        <v>168</v>
      </c>
      <c r="B4" s="37" t="n">
        <f aca="false">22*60+13</f>
        <v>1333</v>
      </c>
      <c r="C4" s="37" t="n">
        <f aca="false">19*60+28</f>
        <v>1168</v>
      </c>
      <c r="D4" s="37" t="n">
        <f aca="false">20*60+6</f>
        <v>1206</v>
      </c>
      <c r="E4" s="37" t="n">
        <f aca="false">19*60+51</f>
        <v>1191</v>
      </c>
      <c r="F4" s="37" t="n">
        <f aca="false">20*60+8</f>
        <v>1208</v>
      </c>
      <c r="G4" s="38"/>
      <c r="H4" s="37" t="n">
        <f aca="false">AVERAGE(B4:F4)</f>
        <v>1221.2</v>
      </c>
      <c r="I4" s="39" t="n">
        <f aca="false">STDEV(B4:F4)</f>
        <v>64.5112393308329</v>
      </c>
      <c r="J4" s="40"/>
      <c r="K4" s="41" t="n">
        <f aca="false">H4/0.01</f>
        <v>122120</v>
      </c>
      <c r="L4" s="42" t="n">
        <f aca="false">1.96*I4/SQRT(5)/0.01</f>
        <v>5654.65944509481</v>
      </c>
    </row>
    <row r="5" customFormat="false" ht="15" hidden="false" customHeight="false" outlineLevel="0" collapsed="false">
      <c r="A5" s="4" t="s">
        <v>169</v>
      </c>
      <c r="B5" s="37" t="n">
        <v>14201</v>
      </c>
      <c r="C5" s="37" t="n">
        <v>14227</v>
      </c>
      <c r="D5" s="37" t="n">
        <v>14201</v>
      </c>
      <c r="E5" s="37" t="n">
        <v>14133</v>
      </c>
      <c r="F5" s="37" t="n">
        <v>14343</v>
      </c>
      <c r="G5" s="38"/>
      <c r="H5" s="37" t="n">
        <f aca="false">AVERAGE(B5:F5)</f>
        <v>14221</v>
      </c>
      <c r="I5" s="39" t="n">
        <f aca="false">STDEV(B5:F5)</f>
        <v>76.5898165554664</v>
      </c>
      <c r="J5" s="40"/>
      <c r="K5" s="41" t="n">
        <f aca="false">H5/0.01</f>
        <v>1422100</v>
      </c>
      <c r="L5" s="42" t="n">
        <f aca="false">1.96*I5/SQRT(5)/0.01</f>
        <v>6713.39341912866</v>
      </c>
    </row>
    <row r="6" customFormat="false" ht="15" hidden="false" customHeight="false" outlineLevel="0" collapsed="false">
      <c r="A6" s="4" t="s">
        <v>170</v>
      </c>
      <c r="B6" s="37" t="n">
        <v>107062</v>
      </c>
      <c r="C6" s="37" t="n">
        <v>111014</v>
      </c>
      <c r="D6" s="37" t="n">
        <v>110092</v>
      </c>
      <c r="E6" s="37" t="n">
        <v>106770</v>
      </c>
      <c r="F6" s="37" t="n">
        <v>109436</v>
      </c>
      <c r="G6" s="38"/>
      <c r="H6" s="37" t="n">
        <f aca="false">AVERAGE(B6:F6)</f>
        <v>108874.8</v>
      </c>
      <c r="I6" s="39" t="n">
        <f aca="false">STDEV(B6:F6)</f>
        <v>1876.77414730702</v>
      </c>
      <c r="J6" s="40"/>
      <c r="K6" s="41" t="n">
        <f aca="false">H6/0.01</f>
        <v>10887480</v>
      </c>
      <c r="L6" s="42" t="n">
        <f aca="false">1.96*I6/SQRT(5)/0.01</f>
        <v>164506.507214274</v>
      </c>
    </row>
    <row r="7" customFormat="false" ht="15" hidden="false" customHeight="false" outlineLevel="0" collapsed="false">
      <c r="A7" s="14" t="s">
        <v>124</v>
      </c>
      <c r="B7" s="32"/>
      <c r="C7" s="32"/>
      <c r="D7" s="32"/>
      <c r="E7" s="32"/>
      <c r="F7" s="32"/>
      <c r="G7" s="33"/>
      <c r="H7" s="32"/>
      <c r="I7" s="34"/>
      <c r="J7" s="35"/>
      <c r="K7" s="36"/>
      <c r="L7" s="36"/>
    </row>
    <row r="8" customFormat="false" ht="15" hidden="false" customHeight="false" outlineLevel="0" collapsed="false">
      <c r="A8" s="4" t="s">
        <v>168</v>
      </c>
      <c r="B8" s="37" t="n">
        <f aca="false">60*1+29</f>
        <v>89</v>
      </c>
      <c r="C8" s="37" t="n">
        <f aca="false">60*1+31</f>
        <v>91</v>
      </c>
      <c r="D8" s="37" t="n">
        <f aca="false">60*1+30</f>
        <v>90</v>
      </c>
      <c r="E8" s="37" t="n">
        <f aca="false">60*1+14</f>
        <v>74</v>
      </c>
      <c r="F8" s="37" t="n">
        <f aca="false">60*1+16</f>
        <v>76</v>
      </c>
      <c r="G8" s="38"/>
      <c r="H8" s="37" t="n">
        <f aca="false">AVERAGE(B8:F8)</f>
        <v>84</v>
      </c>
      <c r="I8" s="39" t="n">
        <f aca="false">STDEV(B8:F8)</f>
        <v>8.27647267862342</v>
      </c>
      <c r="J8" s="40"/>
      <c r="K8" s="41" t="n">
        <f aca="false">H8/0.01</f>
        <v>8400</v>
      </c>
      <c r="L8" s="42" t="n">
        <f aca="false">1.96*I8/SQRT(5)/0.01</f>
        <v>725.464816514213</v>
      </c>
      <c r="M8" s="0"/>
    </row>
    <row r="9" customFormat="false" ht="15" hidden="false" customHeight="false" outlineLevel="0" collapsed="false">
      <c r="A9" s="4" t="s">
        <v>169</v>
      </c>
      <c r="B9" s="37" t="n">
        <v>168</v>
      </c>
      <c r="C9" s="37" t="n">
        <v>182</v>
      </c>
      <c r="D9" s="37" t="n">
        <v>179</v>
      </c>
      <c r="E9" s="37" t="n">
        <v>164</v>
      </c>
      <c r="F9" s="37" t="n">
        <v>198</v>
      </c>
      <c r="G9" s="38"/>
      <c r="H9" s="37" t="n">
        <f aca="false">AVERAGE(B9:F9)</f>
        <v>178.2</v>
      </c>
      <c r="I9" s="39" t="n">
        <f aca="false">STDEV(B9:F9)</f>
        <v>13.3491572767722</v>
      </c>
      <c r="J9" s="40"/>
      <c r="K9" s="41" t="n">
        <f aca="false">H9/0.01</f>
        <v>17820</v>
      </c>
      <c r="L9" s="42" t="n">
        <f aca="false">1.96*I9/SQRT(5)/0.01</f>
        <v>1170.10522603739</v>
      </c>
    </row>
    <row r="10" customFormat="false" ht="15" hidden="false" customHeight="false" outlineLevel="0" collapsed="false">
      <c r="A10" s="4" t="s">
        <v>170</v>
      </c>
      <c r="B10" s="37" t="n">
        <v>440</v>
      </c>
      <c r="C10" s="37" t="n">
        <v>524</v>
      </c>
      <c r="D10" s="37" t="n">
        <v>476</v>
      </c>
      <c r="E10" s="37" t="n">
        <v>422</v>
      </c>
      <c r="F10" s="37" t="n">
        <v>512</v>
      </c>
      <c r="G10" s="38"/>
      <c r="H10" s="37" t="n">
        <f aca="false">AVERAGE(B10:F10)</f>
        <v>474.8</v>
      </c>
      <c r="I10" s="39" t="n">
        <f aca="false">STDEV(B10:F10)</f>
        <v>44.1723895663343</v>
      </c>
      <c r="J10" s="40"/>
      <c r="K10" s="41" t="n">
        <f aca="false">H10/0.01</f>
        <v>47480</v>
      </c>
      <c r="L10" s="42" t="n">
        <f aca="false">1.96*I10/SQRT(5)/0.01</f>
        <v>3871.8806593179</v>
      </c>
    </row>
    <row r="11" customFormat="false" ht="15" hidden="false" customHeight="false" outlineLevel="0" collapsed="false">
      <c r="A11" s="14" t="s">
        <v>135</v>
      </c>
      <c r="B11" s="32"/>
      <c r="C11" s="32"/>
      <c r="D11" s="32"/>
      <c r="E11" s="32"/>
      <c r="F11" s="32"/>
      <c r="G11" s="33"/>
      <c r="H11" s="32"/>
      <c r="I11" s="34"/>
      <c r="J11" s="35"/>
      <c r="K11" s="36"/>
      <c r="L11" s="36"/>
    </row>
    <row r="12" customFormat="false" ht="15" hidden="false" customHeight="false" outlineLevel="0" collapsed="false">
      <c r="A12" s="4" t="s">
        <v>168</v>
      </c>
      <c r="B12" s="37" t="n">
        <f aca="false">4*60+59</f>
        <v>299</v>
      </c>
      <c r="C12" s="37" t="n">
        <f aca="false">5*60+0</f>
        <v>300</v>
      </c>
      <c r="D12" s="37" t="n">
        <f aca="false">4*60+38</f>
        <v>278</v>
      </c>
      <c r="E12" s="37" t="n">
        <f aca="false">3*60+45</f>
        <v>225</v>
      </c>
      <c r="F12" s="37" t="n">
        <f aca="false">3*60+34</f>
        <v>214</v>
      </c>
      <c r="G12" s="38"/>
      <c r="H12" s="37" t="n">
        <f aca="false">AVERAGE(B12:F12)</f>
        <v>263.2</v>
      </c>
      <c r="I12" s="39" t="n">
        <f aca="false">STDEV(B12:F12)</f>
        <v>41.0329136182163</v>
      </c>
      <c r="J12" s="40"/>
      <c r="K12" s="41" t="n">
        <f aca="false">H12/0.01</f>
        <v>26320</v>
      </c>
      <c r="L12" s="42" t="n">
        <f aca="false">1.96*I12/SQRT(5)/0.01</f>
        <v>3596.69345927617</v>
      </c>
    </row>
    <row r="13" customFormat="false" ht="15" hidden="false" customHeight="false" outlineLevel="0" collapsed="false">
      <c r="A13" s="4" t="s">
        <v>169</v>
      </c>
      <c r="B13" s="37" t="n">
        <v>2971</v>
      </c>
      <c r="C13" s="37" t="n">
        <v>3036</v>
      </c>
      <c r="D13" s="37" t="n">
        <v>2996</v>
      </c>
      <c r="E13" s="37" t="n">
        <v>2998</v>
      </c>
      <c r="F13" s="37" t="n">
        <v>3118</v>
      </c>
      <c r="G13" s="38"/>
      <c r="H13" s="37" t="n">
        <f aca="false">AVERAGE(B13:F13)</f>
        <v>3023.8</v>
      </c>
      <c r="I13" s="39" t="n">
        <f aca="false">STDEV(B13:F13)</f>
        <v>57.5517158736384</v>
      </c>
      <c r="J13" s="40"/>
      <c r="K13" s="41" t="n">
        <f aca="false">H13/0.01</f>
        <v>302380</v>
      </c>
      <c r="L13" s="42" t="n">
        <f aca="false">1.96*I13/SQRT(5)/0.01</f>
        <v>5044.6303174762</v>
      </c>
    </row>
    <row r="14" customFormat="false" ht="15" hidden="false" customHeight="false" outlineLevel="0" collapsed="false">
      <c r="A14" s="4" t="s">
        <v>170</v>
      </c>
      <c r="B14" s="37" t="n">
        <v>12660</v>
      </c>
      <c r="C14" s="37" t="n">
        <v>13256</v>
      </c>
      <c r="D14" s="37" t="n">
        <v>12502</v>
      </c>
      <c r="E14" s="37" t="n">
        <v>12244</v>
      </c>
      <c r="F14" s="37" t="n">
        <v>12556</v>
      </c>
      <c r="G14" s="38"/>
      <c r="H14" s="37" t="n">
        <f aca="false">AVERAGE(B14:F14)</f>
        <v>12643.6</v>
      </c>
      <c r="I14" s="39" t="n">
        <f aca="false">STDEV(B14:F14)</f>
        <v>375.069060307565</v>
      </c>
      <c r="J14" s="40"/>
      <c r="K14" s="41" t="n">
        <f aca="false">H14/0.01</f>
        <v>1264360</v>
      </c>
      <c r="L14" s="42" t="n">
        <f aca="false">1.96*I14/SQRT(5)/0.01</f>
        <v>32876.2526721036</v>
      </c>
    </row>
    <row r="15" customFormat="false" ht="15" hidden="false" customHeight="false" outlineLevel="0" collapsed="false">
      <c r="A15" s="14" t="s">
        <v>132</v>
      </c>
      <c r="B15" s="32"/>
      <c r="C15" s="32"/>
      <c r="D15" s="32"/>
      <c r="E15" s="32"/>
      <c r="F15" s="32"/>
      <c r="G15" s="33"/>
      <c r="H15" s="32"/>
      <c r="I15" s="34"/>
      <c r="J15" s="35"/>
      <c r="K15" s="36"/>
      <c r="L15" s="36"/>
    </row>
    <row r="16" customFormat="false" ht="15" hidden="false" customHeight="false" outlineLevel="0" collapsed="false">
      <c r="A16" s="4" t="s">
        <v>168</v>
      </c>
      <c r="B16" s="37" t="n">
        <f aca="false">33*60+14</f>
        <v>1994</v>
      </c>
      <c r="C16" s="37" t="n">
        <f aca="false">28*60+7</f>
        <v>1687</v>
      </c>
      <c r="D16" s="37" t="n">
        <f aca="false">25*60+39</f>
        <v>1539</v>
      </c>
      <c r="E16" s="37" t="n">
        <f aca="false">23*60+4</f>
        <v>1384</v>
      </c>
      <c r="F16" s="37" t="n">
        <f aca="false">20*60+16</f>
        <v>1216</v>
      </c>
      <c r="G16" s="38"/>
      <c r="H16" s="37" t="n">
        <f aca="false">AVERAGE(B16:F16)</f>
        <v>1564</v>
      </c>
      <c r="I16" s="39" t="n">
        <f aca="false">STDEV(B16:F16)</f>
        <v>297.555877105461</v>
      </c>
      <c r="J16" s="40"/>
      <c r="K16" s="41" t="n">
        <f aca="false">H16/0.01</f>
        <v>156400</v>
      </c>
      <c r="L16" s="42" t="n">
        <f aca="false">1.96*I16/SQRT(5)/0.01</f>
        <v>26081.9225978454</v>
      </c>
      <c r="M16" s="0"/>
    </row>
    <row r="17" customFormat="false" ht="15" hidden="false" customHeight="false" outlineLevel="0" collapsed="false">
      <c r="A17" s="4" t="s">
        <v>169</v>
      </c>
      <c r="B17" s="37" t="n">
        <v>23006</v>
      </c>
      <c r="C17" s="37" t="n">
        <v>23084</v>
      </c>
      <c r="D17" s="37" t="n">
        <v>22990</v>
      </c>
      <c r="E17" s="37" t="n">
        <v>23088</v>
      </c>
      <c r="F17" s="37" t="n">
        <v>23043</v>
      </c>
      <c r="G17" s="38"/>
      <c r="H17" s="37" t="n">
        <f aca="false">AVERAGE(B17:F17)</f>
        <v>23042.2</v>
      </c>
      <c r="I17" s="39" t="n">
        <f aca="false">STDEV(B17:F17)</f>
        <v>44.386935014709</v>
      </c>
      <c r="J17" s="40"/>
      <c r="K17" s="41" t="n">
        <f aca="false">H17/0.01</f>
        <v>2304220</v>
      </c>
      <c r="L17" s="42" t="n">
        <f aca="false">1.96*I17/SQRT(5)/0.01</f>
        <v>3890.68639702559</v>
      </c>
    </row>
    <row r="18" customFormat="false" ht="15" hidden="false" customHeight="false" outlineLevel="0" collapsed="false">
      <c r="A18" s="4" t="s">
        <v>170</v>
      </c>
      <c r="B18" s="37" t="n">
        <v>230132</v>
      </c>
      <c r="C18" s="37" t="n">
        <v>237168</v>
      </c>
      <c r="D18" s="37" t="n">
        <v>231790</v>
      </c>
      <c r="E18" s="37" t="n">
        <v>225164</v>
      </c>
      <c r="F18" s="37" t="n">
        <v>226318</v>
      </c>
      <c r="G18" s="38"/>
      <c r="H18" s="37" t="n">
        <f aca="false">AVERAGE(B18:F18)</f>
        <v>230114.4</v>
      </c>
      <c r="I18" s="39" t="n">
        <f aca="false">STDEV(B18:F18)</f>
        <v>4782.26753747634</v>
      </c>
      <c r="J18" s="40"/>
      <c r="K18" s="41" t="n">
        <f aca="false">H18/0.01</f>
        <v>23011440</v>
      </c>
      <c r="L18" s="42" t="n">
        <f aca="false">1.96*I18/SQRT(5)/0.01</f>
        <v>419184.231775194</v>
      </c>
    </row>
    <row r="19" customFormat="false" ht="15" hidden="false" customHeight="false" outlineLevel="0" collapsed="false">
      <c r="A19" s="14" t="s">
        <v>143</v>
      </c>
      <c r="B19" s="32"/>
      <c r="C19" s="32"/>
      <c r="D19" s="32"/>
      <c r="E19" s="32"/>
      <c r="F19" s="32"/>
      <c r="G19" s="33"/>
      <c r="H19" s="32"/>
      <c r="I19" s="34"/>
      <c r="J19" s="35"/>
      <c r="K19" s="36"/>
      <c r="L19" s="36"/>
    </row>
    <row r="20" customFormat="false" ht="15" hidden="false" customHeight="false" outlineLevel="0" collapsed="false">
      <c r="A20" s="4" t="s">
        <v>168</v>
      </c>
      <c r="B20" s="37" t="n">
        <f aca="false">1*60+50</f>
        <v>110</v>
      </c>
      <c r="C20" s="37" t="n">
        <f aca="false">1*60+52</f>
        <v>112</v>
      </c>
      <c r="D20" s="37" t="n">
        <f aca="false">1*60+50</f>
        <v>110</v>
      </c>
      <c r="E20" s="37" t="n">
        <f aca="false">1*60+48</f>
        <v>108</v>
      </c>
      <c r="F20" s="37" t="n">
        <f aca="false">1*60+49</f>
        <v>109</v>
      </c>
      <c r="G20" s="38"/>
      <c r="H20" s="38" t="n">
        <f aca="false">AVERAGE(B20:F20)</f>
        <v>109.8</v>
      </c>
      <c r="I20" s="39" t="n">
        <f aca="false">STDEV(B20:F20)</f>
        <v>1.48323969741913</v>
      </c>
      <c r="J20" s="40"/>
      <c r="K20" s="41" t="n">
        <f aca="false">H20/0.01</f>
        <v>10980</v>
      </c>
      <c r="L20" s="42" t="n">
        <f aca="false">1.96*I20/SQRT(5)/0.01</f>
        <v>130.011691781932</v>
      </c>
    </row>
    <row r="21" customFormat="false" ht="15" hidden="false" customHeight="false" outlineLevel="0" collapsed="false">
      <c r="A21" s="4" t="s">
        <v>169</v>
      </c>
      <c r="B21" s="37" t="n">
        <v>25</v>
      </c>
      <c r="C21" s="37" t="n">
        <v>13</v>
      </c>
      <c r="D21" s="37" t="n">
        <v>21</v>
      </c>
      <c r="E21" s="37" t="n">
        <v>18</v>
      </c>
      <c r="F21" s="37" t="n">
        <v>16</v>
      </c>
      <c r="G21" s="38"/>
      <c r="H21" s="38" t="n">
        <f aca="false">AVERAGE(B21:F21)</f>
        <v>18.6</v>
      </c>
      <c r="I21" s="39" t="n">
        <f aca="false">STDEV(B21:F21)</f>
        <v>4.61519230368573</v>
      </c>
      <c r="J21" s="40"/>
      <c r="K21" s="41" t="n">
        <f aca="false">H21/0.01</f>
        <v>1860</v>
      </c>
      <c r="L21" s="42" t="n">
        <f aca="false">1.96*I21/SQRT(5)/0.01</f>
        <v>404.539441834786</v>
      </c>
    </row>
    <row r="22" customFormat="false" ht="15" hidden="false" customHeight="false" outlineLevel="0" collapsed="false">
      <c r="A22" s="4" t="s">
        <v>170</v>
      </c>
      <c r="B22" s="37" t="n">
        <v>70</v>
      </c>
      <c r="C22" s="37" t="n">
        <v>44</v>
      </c>
      <c r="D22" s="37" t="n">
        <v>50</v>
      </c>
      <c r="E22" s="37" t="n">
        <v>50</v>
      </c>
      <c r="F22" s="37" t="n">
        <v>54</v>
      </c>
      <c r="G22" s="38"/>
      <c r="H22" s="38" t="n">
        <f aca="false">AVERAGE(B22:F22)</f>
        <v>53.6</v>
      </c>
      <c r="I22" s="39" t="n">
        <f aca="false">STDEV(B22:F22)</f>
        <v>9.83869910099908</v>
      </c>
      <c r="J22" s="40"/>
      <c r="K22" s="41" t="n">
        <f aca="false">H22/0.01</f>
        <v>5360</v>
      </c>
      <c r="L22" s="42" t="n">
        <f aca="false">1.96*I22/SQRT(5)/0.01</f>
        <v>862.4</v>
      </c>
    </row>
    <row r="23" customFormat="false" ht="15" hidden="false" customHeight="false" outlineLevel="0" collapsed="false">
      <c r="A23" s="14" t="s">
        <v>171</v>
      </c>
      <c r="B23" s="32"/>
      <c r="C23" s="32"/>
      <c r="D23" s="32"/>
      <c r="E23" s="32"/>
      <c r="F23" s="32"/>
      <c r="G23" s="33"/>
      <c r="H23" s="32"/>
      <c r="I23" s="34"/>
      <c r="J23" s="35"/>
      <c r="K23" s="36"/>
      <c r="L23" s="36"/>
    </row>
    <row r="24" customFormat="false" ht="15" hidden="false" customHeight="false" outlineLevel="0" collapsed="false">
      <c r="A24" s="4" t="s">
        <v>168</v>
      </c>
      <c r="B24" s="37" t="n">
        <f aca="false">1*60+42</f>
        <v>102</v>
      </c>
      <c r="C24" s="37" t="n">
        <f aca="false">1*60+45</f>
        <v>105</v>
      </c>
      <c r="D24" s="37" t="n">
        <f aca="false">1*60+43</f>
        <v>103</v>
      </c>
      <c r="E24" s="37" t="n">
        <f aca="false">1*60+40</f>
        <v>100</v>
      </c>
      <c r="F24" s="37" t="n">
        <f aca="false">1*60+42</f>
        <v>102</v>
      </c>
      <c r="G24" s="38"/>
      <c r="H24" s="37" t="n">
        <f aca="false">AVERAGE(B24:F24)</f>
        <v>102.4</v>
      </c>
      <c r="I24" s="39" t="n">
        <f aca="false">STDEV(B24:F24)</f>
        <v>1.8165902124585</v>
      </c>
      <c r="J24" s="40"/>
      <c r="K24" s="41" t="n">
        <f aca="false">H24/0.01</f>
        <v>10240</v>
      </c>
      <c r="L24" s="42" t="n">
        <f aca="false">1.96*I24/SQRT(5)/0.01</f>
        <v>159.231152730865</v>
      </c>
    </row>
    <row r="25" customFormat="false" ht="15" hidden="false" customHeight="false" outlineLevel="0" collapsed="false">
      <c r="A25" s="4" t="s">
        <v>169</v>
      </c>
      <c r="B25" s="37" t="n">
        <v>20</v>
      </c>
      <c r="C25" s="37" t="n">
        <v>11</v>
      </c>
      <c r="D25" s="37" t="n">
        <v>21</v>
      </c>
      <c r="E25" s="37" t="n">
        <v>16</v>
      </c>
      <c r="F25" s="37" t="n">
        <v>16</v>
      </c>
      <c r="G25" s="38"/>
      <c r="H25" s="37" t="n">
        <f aca="false">AVERAGE(B25:F25)</f>
        <v>16.8</v>
      </c>
      <c r="I25" s="39" t="n">
        <f aca="false">STDEV(B25:F25)</f>
        <v>3.96232255123179</v>
      </c>
      <c r="J25" s="40"/>
      <c r="K25" s="41" t="n">
        <f aca="false">H25/0.01</f>
        <v>1680</v>
      </c>
      <c r="L25" s="42" t="n">
        <f aca="false">1.96*I25/SQRT(5)/0.01</f>
        <v>347.312884874719</v>
      </c>
    </row>
    <row r="26" customFormat="false" ht="15" hidden="false" customHeight="false" outlineLevel="0" collapsed="false">
      <c r="A26" s="4" t="s">
        <v>170</v>
      </c>
      <c r="B26" s="37" t="n">
        <v>60</v>
      </c>
      <c r="C26" s="37" t="n">
        <v>38</v>
      </c>
      <c r="D26" s="37" t="n">
        <v>48</v>
      </c>
      <c r="E26" s="37" t="n">
        <v>46</v>
      </c>
      <c r="F26" s="37" t="n">
        <v>54</v>
      </c>
      <c r="G26" s="38"/>
      <c r="H26" s="37" t="n">
        <f aca="false">AVERAGE(B26:F26)</f>
        <v>49.2</v>
      </c>
      <c r="I26" s="39" t="n">
        <f aca="false">STDEV(B26:F26)</f>
        <v>8.31865373723417</v>
      </c>
      <c r="J26" s="40"/>
      <c r="K26" s="41" t="n">
        <f aca="false">H26/0.01</f>
        <v>4920</v>
      </c>
      <c r="L26" s="42" t="n">
        <f aca="false">1.96*I26/SQRT(5)/0.01</f>
        <v>729.16214931934</v>
      </c>
    </row>
    <row r="27" customFormat="false" ht="15" hidden="false" customHeight="false" outlineLevel="0" collapsed="false">
      <c r="A27" s="14" t="s">
        <v>172</v>
      </c>
      <c r="B27" s="32"/>
      <c r="C27" s="32"/>
      <c r="D27" s="32"/>
      <c r="E27" s="32"/>
      <c r="F27" s="32"/>
      <c r="G27" s="33"/>
      <c r="H27" s="32"/>
      <c r="I27" s="34"/>
      <c r="J27" s="35"/>
      <c r="K27" s="36"/>
      <c r="L27" s="36"/>
    </row>
    <row r="28" customFormat="false" ht="15" hidden="false" customHeight="false" outlineLevel="0" collapsed="false">
      <c r="A28" s="4" t="s">
        <v>168</v>
      </c>
      <c r="B28" s="37" t="n">
        <f aca="false">3*60+53</f>
        <v>233</v>
      </c>
      <c r="C28" s="37" t="n">
        <f aca="false">3*60+47</f>
        <v>227</v>
      </c>
      <c r="D28" s="37" t="n">
        <f aca="false">3*60+40</f>
        <v>220</v>
      </c>
      <c r="E28" s="37" t="n">
        <f aca="false">3*60+34</f>
        <v>214</v>
      </c>
      <c r="F28" s="37" t="n">
        <f aca="false">3*60+33</f>
        <v>213</v>
      </c>
      <c r="G28" s="38"/>
      <c r="H28" s="43" t="n">
        <f aca="false">AVERAGE(B28:F28)</f>
        <v>221.4</v>
      </c>
      <c r="I28" s="39" t="n">
        <f aca="false">STDEV(B28:F28)</f>
        <v>8.5615419172016</v>
      </c>
      <c r="J28" s="40"/>
      <c r="K28" s="41" t="n">
        <f aca="false">H28/0.01</f>
        <v>22140</v>
      </c>
      <c r="L28" s="42" t="n">
        <f aca="false">1.96*I28/SQRT(5)/0.01</f>
        <v>750.452236987805</v>
      </c>
    </row>
    <row r="29" customFormat="false" ht="15" hidden="false" customHeight="false" outlineLevel="0" collapsed="false">
      <c r="A29" s="4" t="s">
        <v>169</v>
      </c>
      <c r="B29" s="37" t="n">
        <v>1329</v>
      </c>
      <c r="C29" s="37" t="n">
        <v>1304</v>
      </c>
      <c r="D29" s="37" t="n">
        <v>1362</v>
      </c>
      <c r="E29" s="37" t="n">
        <v>1291</v>
      </c>
      <c r="F29" s="37" t="n">
        <v>1332</v>
      </c>
      <c r="G29" s="38"/>
      <c r="H29" s="43" t="n">
        <f aca="false">AVERAGE(B29:F29)</f>
        <v>1323.6</v>
      </c>
      <c r="I29" s="39" t="n">
        <f aca="false">STDEV(B29:F29)</f>
        <v>27.4827218448246</v>
      </c>
      <c r="J29" s="40"/>
      <c r="K29" s="41" t="n">
        <f aca="false">H29/0.01</f>
        <v>132360</v>
      </c>
      <c r="L29" s="42" t="n">
        <f aca="false">1.96*I29/SQRT(5)/0.01</f>
        <v>2408.96678266845</v>
      </c>
    </row>
    <row r="30" customFormat="false" ht="15" hidden="false" customHeight="false" outlineLevel="0" collapsed="false">
      <c r="A30" s="4" t="s">
        <v>170</v>
      </c>
      <c r="B30" s="37" t="n">
        <v>3918</v>
      </c>
      <c r="C30" s="37" t="n">
        <v>3864</v>
      </c>
      <c r="D30" s="37" t="n">
        <v>3846</v>
      </c>
      <c r="E30" s="37" t="n">
        <v>3660</v>
      </c>
      <c r="F30" s="37" t="n">
        <v>3716</v>
      </c>
      <c r="G30" s="38"/>
      <c r="H30" s="43" t="n">
        <f aca="false">AVERAGE(B30:F30)</f>
        <v>3800.8</v>
      </c>
      <c r="I30" s="39" t="n">
        <f aca="false">STDEV(B30:F30)</f>
        <v>108.153594484881</v>
      </c>
      <c r="J30" s="40"/>
      <c r="K30" s="41" t="n">
        <f aca="false">H30/0.01</f>
        <v>380080</v>
      </c>
      <c r="L30" s="42" t="n">
        <f aca="false">1.96*I30/SQRT(5)/0.01</f>
        <v>9480.08053974226</v>
      </c>
    </row>
    <row r="31" customFormat="false" ht="15" hidden="false" customHeight="false" outlineLevel="0" collapsed="false">
      <c r="A31" s="14" t="s">
        <v>173</v>
      </c>
      <c r="B31" s="32"/>
      <c r="C31" s="32"/>
      <c r="D31" s="32"/>
      <c r="E31" s="32"/>
      <c r="F31" s="32"/>
      <c r="G31" s="33"/>
      <c r="H31" s="32"/>
      <c r="I31" s="34"/>
      <c r="J31" s="35"/>
      <c r="K31" s="36"/>
      <c r="L31" s="36"/>
    </row>
    <row r="32" customFormat="false" ht="15" hidden="false" customHeight="false" outlineLevel="0" collapsed="false">
      <c r="A32" s="4" t="s">
        <v>168</v>
      </c>
      <c r="B32" s="44" t="s">
        <v>174</v>
      </c>
      <c r="C32" s="44" t="s">
        <v>174</v>
      </c>
      <c r="D32" s="44" t="s">
        <v>174</v>
      </c>
      <c r="E32" s="44" t="s">
        <v>174</v>
      </c>
      <c r="F32" s="44" t="s">
        <v>174</v>
      </c>
      <c r="G32" s="33"/>
      <c r="H32" s="44"/>
      <c r="I32" s="45"/>
      <c r="J32" s="35"/>
      <c r="K32" s="46" t="s">
        <v>175</v>
      </c>
      <c r="L32" s="46"/>
    </row>
    <row r="33" customFormat="false" ht="15" hidden="false" customHeight="false" outlineLevel="0" collapsed="false">
      <c r="A33" s="4" t="s">
        <v>169</v>
      </c>
      <c r="B33" s="44"/>
      <c r="C33" s="44"/>
      <c r="D33" s="44"/>
      <c r="E33" s="44"/>
      <c r="F33" s="44"/>
      <c r="G33" s="33"/>
      <c r="H33" s="44"/>
      <c r="I33" s="45"/>
      <c r="J33" s="35"/>
      <c r="K33" s="46"/>
      <c r="L33" s="46"/>
    </row>
    <row r="34" customFormat="false" ht="15" hidden="false" customHeight="false" outlineLevel="0" collapsed="false">
      <c r="A34" s="4" t="s">
        <v>170</v>
      </c>
      <c r="B34" s="44"/>
      <c r="C34" s="44"/>
      <c r="D34" s="44"/>
      <c r="E34" s="44"/>
      <c r="F34" s="44"/>
      <c r="G34" s="33"/>
      <c r="H34" s="44"/>
      <c r="I34" s="45"/>
      <c r="J34" s="35"/>
      <c r="K34" s="46"/>
      <c r="L34" s="46"/>
    </row>
    <row r="37" s="1" customFormat="true" ht="15" hidden="false" customHeight="false" outlineLevel="0" collapsed="false">
      <c r="A37" s="17" t="s">
        <v>155</v>
      </c>
      <c r="B37" s="17"/>
      <c r="C37" s="17"/>
      <c r="D37" s="17"/>
      <c r="E37" s="17"/>
      <c r="F37" s="17"/>
      <c r="G37" s="47"/>
      <c r="H37" s="17"/>
      <c r="I37" s="17"/>
      <c r="J37" s="47"/>
      <c r="K37" s="48" t="n">
        <f aca="false">MIN(K$8,K$12,K$20,K$4,K$16,K$24,K$28)</f>
        <v>8400</v>
      </c>
      <c r="L37" s="48" t="n">
        <v>725</v>
      </c>
    </row>
    <row r="38" s="1" customFormat="true" ht="15" hidden="false" customHeight="false" outlineLevel="0" collapsed="false">
      <c r="A38" s="17" t="s">
        <v>156</v>
      </c>
      <c r="B38" s="17"/>
      <c r="C38" s="17"/>
      <c r="D38" s="17"/>
      <c r="E38" s="17"/>
      <c r="F38" s="17"/>
      <c r="G38" s="47"/>
      <c r="H38" s="17"/>
      <c r="I38" s="17"/>
      <c r="J38" s="47"/>
      <c r="K38" s="48" t="n">
        <f aca="false">AVERAGE(K$8,K$12,K$20,K$4,K$16,K$24,K$28)</f>
        <v>50942.8571428571</v>
      </c>
      <c r="L38" s="48"/>
    </row>
    <row r="39" customFormat="false" ht="15" hidden="false" customHeight="false" outlineLevel="0" collapsed="false">
      <c r="A39" s="17" t="s">
        <v>176</v>
      </c>
      <c r="B39" s="17"/>
      <c r="C39" s="17"/>
      <c r="D39" s="17"/>
      <c r="E39" s="17"/>
      <c r="F39" s="17"/>
      <c r="G39" s="47"/>
      <c r="H39" s="17"/>
      <c r="I39" s="17"/>
      <c r="J39" s="47"/>
      <c r="K39" s="48" t="n">
        <f aca="false">MAX(K$8,K$12,K$20,K$4,K$16,K$24,K$28)</f>
        <v>156400</v>
      </c>
      <c r="L39" s="48" t="n">
        <v>26042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B1:L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1" activeCellId="0" sqref="P11"/>
    </sheetView>
  </sheetViews>
  <sheetFormatPr defaultRowHeight="15" zeroHeight="false" outlineLevelRow="0" outlineLevelCol="0"/>
  <cols>
    <col collapsed="false" customWidth="true" hidden="false" outlineLevel="0" max="1" min="1" style="1" width="27.25"/>
    <col collapsed="false" customWidth="true" hidden="false" outlineLevel="0" max="2" min="2" style="18" width="8.51"/>
    <col collapsed="false" customWidth="true" hidden="false" outlineLevel="0" max="3" min="3" style="18" width="10.65"/>
    <col collapsed="false" customWidth="true" hidden="false" outlineLevel="0" max="4" min="4" style="18" width="9.36"/>
    <col collapsed="false" customWidth="true" hidden="false" outlineLevel="0" max="5" min="5" style="18" width="10.22"/>
    <col collapsed="false" customWidth="true" hidden="false" outlineLevel="0" max="6" min="6" style="18" width="8.8"/>
    <col collapsed="false" customWidth="true" hidden="false" outlineLevel="0" max="7" min="7" style="19" width="10.5"/>
    <col collapsed="false" customWidth="true" hidden="false" outlineLevel="0" max="8" min="8" style="18" width="9.08"/>
    <col collapsed="false" customWidth="true" hidden="false" outlineLevel="0" max="9" min="9" style="49" width="8.51"/>
    <col collapsed="false" customWidth="true" hidden="false" outlineLevel="0" max="10" min="10" style="50" width="10.5"/>
    <col collapsed="false" customWidth="true" hidden="false" outlineLevel="0" max="11" min="11" style="22" width="14.16"/>
    <col collapsed="false" customWidth="true" hidden="false" outlineLevel="0" max="12" min="12" style="51" width="15.02"/>
    <col collapsed="false" customWidth="true" hidden="false" outlineLevel="0" max="1025" min="13" style="1" width="10.5"/>
  </cols>
  <sheetData>
    <row r="1" customFormat="false" ht="15" hidden="false" customHeight="false" outlineLevel="0" collapsed="false">
      <c r="B1" s="52" t="s">
        <v>158</v>
      </c>
      <c r="C1" s="52"/>
      <c r="D1" s="52"/>
      <c r="E1" s="52"/>
      <c r="F1" s="52"/>
      <c r="G1" s="52"/>
      <c r="H1" s="52"/>
      <c r="I1" s="52"/>
      <c r="J1" s="52"/>
      <c r="K1" s="52"/>
      <c r="L1" s="52"/>
    </row>
    <row r="2" s="25" customFormat="true" ht="15" hidden="false" customHeight="false" outlineLevel="0" collapsed="false">
      <c r="B2" s="26" t="s">
        <v>159</v>
      </c>
      <c r="C2" s="26" t="s">
        <v>160</v>
      </c>
      <c r="D2" s="26" t="s">
        <v>161</v>
      </c>
      <c r="E2" s="26" t="s">
        <v>162</v>
      </c>
      <c r="F2" s="26" t="s">
        <v>163</v>
      </c>
      <c r="G2" s="27"/>
      <c r="H2" s="27" t="s">
        <v>164</v>
      </c>
      <c r="I2" s="53" t="s">
        <v>165</v>
      </c>
      <c r="J2" s="53"/>
      <c r="K2" s="29" t="s">
        <v>166</v>
      </c>
      <c r="L2" s="30" t="s">
        <v>167</v>
      </c>
    </row>
    <row r="3" customFormat="false" ht="15" hidden="false" customHeight="false" outlineLevel="0" collapsed="false">
      <c r="A3" s="14" t="s">
        <v>177</v>
      </c>
      <c r="B3" s="32"/>
      <c r="C3" s="32"/>
      <c r="D3" s="32"/>
      <c r="E3" s="32"/>
      <c r="F3" s="32"/>
      <c r="G3" s="33"/>
      <c r="H3" s="32"/>
      <c r="I3" s="54"/>
      <c r="J3" s="55"/>
      <c r="K3" s="36"/>
      <c r="L3" s="56"/>
    </row>
    <row r="4" customFormat="false" ht="15" hidden="false" customHeight="false" outlineLevel="0" collapsed="false">
      <c r="A4" s="4" t="s">
        <v>178</v>
      </c>
      <c r="B4" s="37" t="n">
        <f aca="false">60*1+51</f>
        <v>111</v>
      </c>
      <c r="C4" s="37" t="n">
        <f aca="false">60*2+0</f>
        <v>120</v>
      </c>
      <c r="D4" s="37" t="n">
        <f aca="false">60*1+52</f>
        <v>112</v>
      </c>
      <c r="E4" s="37" t="n">
        <f aca="false">60*1+30</f>
        <v>90</v>
      </c>
      <c r="F4" s="37" t="n">
        <f aca="false">60*1+28</f>
        <v>88</v>
      </c>
      <c r="G4" s="38"/>
      <c r="H4" s="37" t="n">
        <f aca="false">AVERAGE(B4:F4)</f>
        <v>104.2</v>
      </c>
      <c r="I4" s="57" t="n">
        <f aca="false">_xlfn.STDEV.S(B4:F4)</f>
        <v>14.324803663576</v>
      </c>
      <c r="J4" s="58"/>
      <c r="K4" s="41" t="n">
        <f aca="false">H4/0.01</f>
        <v>10420</v>
      </c>
      <c r="L4" s="59" t="n">
        <f aca="false">1.96*I4/SQRT(5)/0.01</f>
        <v>1255.62440243888</v>
      </c>
    </row>
    <row r="5" customFormat="false" ht="15" hidden="false" customHeight="false" outlineLevel="0" collapsed="false">
      <c r="A5" s="4" t="s">
        <v>179</v>
      </c>
      <c r="B5" s="37" t="n">
        <v>0</v>
      </c>
      <c r="C5" s="37" t="n">
        <v>1</v>
      </c>
      <c r="D5" s="37" t="n">
        <v>0</v>
      </c>
      <c r="E5" s="37" t="n">
        <v>0</v>
      </c>
      <c r="F5" s="37" t="n">
        <v>0</v>
      </c>
      <c r="G5" s="38"/>
      <c r="H5" s="37" t="n">
        <f aca="false">AVERAGE(B5:F5)</f>
        <v>0.2</v>
      </c>
      <c r="I5" s="57" t="n">
        <f aca="false">_xlfn.STDEV.S(B5:F5)</f>
        <v>0.447213595499958</v>
      </c>
      <c r="J5" s="58"/>
      <c r="K5" s="41" t="n">
        <f aca="false">H5/0.01</f>
        <v>20</v>
      </c>
      <c r="L5" s="59" t="n">
        <f aca="false">1.96*I5/SQRT(5)/0.01</f>
        <v>39.2</v>
      </c>
    </row>
    <row r="6" customFormat="false" ht="15" hidden="false" customHeight="false" outlineLevel="0" collapsed="false">
      <c r="A6" s="4" t="s">
        <v>180</v>
      </c>
      <c r="B6" s="37" t="n">
        <v>0</v>
      </c>
      <c r="C6" s="37" t="n">
        <v>1</v>
      </c>
      <c r="D6" s="37" t="n">
        <v>0</v>
      </c>
      <c r="E6" s="37" t="n">
        <v>0</v>
      </c>
      <c r="F6" s="37" t="n">
        <v>0</v>
      </c>
      <c r="G6" s="38"/>
      <c r="H6" s="37" t="n">
        <f aca="false">AVERAGE(B6:F6)</f>
        <v>0.2</v>
      </c>
      <c r="I6" s="57" t="n">
        <f aca="false">_xlfn.STDEV.S(B6:F6)</f>
        <v>0.447213595499958</v>
      </c>
      <c r="J6" s="58"/>
      <c r="K6" s="41" t="n">
        <f aca="false">H6/0.01</f>
        <v>20</v>
      </c>
      <c r="L6" s="59" t="n">
        <f aca="false">1.96*I6/SQRT(5)/0.01</f>
        <v>39.2</v>
      </c>
    </row>
    <row r="7" customFormat="false" ht="15" hidden="false" customHeight="false" outlineLevel="0" collapsed="false">
      <c r="A7" s="14" t="s">
        <v>181</v>
      </c>
      <c r="B7" s="32"/>
      <c r="C7" s="32"/>
      <c r="D7" s="32"/>
      <c r="E7" s="32"/>
      <c r="F7" s="32"/>
      <c r="G7" s="33"/>
      <c r="H7" s="32"/>
      <c r="I7" s="54"/>
      <c r="J7" s="55"/>
      <c r="K7" s="36"/>
      <c r="L7" s="56"/>
    </row>
    <row r="8" customFormat="false" ht="15" hidden="false" customHeight="false" outlineLevel="0" collapsed="false">
      <c r="A8" s="4" t="s">
        <v>178</v>
      </c>
      <c r="B8" s="37" t="n">
        <f aca="false">15*60+40</f>
        <v>940</v>
      </c>
      <c r="C8" s="37" t="n">
        <f aca="false">15*60+59</f>
        <v>959</v>
      </c>
      <c r="D8" s="37" t="n">
        <f aca="false">15*60+5</f>
        <v>905</v>
      </c>
      <c r="E8" s="37" t="n">
        <f aca="false">11*60+48</f>
        <v>708</v>
      </c>
      <c r="F8" s="37" t="n">
        <f aca="false">11*60+12</f>
        <v>672</v>
      </c>
      <c r="G8" s="38"/>
      <c r="H8" s="37" t="n">
        <f aca="false">AVERAGE(B8:F8)</f>
        <v>836.8</v>
      </c>
      <c r="I8" s="57" t="n">
        <f aca="false">_xlfn.STDEV.S(B8:F8)</f>
        <v>135.998897054351</v>
      </c>
      <c r="J8" s="58"/>
      <c r="K8" s="41" t="n">
        <f aca="false">H8/0.01</f>
        <v>83680</v>
      </c>
      <c r="L8" s="59" t="n">
        <f aca="false">1.96*I8/SQRT(5)/0.01</f>
        <v>11920.8289241982</v>
      </c>
    </row>
    <row r="9" customFormat="false" ht="15" hidden="false" customHeight="false" outlineLevel="0" collapsed="false">
      <c r="A9" s="4" t="s">
        <v>179</v>
      </c>
      <c r="B9" s="37" t="n">
        <v>8833</v>
      </c>
      <c r="C9" s="37" t="n">
        <v>8858</v>
      </c>
      <c r="D9" s="37" t="n">
        <v>8844</v>
      </c>
      <c r="E9" s="37" t="n">
        <v>8740</v>
      </c>
      <c r="F9" s="37" t="n">
        <v>8812</v>
      </c>
      <c r="G9" s="38"/>
      <c r="H9" s="37" t="n">
        <f aca="false">AVERAGE(B9:F9)</f>
        <v>8817.4</v>
      </c>
      <c r="I9" s="57" t="n">
        <f aca="false">_xlfn.STDEV.S(B9:F9)</f>
        <v>46.4198233516673</v>
      </c>
      <c r="J9" s="58"/>
      <c r="K9" s="41" t="n">
        <f aca="false">H9/0.01</f>
        <v>881740</v>
      </c>
      <c r="L9" s="59" t="n">
        <f aca="false">1.96*I9/SQRT(5)/0.01</f>
        <v>4068.87691630012</v>
      </c>
    </row>
    <row r="10" customFormat="false" ht="15" hidden="false" customHeight="false" outlineLevel="0" collapsed="false">
      <c r="A10" s="4" t="s">
        <v>180</v>
      </c>
      <c r="B10" s="37" t="n">
        <v>65868</v>
      </c>
      <c r="C10" s="37" t="n">
        <v>69338</v>
      </c>
      <c r="D10" s="37" t="n">
        <v>69520</v>
      </c>
      <c r="E10" s="37" t="n">
        <v>64990</v>
      </c>
      <c r="F10" s="37" t="n">
        <v>65866</v>
      </c>
      <c r="G10" s="38"/>
      <c r="H10" s="37" t="n">
        <f aca="false">AVERAGE(B10:F10)</f>
        <v>67116.4</v>
      </c>
      <c r="I10" s="57" t="n">
        <f aca="false">_xlfn.STDEV.S(B10:F10)</f>
        <v>2142.21726255765</v>
      </c>
      <c r="J10" s="58"/>
      <c r="K10" s="41" t="n">
        <f aca="false">H10/0.01</f>
        <v>6711640</v>
      </c>
      <c r="L10" s="59" t="n">
        <f aca="false">1.96*I10/SQRT(5)/0.01</f>
        <v>187773.622128775</v>
      </c>
    </row>
    <row r="11" customFormat="false" ht="15" hidden="false" customHeight="false" outlineLevel="0" collapsed="false">
      <c r="A11" s="14" t="s">
        <v>3</v>
      </c>
      <c r="B11" s="32"/>
      <c r="C11" s="32"/>
      <c r="D11" s="32"/>
      <c r="E11" s="32"/>
      <c r="F11" s="32"/>
      <c r="G11" s="33"/>
      <c r="H11" s="32"/>
      <c r="I11" s="54"/>
      <c r="J11" s="55"/>
      <c r="K11" s="36"/>
      <c r="L11" s="56"/>
    </row>
    <row r="12" customFormat="false" ht="15" hidden="false" customHeight="false" outlineLevel="0" collapsed="false">
      <c r="A12" s="4" t="s">
        <v>178</v>
      </c>
      <c r="B12" s="37" t="n">
        <f aca="false">3600*1+19+60</f>
        <v>3679</v>
      </c>
      <c r="C12" s="37" t="n">
        <f aca="false">30+60*53</f>
        <v>3210</v>
      </c>
      <c r="D12" s="37" t="n">
        <f aca="false">9+60*51</f>
        <v>3069</v>
      </c>
      <c r="E12" s="37" t="n">
        <f aca="false">51+60*41</f>
        <v>2511</v>
      </c>
      <c r="F12" s="37" t="n">
        <f aca="false">22+60*39</f>
        <v>2362</v>
      </c>
      <c r="G12" s="38"/>
      <c r="H12" s="37" t="n">
        <f aca="false">AVERAGE(B12:F12)</f>
        <v>2966.2</v>
      </c>
      <c r="I12" s="57" t="n">
        <f aca="false">_xlfn.STDEV.S(B12:F12)</f>
        <v>536.272971535952</v>
      </c>
      <c r="J12" s="58"/>
      <c r="K12" s="41" t="n">
        <f aca="false">H12/0.01</f>
        <v>296620</v>
      </c>
      <c r="L12" s="59" t="n">
        <f aca="false">1.96*I12/SQRT(5)/0.01</f>
        <v>47006.3984989278</v>
      </c>
    </row>
    <row r="13" customFormat="false" ht="15" hidden="false" customHeight="false" outlineLevel="0" collapsed="false">
      <c r="A13" s="4" t="s">
        <v>179</v>
      </c>
      <c r="B13" s="37" t="n">
        <v>30912</v>
      </c>
      <c r="C13" s="37" t="n">
        <v>30912</v>
      </c>
      <c r="D13" s="37" t="n">
        <v>30912</v>
      </c>
      <c r="E13" s="37" t="n">
        <v>30912</v>
      </c>
      <c r="F13" s="37" t="n">
        <v>30912</v>
      </c>
      <c r="G13" s="38"/>
      <c r="H13" s="37" t="n">
        <f aca="false">AVERAGE(B13:F13)</f>
        <v>30912</v>
      </c>
      <c r="I13" s="57" t="n">
        <f aca="false">_xlfn.STDEV.S(B13:F13)</f>
        <v>0</v>
      </c>
      <c r="J13" s="58"/>
      <c r="K13" s="41" t="n">
        <f aca="false">H13/0.01</f>
        <v>3091200</v>
      </c>
      <c r="L13" s="59" t="n">
        <f aca="false">1.96*I13/SQRT(5)/0.01</f>
        <v>0</v>
      </c>
    </row>
    <row r="14" customFormat="false" ht="15" hidden="false" customHeight="false" outlineLevel="0" collapsed="false">
      <c r="A14" s="4" t="s">
        <v>180</v>
      </c>
      <c r="B14" s="37" t="n">
        <v>348608</v>
      </c>
      <c r="C14" s="37" t="n">
        <v>352532</v>
      </c>
      <c r="D14" s="37" t="n">
        <v>351818</v>
      </c>
      <c r="E14" s="37" t="n">
        <v>342892</v>
      </c>
      <c r="F14" s="37" t="n">
        <v>347658</v>
      </c>
      <c r="G14" s="38"/>
      <c r="H14" s="37" t="n">
        <f aca="false">AVERAGE(B14:F14)</f>
        <v>348701.6</v>
      </c>
      <c r="I14" s="57" t="n">
        <f aca="false">_xlfn.STDEV.S(B14:F14)</f>
        <v>3848.15628580753</v>
      </c>
      <c r="J14" s="58"/>
      <c r="K14" s="41" t="n">
        <f aca="false">H14/0.01</f>
        <v>34870160</v>
      </c>
      <c r="L14" s="59" t="n">
        <f aca="false">1.96*I14/SQRT(5)/0.01</f>
        <v>337305.770489863</v>
      </c>
    </row>
    <row r="15" customFormat="false" ht="15" hidden="false" customHeight="false" outlineLevel="0" collapsed="false">
      <c r="A15" s="14" t="s">
        <v>4</v>
      </c>
      <c r="B15" s="32"/>
      <c r="C15" s="32"/>
      <c r="D15" s="32"/>
      <c r="E15" s="32"/>
      <c r="F15" s="32"/>
      <c r="G15" s="33"/>
      <c r="H15" s="32"/>
      <c r="I15" s="54"/>
      <c r="J15" s="55"/>
      <c r="K15" s="36"/>
      <c r="L15" s="56"/>
    </row>
    <row r="16" customFormat="false" ht="15" hidden="false" customHeight="false" outlineLevel="0" collapsed="false">
      <c r="A16" s="4" t="s">
        <v>178</v>
      </c>
      <c r="B16" s="37" t="n">
        <f aca="false">45*60+39</f>
        <v>2739</v>
      </c>
      <c r="C16" s="37" t="n">
        <v>2303</v>
      </c>
      <c r="D16" s="37" t="n">
        <f aca="false">38*60+16</f>
        <v>2296</v>
      </c>
      <c r="E16" s="37" t="n">
        <f aca="false">32*60+53</f>
        <v>1973</v>
      </c>
      <c r="F16" s="37" t="n">
        <f aca="false">30*60+10</f>
        <v>1810</v>
      </c>
      <c r="G16" s="38"/>
      <c r="H16" s="37" t="n">
        <f aca="false">AVERAGE(B16:F16)</f>
        <v>2224.2</v>
      </c>
      <c r="I16" s="57" t="n">
        <f aca="false">_xlfn.STDEV.S(B16:F16)</f>
        <v>357.437686877028</v>
      </c>
      <c r="J16" s="58"/>
      <c r="K16" s="41" t="n">
        <f aca="false">H16/0.01</f>
        <v>222420</v>
      </c>
      <c r="L16" s="59" t="n">
        <f aca="false">1.96*I16/SQRT(5)/0.01</f>
        <v>31330.7946506309</v>
      </c>
    </row>
    <row r="17" customFormat="false" ht="15" hidden="false" customHeight="false" outlineLevel="0" collapsed="false">
      <c r="A17" s="4" t="s">
        <v>179</v>
      </c>
      <c r="B17" s="37" t="n">
        <v>28300</v>
      </c>
      <c r="C17" s="37" t="n">
        <v>28245</v>
      </c>
      <c r="D17" s="37" t="n">
        <v>28417</v>
      </c>
      <c r="E17" s="37" t="n">
        <v>28298</v>
      </c>
      <c r="F17" s="37" t="n">
        <v>28249</v>
      </c>
      <c r="G17" s="38"/>
      <c r="H17" s="37" t="n">
        <f aca="false">AVERAGE(B17:F17)</f>
        <v>28301.8</v>
      </c>
      <c r="I17" s="57" t="n">
        <f aca="false">_xlfn.STDEV.S(B17:F17)</f>
        <v>69.4672584747664</v>
      </c>
      <c r="J17" s="58"/>
      <c r="K17" s="41" t="n">
        <f aca="false">H17/0.01</f>
        <v>2830180</v>
      </c>
      <c r="L17" s="59" t="n">
        <f aca="false">1.96*I17/SQRT(5)/0.01</f>
        <v>6089.07367667694</v>
      </c>
    </row>
    <row r="18" customFormat="false" ht="15" hidden="false" customHeight="false" outlineLevel="0" collapsed="false">
      <c r="A18" s="4" t="s">
        <v>180</v>
      </c>
      <c r="B18" s="37" t="n">
        <v>223912</v>
      </c>
      <c r="C18" s="37" t="n">
        <v>226782</v>
      </c>
      <c r="D18" s="37" t="n">
        <v>226404</v>
      </c>
      <c r="E18" s="37" t="n">
        <v>220206</v>
      </c>
      <c r="F18" s="37" t="n">
        <v>223984</v>
      </c>
      <c r="G18" s="38"/>
      <c r="H18" s="37" t="n">
        <f aca="false">AVERAGE(B18:F18)</f>
        <v>224257.6</v>
      </c>
      <c r="I18" s="57" t="n">
        <f aca="false">_xlfn.STDEV.S(B18:F18)</f>
        <v>2626.28003076595</v>
      </c>
      <c r="J18" s="58"/>
      <c r="K18" s="41" t="n">
        <f aca="false">H18/0.01</f>
        <v>22425760</v>
      </c>
      <c r="L18" s="59" t="n">
        <f aca="false">1.96*I18/SQRT(5)/0.01</f>
        <v>230203.594528322</v>
      </c>
    </row>
    <row r="21" customFormat="false" ht="15" hidden="false" customHeight="false" outlineLevel="0" collapsed="false">
      <c r="A21" s="17" t="s">
        <v>155</v>
      </c>
      <c r="B21" s="17"/>
      <c r="C21" s="17"/>
      <c r="D21" s="17"/>
      <c r="E21" s="17"/>
      <c r="F21" s="17"/>
      <c r="G21" s="47"/>
      <c r="H21" s="17"/>
      <c r="I21" s="17"/>
      <c r="J21" s="47"/>
      <c r="K21" s="48" t="n">
        <f aca="false">MIN(K$4,K$8,K$12,K$16)</f>
        <v>10420</v>
      </c>
      <c r="L21" s="48" t="n">
        <v>1256</v>
      </c>
    </row>
    <row r="22" customFormat="false" ht="15" hidden="false" customHeight="false" outlineLevel="0" collapsed="false">
      <c r="A22" s="17" t="s">
        <v>156</v>
      </c>
      <c r="B22" s="17"/>
      <c r="C22" s="17"/>
      <c r="D22" s="17"/>
      <c r="E22" s="17"/>
      <c r="F22" s="17"/>
      <c r="G22" s="47"/>
      <c r="H22" s="17"/>
      <c r="I22" s="17"/>
      <c r="J22" s="47"/>
      <c r="K22" s="48" t="n">
        <f aca="false">AVERAGE(K$4,K$8,K$12,K$16)</f>
        <v>153285</v>
      </c>
      <c r="L22" s="48"/>
    </row>
    <row r="23" customFormat="false" ht="15" hidden="false" customHeight="false" outlineLevel="0" collapsed="false">
      <c r="A23" s="17" t="s">
        <v>157</v>
      </c>
      <c r="B23" s="17"/>
      <c r="C23" s="17"/>
      <c r="D23" s="17"/>
      <c r="E23" s="17"/>
      <c r="F23" s="17"/>
      <c r="G23" s="47"/>
      <c r="H23" s="17"/>
      <c r="I23" s="17"/>
      <c r="J23" s="47"/>
      <c r="K23" s="48" t="n">
        <f aca="false">MAX(K$4,K$8,K$12,K$16)</f>
        <v>296620</v>
      </c>
      <c r="L23" s="48" t="n">
        <v>47006</v>
      </c>
    </row>
  </sheetData>
  <mergeCells count="1">
    <mergeCell ref="B1:L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5" zeroHeight="false" outlineLevelRow="0" outlineLevelCol="0"/>
  <cols>
    <col collapsed="false" customWidth="false" hidden="false" outlineLevel="0" max="1" min="1" style="1" width="11.4"/>
    <col collapsed="false" customWidth="true" hidden="false" outlineLevel="0" max="2" min="2" style="1" width="10.03"/>
    <col collapsed="false" customWidth="true" hidden="false" outlineLevel="0" max="3" min="3" style="1" width="13.22"/>
    <col collapsed="false" customWidth="true" hidden="false" outlineLevel="0" max="4" min="4" style="1" width="13.08"/>
    <col collapsed="false" customWidth="true" hidden="false" outlineLevel="0" max="5" min="5" style="1" width="10.03"/>
    <col collapsed="false" customWidth="true" hidden="false" outlineLevel="0" max="6" min="6" style="1" width="13.22"/>
    <col collapsed="false" customWidth="true" hidden="false" outlineLevel="0" max="7" min="7" style="1" width="13.08"/>
    <col collapsed="false" customWidth="true" hidden="false" outlineLevel="0" max="8" min="8" style="1" width="10.03"/>
    <col collapsed="false" customWidth="true" hidden="false" outlineLevel="0" max="9" min="9" style="1" width="13.22"/>
    <col collapsed="false" customWidth="true" hidden="false" outlineLevel="0" max="10" min="10" style="1" width="13.08"/>
    <col collapsed="false" customWidth="true" hidden="false" outlineLevel="0" max="11" min="11" style="1" width="10.03"/>
    <col collapsed="false" customWidth="true" hidden="false" outlineLevel="0" max="12" min="12" style="1" width="13.22"/>
    <col collapsed="false" customWidth="true" hidden="false" outlineLevel="0" max="13" min="13" style="1" width="13.08"/>
    <col collapsed="false" customWidth="true" hidden="false" outlineLevel="0" max="14" min="14" style="1" width="10.03"/>
    <col collapsed="false" customWidth="true" hidden="false" outlineLevel="0" max="15" min="15" style="1" width="13.22"/>
    <col collapsed="false" customWidth="true" hidden="false" outlineLevel="0" max="16" min="16" style="1" width="13.08"/>
    <col collapsed="false" customWidth="true" hidden="false" outlineLevel="0" max="17" min="17" style="16" width="10.5"/>
    <col collapsed="false" customWidth="true" hidden="false" outlineLevel="0" max="18" min="18" style="60" width="10.03"/>
    <col collapsed="false" customWidth="true" hidden="false" outlineLevel="0" max="19" min="19" style="51" width="13.22"/>
    <col collapsed="false" customWidth="true" hidden="false" outlineLevel="0" max="20" min="20" style="51" width="13.08"/>
    <col collapsed="false" customWidth="true" hidden="false" outlineLevel="0" max="21" min="21" style="61" width="10.03"/>
    <col collapsed="false" customWidth="true" hidden="false" outlineLevel="0" max="22" min="22" style="62" width="13.22"/>
    <col collapsed="false" customWidth="true" hidden="false" outlineLevel="0" max="23" min="23" style="62" width="13.08"/>
    <col collapsed="false" customWidth="true" hidden="false" outlineLevel="0" max="24" min="24" style="63" width="10.5"/>
    <col collapsed="false" customWidth="true" hidden="false" outlineLevel="0" max="25" min="25" style="64" width="10.34"/>
    <col collapsed="false" customWidth="true" hidden="false" outlineLevel="0" max="26" min="26" style="65" width="13.22"/>
    <col collapsed="false" customWidth="true" hidden="false" outlineLevel="0" max="27" min="27" style="65" width="13.08"/>
    <col collapsed="false" customWidth="true" hidden="false" outlineLevel="0" max="28" min="28" style="64" width="10.34"/>
    <col collapsed="false" customWidth="true" hidden="false" outlineLevel="0" max="29" min="29" style="65" width="13.22"/>
    <col collapsed="false" customWidth="true" hidden="false" outlineLevel="0" max="30" min="30" style="65" width="13.08"/>
    <col collapsed="false" customWidth="true" hidden="false" outlineLevel="0" max="1022" min="31" style="1" width="10.5"/>
    <col collapsed="false" customWidth="true" hidden="false" outlineLevel="0" max="1025" min="1023" style="0" width="10.5"/>
  </cols>
  <sheetData>
    <row r="1" customFormat="false" ht="15" hidden="false" customHeight="false" outlineLevel="0" collapsed="false">
      <c r="B1" s="66" t="s">
        <v>158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</row>
    <row r="2" customFormat="false" ht="15" hidden="false" customHeight="false" outlineLevel="0" collapsed="false">
      <c r="B2" s="26" t="s">
        <v>159</v>
      </c>
      <c r="C2" s="26"/>
      <c r="D2" s="26"/>
      <c r="E2" s="26" t="s">
        <v>160</v>
      </c>
      <c r="F2" s="26"/>
      <c r="G2" s="26"/>
      <c r="H2" s="26" t="s">
        <v>161</v>
      </c>
      <c r="I2" s="26"/>
      <c r="J2" s="26"/>
      <c r="K2" s="26" t="s">
        <v>162</v>
      </c>
      <c r="L2" s="26"/>
      <c r="M2" s="26"/>
      <c r="N2" s="26" t="s">
        <v>163</v>
      </c>
      <c r="O2" s="26"/>
      <c r="P2" s="26"/>
      <c r="Q2" s="67"/>
      <c r="R2" s="68" t="s">
        <v>164</v>
      </c>
      <c r="S2" s="68"/>
      <c r="T2" s="68"/>
      <c r="U2" s="69" t="s">
        <v>182</v>
      </c>
      <c r="V2" s="69"/>
      <c r="W2" s="69"/>
      <c r="X2" s="70"/>
      <c r="Y2" s="71" t="s">
        <v>166</v>
      </c>
      <c r="Z2" s="71"/>
      <c r="AA2" s="71"/>
      <c r="AB2" s="72" t="s">
        <v>183</v>
      </c>
      <c r="AC2" s="72"/>
      <c r="AD2" s="72"/>
    </row>
    <row r="3" customFormat="false" ht="15" hidden="false" customHeight="false" outlineLevel="0" collapsed="false">
      <c r="A3" s="73"/>
      <c r="B3" s="74" t="s">
        <v>184</v>
      </c>
      <c r="C3" s="74" t="s">
        <v>185</v>
      </c>
      <c r="D3" s="74" t="s">
        <v>186</v>
      </c>
      <c r="E3" s="74" t="s">
        <v>184</v>
      </c>
      <c r="F3" s="74" t="s">
        <v>185</v>
      </c>
      <c r="G3" s="74" t="s">
        <v>186</v>
      </c>
      <c r="H3" s="74" t="s">
        <v>184</v>
      </c>
      <c r="I3" s="74" t="s">
        <v>185</v>
      </c>
      <c r="J3" s="74" t="s">
        <v>186</v>
      </c>
      <c r="K3" s="74" t="s">
        <v>184</v>
      </c>
      <c r="L3" s="74" t="s">
        <v>185</v>
      </c>
      <c r="M3" s="74" t="s">
        <v>186</v>
      </c>
      <c r="N3" s="74" t="s">
        <v>184</v>
      </c>
      <c r="O3" s="74" t="s">
        <v>185</v>
      </c>
      <c r="P3" s="74" t="s">
        <v>186</v>
      </c>
      <c r="Q3" s="27"/>
      <c r="R3" s="75" t="s">
        <v>184</v>
      </c>
      <c r="S3" s="76" t="s">
        <v>185</v>
      </c>
      <c r="T3" s="76" t="s">
        <v>186</v>
      </c>
      <c r="U3" s="77" t="s">
        <v>184</v>
      </c>
      <c r="V3" s="78" t="s">
        <v>185</v>
      </c>
      <c r="W3" s="78" t="s">
        <v>186</v>
      </c>
      <c r="X3" s="53"/>
      <c r="Y3" s="79" t="s">
        <v>184</v>
      </c>
      <c r="Z3" s="80" t="s">
        <v>185</v>
      </c>
      <c r="AA3" s="80" t="s">
        <v>186</v>
      </c>
      <c r="AB3" s="79" t="s">
        <v>184</v>
      </c>
      <c r="AC3" s="80" t="s">
        <v>185</v>
      </c>
      <c r="AD3" s="80" t="s">
        <v>186</v>
      </c>
    </row>
    <row r="4" customFormat="false" ht="15" hidden="false" customHeight="false" outlineLevel="0" collapsed="false">
      <c r="A4" s="81" t="s">
        <v>177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27"/>
      <c r="R4" s="75"/>
      <c r="S4" s="76"/>
      <c r="T4" s="76"/>
      <c r="U4" s="77"/>
      <c r="V4" s="78"/>
      <c r="W4" s="78"/>
      <c r="X4" s="53"/>
      <c r="Y4" s="79"/>
      <c r="Z4" s="80"/>
      <c r="AA4" s="80"/>
      <c r="AB4" s="79"/>
      <c r="AC4" s="80"/>
      <c r="AD4" s="80"/>
    </row>
    <row r="5" s="89" customFormat="true" ht="15" hidden="false" customHeight="false" outlineLevel="0" collapsed="false">
      <c r="A5" s="82" t="s">
        <v>112</v>
      </c>
      <c r="B5" s="38" t="n">
        <v>0</v>
      </c>
      <c r="C5" s="38" t="n">
        <v>0</v>
      </c>
      <c r="D5" s="38" t="n">
        <v>0</v>
      </c>
      <c r="E5" s="38" t="n">
        <v>1.149</v>
      </c>
      <c r="F5" s="38" t="n">
        <v>0</v>
      </c>
      <c r="G5" s="38" t="n">
        <v>0</v>
      </c>
      <c r="H5" s="38" t="n">
        <v>0</v>
      </c>
      <c r="I5" s="38" t="n">
        <v>0</v>
      </c>
      <c r="J5" s="38" t="n">
        <v>0</v>
      </c>
      <c r="K5" s="38" t="n">
        <v>0</v>
      </c>
      <c r="L5" s="38" t="n">
        <v>0</v>
      </c>
      <c r="M5" s="38" t="n">
        <v>0</v>
      </c>
      <c r="N5" s="38" t="n">
        <v>0</v>
      </c>
      <c r="O5" s="38" t="n">
        <v>0</v>
      </c>
      <c r="P5" s="38" t="n">
        <v>0</v>
      </c>
      <c r="Q5" s="38"/>
      <c r="R5" s="83" t="n">
        <f aca="false">AVERAGE(B5,E5,H5,K5,N5)</f>
        <v>0.2298</v>
      </c>
      <c r="S5" s="84" t="n">
        <f aca="false">AVERAGE(C5,F5,I5,L5,O5)</f>
        <v>0</v>
      </c>
      <c r="T5" s="84" t="n">
        <f aca="false">AVERAGE(D5,G5,J5,M5,P5)</f>
        <v>0</v>
      </c>
      <c r="U5" s="85" t="n">
        <f aca="false">_xlfn.STDEV.S(B5,E5,H5,K5,N5)</f>
        <v>0.513848421229452</v>
      </c>
      <c r="V5" s="58" t="n">
        <f aca="false">_xlfn.STDEV.S(C5,F5,I5,L5,O5)</f>
        <v>0</v>
      </c>
      <c r="W5" s="58" t="n">
        <f aca="false">_xlfn.STDEV.S(D5,G5,J5,M5,P5)</f>
        <v>0</v>
      </c>
      <c r="X5" s="58"/>
      <c r="Y5" s="35" t="n">
        <f aca="false">R5/0.01</f>
        <v>22.98</v>
      </c>
      <c r="Z5" s="86" t="n">
        <f aca="false">S5/0.01</f>
        <v>0</v>
      </c>
      <c r="AA5" s="86" t="n">
        <f aca="false">T5/0.01</f>
        <v>0</v>
      </c>
      <c r="AB5" s="87" t="n">
        <f aca="false">1.96*U5/SQRT(5)/0.01</f>
        <v>45.0408</v>
      </c>
      <c r="AC5" s="88" t="n">
        <f aca="false">1.96*V5/SQRT(5)/0.01</f>
        <v>0</v>
      </c>
      <c r="AD5" s="88" t="n">
        <f aca="false">1.96*W5/SQRT(5)/0.01</f>
        <v>0</v>
      </c>
      <c r="AMI5" s="0"/>
      <c r="AMJ5" s="0"/>
    </row>
    <row r="6" customFormat="false" ht="15" hidden="false" customHeight="false" outlineLevel="0" collapsed="false">
      <c r="A6" s="1" t="s">
        <v>124</v>
      </c>
      <c r="B6" s="38" t="n">
        <v>0</v>
      </c>
      <c r="C6" s="38" t="n">
        <v>0</v>
      </c>
      <c r="D6" s="38" t="n">
        <v>0</v>
      </c>
      <c r="E6" s="38" t="n">
        <v>0.045</v>
      </c>
      <c r="F6" s="38" t="n">
        <v>0</v>
      </c>
      <c r="G6" s="38" t="n">
        <v>0</v>
      </c>
      <c r="H6" s="38" t="n">
        <v>0</v>
      </c>
      <c r="I6" s="38" t="n">
        <v>0</v>
      </c>
      <c r="J6" s="38" t="n">
        <v>0</v>
      </c>
      <c r="K6" s="38" t="n">
        <v>0</v>
      </c>
      <c r="L6" s="38" t="n">
        <v>0</v>
      </c>
      <c r="M6" s="38" t="n">
        <v>0</v>
      </c>
      <c r="N6" s="38" t="n">
        <v>0</v>
      </c>
      <c r="O6" s="38" t="n">
        <v>0</v>
      </c>
      <c r="P6" s="38" t="n">
        <v>0</v>
      </c>
      <c r="Q6" s="38"/>
      <c r="R6" s="83" t="n">
        <f aca="false">AVERAGE(B6,E6,H6,K6,N6)</f>
        <v>0.009</v>
      </c>
      <c r="S6" s="84" t="n">
        <f aca="false">AVERAGE(C6,F6,I6,L6,O6)</f>
        <v>0</v>
      </c>
      <c r="T6" s="84" t="n">
        <f aca="false">AVERAGE(D6,G6,J6,M6,P6)</f>
        <v>0</v>
      </c>
      <c r="U6" s="85" t="n">
        <f aca="false">_xlfn.STDEV.S(B6,E6,H6,K6,N6)</f>
        <v>0.0201246117974981</v>
      </c>
      <c r="V6" s="58" t="n">
        <f aca="false">_xlfn.STDEV.S(C6,F6,I6,L6,O6)</f>
        <v>0</v>
      </c>
      <c r="W6" s="58" t="n">
        <f aca="false">_xlfn.STDEV.S(D6,G6,J6,M6,P6)</f>
        <v>0</v>
      </c>
      <c r="X6" s="58"/>
      <c r="Y6" s="35" t="n">
        <f aca="false">R6/0.01</f>
        <v>0.9</v>
      </c>
      <c r="Z6" s="86" t="n">
        <f aca="false">S6/0.01</f>
        <v>0</v>
      </c>
      <c r="AA6" s="86" t="n">
        <f aca="false">T6/0.01</f>
        <v>0</v>
      </c>
      <c r="AB6" s="87" t="n">
        <f aca="false">1.96*U6/SQRT(5)/0.01</f>
        <v>1.764</v>
      </c>
      <c r="AC6" s="88" t="n">
        <f aca="false">1.96*V6/SQRT(5)/0.01</f>
        <v>0</v>
      </c>
      <c r="AD6" s="88" t="n">
        <f aca="false">1.96*W6/SQRT(5)/0.01</f>
        <v>0</v>
      </c>
    </row>
    <row r="7" customFormat="false" ht="15" hidden="false" customHeight="false" outlineLevel="0" collapsed="false">
      <c r="A7" s="1" t="s">
        <v>132</v>
      </c>
      <c r="B7" s="38" t="n">
        <v>0</v>
      </c>
      <c r="C7" s="38" t="n">
        <v>0</v>
      </c>
      <c r="D7" s="38" t="n">
        <v>0</v>
      </c>
      <c r="E7" s="38" t="n">
        <v>1.958</v>
      </c>
      <c r="F7" s="38" t="n">
        <v>0</v>
      </c>
      <c r="G7" s="38" t="n">
        <v>0</v>
      </c>
      <c r="H7" s="38" t="n">
        <v>0</v>
      </c>
      <c r="I7" s="38" t="n">
        <v>0</v>
      </c>
      <c r="J7" s="38" t="n">
        <v>0</v>
      </c>
      <c r="K7" s="38" t="n">
        <v>0</v>
      </c>
      <c r="L7" s="38" t="n">
        <v>0</v>
      </c>
      <c r="M7" s="38" t="n">
        <v>0</v>
      </c>
      <c r="N7" s="38" t="n">
        <v>0</v>
      </c>
      <c r="O7" s="38" t="n">
        <v>0</v>
      </c>
      <c r="P7" s="38" t="n">
        <v>0</v>
      </c>
      <c r="Q7" s="38"/>
      <c r="R7" s="83" t="n">
        <f aca="false">AVERAGE(B7,E7,H7,K7,N7)</f>
        <v>0.3916</v>
      </c>
      <c r="S7" s="84" t="n">
        <f aca="false">AVERAGE(C7,F7,I7,L7,O7)</f>
        <v>0</v>
      </c>
      <c r="T7" s="84" t="n">
        <f aca="false">AVERAGE(D7,G7,J7,M7,P7)</f>
        <v>0</v>
      </c>
      <c r="U7" s="85" t="n">
        <f aca="false">_xlfn.STDEV.S(B7,E7,H7,K7,N7)</f>
        <v>0.875644219988918</v>
      </c>
      <c r="V7" s="58" t="n">
        <f aca="false">_xlfn.STDEV.S(C7,F7,I7,L7,O7)</f>
        <v>0</v>
      </c>
      <c r="W7" s="58" t="n">
        <f aca="false">_xlfn.STDEV.S(D7,G7,J7,M7,P7)</f>
        <v>0</v>
      </c>
      <c r="X7" s="58"/>
      <c r="Y7" s="35" t="n">
        <f aca="false">R7/0.01</f>
        <v>39.16</v>
      </c>
      <c r="Z7" s="86" t="n">
        <f aca="false">S7/0.01</f>
        <v>0</v>
      </c>
      <c r="AA7" s="86" t="n">
        <f aca="false">T7/0.01</f>
        <v>0</v>
      </c>
      <c r="AB7" s="87" t="n">
        <f aca="false">1.96*U7/SQRT(5)/0.01</f>
        <v>76.7536</v>
      </c>
      <c r="AC7" s="88" t="n">
        <f aca="false">1.96*V7/SQRT(5)/0.01</f>
        <v>0</v>
      </c>
      <c r="AD7" s="88" t="n">
        <f aca="false">1.96*W7/SQRT(5)/0.01</f>
        <v>0</v>
      </c>
    </row>
    <row r="8" customFormat="false" ht="15" hidden="false" customHeight="false" outlineLevel="0" collapsed="false">
      <c r="A8" s="1" t="s">
        <v>135</v>
      </c>
      <c r="B8" s="38" t="n">
        <v>0</v>
      </c>
      <c r="C8" s="38" t="n">
        <v>0</v>
      </c>
      <c r="D8" s="38" t="n">
        <v>0</v>
      </c>
      <c r="E8" s="38" t="n">
        <v>0.257</v>
      </c>
      <c r="F8" s="38" t="n">
        <v>0</v>
      </c>
      <c r="G8" s="38" t="n">
        <v>0</v>
      </c>
      <c r="H8" s="38" t="n">
        <v>0</v>
      </c>
      <c r="I8" s="38" t="n">
        <v>0</v>
      </c>
      <c r="J8" s="38" t="n">
        <v>0</v>
      </c>
      <c r="K8" s="38" t="n">
        <v>0</v>
      </c>
      <c r="L8" s="38" t="n">
        <v>0</v>
      </c>
      <c r="M8" s="38" t="n">
        <v>0</v>
      </c>
      <c r="N8" s="38" t="n">
        <v>0</v>
      </c>
      <c r="O8" s="38" t="n">
        <v>0</v>
      </c>
      <c r="P8" s="38" t="n">
        <v>0</v>
      </c>
      <c r="Q8" s="38"/>
      <c r="R8" s="83" t="n">
        <f aca="false">AVERAGE(B8,E8,H8,K8,N8)</f>
        <v>0.0514</v>
      </c>
      <c r="S8" s="84" t="n">
        <f aca="false">AVERAGE(C8,F8,I8,L8,O8)</f>
        <v>0</v>
      </c>
      <c r="T8" s="84" t="n">
        <f aca="false">AVERAGE(D8,G8,J8,M8,P8)</f>
        <v>0</v>
      </c>
      <c r="U8" s="85" t="n">
        <f aca="false">_xlfn.STDEV.S(B8,E8,H8,K8,N8)</f>
        <v>0.114933894043489</v>
      </c>
      <c r="V8" s="58" t="n">
        <f aca="false">_xlfn.STDEV.S(C8,F8,I8,L8,O8)</f>
        <v>0</v>
      </c>
      <c r="W8" s="58" t="n">
        <f aca="false">_xlfn.STDEV.S(D8,G8,J8,M8,P8)</f>
        <v>0</v>
      </c>
      <c r="X8" s="58"/>
      <c r="Y8" s="35" t="n">
        <f aca="false">R8/0.01</f>
        <v>5.14</v>
      </c>
      <c r="Z8" s="86" t="n">
        <f aca="false">S8/0.01</f>
        <v>0</v>
      </c>
      <c r="AA8" s="86" t="n">
        <f aca="false">T8/0.01</f>
        <v>0</v>
      </c>
      <c r="AB8" s="87" t="n">
        <f aca="false">1.96*U8/SQRT(5)/0.01</f>
        <v>10.0744</v>
      </c>
      <c r="AC8" s="88" t="n">
        <f aca="false">1.96*V8/SQRT(5)/0.01</f>
        <v>0</v>
      </c>
      <c r="AD8" s="88" t="n">
        <f aca="false">1.96*W8/SQRT(5)/0.01</f>
        <v>0</v>
      </c>
    </row>
    <row r="9" customFormat="false" ht="15" hidden="false" customHeight="false" outlineLevel="0" collapsed="false">
      <c r="A9" s="1" t="s">
        <v>143</v>
      </c>
      <c r="B9" s="38" t="n">
        <v>0</v>
      </c>
      <c r="C9" s="38" t="n">
        <v>0</v>
      </c>
      <c r="D9" s="38" t="n">
        <v>0</v>
      </c>
      <c r="E9" s="38" t="n">
        <v>0.011</v>
      </c>
      <c r="F9" s="38" t="n">
        <v>0</v>
      </c>
      <c r="G9" s="38" t="n">
        <v>0</v>
      </c>
      <c r="H9" s="38" t="n">
        <v>0</v>
      </c>
      <c r="I9" s="38" t="n">
        <v>0</v>
      </c>
      <c r="J9" s="38" t="n">
        <v>0</v>
      </c>
      <c r="K9" s="38" t="n">
        <v>0</v>
      </c>
      <c r="L9" s="38" t="n">
        <v>0</v>
      </c>
      <c r="M9" s="38" t="n">
        <v>0</v>
      </c>
      <c r="N9" s="38" t="n">
        <v>0</v>
      </c>
      <c r="O9" s="38" t="n">
        <v>0</v>
      </c>
      <c r="P9" s="38" t="n">
        <v>0</v>
      </c>
      <c r="Q9" s="38"/>
      <c r="R9" s="83" t="n">
        <f aca="false">AVERAGE(B9,E9,H9,K9,N9)</f>
        <v>0.0022</v>
      </c>
      <c r="S9" s="84" t="n">
        <f aca="false">AVERAGE(C9,F9,I9,L9,O9)</f>
        <v>0</v>
      </c>
      <c r="T9" s="84" t="n">
        <f aca="false">AVERAGE(D9,G9,J9,M9,P9)</f>
        <v>0</v>
      </c>
      <c r="U9" s="85" t="n">
        <f aca="false">_xlfn.STDEV.S(B9,E9,H9,K9,N9)</f>
        <v>0.00491934955049954</v>
      </c>
      <c r="V9" s="58" t="n">
        <f aca="false">_xlfn.STDEV.S(C9,F9,I9,L9,O9)</f>
        <v>0</v>
      </c>
      <c r="W9" s="58" t="n">
        <f aca="false">_xlfn.STDEV.S(D9,G9,J9,M9,P9)</f>
        <v>0</v>
      </c>
      <c r="X9" s="58"/>
      <c r="Y9" s="35" t="n">
        <f aca="false">R9/0.01</f>
        <v>0.22</v>
      </c>
      <c r="Z9" s="86" t="n">
        <f aca="false">S9/0.01</f>
        <v>0</v>
      </c>
      <c r="AA9" s="86" t="n">
        <f aca="false">T9/0.01</f>
        <v>0</v>
      </c>
      <c r="AB9" s="87" t="n">
        <f aca="false">1.96*U9/SQRT(5)/0.01</f>
        <v>0.4312</v>
      </c>
      <c r="AC9" s="88" t="n">
        <f aca="false">1.96*V9/SQRT(5)/0.01</f>
        <v>0</v>
      </c>
      <c r="AD9" s="88" t="n">
        <f aca="false">1.96*W9/SQRT(5)/0.01</f>
        <v>0</v>
      </c>
    </row>
    <row r="10" s="89" customFormat="true" ht="15" hidden="false" customHeight="false" outlineLevel="0" collapsed="false">
      <c r="A10" s="1" t="s">
        <v>171</v>
      </c>
      <c r="B10" s="38" t="n">
        <v>0</v>
      </c>
      <c r="C10" s="38" t="n">
        <v>0</v>
      </c>
      <c r="D10" s="38" t="n">
        <v>0</v>
      </c>
      <c r="E10" s="38" t="n">
        <v>0.009</v>
      </c>
      <c r="F10" s="38" t="n">
        <v>0</v>
      </c>
      <c r="G10" s="38" t="n">
        <v>0</v>
      </c>
      <c r="H10" s="38" t="n">
        <v>0</v>
      </c>
      <c r="I10" s="38" t="n">
        <v>0</v>
      </c>
      <c r="J10" s="38" t="n">
        <v>0</v>
      </c>
      <c r="K10" s="38" t="n">
        <v>0</v>
      </c>
      <c r="L10" s="38" t="n">
        <v>0</v>
      </c>
      <c r="M10" s="38" t="n">
        <v>0</v>
      </c>
      <c r="N10" s="38" t="n">
        <v>0</v>
      </c>
      <c r="O10" s="38" t="n">
        <v>0</v>
      </c>
      <c r="P10" s="38" t="n">
        <v>0</v>
      </c>
      <c r="Q10" s="38"/>
      <c r="R10" s="83" t="n">
        <f aca="false">AVERAGE(B10,E10,H10,K10,N10)</f>
        <v>0.0018</v>
      </c>
      <c r="S10" s="84" t="n">
        <f aca="false">AVERAGE(C10,F10,I10,L10,O10)</f>
        <v>0</v>
      </c>
      <c r="T10" s="84" t="n">
        <f aca="false">AVERAGE(D10,G10,J10,M10,P10)</f>
        <v>0</v>
      </c>
      <c r="U10" s="85" t="n">
        <f aca="false">_xlfn.STDEV.S(B10,E10,H10,K10,N10)</f>
        <v>0.00402492235949962</v>
      </c>
      <c r="V10" s="58" t="n">
        <f aca="false">_xlfn.STDEV.S(C10,F10,I10,L10,O10)</f>
        <v>0</v>
      </c>
      <c r="W10" s="58" t="n">
        <f aca="false">_xlfn.STDEV.S(D10,G10,J10,M10,P10)</f>
        <v>0</v>
      </c>
      <c r="X10" s="58"/>
      <c r="Y10" s="35" t="n">
        <f aca="false">R10/0.01</f>
        <v>0.18</v>
      </c>
      <c r="Z10" s="86" t="n">
        <f aca="false">S10/0.01</f>
        <v>0</v>
      </c>
      <c r="AA10" s="86" t="n">
        <f aca="false">T10/0.01</f>
        <v>0</v>
      </c>
      <c r="AB10" s="87" t="n">
        <f aca="false">1.96*U10/SQRT(5)/0.01</f>
        <v>0.3528</v>
      </c>
      <c r="AC10" s="88" t="n">
        <f aca="false">1.96*V10/SQRT(5)/0.01</f>
        <v>0</v>
      </c>
      <c r="AD10" s="88" t="n">
        <f aca="false">1.96*W10/SQRT(5)/0.01</f>
        <v>0</v>
      </c>
      <c r="AMI10" s="0"/>
      <c r="AMJ10" s="0"/>
    </row>
    <row r="11" customFormat="false" ht="15" hidden="false" customHeight="false" outlineLevel="0" collapsed="false">
      <c r="A11" s="1" t="s">
        <v>172</v>
      </c>
      <c r="B11" s="38" t="n">
        <v>0</v>
      </c>
      <c r="C11" s="38" t="n">
        <v>0</v>
      </c>
      <c r="D11" s="38" t="n">
        <v>0</v>
      </c>
      <c r="E11" s="38" t="n">
        <v>0.13</v>
      </c>
      <c r="F11" s="38" t="n">
        <v>0</v>
      </c>
      <c r="G11" s="38" t="n">
        <v>0</v>
      </c>
      <c r="H11" s="38" t="n">
        <v>0</v>
      </c>
      <c r="I11" s="38" t="n">
        <v>0</v>
      </c>
      <c r="J11" s="38" t="n">
        <v>0</v>
      </c>
      <c r="K11" s="38" t="n">
        <v>0</v>
      </c>
      <c r="L11" s="38" t="n">
        <v>0</v>
      </c>
      <c r="M11" s="38" t="n">
        <v>0</v>
      </c>
      <c r="N11" s="38" t="n">
        <v>0</v>
      </c>
      <c r="O11" s="38" t="n">
        <v>0</v>
      </c>
      <c r="P11" s="38" t="n">
        <v>0</v>
      </c>
      <c r="Q11" s="38"/>
      <c r="R11" s="83" t="n">
        <f aca="false">AVERAGE(B11,E11,H11,K11,N11)</f>
        <v>0.026</v>
      </c>
      <c r="S11" s="84" t="n">
        <f aca="false">AVERAGE(C11,F11,I11,L11,O11)</f>
        <v>0</v>
      </c>
      <c r="T11" s="84" t="n">
        <f aca="false">AVERAGE(D11,G11,J11,M11,P11)</f>
        <v>0</v>
      </c>
      <c r="U11" s="85" t="n">
        <f aca="false">_xlfn.STDEV.S(B11,E11,H11,K11,N11)</f>
        <v>0.0581377674149945</v>
      </c>
      <c r="V11" s="58" t="n">
        <f aca="false">_xlfn.STDEV.S(C11,F11,I11,L11,O11)</f>
        <v>0</v>
      </c>
      <c r="W11" s="58" t="n">
        <f aca="false">_xlfn.STDEV.S(D11,G11,J11,M11,P11)</f>
        <v>0</v>
      </c>
      <c r="X11" s="58"/>
      <c r="Y11" s="35" t="n">
        <f aca="false">R11/0.01</f>
        <v>2.6</v>
      </c>
      <c r="Z11" s="86" t="n">
        <f aca="false">S11/0.01</f>
        <v>0</v>
      </c>
      <c r="AA11" s="86" t="n">
        <f aca="false">T11/0.01</f>
        <v>0</v>
      </c>
      <c r="AB11" s="87" t="n">
        <f aca="false">1.96*U11/SQRT(5)/0.01</f>
        <v>5.096</v>
      </c>
      <c r="AC11" s="88" t="n">
        <f aca="false">1.96*V11/SQRT(5)/0.01</f>
        <v>0</v>
      </c>
      <c r="AD11" s="88" t="n">
        <f aca="false">1.96*W11/SQRT(5)/0.01</f>
        <v>0</v>
      </c>
    </row>
    <row r="12" customFormat="false" ht="15" hidden="false" customHeight="false" outlineLevel="0" collapsed="false">
      <c r="A12" s="90" t="s">
        <v>187</v>
      </c>
      <c r="B12" s="91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38"/>
      <c r="R12" s="92"/>
      <c r="S12" s="92"/>
      <c r="T12" s="92"/>
      <c r="U12" s="92"/>
      <c r="V12" s="92"/>
      <c r="W12" s="92"/>
      <c r="X12" s="58"/>
      <c r="Y12" s="93" t="n">
        <f aca="false">MIN(Y5:Y11)</f>
        <v>0.18</v>
      </c>
      <c r="Z12" s="94" t="n">
        <f aca="false">MIN(Z5:Z11)</f>
        <v>0</v>
      </c>
      <c r="AA12" s="94" t="n">
        <f aca="false">MIN(AA5:AA11)</f>
        <v>0</v>
      </c>
      <c r="AB12" s="93" t="n">
        <v>0.4</v>
      </c>
      <c r="AC12" s="94" t="n">
        <v>0</v>
      </c>
      <c r="AD12" s="94" t="n">
        <v>0</v>
      </c>
    </row>
    <row r="13" customFormat="false" ht="15" hidden="false" customHeight="false" outlineLevel="0" collapsed="false">
      <c r="A13" s="90" t="s">
        <v>188</v>
      </c>
      <c r="B13" s="91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38"/>
      <c r="R13" s="92"/>
      <c r="S13" s="92"/>
      <c r="T13" s="92"/>
      <c r="U13" s="92"/>
      <c r="V13" s="92"/>
      <c r="W13" s="92"/>
      <c r="X13" s="58"/>
      <c r="Y13" s="93" t="n">
        <f aca="false">AVERAGE(Y5:Y11)</f>
        <v>10.1685714285714</v>
      </c>
      <c r="Z13" s="94" t="n">
        <f aca="false">AVERAGE(Z5:Z11)</f>
        <v>0</v>
      </c>
      <c r="AA13" s="94" t="n">
        <f aca="false">AVERAGE(AA5:AA11)</f>
        <v>0</v>
      </c>
      <c r="AB13" s="93"/>
      <c r="AC13" s="94"/>
      <c r="AD13" s="94"/>
    </row>
    <row r="14" customFormat="false" ht="15" hidden="false" customHeight="false" outlineLevel="0" collapsed="false">
      <c r="A14" s="90" t="s">
        <v>189</v>
      </c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38"/>
      <c r="R14" s="92"/>
      <c r="S14" s="92"/>
      <c r="T14" s="92"/>
      <c r="U14" s="92"/>
      <c r="V14" s="92"/>
      <c r="W14" s="92"/>
      <c r="X14" s="58"/>
      <c r="Y14" s="93" t="n">
        <f aca="false">MAX(Y5:Y11)</f>
        <v>39.16</v>
      </c>
      <c r="Z14" s="94" t="n">
        <f aca="false">MAX(Z5:Z11)</f>
        <v>0</v>
      </c>
      <c r="AA14" s="94" t="n">
        <f aca="false">MAX(AA5:AA11)</f>
        <v>0</v>
      </c>
      <c r="AB14" s="93" t="n">
        <v>76.8</v>
      </c>
      <c r="AC14" s="94" t="n">
        <v>0</v>
      </c>
      <c r="AD14" s="94" t="n">
        <v>0</v>
      </c>
    </row>
    <row r="15" s="16" customFormat="true" ht="15" hidden="false" customHeight="false" outlineLevel="0" collapsed="false">
      <c r="A15" s="95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96"/>
      <c r="S15" s="84"/>
      <c r="T15" s="84"/>
      <c r="U15" s="97"/>
      <c r="V15" s="58"/>
      <c r="W15" s="58"/>
      <c r="X15" s="58"/>
      <c r="Y15" s="35"/>
      <c r="Z15" s="86"/>
      <c r="AA15" s="86"/>
      <c r="AB15" s="35"/>
      <c r="AC15" s="86"/>
      <c r="AD15" s="86"/>
      <c r="AMI15" s="0"/>
      <c r="AMJ15" s="0"/>
    </row>
    <row r="16" customFormat="false" ht="15" hidden="false" customHeight="false" outlineLevel="0" collapsed="false">
      <c r="A16" s="81" t="s">
        <v>181</v>
      </c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27"/>
      <c r="R16" s="75"/>
      <c r="S16" s="76"/>
      <c r="T16" s="76"/>
      <c r="U16" s="77"/>
      <c r="V16" s="78"/>
      <c r="W16" s="78"/>
      <c r="X16" s="53"/>
      <c r="Y16" s="79"/>
      <c r="Z16" s="80"/>
      <c r="AA16" s="80"/>
      <c r="AB16" s="79"/>
      <c r="AC16" s="80"/>
      <c r="AD16" s="80"/>
    </row>
    <row r="17" customFormat="false" ht="15" hidden="false" customHeight="false" outlineLevel="0" collapsed="false">
      <c r="A17" s="82" t="s">
        <v>112</v>
      </c>
      <c r="B17" s="38" t="n">
        <v>1.78</v>
      </c>
      <c r="C17" s="38" t="n">
        <v>4275</v>
      </c>
      <c r="D17" s="38" t="n">
        <v>17976</v>
      </c>
      <c r="E17" s="38" t="n">
        <v>1.828</v>
      </c>
      <c r="F17" s="38" t="n">
        <v>4345</v>
      </c>
      <c r="G17" s="38" t="n">
        <v>18275</v>
      </c>
      <c r="H17" s="38" t="n">
        <v>1.814</v>
      </c>
      <c r="I17" s="38" t="n">
        <v>4294</v>
      </c>
      <c r="J17" s="38" t="n">
        <v>18635</v>
      </c>
      <c r="K17" s="38" t="n">
        <v>1.756</v>
      </c>
      <c r="L17" s="38" t="n">
        <v>4184</v>
      </c>
      <c r="M17" s="38" t="n">
        <v>16639</v>
      </c>
      <c r="N17" s="38" t="n">
        <v>1.796</v>
      </c>
      <c r="O17" s="38" t="n">
        <v>4218</v>
      </c>
      <c r="P17" s="38" t="n">
        <v>16989</v>
      </c>
      <c r="Q17" s="38"/>
      <c r="R17" s="83" t="n">
        <f aca="false">AVERAGE(B17,E17,H17,K17,N17)</f>
        <v>1.7948</v>
      </c>
      <c r="S17" s="84" t="n">
        <f aca="false">AVERAGE(C17,F17,I17,L17,O17)</f>
        <v>4263.2</v>
      </c>
      <c r="T17" s="84" t="n">
        <f aca="false">AVERAGE(D17,G17,J17,M17,P17)</f>
        <v>17702.8</v>
      </c>
      <c r="U17" s="85" t="n">
        <f aca="false">_xlfn.STDEV.S(B17,E17,H17,K17,N52)</f>
        <v>0.0326343377441615</v>
      </c>
      <c r="V17" s="58" t="n">
        <f aca="false">_xlfn.STDEV.S(C17,F17,I17,L17,O17)</f>
        <v>63.4326414395617</v>
      </c>
      <c r="W17" s="58" t="n">
        <f aca="false">_xlfn.STDEV.S(D17,G17,J17,M17,P17)</f>
        <v>853.262679366677</v>
      </c>
      <c r="X17" s="58"/>
      <c r="Y17" s="35" t="n">
        <f aca="false">R17/0.01</f>
        <v>179.48</v>
      </c>
      <c r="Z17" s="86" t="n">
        <f aca="false">S17/0.01</f>
        <v>426320</v>
      </c>
      <c r="AA17" s="86" t="n">
        <f aca="false">T17/0.01</f>
        <v>1770280</v>
      </c>
      <c r="AB17" s="87" t="n">
        <f aca="false">1.96*U17/SQRT(5)/0.01</f>
        <v>2.86052582578798</v>
      </c>
      <c r="AC17" s="88" t="n">
        <f aca="false">1.96*V17/SQRT(5)/0.01</f>
        <v>5560.11617144822</v>
      </c>
      <c r="AD17" s="88" t="n">
        <f aca="false">1.96*W17/SQRT(5)/0.01</f>
        <v>74791.7714661178</v>
      </c>
    </row>
    <row r="18" customFormat="false" ht="15" hidden="false" customHeight="false" outlineLevel="0" collapsed="false">
      <c r="A18" s="1" t="s">
        <v>124</v>
      </c>
      <c r="B18" s="38" t="n">
        <v>0.037</v>
      </c>
      <c r="C18" s="38" t="n">
        <v>130</v>
      </c>
      <c r="D18" s="38" t="n">
        <v>148</v>
      </c>
      <c r="E18" s="38" t="n">
        <v>0.041</v>
      </c>
      <c r="F18" s="38" t="n">
        <v>136</v>
      </c>
      <c r="G18" s="38" t="n">
        <v>204</v>
      </c>
      <c r="H18" s="38" t="n">
        <v>0.036</v>
      </c>
      <c r="I18" s="38" t="n">
        <v>130</v>
      </c>
      <c r="J18" s="38" t="n">
        <v>172</v>
      </c>
      <c r="K18" s="38" t="n">
        <v>0.033</v>
      </c>
      <c r="L18" s="38" t="n">
        <v>121</v>
      </c>
      <c r="M18" s="38" t="n">
        <v>159</v>
      </c>
      <c r="N18" s="38" t="n">
        <v>0.038</v>
      </c>
      <c r="O18" s="38" t="n">
        <v>153</v>
      </c>
      <c r="P18" s="38" t="n">
        <v>187</v>
      </c>
      <c r="Q18" s="38"/>
      <c r="R18" s="83" t="n">
        <f aca="false">AVERAGE(B18,E18,H18,K18,N18)</f>
        <v>0.037</v>
      </c>
      <c r="S18" s="84" t="n">
        <f aca="false">AVERAGE(C18,F18,I18,L18,O18)</f>
        <v>134</v>
      </c>
      <c r="T18" s="84" t="n">
        <f aca="false">AVERAGE(D18,G18,J18,M18,P18)</f>
        <v>174</v>
      </c>
      <c r="U18" s="85" t="n">
        <f aca="false">_xlfn.STDEV.S(B18,E18,H18,K18,N53)</f>
        <v>0.00330403793359984</v>
      </c>
      <c r="V18" s="58" t="n">
        <f aca="false">_xlfn.STDEV.S(C18,F18,I18,L18,O18)</f>
        <v>11.8953772533703</v>
      </c>
      <c r="W18" s="58" t="n">
        <f aca="false">_xlfn.STDEV.S(D18,G18,J18,M18,P18)</f>
        <v>22.2148598915231</v>
      </c>
      <c r="X18" s="58"/>
      <c r="Y18" s="35" t="n">
        <f aca="false">R18/0.01</f>
        <v>3.7</v>
      </c>
      <c r="Z18" s="86" t="n">
        <f aca="false">S18/0.01</f>
        <v>13400</v>
      </c>
      <c r="AA18" s="86" t="n">
        <f aca="false">T18/0.01</f>
        <v>17400</v>
      </c>
      <c r="AB18" s="87" t="n">
        <f aca="false">1.96*U18/SQRT(5)/0.01</f>
        <v>0.289611694054873</v>
      </c>
      <c r="AC18" s="88" t="n">
        <f aca="false">1.96*V18/SQRT(5)/0.01</f>
        <v>1042.6757885364</v>
      </c>
      <c r="AD18" s="88" t="n">
        <f aca="false">1.96*W18/SQRT(5)/0.01</f>
        <v>1947.2183236607</v>
      </c>
    </row>
    <row r="19" s="89" customFormat="true" ht="15" hidden="false" customHeight="false" outlineLevel="0" collapsed="false">
      <c r="A19" s="1" t="s">
        <v>132</v>
      </c>
      <c r="B19" s="38" t="n">
        <v>2.391</v>
      </c>
      <c r="C19" s="38" t="n">
        <v>7009</v>
      </c>
      <c r="D19" s="38" t="n">
        <v>64664</v>
      </c>
      <c r="E19" s="38" t="n">
        <v>2.426</v>
      </c>
      <c r="F19" s="38" t="n">
        <v>7090</v>
      </c>
      <c r="G19" s="38" t="n">
        <v>65643</v>
      </c>
      <c r="H19" s="38" t="n">
        <v>2.424999</v>
      </c>
      <c r="I19" s="38" t="n">
        <v>7005</v>
      </c>
      <c r="J19" s="38" t="n">
        <v>64084</v>
      </c>
      <c r="K19" s="38" t="n">
        <v>2.388</v>
      </c>
      <c r="L19" s="38" t="n">
        <v>6954</v>
      </c>
      <c r="M19" s="38" t="n">
        <v>61035</v>
      </c>
      <c r="N19" s="38" t="n">
        <v>2.334</v>
      </c>
      <c r="O19" s="38" t="n">
        <v>7003</v>
      </c>
      <c r="P19" s="38" t="n">
        <v>61948</v>
      </c>
      <c r="Q19" s="38"/>
      <c r="R19" s="83" t="n">
        <f aca="false">AVERAGE(B19,E19,H19,K19,N19)</f>
        <v>2.3927998</v>
      </c>
      <c r="S19" s="84" t="n">
        <f aca="false">AVERAGE(C19,F19,I19,L19,O19)</f>
        <v>7012.2</v>
      </c>
      <c r="T19" s="84" t="n">
        <f aca="false">AVERAGE(D19,G19,J19,M19,P19)</f>
        <v>63474.8</v>
      </c>
      <c r="U19" s="85" t="n">
        <f aca="false">_xlfn.STDEV.S(B19,E19,H19,K19,N54)</f>
        <v>0.0208243847508157</v>
      </c>
      <c r="V19" s="58" t="n">
        <f aca="false">_xlfn.STDEV.S(C19,F19,I19,L19,O19)</f>
        <v>48.9561027860674</v>
      </c>
      <c r="W19" s="58" t="n">
        <f aca="false">_xlfn.STDEV.S(D19,G19,J19,M19,P19)</f>
        <v>1921.59795482822</v>
      </c>
      <c r="X19" s="58"/>
      <c r="Y19" s="35" t="n">
        <f aca="false">R19/0.01</f>
        <v>239.27998</v>
      </c>
      <c r="Z19" s="86" t="n">
        <f aca="false">S19/0.01</f>
        <v>701220</v>
      </c>
      <c r="AA19" s="86" t="n">
        <f aca="false">T19/0.01</f>
        <v>6347480</v>
      </c>
      <c r="AB19" s="87" t="n">
        <f aca="false">1.96*U19/SQRT(5)/0.01</f>
        <v>1.82533780378341</v>
      </c>
      <c r="AC19" s="88" t="n">
        <f aca="false">1.96*V19/SQRT(5)/0.01</f>
        <v>4291.19161073005</v>
      </c>
      <c r="AD19" s="88" t="n">
        <f aca="false">1.96*W19/SQRT(5)/0.01</f>
        <v>168435.487174882</v>
      </c>
      <c r="AMI19" s="0"/>
      <c r="AMJ19" s="0"/>
    </row>
    <row r="20" customFormat="false" ht="15" hidden="false" customHeight="false" outlineLevel="0" collapsed="false">
      <c r="A20" s="1" t="s">
        <v>135</v>
      </c>
      <c r="B20" s="38" t="n">
        <v>0.311</v>
      </c>
      <c r="C20" s="38" t="n">
        <v>1665</v>
      </c>
      <c r="D20" s="38" t="n">
        <v>3699</v>
      </c>
      <c r="E20" s="38" t="n">
        <v>0.327</v>
      </c>
      <c r="F20" s="38" t="n">
        <v>1716</v>
      </c>
      <c r="G20" s="38" t="n">
        <v>3994</v>
      </c>
      <c r="H20" s="38" t="n">
        <v>0.336</v>
      </c>
      <c r="I20" s="38" t="n">
        <v>1697</v>
      </c>
      <c r="J20" s="38" t="n">
        <v>3669</v>
      </c>
      <c r="K20" s="38" t="n">
        <v>0.31</v>
      </c>
      <c r="L20" s="38" t="n">
        <v>1671</v>
      </c>
      <c r="M20" s="38" t="n">
        <v>3433</v>
      </c>
      <c r="N20" s="38" t="n">
        <v>0.317</v>
      </c>
      <c r="O20" s="38" t="n">
        <v>1700</v>
      </c>
      <c r="P20" s="38" t="n">
        <v>3610</v>
      </c>
      <c r="Q20" s="38"/>
      <c r="R20" s="83" t="n">
        <f aca="false">AVERAGE(B20,E20,H20,K20,N20)</f>
        <v>0.3202</v>
      </c>
      <c r="S20" s="84" t="n">
        <f aca="false">AVERAGE(C20,F20,I20,L20,O20)</f>
        <v>1689.8</v>
      </c>
      <c r="T20" s="84" t="n">
        <f aca="false">AVERAGE(D20,G20,J20,M20,P20)</f>
        <v>3681</v>
      </c>
      <c r="U20" s="85" t="n">
        <f aca="false">_xlfn.STDEV.S(B20,E20,H20,K20,N55)</f>
        <v>0.012675435561221</v>
      </c>
      <c r="V20" s="58" t="n">
        <f aca="false">_xlfn.STDEV.S(C20,F20,I20,L20,O20)</f>
        <v>21.2767478717966</v>
      </c>
      <c r="W20" s="58" t="n">
        <f aca="false">_xlfn.STDEV.S(D20,G20,J20,M20,P20)</f>
        <v>203.089881579561</v>
      </c>
      <c r="X20" s="58"/>
      <c r="Y20" s="35" t="n">
        <f aca="false">R20/0.01</f>
        <v>32.02</v>
      </c>
      <c r="Z20" s="86" t="n">
        <f aca="false">S20/0.01</f>
        <v>168980</v>
      </c>
      <c r="AA20" s="86" t="n">
        <f aca="false">T20/0.01</f>
        <v>368100</v>
      </c>
      <c r="AB20" s="87" t="n">
        <f aca="false">1.96*U20/SQRT(5)/0.01</f>
        <v>1.11105091392489</v>
      </c>
      <c r="AC20" s="88" t="n">
        <f aca="false">1.96*V20/SQRT(5)/0.01</f>
        <v>1864.98917959328</v>
      </c>
      <c r="AD20" s="88" t="n">
        <f aca="false">1.96*W20/SQRT(5)/0.01</f>
        <v>17801.6130055678</v>
      </c>
    </row>
    <row r="21" customFormat="false" ht="15" hidden="false" customHeight="false" outlineLevel="0" collapsed="false">
      <c r="A21" s="1" t="s">
        <v>143</v>
      </c>
      <c r="B21" s="38" t="n">
        <v>0.013</v>
      </c>
      <c r="C21" s="38" t="n">
        <v>23</v>
      </c>
      <c r="D21" s="38" t="n">
        <v>30</v>
      </c>
      <c r="E21" s="38" t="n">
        <v>0.01</v>
      </c>
      <c r="F21" s="38" t="n">
        <v>11</v>
      </c>
      <c r="G21" s="38" t="n">
        <v>19</v>
      </c>
      <c r="H21" s="38" t="n">
        <v>0.012</v>
      </c>
      <c r="I21" s="38" t="n">
        <v>19</v>
      </c>
      <c r="J21" s="38" t="n">
        <v>22</v>
      </c>
      <c r="K21" s="38" t="n">
        <v>0.014</v>
      </c>
      <c r="L21" s="38" t="n">
        <v>17</v>
      </c>
      <c r="M21" s="38" t="n">
        <v>24</v>
      </c>
      <c r="N21" s="38" t="n">
        <v>0.011</v>
      </c>
      <c r="O21" s="38" t="n">
        <v>16</v>
      </c>
      <c r="P21" s="38" t="n">
        <v>25</v>
      </c>
      <c r="Q21" s="38"/>
      <c r="R21" s="83" t="n">
        <f aca="false">AVERAGE(B21,E21,H21,K21,N21)</f>
        <v>0.012</v>
      </c>
      <c r="S21" s="84" t="n">
        <f aca="false">AVERAGE(C21,F21,I21,L21,O21)</f>
        <v>17.2</v>
      </c>
      <c r="T21" s="84" t="n">
        <f aca="false">AVERAGE(D21,G21,J21,M21,P21)</f>
        <v>24</v>
      </c>
      <c r="U21" s="85" t="n">
        <f aca="false">_xlfn.STDEV.S(B21,E21,H21,K21,N56)</f>
        <v>0.00170782512765993</v>
      </c>
      <c r="V21" s="58" t="n">
        <f aca="false">_xlfn.STDEV.S(C21,F21,I21,L21,O21)</f>
        <v>4.38178046004133</v>
      </c>
      <c r="W21" s="58" t="n">
        <f aca="false">_xlfn.STDEV.S(D21,G21,J21,M21,P21)</f>
        <v>4.06201920231798</v>
      </c>
      <c r="X21" s="58"/>
      <c r="Y21" s="35" t="n">
        <f aca="false">R21/0.01</f>
        <v>1.2</v>
      </c>
      <c r="Z21" s="86" t="n">
        <f aca="false">S21/0.01</f>
        <v>1720</v>
      </c>
      <c r="AA21" s="86" t="n">
        <f aca="false">T21/0.01</f>
        <v>2400</v>
      </c>
      <c r="AB21" s="87" t="n">
        <f aca="false">1.96*U21/SQRT(5)/0.01</f>
        <v>0.149697472701891</v>
      </c>
      <c r="AC21" s="88" t="n">
        <f aca="false">1.96*V21/SQRT(5)/0.01</f>
        <v>384.079991668402</v>
      </c>
      <c r="AD21" s="88" t="n">
        <f aca="false">1.96*W21/SQRT(5)/0.01</f>
        <v>356.051681641865</v>
      </c>
    </row>
    <row r="22" customFormat="false" ht="15" hidden="false" customHeight="false" outlineLevel="0" collapsed="false">
      <c r="A22" s="1" t="s">
        <v>171</v>
      </c>
      <c r="B22" s="38" t="n">
        <v>0.012</v>
      </c>
      <c r="C22" s="38" t="n">
        <v>19</v>
      </c>
      <c r="D22" s="38" t="n">
        <v>27</v>
      </c>
      <c r="E22" s="38" t="n">
        <v>0.009</v>
      </c>
      <c r="F22" s="38" t="n">
        <v>9</v>
      </c>
      <c r="G22" s="38" t="n">
        <v>18</v>
      </c>
      <c r="H22" s="38" t="n">
        <v>0.011</v>
      </c>
      <c r="I22" s="38" t="n">
        <v>19</v>
      </c>
      <c r="J22" s="38" t="n">
        <v>21</v>
      </c>
      <c r="K22" s="38" t="n">
        <v>0.013</v>
      </c>
      <c r="L22" s="38" t="n">
        <v>16</v>
      </c>
      <c r="M22" s="38" t="n">
        <v>23</v>
      </c>
      <c r="N22" s="38" t="n">
        <v>0.011</v>
      </c>
      <c r="O22" s="38" t="n">
        <v>16</v>
      </c>
      <c r="P22" s="38" t="n">
        <v>25</v>
      </c>
      <c r="Q22" s="38"/>
      <c r="R22" s="83" t="n">
        <f aca="false">AVERAGE(B22,E22,H22,K22,N22)</f>
        <v>0.0112</v>
      </c>
      <c r="S22" s="84" t="n">
        <f aca="false">AVERAGE(C22,F22,I22,L22,O22)</f>
        <v>15.8</v>
      </c>
      <c r="T22" s="84" t="n">
        <f aca="false">AVERAGE(D22,G22,J22,M22,P22)</f>
        <v>22.8</v>
      </c>
      <c r="U22" s="85" t="n">
        <f aca="false">_xlfn.STDEV.S(B22,E22,H22,K22,N57)</f>
        <v>0.00170782512765993</v>
      </c>
      <c r="V22" s="58" t="n">
        <f aca="false">_xlfn.STDEV.S(C22,F22,I22,L22,O22)</f>
        <v>4.08656334834051</v>
      </c>
      <c r="W22" s="58" t="n">
        <f aca="false">_xlfn.STDEV.S(D22,G22,J22,M22,P22)</f>
        <v>3.4928498393146</v>
      </c>
      <c r="X22" s="58"/>
      <c r="Y22" s="35" t="n">
        <f aca="false">R22/0.01</f>
        <v>1.12</v>
      </c>
      <c r="Z22" s="86" t="n">
        <f aca="false">S22/0.01</f>
        <v>1580</v>
      </c>
      <c r="AA22" s="86" t="n">
        <f aca="false">T22/0.01</f>
        <v>2280</v>
      </c>
      <c r="AB22" s="87" t="n">
        <f aca="false">1.96*U22/SQRT(5)/0.01</f>
        <v>0.149697472701891</v>
      </c>
      <c r="AC22" s="88" t="n">
        <f aca="false">1.96*V22/SQRT(5)/0.01</f>
        <v>358.203070896942</v>
      </c>
      <c r="AD22" s="88" t="n">
        <f aca="false">1.96*W22/SQRT(5)/0.01</f>
        <v>306.161787295541</v>
      </c>
    </row>
    <row r="23" customFormat="false" ht="15" hidden="false" customHeight="false" outlineLevel="0" collapsed="false">
      <c r="A23" s="90" t="s">
        <v>172</v>
      </c>
      <c r="B23" s="38" t="n">
        <v>0.127</v>
      </c>
      <c r="C23" s="38" t="n">
        <v>695</v>
      </c>
      <c r="D23" s="38" t="n">
        <v>733</v>
      </c>
      <c r="E23" s="38" t="n">
        <v>0.124</v>
      </c>
      <c r="F23" s="38" t="n">
        <v>682</v>
      </c>
      <c r="G23" s="38" t="n">
        <v>745</v>
      </c>
      <c r="H23" s="38" t="n">
        <v>0.132</v>
      </c>
      <c r="I23" s="38" t="n">
        <v>700</v>
      </c>
      <c r="J23" s="38" t="n">
        <v>705</v>
      </c>
      <c r="K23" s="38" t="n">
        <v>0.124</v>
      </c>
      <c r="L23" s="38" t="n">
        <v>620</v>
      </c>
      <c r="M23" s="38" t="n">
        <v>654</v>
      </c>
      <c r="N23" s="38" t="n">
        <v>0.124</v>
      </c>
      <c r="O23" s="38" t="n">
        <v>617</v>
      </c>
      <c r="P23" s="38" t="n">
        <v>671</v>
      </c>
      <c r="Q23" s="38"/>
      <c r="R23" s="83" t="n">
        <f aca="false">AVERAGE(B23,E23,H23,K23,N23)</f>
        <v>0.1262</v>
      </c>
      <c r="S23" s="84" t="n">
        <f aca="false">AVERAGE(C23,F23,I23,L23,O23)</f>
        <v>662.8</v>
      </c>
      <c r="T23" s="84" t="n">
        <f aca="false">AVERAGE(D23,G23,J23,M23,P23)</f>
        <v>701.6</v>
      </c>
      <c r="U23" s="85" t="n">
        <f aca="false">_xlfn.STDEV.S(B23,E23,H23,K23,N58)</f>
        <v>0.00377491721763538</v>
      </c>
      <c r="V23" s="58" t="n">
        <f aca="false">_xlfn.STDEV.S(C23,F23,I23,L23,O23)</f>
        <v>40.9841432751741</v>
      </c>
      <c r="W23" s="58" t="n">
        <f aca="false">_xlfn.STDEV.S(D23,G23,J23,M23,P23)</f>
        <v>38.9974358131403</v>
      </c>
      <c r="X23" s="58"/>
      <c r="Y23" s="35" t="n">
        <f aca="false">R23/0.01</f>
        <v>12.62</v>
      </c>
      <c r="Z23" s="86" t="n">
        <f aca="false">S23/0.01</f>
        <v>66280</v>
      </c>
      <c r="AA23" s="86" t="n">
        <f aca="false">T23/0.01</f>
        <v>70160</v>
      </c>
      <c r="AB23" s="87" t="n">
        <f aca="false">1.96*U23/SQRT(5)/0.01</f>
        <v>0.330886083116229</v>
      </c>
      <c r="AC23" s="88" t="n">
        <f aca="false">1.96*V23/SQRT(5)/0.01</f>
        <v>3592.4185502249</v>
      </c>
      <c r="AD23" s="88" t="n">
        <f aca="false">1.96*W23/SQRT(5)/0.01</f>
        <v>3418.27596311357</v>
      </c>
    </row>
    <row r="24" customFormat="false" ht="15" hidden="false" customHeight="false" outlineLevel="0" collapsed="false">
      <c r="A24" s="90" t="s">
        <v>187</v>
      </c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38"/>
      <c r="R24" s="92"/>
      <c r="S24" s="94"/>
      <c r="T24" s="94"/>
      <c r="U24" s="98"/>
      <c r="V24" s="99"/>
      <c r="W24" s="99"/>
      <c r="X24" s="58"/>
      <c r="Y24" s="93" t="n">
        <f aca="false">MIN(Y17:Y23)</f>
        <v>1.12</v>
      </c>
      <c r="Z24" s="94" t="n">
        <f aca="false">MIN(Z17:Z23)</f>
        <v>1580</v>
      </c>
      <c r="AA24" s="94" t="n">
        <f aca="false">MIN(AA17:AA23)</f>
        <v>2280</v>
      </c>
      <c r="AB24" s="93" t="n">
        <v>0.1</v>
      </c>
      <c r="AC24" s="94" t="n">
        <v>358</v>
      </c>
      <c r="AD24" s="94" t="n">
        <v>306</v>
      </c>
    </row>
    <row r="25" customFormat="false" ht="15" hidden="false" customHeight="false" outlineLevel="0" collapsed="false">
      <c r="A25" s="90" t="s">
        <v>188</v>
      </c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38"/>
      <c r="R25" s="92"/>
      <c r="S25" s="94"/>
      <c r="T25" s="94"/>
      <c r="U25" s="98"/>
      <c r="V25" s="99"/>
      <c r="W25" s="99"/>
      <c r="X25" s="58"/>
      <c r="Y25" s="93" t="n">
        <f aca="false">AVERAGE(Y17:Y23)</f>
        <v>67.0599971428571</v>
      </c>
      <c r="Z25" s="94" t="n">
        <f aca="false">AVERAGE(Z17:Z23)</f>
        <v>197071.428571429</v>
      </c>
      <c r="AA25" s="94" t="n">
        <f aca="false">AVERAGE(AA17:AA23)</f>
        <v>1225442.85714286</v>
      </c>
      <c r="AB25" s="93"/>
      <c r="AC25" s="94"/>
      <c r="AD25" s="94"/>
    </row>
    <row r="26" customFormat="false" ht="15" hidden="false" customHeight="false" outlineLevel="0" collapsed="false">
      <c r="A26" s="90" t="s">
        <v>189</v>
      </c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38"/>
      <c r="R26" s="92"/>
      <c r="S26" s="94"/>
      <c r="T26" s="94"/>
      <c r="U26" s="98"/>
      <c r="V26" s="99"/>
      <c r="W26" s="99"/>
      <c r="X26" s="58"/>
      <c r="Y26" s="93" t="n">
        <f aca="false">MAX(Y17:Y23)</f>
        <v>239.27998</v>
      </c>
      <c r="Z26" s="94" t="n">
        <f aca="false">MAX(Z17:Z23)</f>
        <v>701220</v>
      </c>
      <c r="AA26" s="94" t="n">
        <f aca="false">MAX(AA17:AA23)</f>
        <v>6347480</v>
      </c>
      <c r="AB26" s="93" t="n">
        <v>1.8</v>
      </c>
      <c r="AC26" s="94" t="n">
        <v>4291</v>
      </c>
      <c r="AD26" s="94" t="n">
        <v>168435</v>
      </c>
    </row>
    <row r="27" s="16" customFormat="true" ht="15" hidden="false" customHeight="false" outlineLevel="0" collapsed="false">
      <c r="A27" s="95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96"/>
      <c r="S27" s="84"/>
      <c r="T27" s="84"/>
      <c r="U27" s="97"/>
      <c r="V27" s="58"/>
      <c r="W27" s="58"/>
      <c r="X27" s="58"/>
      <c r="Y27" s="35"/>
      <c r="Z27" s="86"/>
      <c r="AA27" s="86"/>
      <c r="AB27" s="35"/>
      <c r="AC27" s="86"/>
      <c r="AD27" s="86"/>
      <c r="AMI27" s="0"/>
      <c r="AMJ27" s="0"/>
    </row>
    <row r="28" s="89" customFormat="true" ht="15" hidden="false" customHeight="false" outlineLevel="0" collapsed="false">
      <c r="A28" s="81" t="s">
        <v>3</v>
      </c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27"/>
      <c r="R28" s="75"/>
      <c r="S28" s="76"/>
      <c r="T28" s="76"/>
      <c r="U28" s="77"/>
      <c r="V28" s="78"/>
      <c r="W28" s="78"/>
      <c r="X28" s="53"/>
      <c r="Y28" s="79"/>
      <c r="Z28" s="80"/>
      <c r="AA28" s="80"/>
      <c r="AB28" s="79"/>
      <c r="AC28" s="80"/>
      <c r="AD28" s="80"/>
      <c r="AMI28" s="0"/>
      <c r="AMJ28" s="0"/>
    </row>
    <row r="29" customFormat="false" ht="15" hidden="false" customHeight="false" outlineLevel="0" collapsed="false">
      <c r="A29" s="82" t="s">
        <v>112</v>
      </c>
      <c r="B29" s="38" t="n">
        <v>2.2679</v>
      </c>
      <c r="C29" s="38" t="n">
        <v>12310</v>
      </c>
      <c r="D29" s="38" t="n">
        <v>53540</v>
      </c>
      <c r="E29" s="38" t="n">
        <v>2.3079</v>
      </c>
      <c r="F29" s="38" t="n">
        <v>12300</v>
      </c>
      <c r="G29" s="38" t="n">
        <v>55518</v>
      </c>
      <c r="H29" s="38" t="n">
        <v>2.193</v>
      </c>
      <c r="I29" s="38" t="n">
        <v>12246</v>
      </c>
      <c r="J29" s="38" t="n">
        <v>55055</v>
      </c>
      <c r="K29" s="38" t="n">
        <v>2.148</v>
      </c>
      <c r="L29" s="38" t="n">
        <v>12261</v>
      </c>
      <c r="M29" s="38" t="n">
        <v>53392</v>
      </c>
      <c r="N29" s="38" t="n">
        <v>2.281</v>
      </c>
      <c r="O29" s="38" t="n">
        <v>12388</v>
      </c>
      <c r="P29" s="38" t="n">
        <v>54754</v>
      </c>
      <c r="Q29" s="38"/>
      <c r="R29" s="83" t="n">
        <f aca="false">AVERAGE(B29,E29,H29,K29,N29)</f>
        <v>2.23956</v>
      </c>
      <c r="S29" s="84" t="n">
        <f aca="false">AVERAGE(C29,F29,I29,L29,O29)</f>
        <v>12301</v>
      </c>
      <c r="T29" s="84" t="n">
        <f aca="false">AVERAGE(D29,G29,J29,M29,P29)</f>
        <v>54451.8</v>
      </c>
      <c r="U29" s="85" t="n">
        <f aca="false">_xlfn.STDEV.S(B29,E29,H29,K29,N60)</f>
        <v>0.0721000693480942</v>
      </c>
      <c r="V29" s="58" t="n">
        <f aca="false">_xlfn.STDEV.S(C29,F29,I29,L29,O29)</f>
        <v>55.3985559378582</v>
      </c>
      <c r="W29" s="58" t="n">
        <f aca="false">_xlfn.STDEV.S(D29,G29,J29,M29,P29)</f>
        <v>941.609366988243</v>
      </c>
      <c r="X29" s="58"/>
      <c r="Y29" s="35" t="n">
        <f aca="false">R29/0.01</f>
        <v>223.956</v>
      </c>
      <c r="Z29" s="86" t="n">
        <f aca="false">S29/0.01</f>
        <v>1230100</v>
      </c>
      <c r="AA29" s="86" t="n">
        <f aca="false">T29/0.01</f>
        <v>5445180</v>
      </c>
      <c r="AB29" s="87" t="n">
        <f aca="false">1.96*U29/SQRT(5)/0.01</f>
        <v>6.31984972479567</v>
      </c>
      <c r="AC29" s="88" t="n">
        <f aca="false">1.96*V29/SQRT(5)/0.01</f>
        <v>4855.89752774912</v>
      </c>
      <c r="AD29" s="88" t="n">
        <f aca="false">1.96*W29/SQRT(5)/0.01</f>
        <v>82535.7000711813</v>
      </c>
    </row>
    <row r="30" customFormat="false" ht="15" hidden="false" customHeight="false" outlineLevel="0" collapsed="false">
      <c r="A30" s="1" t="s">
        <v>124</v>
      </c>
      <c r="B30" s="38" t="n">
        <v>0.036</v>
      </c>
      <c r="C30" s="38" t="n">
        <v>145</v>
      </c>
      <c r="D30" s="38" t="n">
        <v>220</v>
      </c>
      <c r="E30" s="38" t="n">
        <v>0.04</v>
      </c>
      <c r="F30" s="38" t="n">
        <v>156</v>
      </c>
      <c r="G30" s="38" t="n">
        <v>262</v>
      </c>
      <c r="H30" s="38" t="n">
        <v>0.04</v>
      </c>
      <c r="I30" s="38" t="n">
        <v>150</v>
      </c>
      <c r="J30" s="38" t="n">
        <v>238</v>
      </c>
      <c r="K30" s="38" t="n">
        <v>0.045</v>
      </c>
      <c r="L30" s="38" t="n">
        <v>140</v>
      </c>
      <c r="M30" s="38" t="n">
        <v>212</v>
      </c>
      <c r="N30" s="38" t="n">
        <v>0.041</v>
      </c>
      <c r="O30" s="38" t="n">
        <v>173</v>
      </c>
      <c r="P30" s="38" t="n">
        <v>256</v>
      </c>
      <c r="Q30" s="38"/>
      <c r="R30" s="83" t="n">
        <f aca="false">AVERAGE(B30,E30,H30,K30,N30)</f>
        <v>0.0404</v>
      </c>
      <c r="S30" s="84" t="n">
        <f aca="false">AVERAGE(C30,F30,I30,L30,O30)</f>
        <v>152.8</v>
      </c>
      <c r="T30" s="84" t="n">
        <f aca="false">AVERAGE(D30,G30,J30,M30,P30)</f>
        <v>237.6</v>
      </c>
      <c r="U30" s="85" t="n">
        <f aca="false">_xlfn.STDEV.S(B30,E30,H30,K30,N61)</f>
        <v>0.003685557397916</v>
      </c>
      <c r="V30" s="58" t="n">
        <f aca="false">_xlfn.STDEV.S(C30,F30,I30,L30,O30)</f>
        <v>12.7553910171347</v>
      </c>
      <c r="W30" s="58" t="n">
        <f aca="false">_xlfn.STDEV.S(D30,G30,J30,M30,P30)</f>
        <v>21.7899059199438</v>
      </c>
      <c r="X30" s="58"/>
      <c r="Y30" s="35" t="n">
        <f aca="false">R30/0.01</f>
        <v>4.04</v>
      </c>
      <c r="Z30" s="86" t="n">
        <f aca="false">S30/0.01</f>
        <v>15280</v>
      </c>
      <c r="AA30" s="86" t="n">
        <f aca="false">T30/0.01</f>
        <v>23760</v>
      </c>
      <c r="AB30" s="87" t="n">
        <f aca="false">1.96*U30/SQRT(5)/0.01</f>
        <v>0.323053349567322</v>
      </c>
      <c r="AC30" s="88" t="n">
        <f aca="false">1.96*V30/SQRT(5)/0.01</f>
        <v>1118.05931864101</v>
      </c>
      <c r="AD30" s="88" t="n">
        <f aca="false">1.96*W30/SQRT(5)/0.01</f>
        <v>1909.96946572452</v>
      </c>
    </row>
    <row r="31" customFormat="false" ht="15" hidden="false" customHeight="false" outlineLevel="0" collapsed="false">
      <c r="A31" s="1" t="s">
        <v>132</v>
      </c>
      <c r="B31" s="38" t="n">
        <v>2.738</v>
      </c>
      <c r="C31" s="38" t="n">
        <v>20385</v>
      </c>
      <c r="D31" s="38" t="n">
        <v>119866</v>
      </c>
      <c r="E31" s="38" t="n">
        <v>2.825</v>
      </c>
      <c r="F31" s="38" t="n">
        <v>20480</v>
      </c>
      <c r="G31" s="38" t="n">
        <v>123667</v>
      </c>
      <c r="H31" s="38" t="n">
        <v>2.766</v>
      </c>
      <c r="I31" s="38" t="n">
        <v>20348</v>
      </c>
      <c r="J31" s="38" t="n">
        <v>120748</v>
      </c>
      <c r="K31" s="38" t="n">
        <v>2.648</v>
      </c>
      <c r="L31" s="38" t="n">
        <v>20489</v>
      </c>
      <c r="M31" s="38" t="n">
        <v>117266</v>
      </c>
      <c r="N31" s="38" t="n">
        <v>2.696</v>
      </c>
      <c r="O31" s="38" t="n">
        <v>20396</v>
      </c>
      <c r="P31" s="38" t="n">
        <v>117922</v>
      </c>
      <c r="Q31" s="38"/>
      <c r="R31" s="83" t="n">
        <f aca="false">AVERAGE(B31,E31,H31,K31,N31)</f>
        <v>2.7346</v>
      </c>
      <c r="S31" s="84" t="n">
        <f aca="false">AVERAGE(C31,F31,I31,L31,O31)</f>
        <v>20419.6</v>
      </c>
      <c r="T31" s="84" t="n">
        <f aca="false">AVERAGE(D31,G31,J31,M31,P31)</f>
        <v>119893.8</v>
      </c>
      <c r="U31" s="85" t="n">
        <f aca="false">_xlfn.STDEV.S(B31,E31,H31,K31,N62)</f>
        <v>0.0737037990879711</v>
      </c>
      <c r="V31" s="58" t="n">
        <f aca="false">_xlfn.STDEV.S(C31,F31,I31,L31,O31)</f>
        <v>61.9378720977723</v>
      </c>
      <c r="W31" s="58" t="n">
        <f aca="false">_xlfn.STDEV.S(D31,G31,J31,M31,P31)</f>
        <v>2537.75475568464</v>
      </c>
      <c r="X31" s="58"/>
      <c r="Y31" s="35" t="n">
        <f aca="false">R31/0.01</f>
        <v>273.46</v>
      </c>
      <c r="Z31" s="86" t="n">
        <f aca="false">S31/0.01</f>
        <v>2041960</v>
      </c>
      <c r="AA31" s="86" t="n">
        <f aca="false">T31/0.01</f>
        <v>11989380</v>
      </c>
      <c r="AB31" s="87" t="n">
        <f aca="false">1.96*U31/SQRT(5)/0.01</f>
        <v>6.46042283445906</v>
      </c>
      <c r="AC31" s="88" t="n">
        <f aca="false">1.96*V31/SQRT(5)/0.01</f>
        <v>5429.09386177841</v>
      </c>
      <c r="AD31" s="88" t="n">
        <f aca="false">1.96*W31/SQRT(5)/0.01</f>
        <v>222444.012042222</v>
      </c>
    </row>
    <row r="32" customFormat="false" ht="15" hidden="false" customHeight="false" outlineLevel="0" collapsed="false">
      <c r="A32" s="1" t="s">
        <v>135</v>
      </c>
      <c r="B32" s="38" t="n">
        <v>0.331</v>
      </c>
      <c r="C32" s="38" t="n">
        <v>2523</v>
      </c>
      <c r="D32" s="38" t="n">
        <v>6333</v>
      </c>
      <c r="E32" s="38" t="n">
        <v>0.332</v>
      </c>
      <c r="F32" s="38" t="n">
        <v>2546</v>
      </c>
      <c r="G32" s="38" t="n">
        <v>6629</v>
      </c>
      <c r="H32" s="38" t="n">
        <v>0.317</v>
      </c>
      <c r="I32" s="38" t="n">
        <v>2535</v>
      </c>
      <c r="J32" s="38" t="n">
        <v>6251</v>
      </c>
      <c r="K32" s="38" t="n">
        <v>0.325</v>
      </c>
      <c r="L32" s="38" t="n">
        <v>2538</v>
      </c>
      <c r="M32" s="38" t="n">
        <v>6122</v>
      </c>
      <c r="N32" s="38" t="n">
        <v>0.343</v>
      </c>
      <c r="O32" s="38" t="n">
        <v>2623</v>
      </c>
      <c r="P32" s="38" t="n">
        <v>6279</v>
      </c>
      <c r="Q32" s="38"/>
      <c r="R32" s="83" t="n">
        <f aca="false">AVERAGE(B32,E32,H32,K32,N32)</f>
        <v>0.3296</v>
      </c>
      <c r="S32" s="84" t="n">
        <f aca="false">AVERAGE(C32,F32,I32,L32,O32)</f>
        <v>2553</v>
      </c>
      <c r="T32" s="84" t="n">
        <f aca="false">AVERAGE(D32,G32,J32,M32,P32)</f>
        <v>6322.8</v>
      </c>
      <c r="U32" s="85" t="n">
        <f aca="false">_xlfn.STDEV.S(B32,E32,H32,K32,N63)</f>
        <v>0.00689806736219163</v>
      </c>
      <c r="V32" s="58" t="n">
        <f aca="false">_xlfn.STDEV.S(C32,F32,I32,L32,O32)</f>
        <v>39.9937495116424</v>
      </c>
      <c r="W32" s="58" t="n">
        <f aca="false">_xlfn.STDEV.S(D32,G32,J32,M32,P32)</f>
        <v>187.920727967939</v>
      </c>
      <c r="X32" s="58"/>
      <c r="Y32" s="35" t="n">
        <f aca="false">R32/0.01</f>
        <v>32.96</v>
      </c>
      <c r="Z32" s="86" t="n">
        <f aca="false">S32/0.01</f>
        <v>255300</v>
      </c>
      <c r="AA32" s="86" t="n">
        <f aca="false">T32/0.01</f>
        <v>632280</v>
      </c>
      <c r="AB32" s="87" t="n">
        <f aca="false">1.96*U32/SQRT(5)/0.01</f>
        <v>0.604642263381139</v>
      </c>
      <c r="AC32" s="88" t="n">
        <f aca="false">1.96*V32/SQRT(5)/0.01</f>
        <v>3505.60670925875</v>
      </c>
      <c r="AD32" s="88" t="n">
        <f aca="false">1.96*W32/SQRT(5)/0.01</f>
        <v>16471.9780670082</v>
      </c>
    </row>
    <row r="33" s="89" customFormat="true" ht="15" hidden="false" customHeight="false" outlineLevel="0" collapsed="false">
      <c r="A33" s="1" t="s">
        <v>143</v>
      </c>
      <c r="B33" s="38" t="n">
        <v>0.018</v>
      </c>
      <c r="C33" s="38" t="n">
        <v>23</v>
      </c>
      <c r="D33" s="38" t="n">
        <v>35</v>
      </c>
      <c r="E33" s="38" t="n">
        <v>0.012</v>
      </c>
      <c r="F33" s="38" t="n">
        <v>11</v>
      </c>
      <c r="G33" s="38" t="n">
        <v>22</v>
      </c>
      <c r="H33" s="38" t="n">
        <v>0.014</v>
      </c>
      <c r="I33" s="38" t="n">
        <v>19</v>
      </c>
      <c r="J33" s="38" t="n">
        <v>25</v>
      </c>
      <c r="K33" s="38" t="n">
        <v>0.017</v>
      </c>
      <c r="L33" s="38" t="n">
        <v>17</v>
      </c>
      <c r="M33" s="38" t="n">
        <v>26</v>
      </c>
      <c r="N33" s="38" t="n">
        <v>0.016</v>
      </c>
      <c r="O33" s="38" t="n">
        <v>16</v>
      </c>
      <c r="P33" s="38" t="n">
        <v>27</v>
      </c>
      <c r="Q33" s="38"/>
      <c r="R33" s="83" t="n">
        <f aca="false">AVERAGE(B33,E33,H33,K33,N33)</f>
        <v>0.0154</v>
      </c>
      <c r="S33" s="84" t="n">
        <f aca="false">AVERAGE(C33,F33,I33,L33,O33)</f>
        <v>17.2</v>
      </c>
      <c r="T33" s="84" t="n">
        <f aca="false">AVERAGE(D33,G33,J33,M33,P33)</f>
        <v>27</v>
      </c>
      <c r="U33" s="85" t="n">
        <f aca="false">_xlfn.STDEV.S(B33,E33,H33,K33,N64)</f>
        <v>0.00275378527364305</v>
      </c>
      <c r="V33" s="58" t="n">
        <f aca="false">_xlfn.STDEV.S(C33,F33,I33,L33,O33)</f>
        <v>4.38178046004133</v>
      </c>
      <c r="W33" s="58" t="n">
        <f aca="false">_xlfn.STDEV.S(D33,G33,J33,M33,P33)</f>
        <v>4.84767985741633</v>
      </c>
      <c r="X33" s="58"/>
      <c r="Y33" s="35" t="n">
        <f aca="false">R33/0.01</f>
        <v>1.54</v>
      </c>
      <c r="Z33" s="86" t="n">
        <f aca="false">S33/0.01</f>
        <v>1720</v>
      </c>
      <c r="AA33" s="86" t="n">
        <f aca="false">T33/0.01</f>
        <v>2700</v>
      </c>
      <c r="AB33" s="87" t="n">
        <f aca="false">1.96*U33/SQRT(5)/0.01</f>
        <v>0.241379921838306</v>
      </c>
      <c r="AC33" s="88" t="n">
        <f aca="false">1.96*V33/SQRT(5)/0.01</f>
        <v>384.079991668402</v>
      </c>
      <c r="AD33" s="88" t="n">
        <f aca="false">1.96*W33/SQRT(5)/0.01</f>
        <v>424.917874418105</v>
      </c>
      <c r="AMI33" s="0"/>
      <c r="AMJ33" s="0"/>
    </row>
    <row r="34" customFormat="false" ht="15" hidden="false" customHeight="false" outlineLevel="0" collapsed="false">
      <c r="A34" s="1" t="s">
        <v>171</v>
      </c>
      <c r="B34" s="38" t="n">
        <v>0.016</v>
      </c>
      <c r="C34" s="38" t="n">
        <v>19</v>
      </c>
      <c r="D34" s="38" t="n">
        <v>30</v>
      </c>
      <c r="E34" s="38" t="n">
        <v>0.012</v>
      </c>
      <c r="F34" s="38" t="n">
        <v>9</v>
      </c>
      <c r="G34" s="38" t="n">
        <v>19</v>
      </c>
      <c r="H34" s="38" t="n">
        <v>0.016</v>
      </c>
      <c r="I34" s="38" t="n">
        <v>19</v>
      </c>
      <c r="J34" s="38" t="n">
        <v>24</v>
      </c>
      <c r="K34" s="38" t="n">
        <v>0.02</v>
      </c>
      <c r="L34" s="38" t="n">
        <v>16</v>
      </c>
      <c r="M34" s="38" t="n">
        <v>25</v>
      </c>
      <c r="N34" s="38" t="n">
        <v>0.014</v>
      </c>
      <c r="O34" s="38" t="n">
        <v>16</v>
      </c>
      <c r="P34" s="38" t="n">
        <v>27</v>
      </c>
      <c r="Q34" s="38"/>
      <c r="R34" s="83" t="n">
        <f aca="false">AVERAGE(B34,E34,H34,K34,N34)</f>
        <v>0.0156</v>
      </c>
      <c r="S34" s="84" t="n">
        <f aca="false">AVERAGE(C34,F34,I34,L34,O34)</f>
        <v>15.8</v>
      </c>
      <c r="T34" s="84" t="n">
        <f aca="false">AVERAGE(D34,G34,J34,M34,P34)</f>
        <v>25</v>
      </c>
      <c r="U34" s="85" t="n">
        <f aca="false">_xlfn.STDEV.S(B34,E34,H34,K34,N65)</f>
        <v>0.0032659863237109</v>
      </c>
      <c r="V34" s="58" t="n">
        <f aca="false">_xlfn.STDEV.S(C34,F34,I34,L34,O34)</f>
        <v>4.08656334834051</v>
      </c>
      <c r="W34" s="58" t="n">
        <f aca="false">_xlfn.STDEV.S(D34,G34,J34,M34,P34)</f>
        <v>4.06201920231798</v>
      </c>
      <c r="X34" s="58"/>
      <c r="Y34" s="35" t="n">
        <f aca="false">R34/0.01</f>
        <v>1.56</v>
      </c>
      <c r="Z34" s="86" t="n">
        <f aca="false">S34/0.01</f>
        <v>1580</v>
      </c>
      <c r="AA34" s="86" t="n">
        <f aca="false">T34/0.01</f>
        <v>2500</v>
      </c>
      <c r="AB34" s="87" t="n">
        <f aca="false">1.96*U34/SQRT(5)/0.01</f>
        <v>0.286276323389367</v>
      </c>
      <c r="AC34" s="88" t="n">
        <f aca="false">1.96*V34/SQRT(5)/0.01</f>
        <v>358.203070896942</v>
      </c>
      <c r="AD34" s="88" t="n">
        <f aca="false">1.96*W34/SQRT(5)/0.01</f>
        <v>356.051681641865</v>
      </c>
    </row>
    <row r="35" customFormat="false" ht="15" hidden="false" customHeight="false" outlineLevel="0" collapsed="false">
      <c r="A35" s="90" t="s">
        <v>172</v>
      </c>
      <c r="B35" s="38" t="n">
        <v>0.139</v>
      </c>
      <c r="C35" s="38" t="n">
        <v>1119</v>
      </c>
      <c r="D35" s="38" t="n">
        <v>1974</v>
      </c>
      <c r="E35" s="38" t="n">
        <v>0.131</v>
      </c>
      <c r="F35" s="38" t="n">
        <v>1060</v>
      </c>
      <c r="G35" s="38" t="n">
        <v>1955</v>
      </c>
      <c r="H35" s="38" t="n">
        <v>0.134</v>
      </c>
      <c r="I35" s="38" t="n">
        <v>1133</v>
      </c>
      <c r="J35" s="38" t="n">
        <v>1953</v>
      </c>
      <c r="K35" s="38" t="n">
        <v>0.139</v>
      </c>
      <c r="L35" s="38" t="n">
        <v>1068</v>
      </c>
      <c r="M35" s="38" t="n">
        <v>1845</v>
      </c>
      <c r="N35" s="38" t="n">
        <v>0.132</v>
      </c>
      <c r="O35" s="38" t="n">
        <v>1108</v>
      </c>
      <c r="P35" s="38" t="n">
        <v>1875</v>
      </c>
      <c r="Q35" s="38"/>
      <c r="R35" s="83" t="n">
        <f aca="false">AVERAGE(B35,E35,H35,K35,N35)</f>
        <v>0.135</v>
      </c>
      <c r="S35" s="84" t="n">
        <f aca="false">AVERAGE(C35,F35,I35,L35,O35)</f>
        <v>1097.6</v>
      </c>
      <c r="T35" s="84" t="n">
        <f aca="false">AVERAGE(D35,G35,J35,M35,P35)</f>
        <v>1920.4</v>
      </c>
      <c r="U35" s="85" t="n">
        <f aca="false">_xlfn.STDEV.S(B35,E35,H35,K35,N66)</f>
        <v>0.00394757309410901</v>
      </c>
      <c r="V35" s="58" t="n">
        <f aca="false">_xlfn.STDEV.S(C35,F35,I35,L35,O35)</f>
        <v>32.0515210247501</v>
      </c>
      <c r="W35" s="58" t="n">
        <f aca="false">_xlfn.STDEV.S(D35,G35,J35,M35,P35)</f>
        <v>56.743281540637</v>
      </c>
      <c r="X35" s="58"/>
      <c r="Y35" s="35" t="n">
        <f aca="false">R35/0.01</f>
        <v>13.5</v>
      </c>
      <c r="Z35" s="86" t="n">
        <f aca="false">S35/0.01</f>
        <v>109760</v>
      </c>
      <c r="AA35" s="86" t="n">
        <f aca="false">T35/0.01</f>
        <v>192040</v>
      </c>
      <c r="AB35" s="87" t="n">
        <f aca="false">1.96*U35/SQRT(5)/0.01</f>
        <v>0.346020037955415</v>
      </c>
      <c r="AC35" s="88" t="n">
        <f aca="false">1.96*V35/SQRT(5)/0.01</f>
        <v>2809.43968790932</v>
      </c>
      <c r="AD35" s="88" t="n">
        <f aca="false">1.96*W35/SQRT(5)/0.01</f>
        <v>4973.76792381792</v>
      </c>
    </row>
    <row r="36" customFormat="false" ht="15" hidden="false" customHeight="false" outlineLevel="0" collapsed="false">
      <c r="A36" s="90" t="s">
        <v>187</v>
      </c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38"/>
      <c r="R36" s="92"/>
      <c r="S36" s="94"/>
      <c r="T36" s="94"/>
      <c r="U36" s="98"/>
      <c r="V36" s="99"/>
      <c r="W36" s="99"/>
      <c r="X36" s="58"/>
      <c r="Y36" s="93" t="n">
        <f aca="false">MIN(Y29:Y35)</f>
        <v>1.54</v>
      </c>
      <c r="Z36" s="94" t="n">
        <f aca="false">MIN(Z29:Z35)</f>
        <v>1580</v>
      </c>
      <c r="AA36" s="94" t="n">
        <f aca="false">MIN(AA29:AA35)</f>
        <v>2500</v>
      </c>
      <c r="AB36" s="93" t="n">
        <v>0.2</v>
      </c>
      <c r="AC36" s="94" t="n">
        <v>384</v>
      </c>
      <c r="AD36" s="94" t="n">
        <v>425</v>
      </c>
    </row>
    <row r="37" customFormat="false" ht="15" hidden="false" customHeight="false" outlineLevel="0" collapsed="false">
      <c r="A37" s="90" t="s">
        <v>188</v>
      </c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38"/>
      <c r="R37" s="92"/>
      <c r="S37" s="94"/>
      <c r="T37" s="94"/>
      <c r="U37" s="98"/>
      <c r="V37" s="99"/>
      <c r="W37" s="99"/>
      <c r="X37" s="58"/>
      <c r="Y37" s="93" t="n">
        <f aca="false">AVERAGE(Y29:Y35)</f>
        <v>78.7165714285714</v>
      </c>
      <c r="Z37" s="94" t="n">
        <f aca="false">AVERAGE(Z29:Z35)</f>
        <v>522242.857142857</v>
      </c>
      <c r="AA37" s="94" t="n">
        <f aca="false">AVERAGE(AA29:AA35)</f>
        <v>2612548.57142857</v>
      </c>
      <c r="AB37" s="93"/>
      <c r="AC37" s="94"/>
      <c r="AD37" s="94"/>
    </row>
    <row r="38" customFormat="false" ht="15" hidden="false" customHeight="false" outlineLevel="0" collapsed="false">
      <c r="A38" s="90" t="s">
        <v>189</v>
      </c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38"/>
      <c r="R38" s="92"/>
      <c r="S38" s="94"/>
      <c r="T38" s="94"/>
      <c r="U38" s="98"/>
      <c r="V38" s="99"/>
      <c r="W38" s="99"/>
      <c r="X38" s="58"/>
      <c r="Y38" s="93" t="n">
        <f aca="false">MAX(Y29:Y35)</f>
        <v>273.46</v>
      </c>
      <c r="Z38" s="94" t="n">
        <f aca="false">MAX(Z29:Z35)</f>
        <v>2041960</v>
      </c>
      <c r="AA38" s="94" t="n">
        <f aca="false">MAX(AA29:AA35)</f>
        <v>11989380</v>
      </c>
      <c r="AB38" s="93" t="n">
        <v>6.5</v>
      </c>
      <c r="AC38" s="94" t="n">
        <v>5429</v>
      </c>
      <c r="AD38" s="94" t="n">
        <v>222444</v>
      </c>
    </row>
    <row r="39" s="16" customFormat="true" ht="15" hidden="false" customHeight="false" outlineLevel="0" collapsed="false">
      <c r="A39" s="95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96"/>
      <c r="S39" s="84"/>
      <c r="T39" s="84"/>
      <c r="U39" s="97"/>
      <c r="V39" s="58"/>
      <c r="W39" s="58"/>
      <c r="X39" s="58"/>
      <c r="Y39" s="35"/>
      <c r="Z39" s="86"/>
      <c r="AA39" s="86"/>
      <c r="AB39" s="35"/>
      <c r="AC39" s="86"/>
      <c r="AD39" s="86"/>
      <c r="AMI39" s="0"/>
      <c r="AMJ39" s="0"/>
    </row>
    <row r="40" customFormat="false" ht="15" hidden="false" customHeight="false" outlineLevel="0" collapsed="false">
      <c r="A40" s="81" t="s">
        <v>4</v>
      </c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27"/>
      <c r="R40" s="75"/>
      <c r="S40" s="76"/>
      <c r="T40" s="76"/>
      <c r="U40" s="77"/>
      <c r="V40" s="78"/>
      <c r="W40" s="78"/>
      <c r="X40" s="53"/>
      <c r="Y40" s="79"/>
      <c r="Z40" s="80"/>
      <c r="AA40" s="80"/>
      <c r="AB40" s="79"/>
      <c r="AC40" s="80"/>
      <c r="AD40" s="80"/>
    </row>
    <row r="41" customFormat="false" ht="15" hidden="false" customHeight="false" outlineLevel="0" collapsed="false">
      <c r="A41" s="82" t="s">
        <v>112</v>
      </c>
      <c r="B41" s="38" t="n">
        <v>2.084</v>
      </c>
      <c r="C41" s="38" t="n">
        <v>12170</v>
      </c>
      <c r="D41" s="38" t="n">
        <v>41903</v>
      </c>
      <c r="E41" s="38" t="n">
        <v>2.032</v>
      </c>
      <c r="F41" s="38" t="n">
        <v>12169</v>
      </c>
      <c r="G41" s="38" t="n">
        <v>43825</v>
      </c>
      <c r="H41" s="38" t="n">
        <v>2.00499</v>
      </c>
      <c r="I41" s="38" t="n">
        <v>12123</v>
      </c>
      <c r="J41" s="38" t="n">
        <v>43409</v>
      </c>
      <c r="K41" s="38" t="n">
        <v>2.0089</v>
      </c>
      <c r="L41" s="38" t="n">
        <v>12129</v>
      </c>
      <c r="M41" s="38" t="n">
        <v>41822</v>
      </c>
      <c r="N41" s="38" t="n">
        <v>2.0249</v>
      </c>
      <c r="O41" s="38" t="n">
        <v>12256</v>
      </c>
      <c r="P41" s="38" t="n">
        <v>42849</v>
      </c>
      <c r="Q41" s="38"/>
      <c r="R41" s="83" t="n">
        <f aca="false">AVERAGE(B41,E41,H41,K41,N41)</f>
        <v>2.030958</v>
      </c>
      <c r="S41" s="84" t="n">
        <f aca="false">AVERAGE(C41,F41,I41,L41,O41)</f>
        <v>12169.4</v>
      </c>
      <c r="T41" s="84" t="n">
        <f aca="false">AVERAGE(D41,G41,J41,M41,P41)</f>
        <v>42761.6</v>
      </c>
      <c r="U41" s="85" t="n">
        <f aca="false">_xlfn.STDEV.S(B41,E41,H41,K41,N68)</f>
        <v>0.0363604963066605</v>
      </c>
      <c r="V41" s="58" t="n">
        <f aca="false">_xlfn.STDEV.S(C41,F41,I41,L41,O41)</f>
        <v>53.1159109871986</v>
      </c>
      <c r="W41" s="58" t="n">
        <f aca="false">_xlfn.STDEV.S(D41,G41,J41,M41,P41)</f>
        <v>891.29501288855</v>
      </c>
      <c r="X41" s="58"/>
      <c r="Y41" s="35" t="n">
        <f aca="false">R41/0.01</f>
        <v>203.0958</v>
      </c>
      <c r="Z41" s="86" t="n">
        <f aca="false">S41/0.01</f>
        <v>1216940</v>
      </c>
      <c r="AA41" s="86" t="n">
        <f aca="false">T41/0.01</f>
        <v>4276160</v>
      </c>
      <c r="AB41" s="87" t="n">
        <f aca="false">1.96*U41/SQRT(5)/0.01</f>
        <v>3.18713802434306</v>
      </c>
      <c r="AC41" s="88" t="n">
        <f aca="false">1.96*V41/SQRT(5)/0.01</f>
        <v>4655.81487604479</v>
      </c>
      <c r="AD41" s="88" t="n">
        <f aca="false">1.96*W41/SQRT(5)/0.01</f>
        <v>78125.4524835536</v>
      </c>
    </row>
    <row r="42" s="89" customFormat="true" ht="15" hidden="false" customHeight="false" outlineLevel="0" collapsed="false">
      <c r="A42" s="1" t="s">
        <v>124</v>
      </c>
      <c r="B42" s="38" t="n">
        <v>0.045</v>
      </c>
      <c r="C42" s="38" t="n">
        <v>119</v>
      </c>
      <c r="D42" s="38" t="n">
        <v>172</v>
      </c>
      <c r="E42" s="38" t="n">
        <v>0.035</v>
      </c>
      <c r="F42" s="38" t="n">
        <v>141</v>
      </c>
      <c r="G42" s="38" t="n">
        <v>235</v>
      </c>
      <c r="H42" s="38" t="n">
        <v>0.035</v>
      </c>
      <c r="I42" s="38" t="n">
        <v>135</v>
      </c>
      <c r="J42" s="38" t="n">
        <v>205</v>
      </c>
      <c r="K42" s="38" t="n">
        <v>0.032</v>
      </c>
      <c r="L42" s="38" t="n">
        <v>125</v>
      </c>
      <c r="M42" s="38" t="n">
        <v>180</v>
      </c>
      <c r="N42" s="38" t="n">
        <v>0.037</v>
      </c>
      <c r="O42" s="38" t="n">
        <v>149</v>
      </c>
      <c r="P42" s="38" t="n">
        <v>225</v>
      </c>
      <c r="Q42" s="38"/>
      <c r="R42" s="83" t="n">
        <f aca="false">AVERAGE(B42,E42,H42,K42,N42)</f>
        <v>0.0368</v>
      </c>
      <c r="S42" s="84" t="n">
        <f aca="false">AVERAGE(C42,F42,I42,L42,O42)</f>
        <v>133.8</v>
      </c>
      <c r="T42" s="84" t="n">
        <f aca="false">AVERAGE(D42,G42,J42,M42,P42)</f>
        <v>203.4</v>
      </c>
      <c r="U42" s="85" t="n">
        <f aca="false">_xlfn.STDEV.S(B42,E42,H42,K42,N69)</f>
        <v>0.00567890834580027</v>
      </c>
      <c r="V42" s="58" t="n">
        <f aca="false">_xlfn.STDEV.S(C42,F42,I42,L42,O42)</f>
        <v>12.0498962651137</v>
      </c>
      <c r="W42" s="58" t="n">
        <f aca="false">_xlfn.STDEV.S(D42,G42,J42,M42,P42)</f>
        <v>27.3916045532203</v>
      </c>
      <c r="X42" s="58"/>
      <c r="Y42" s="35" t="n">
        <f aca="false">R42/0.01</f>
        <v>3.68</v>
      </c>
      <c r="Z42" s="86" t="n">
        <f aca="false">S42/0.01</f>
        <v>13380</v>
      </c>
      <c r="AA42" s="86" t="n">
        <f aca="false">T42/0.01</f>
        <v>20340</v>
      </c>
      <c r="AB42" s="87" t="n">
        <f aca="false">1.96*U42/SQRT(5)/0.01</f>
        <v>0.497778263888651</v>
      </c>
      <c r="AC42" s="88" t="n">
        <f aca="false">1.96*V42/SQRT(5)/0.01</f>
        <v>1056.21997708811</v>
      </c>
      <c r="AD42" s="88" t="n">
        <f aca="false">1.96*W42/SQRT(5)/0.01</f>
        <v>2400.9799999167</v>
      </c>
      <c r="AMI42" s="0"/>
      <c r="AMJ42" s="0"/>
    </row>
    <row r="43" customFormat="false" ht="15" hidden="false" customHeight="false" outlineLevel="0" collapsed="false">
      <c r="A43" s="1" t="s">
        <v>132</v>
      </c>
      <c r="B43" s="38" t="n">
        <v>2.62</v>
      </c>
      <c r="C43" s="38" t="n">
        <v>18592</v>
      </c>
      <c r="D43" s="38" t="n">
        <v>98903</v>
      </c>
      <c r="E43" s="38" t="n">
        <v>2.601</v>
      </c>
      <c r="F43" s="38" t="n">
        <v>18613</v>
      </c>
      <c r="G43" s="38" t="n">
        <v>102177</v>
      </c>
      <c r="H43" s="38" t="n">
        <v>2.467</v>
      </c>
      <c r="I43" s="38" t="n">
        <v>18640</v>
      </c>
      <c r="J43" s="38" t="n">
        <v>99593</v>
      </c>
      <c r="K43" s="38" t="n">
        <v>2.456</v>
      </c>
      <c r="L43" s="38" t="n">
        <v>18685</v>
      </c>
      <c r="M43" s="38" t="n">
        <v>96036</v>
      </c>
      <c r="N43" s="38" t="n">
        <v>2.478</v>
      </c>
      <c r="O43" s="38" t="n">
        <v>18563</v>
      </c>
      <c r="P43" s="38" t="n">
        <v>96614</v>
      </c>
      <c r="Q43" s="38"/>
      <c r="R43" s="83" t="n">
        <f aca="false">AVERAGE(B43,E43,H43,K43,N43)</f>
        <v>2.5244</v>
      </c>
      <c r="S43" s="84" t="n">
        <f aca="false">AVERAGE(C43,F43,I43,L43,O43)</f>
        <v>18618.6</v>
      </c>
      <c r="T43" s="84" t="n">
        <f aca="false">AVERAGE(D43,G43,J43,M43,P43)</f>
        <v>98664.6</v>
      </c>
      <c r="U43" s="85" t="n">
        <f aca="false">_xlfn.STDEV.S(B43,E43,H43,K43,N70)</f>
        <v>0.0864908472999697</v>
      </c>
      <c r="V43" s="58" t="n">
        <f aca="false">_xlfn.STDEV.S(C43,F43,I43,L43,O43)</f>
        <v>46.6293898737695</v>
      </c>
      <c r="W43" s="58" t="n">
        <f aca="false">_xlfn.STDEV.S(D43,G43,J43,M43,P43)</f>
        <v>2468.30980632497</v>
      </c>
      <c r="X43" s="58"/>
      <c r="Y43" s="35" t="n">
        <f aca="false">R43/0.01</f>
        <v>252.44</v>
      </c>
      <c r="Z43" s="86" t="n">
        <f aca="false">S43/0.01</f>
        <v>1861860</v>
      </c>
      <c r="AA43" s="86" t="n">
        <f aca="false">T43/0.01</f>
        <v>9866460</v>
      </c>
      <c r="AB43" s="87" t="n">
        <f aca="false">1.96*U43/SQRT(5)/0.01</f>
        <v>7.58125702857602</v>
      </c>
      <c r="AC43" s="88" t="n">
        <f aca="false">1.96*V43/SQRT(5)/0.01</f>
        <v>4087.24623187789</v>
      </c>
      <c r="AD43" s="88" t="n">
        <f aca="false">1.96*W43/SQRT(5)/0.01</f>
        <v>216356.893845701</v>
      </c>
    </row>
    <row r="44" customFormat="false" ht="15" hidden="false" customHeight="false" outlineLevel="0" collapsed="false">
      <c r="A44" s="1" t="s">
        <v>135</v>
      </c>
      <c r="B44" s="38" t="n">
        <v>0.325</v>
      </c>
      <c r="C44" s="38" t="n">
        <v>2468</v>
      </c>
      <c r="D44" s="38" t="s">
        <v>190</v>
      </c>
      <c r="E44" s="38" t="n">
        <v>0.331</v>
      </c>
      <c r="F44" s="38" t="n">
        <v>2488</v>
      </c>
      <c r="G44" s="38" t="n">
        <v>5734</v>
      </c>
      <c r="H44" s="38" t="n">
        <v>0.322</v>
      </c>
      <c r="I44" s="38" t="n">
        <v>2479</v>
      </c>
      <c r="J44" s="38" t="n">
        <v>5382</v>
      </c>
      <c r="K44" s="38" t="n">
        <v>0.303</v>
      </c>
      <c r="L44" s="38" t="n">
        <v>2476</v>
      </c>
      <c r="M44" s="38" t="n">
        <v>5259</v>
      </c>
      <c r="N44" s="38" t="n">
        <v>0.344</v>
      </c>
      <c r="O44" s="38" t="n">
        <v>2556</v>
      </c>
      <c r="P44" s="38" t="n">
        <v>5309</v>
      </c>
      <c r="Q44" s="38"/>
      <c r="R44" s="83" t="n">
        <f aca="false">AVERAGE(B44,E44,H44,K44,N44)</f>
        <v>0.325</v>
      </c>
      <c r="S44" s="84" t="n">
        <f aca="false">AVERAGE(C44,F44,I44,L44,O44)</f>
        <v>2493.4</v>
      </c>
      <c r="T44" s="84" t="n">
        <f aca="false">AVERAGE(D44,G44,J44,M44,P44)</f>
        <v>5421</v>
      </c>
      <c r="U44" s="85" t="n">
        <f aca="false">_xlfn.STDEV.S(B44,E44,H44,K44,N71)</f>
        <v>0.0120933866224478</v>
      </c>
      <c r="V44" s="58" t="n">
        <f aca="false">_xlfn.STDEV.S(C44,F44,I44,L44,O44)</f>
        <v>35.7183426267233</v>
      </c>
      <c r="W44" s="58" t="n">
        <f aca="false">_xlfn.STDEV.S(D44,G44,J44,M44,P44)</f>
        <v>214.692027487438</v>
      </c>
      <c r="X44" s="58"/>
      <c r="Y44" s="35" t="n">
        <f aca="false">R44/0.01</f>
        <v>32.5</v>
      </c>
      <c r="Z44" s="86" t="n">
        <f aca="false">S44/0.01</f>
        <v>249340</v>
      </c>
      <c r="AA44" s="86" t="n">
        <f aca="false">T44/0.01</f>
        <v>542100</v>
      </c>
      <c r="AB44" s="87" t="n">
        <f aca="false">1.96*U44/SQRT(5)/0.01</f>
        <v>1.06003207498641</v>
      </c>
      <c r="AC44" s="88" t="n">
        <f aca="false">1.96*V44/SQRT(5)/0.01</f>
        <v>3130.85077255368</v>
      </c>
      <c r="AD44" s="88" t="n">
        <f aca="false">1.96*W44/SQRT(5)/0.01</f>
        <v>18818.5859334152</v>
      </c>
    </row>
    <row r="45" customFormat="false" ht="15" hidden="false" customHeight="false" outlineLevel="0" collapsed="false">
      <c r="A45" s="1" t="s">
        <v>143</v>
      </c>
      <c r="B45" s="38" t="n">
        <v>0.015</v>
      </c>
      <c r="C45" s="38" t="n">
        <v>22</v>
      </c>
      <c r="D45" s="38" t="n">
        <v>31</v>
      </c>
      <c r="E45" s="38" t="n">
        <v>0.01</v>
      </c>
      <c r="F45" s="38" t="n">
        <v>9</v>
      </c>
      <c r="G45" s="38" t="n">
        <v>16</v>
      </c>
      <c r="H45" s="38" t="n">
        <v>0.014</v>
      </c>
      <c r="I45" s="38" t="n">
        <v>16</v>
      </c>
      <c r="J45" s="38" t="n">
        <v>21</v>
      </c>
      <c r="K45" s="38" t="n">
        <v>0.016</v>
      </c>
      <c r="L45" s="38" t="n">
        <v>15</v>
      </c>
      <c r="M45" s="38" t="n">
        <v>23</v>
      </c>
      <c r="N45" s="38" t="n">
        <v>0.013</v>
      </c>
      <c r="O45" s="38" t="n">
        <v>16</v>
      </c>
      <c r="P45" s="38" t="n">
        <v>23</v>
      </c>
      <c r="Q45" s="38"/>
      <c r="R45" s="83" t="n">
        <f aca="false">AVERAGE(B45,E45,H45,K45,N45)</f>
        <v>0.0136</v>
      </c>
      <c r="S45" s="84" t="n">
        <f aca="false">AVERAGE(C45,F45,I45,L45,O45)</f>
        <v>15.6</v>
      </c>
      <c r="T45" s="84" t="n">
        <f aca="false">AVERAGE(D45,G45,J45,M45,P45)</f>
        <v>22.8</v>
      </c>
      <c r="U45" s="85" t="n">
        <f aca="false">_xlfn.STDEV.S(B45,E45,H45,K45,N72)</f>
        <v>0.00262995563967658</v>
      </c>
      <c r="V45" s="58" t="n">
        <f aca="false">_xlfn.STDEV.S(C45,F45,I45,L45,O45)</f>
        <v>4.61519230368573</v>
      </c>
      <c r="W45" s="58" t="n">
        <f aca="false">_xlfn.STDEV.S(D45,G45,J45,M45,P45)</f>
        <v>5.40370243444252</v>
      </c>
      <c r="X45" s="58"/>
      <c r="Y45" s="35" t="n">
        <f aca="false">R45/0.01</f>
        <v>1.36</v>
      </c>
      <c r="Z45" s="86" t="n">
        <f aca="false">S45/0.01</f>
        <v>1560</v>
      </c>
      <c r="AA45" s="86" t="n">
        <f aca="false">T45/0.01</f>
        <v>2280</v>
      </c>
      <c r="AB45" s="87" t="n">
        <f aca="false">1.96*U45/SQRT(5)/0.01</f>
        <v>0.230525775854531</v>
      </c>
      <c r="AC45" s="88" t="n">
        <f aca="false">1.96*V45/SQRT(5)/0.01</f>
        <v>404.539441834786</v>
      </c>
      <c r="AD45" s="88" t="n">
        <f aca="false">1.96*W45/SQRT(5)/0.01</f>
        <v>473.655402164907</v>
      </c>
    </row>
    <row r="46" customFormat="false" ht="15" hidden="false" customHeight="false" outlineLevel="0" collapsed="false">
      <c r="A46" s="1" t="s">
        <v>171</v>
      </c>
      <c r="B46" s="38" t="n">
        <v>0.015</v>
      </c>
      <c r="C46" s="38" t="n">
        <v>18</v>
      </c>
      <c r="D46" s="38" t="n">
        <v>26</v>
      </c>
      <c r="E46" s="38" t="n">
        <v>0.01</v>
      </c>
      <c r="F46" s="38" t="n">
        <v>9</v>
      </c>
      <c r="G46" s="38" t="n">
        <v>17</v>
      </c>
      <c r="H46" s="38" t="n">
        <v>0.012</v>
      </c>
      <c r="I46" s="38" t="n">
        <v>16</v>
      </c>
      <c r="J46" s="38" t="n">
        <v>20</v>
      </c>
      <c r="K46" s="38" t="n">
        <v>0.014</v>
      </c>
      <c r="L46" s="38" t="n">
        <v>14</v>
      </c>
      <c r="M46" s="38" t="n">
        <v>22</v>
      </c>
      <c r="N46" s="38" t="n">
        <v>0.011</v>
      </c>
      <c r="O46" s="38" t="n">
        <v>16</v>
      </c>
      <c r="P46" s="38" t="n">
        <v>23</v>
      </c>
      <c r="Q46" s="38"/>
      <c r="R46" s="83" t="n">
        <f aca="false">AVERAGE(B46,E46,H46,K46,N46)</f>
        <v>0.0124</v>
      </c>
      <c r="S46" s="84" t="n">
        <f aca="false">AVERAGE(C46,F46,I46,L46,O46)</f>
        <v>14.6</v>
      </c>
      <c r="T46" s="84" t="n">
        <f aca="false">AVERAGE(D46,G46,J46,M46,P46)</f>
        <v>21.6</v>
      </c>
      <c r="U46" s="85" t="n">
        <f aca="false">_xlfn.STDEV.S(B46,E46,H46,K46,N73)</f>
        <v>0.00221735578260834</v>
      </c>
      <c r="V46" s="58" t="n">
        <f aca="false">_xlfn.STDEV.S(C46,F46,I46,L46,O46)</f>
        <v>3.43511280746353</v>
      </c>
      <c r="W46" s="58" t="n">
        <f aca="false">_xlfn.STDEV.S(D46,G46,J46,M46,P46)</f>
        <v>3.36154726279432</v>
      </c>
      <c r="X46" s="58"/>
      <c r="Y46" s="35" t="n">
        <f aca="false">R46/0.01</f>
        <v>1.24</v>
      </c>
      <c r="Z46" s="86" t="n">
        <f aca="false">S46/0.01</f>
        <v>1460</v>
      </c>
      <c r="AA46" s="86" t="n">
        <f aca="false">T46/0.01</f>
        <v>2160</v>
      </c>
      <c r="AB46" s="87" t="n">
        <f aca="false">1.96*U46/SQRT(5)/0.01</f>
        <v>0.194359803800409</v>
      </c>
      <c r="AC46" s="88" t="n">
        <f aca="false">1.96*V46/SQRT(5)/0.01</f>
        <v>301.100913316449</v>
      </c>
      <c r="AD46" s="88" t="n">
        <f aca="false">1.96*W46/SQRT(5)/0.01</f>
        <v>294.652609016109</v>
      </c>
    </row>
    <row r="47" s="89" customFormat="true" ht="15" hidden="false" customHeight="false" outlineLevel="0" collapsed="false">
      <c r="A47" s="90" t="s">
        <v>172</v>
      </c>
      <c r="B47" s="38" t="n">
        <v>0.13</v>
      </c>
      <c r="C47" s="38" t="n">
        <v>1113</v>
      </c>
      <c r="D47" s="38" t="n">
        <v>1585</v>
      </c>
      <c r="E47" s="38" t="n">
        <v>0.128</v>
      </c>
      <c r="F47" s="38" t="n">
        <v>1054</v>
      </c>
      <c r="G47" s="38" t="n">
        <v>1602</v>
      </c>
      <c r="H47" s="38" t="n">
        <v>0.129</v>
      </c>
      <c r="I47" s="38" t="n">
        <v>1125</v>
      </c>
      <c r="J47" s="38" t="n">
        <v>1534</v>
      </c>
      <c r="K47" s="38" t="n">
        <v>0.122</v>
      </c>
      <c r="L47" s="38" t="n">
        <v>1062</v>
      </c>
      <c r="M47" s="38" t="n">
        <v>1474</v>
      </c>
      <c r="N47" s="38" t="n">
        <v>0.127</v>
      </c>
      <c r="O47" s="38" t="n">
        <v>1104</v>
      </c>
      <c r="P47" s="38" t="n">
        <v>1462</v>
      </c>
      <c r="Q47" s="38"/>
      <c r="R47" s="83" t="n">
        <f aca="false">AVERAGE(B47,E47,H47,K47,N47)</f>
        <v>0.1272</v>
      </c>
      <c r="S47" s="84" t="n">
        <f aca="false">AVERAGE(C47,F47,I47,L47,O47)</f>
        <v>1091.6</v>
      </c>
      <c r="T47" s="84" t="n">
        <f aca="false">AVERAGE(D47,G47,J47,M47,P47)</f>
        <v>1531.4</v>
      </c>
      <c r="U47" s="85" t="n">
        <f aca="false">_xlfn.STDEV.S(B47,E47,H47,K47,N74)</f>
        <v>0.00359397644214131</v>
      </c>
      <c r="V47" s="58" t="n">
        <f aca="false">_xlfn.STDEV.S(C47,F47,I47,L47,O47)</f>
        <v>31.6906926399535</v>
      </c>
      <c r="W47" s="58" t="n">
        <f aca="false">_xlfn.STDEV.S(D47,G47,J47,M47,P47)</f>
        <v>63.1965188914706</v>
      </c>
      <c r="X47" s="58"/>
      <c r="Y47" s="35" t="n">
        <f aca="false">R47/0.01</f>
        <v>12.72</v>
      </c>
      <c r="Z47" s="86" t="n">
        <f aca="false">S47/0.01</f>
        <v>109160</v>
      </c>
      <c r="AA47" s="86" t="n">
        <f aca="false">T47/0.01</f>
        <v>153140</v>
      </c>
      <c r="AB47" s="87" t="n">
        <f aca="false">1.96*U47/SQRT(5)/0.01</f>
        <v>0.315025924859103</v>
      </c>
      <c r="AC47" s="88" t="n">
        <f aca="false">1.96*V47/SQRT(5)/0.01</f>
        <v>2777.81168548194</v>
      </c>
      <c r="AD47" s="88" t="n">
        <f aca="false">1.96*W47/SQRT(5)/0.01</f>
        <v>5539.41911756097</v>
      </c>
      <c r="AMI47" s="0"/>
      <c r="AMJ47" s="0"/>
    </row>
    <row r="48" customFormat="false" ht="15" hidden="false" customHeight="false" outlineLevel="0" collapsed="false">
      <c r="A48" s="90" t="s">
        <v>187</v>
      </c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38"/>
      <c r="R48" s="92"/>
      <c r="S48" s="94"/>
      <c r="T48" s="94"/>
      <c r="U48" s="98"/>
      <c r="V48" s="99"/>
      <c r="W48" s="99"/>
      <c r="X48" s="58"/>
      <c r="Y48" s="93" t="n">
        <f aca="false">MIN(Y41:Y47)</f>
        <v>1.24</v>
      </c>
      <c r="Z48" s="94" t="n">
        <f aca="false">MIN(Z41:Z47)</f>
        <v>1460</v>
      </c>
      <c r="AA48" s="94" t="n">
        <f aca="false">MIN(AA41:AA47)</f>
        <v>2160</v>
      </c>
      <c r="AB48" s="93" t="n">
        <v>0.2</v>
      </c>
      <c r="AC48" s="94" t="n">
        <v>301</v>
      </c>
      <c r="AD48" s="94" t="n">
        <v>295</v>
      </c>
    </row>
    <row r="49" customFormat="false" ht="15" hidden="false" customHeight="false" outlineLevel="0" collapsed="false">
      <c r="A49" s="90" t="s">
        <v>188</v>
      </c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38"/>
      <c r="R49" s="92"/>
      <c r="S49" s="94"/>
      <c r="T49" s="94"/>
      <c r="U49" s="98"/>
      <c r="V49" s="99"/>
      <c r="W49" s="99"/>
      <c r="X49" s="58"/>
      <c r="Y49" s="93" t="n">
        <f aca="false">AVERAGE(Y41:Y47)</f>
        <v>72.4336857142857</v>
      </c>
      <c r="Z49" s="94" t="n">
        <f aca="false">AVERAGE(Z41:Z47)</f>
        <v>493385.714285714</v>
      </c>
      <c r="AA49" s="94" t="n">
        <f aca="false">AVERAGE(AA41:AA47)</f>
        <v>2123234.28571429</v>
      </c>
      <c r="AB49" s="93"/>
      <c r="AC49" s="94"/>
      <c r="AD49" s="94"/>
    </row>
    <row r="50" customFormat="false" ht="15" hidden="false" customHeight="false" outlineLevel="0" collapsed="false">
      <c r="A50" s="90" t="s">
        <v>189</v>
      </c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38"/>
      <c r="R50" s="92"/>
      <c r="S50" s="94"/>
      <c r="T50" s="94"/>
      <c r="U50" s="98"/>
      <c r="V50" s="99"/>
      <c r="W50" s="99"/>
      <c r="X50" s="58"/>
      <c r="Y50" s="93" t="n">
        <f aca="false">MAX(Y41:Y47)</f>
        <v>252.44</v>
      </c>
      <c r="Z50" s="94" t="n">
        <f aca="false">MAX(Z41:Z47)</f>
        <v>1861860</v>
      </c>
      <c r="AA50" s="94" t="n">
        <f aca="false">MAX(AA41:AA47)</f>
        <v>9866460</v>
      </c>
      <c r="AB50" s="93" t="n">
        <v>7.6</v>
      </c>
      <c r="AC50" s="94" t="n">
        <v>4087</v>
      </c>
      <c r="AD50" s="94" t="n">
        <v>216357</v>
      </c>
    </row>
  </sheetData>
  <mergeCells count="10">
    <mergeCell ref="B1:AD1"/>
    <mergeCell ref="B2:D2"/>
    <mergeCell ref="E2:G2"/>
    <mergeCell ref="H2:J2"/>
    <mergeCell ref="K2:M2"/>
    <mergeCell ref="N2:P2"/>
    <mergeCell ref="R2:T2"/>
    <mergeCell ref="U2:W2"/>
    <mergeCell ref="Y2:AA2"/>
    <mergeCell ref="AB2:AD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LibreOffice/6.0.4.2$Windows_X86_64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2023-03-21T02:07:49Z</dcterms:created>
  <dc:creator>Microsoft Office User</dc:creator>
  <dc:description/>
  <dc:language>en-CA</dc:language>
  <cp:lastModifiedBy/>
  <dcterms:modified xsi:type="dcterms:W3CDTF">2023-04-12T14:40:26Z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