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68dc5e5e36934782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GitHub\UUExcelWorkbook\UUExcelWorkbook\"/>
    </mc:Choice>
  </mc:AlternateContent>
  <xr:revisionPtr revIDLastSave="0" documentId="13_ncr:1_{3ABB4928-1029-417C-9587-4BF2061330A9}" xr6:coauthVersionLast="36" xr6:coauthVersionMax="36" xr10:uidLastSave="{00000000-0000-0000-0000-000000000000}"/>
  <bookViews>
    <workbookView xWindow="0" yWindow="0" windowWidth="15330" windowHeight="3030" activeTab="4" xr2:uid="{00000000-000D-0000-FFFF-FFFF00000000}"/>
  </bookViews>
  <sheets>
    <sheet name="Sheet1" sheetId="1" r:id="rId1"/>
    <sheet name="Sheet2" sheetId="2" r:id="rId2"/>
    <sheet name="Sheet5" sheetId="5" r:id="rId3"/>
    <sheet name="Sheet6" sheetId="6" r:id="rId4"/>
    <sheet name="main" sheetId="3" r:id="rId5"/>
    <sheet name="Общая таблица" sheetId="4" r:id="rId6"/>
  </sheets>
  <definedNames>
    <definedName name="Data1">main!$C$11:$AJ$85</definedName>
    <definedName name="Data2">main!$C$88:$AJ$150</definedName>
    <definedName name="title">main!$C$10:$AI$10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9" i="3" l="1"/>
  <c r="I91" i="3"/>
  <c r="I92" i="3"/>
  <c r="I93" i="3"/>
  <c r="I99" i="3"/>
  <c r="I100" i="3"/>
  <c r="I101" i="3"/>
  <c r="I104" i="3"/>
  <c r="I105" i="3"/>
  <c r="I109" i="3"/>
  <c r="I113" i="3"/>
  <c r="I116" i="3"/>
  <c r="I117" i="3"/>
  <c r="I120" i="3"/>
  <c r="I121" i="3"/>
  <c r="I123" i="3"/>
  <c r="I124" i="3"/>
  <c r="I125" i="3"/>
  <c r="I127" i="3"/>
  <c r="I128" i="3"/>
  <c r="I129" i="3"/>
  <c r="I132" i="3"/>
  <c r="I133" i="3"/>
  <c r="I137" i="3"/>
  <c r="I141" i="3"/>
  <c r="I145" i="3"/>
  <c r="I88" i="3"/>
  <c r="B3" i="6"/>
  <c r="B4" i="6"/>
  <c r="B5" i="6"/>
  <c r="B6" i="6"/>
  <c r="B7" i="6"/>
  <c r="B8" i="6"/>
  <c r="B9" i="6"/>
  <c r="B10" i="6"/>
  <c r="B11" i="6"/>
  <c r="B12" i="6"/>
  <c r="B13" i="6"/>
  <c r="B14" i="6"/>
  <c r="B2" i="6"/>
  <c r="P29" i="2" s="1"/>
  <c r="O27" i="2"/>
  <c r="I94" i="3" s="1"/>
  <c r="O28" i="2"/>
  <c r="I106" i="3" s="1"/>
  <c r="O29" i="2"/>
  <c r="I102" i="3" s="1"/>
  <c r="O30" i="2"/>
  <c r="I122" i="3" s="1"/>
  <c r="O31" i="2"/>
  <c r="I98" i="3" s="1"/>
  <c r="O32" i="2"/>
  <c r="I110" i="3" s="1"/>
  <c r="O33" i="2"/>
  <c r="I118" i="3" s="1"/>
  <c r="O34" i="2"/>
  <c r="I126" i="3" s="1"/>
  <c r="O35" i="2"/>
  <c r="O36" i="2"/>
  <c r="I138" i="3" s="1"/>
  <c r="O37" i="2"/>
  <c r="I134" i="3" s="1"/>
  <c r="O38" i="2"/>
  <c r="I150" i="3" s="1"/>
  <c r="O26" i="2"/>
  <c r="I90" i="3" s="1"/>
  <c r="J121" i="3" l="1"/>
  <c r="J107" i="3"/>
  <c r="J96" i="3"/>
  <c r="J102" i="3"/>
  <c r="J114" i="3"/>
  <c r="P36" i="2"/>
  <c r="P32" i="2"/>
  <c r="P28" i="2"/>
  <c r="P35" i="2"/>
  <c r="P27" i="2"/>
  <c r="I144" i="3"/>
  <c r="I136" i="3"/>
  <c r="I112" i="3"/>
  <c r="I96" i="3"/>
  <c r="P30" i="2"/>
  <c r="I147" i="3"/>
  <c r="I139" i="3"/>
  <c r="I135" i="3"/>
  <c r="I119" i="3"/>
  <c r="I115" i="3"/>
  <c r="I111" i="3"/>
  <c r="I107" i="3"/>
  <c r="I103" i="3"/>
  <c r="I149" i="3"/>
  <c r="I97" i="3"/>
  <c r="P26" i="2"/>
  <c r="P31" i="2"/>
  <c r="I148" i="3"/>
  <c r="I140" i="3"/>
  <c r="I108" i="3"/>
  <c r="P38" i="2"/>
  <c r="P34" i="2"/>
  <c r="I143" i="3"/>
  <c r="I131" i="3"/>
  <c r="I95" i="3"/>
  <c r="P37" i="2"/>
  <c r="P33" i="2"/>
  <c r="I146" i="3"/>
  <c r="I142" i="3"/>
  <c r="I130" i="3"/>
  <c r="I114" i="3"/>
  <c r="D88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K129" i="3" s="1"/>
  <c r="D130" i="3"/>
  <c r="L130" i="3" s="1"/>
  <c r="D131" i="3"/>
  <c r="K131" i="3" s="1"/>
  <c r="D132" i="3"/>
  <c r="K132" i="3" s="1"/>
  <c r="D133" i="3"/>
  <c r="K133" i="3" s="1"/>
  <c r="D134" i="3"/>
  <c r="L134" i="3" s="1"/>
  <c r="D135" i="3"/>
  <c r="K135" i="3" s="1"/>
  <c r="D136" i="3"/>
  <c r="K136" i="3" s="1"/>
  <c r="D137" i="3"/>
  <c r="K137" i="3" s="1"/>
  <c r="D138" i="3"/>
  <c r="K138" i="3" s="1"/>
  <c r="D139" i="3"/>
  <c r="L139" i="3" s="1"/>
  <c r="D140" i="3"/>
  <c r="K140" i="3" s="1"/>
  <c r="D141" i="3"/>
  <c r="K141" i="3" s="1"/>
  <c r="D142" i="3"/>
  <c r="L142" i="3" s="1"/>
  <c r="D143" i="3"/>
  <c r="L143" i="3" s="1"/>
  <c r="D144" i="3"/>
  <c r="K144" i="3" s="1"/>
  <c r="D145" i="3"/>
  <c r="K145" i="3" s="1"/>
  <c r="D146" i="3"/>
  <c r="D147" i="3"/>
  <c r="L147" i="3" s="1"/>
  <c r="D148" i="3"/>
  <c r="K148" i="3" s="1"/>
  <c r="D149" i="3"/>
  <c r="K149" i="3" s="1"/>
  <c r="D150" i="3"/>
  <c r="K150" i="3" s="1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AI105" i="3" s="1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30" i="3"/>
  <c r="L131" i="3"/>
  <c r="K134" i="3"/>
  <c r="L135" i="3"/>
  <c r="L137" i="3"/>
  <c r="L138" i="3"/>
  <c r="K139" i="3"/>
  <c r="K142" i="3"/>
  <c r="K146" i="3"/>
  <c r="L146" i="3"/>
  <c r="L150" i="3"/>
  <c r="J16" i="2"/>
  <c r="I16" i="2"/>
  <c r="D16" i="2"/>
  <c r="G129" i="3"/>
  <c r="G130" i="3"/>
  <c r="G131" i="3" s="1"/>
  <c r="G132" i="3" s="1"/>
  <c r="G133" i="3" s="1"/>
  <c r="G134" i="3" s="1"/>
  <c r="G135" i="3"/>
  <c r="G136" i="3"/>
  <c r="G137" i="3" s="1"/>
  <c r="G138" i="3" s="1"/>
  <c r="G139" i="3" s="1"/>
  <c r="G140" i="3" s="1"/>
  <c r="G141" i="3"/>
  <c r="G142" i="3"/>
  <c r="G143" i="3"/>
  <c r="G144" i="3"/>
  <c r="G145" i="3"/>
  <c r="G146" i="3"/>
  <c r="G147" i="3"/>
  <c r="G148" i="3"/>
  <c r="G149" i="3" s="1"/>
  <c r="G150" i="3"/>
  <c r="G121" i="3"/>
  <c r="G122" i="3" s="1"/>
  <c r="G123" i="3" s="1"/>
  <c r="G124" i="3" s="1"/>
  <c r="G125" i="3" s="1"/>
  <c r="G126" i="3" s="1"/>
  <c r="G127" i="3" s="1"/>
  <c r="G128" i="3" s="1"/>
  <c r="G106" i="3"/>
  <c r="G107" i="3" s="1"/>
  <c r="G108" i="3" s="1"/>
  <c r="G109" i="3" s="1"/>
  <c r="G110" i="3" s="1"/>
  <c r="G111" i="3" s="1"/>
  <c r="G112" i="3" s="1"/>
  <c r="G113" i="3"/>
  <c r="G114" i="3" s="1"/>
  <c r="G115" i="3" s="1"/>
  <c r="G116" i="3" s="1"/>
  <c r="G117" i="3" s="1"/>
  <c r="G118" i="3" s="1"/>
  <c r="G119" i="3" s="1"/>
  <c r="G120" i="3" s="1"/>
  <c r="G90" i="3"/>
  <c r="G91" i="3" s="1"/>
  <c r="G92" i="3" s="1"/>
  <c r="G93" i="3"/>
  <c r="G94" i="3" s="1"/>
  <c r="G95" i="3" s="1"/>
  <c r="G96" i="3" s="1"/>
  <c r="G97" i="3" s="1"/>
  <c r="G98" i="3" s="1"/>
  <c r="G99" i="3"/>
  <c r="G100" i="3" s="1"/>
  <c r="G101" i="3" s="1"/>
  <c r="G102" i="3" s="1"/>
  <c r="G103" i="3" s="1"/>
  <c r="G104" i="3" s="1"/>
  <c r="G105" i="3" s="1"/>
  <c r="S105" i="3"/>
  <c r="J134" i="3" l="1"/>
  <c r="J146" i="3"/>
  <c r="J139" i="3"/>
  <c r="J143" i="3"/>
  <c r="J148" i="3"/>
  <c r="J101" i="3"/>
  <c r="J113" i="3"/>
  <c r="J106" i="3"/>
  <c r="J95" i="3"/>
  <c r="J92" i="3"/>
  <c r="J131" i="3"/>
  <c r="J112" i="3"/>
  <c r="J136" i="3"/>
  <c r="J126" i="3"/>
  <c r="J119" i="3"/>
  <c r="J149" i="3"/>
  <c r="J150" i="3"/>
  <c r="J147" i="3"/>
  <c r="J144" i="3"/>
  <c r="J140" i="3"/>
  <c r="J109" i="3"/>
  <c r="J123" i="3"/>
  <c r="J104" i="3"/>
  <c r="J98" i="3"/>
  <c r="J116" i="3"/>
  <c r="J97" i="3"/>
  <c r="J122" i="3"/>
  <c r="J115" i="3"/>
  <c r="J103" i="3"/>
  <c r="J108" i="3"/>
  <c r="J105" i="3"/>
  <c r="J117" i="3"/>
  <c r="J129" i="3"/>
  <c r="J110" i="3"/>
  <c r="J124" i="3"/>
  <c r="K143" i="3"/>
  <c r="J93" i="3"/>
  <c r="J99" i="3"/>
  <c r="J90" i="3"/>
  <c r="J88" i="3"/>
  <c r="J89" i="3"/>
  <c r="J91" i="3"/>
  <c r="J94" i="3"/>
  <c r="J100" i="3"/>
  <c r="J133" i="3"/>
  <c r="J145" i="3"/>
  <c r="J138" i="3"/>
  <c r="J142" i="3"/>
  <c r="J128" i="3"/>
  <c r="J125" i="3"/>
  <c r="J130" i="3"/>
  <c r="J118" i="3"/>
  <c r="J111" i="3"/>
  <c r="J135" i="3"/>
  <c r="J137" i="3"/>
  <c r="J141" i="3"/>
  <c r="J120" i="3"/>
  <c r="J127" i="3"/>
  <c r="J132" i="3"/>
  <c r="L16" i="2"/>
  <c r="L129" i="3"/>
  <c r="L145" i="3"/>
  <c r="K147" i="3"/>
  <c r="L149" i="3"/>
  <c r="L141" i="3"/>
  <c r="L133" i="3"/>
  <c r="L148" i="3"/>
  <c r="L144" i="3"/>
  <c r="L140" i="3"/>
  <c r="L136" i="3"/>
  <c r="L132" i="3"/>
  <c r="K16" i="2"/>
  <c r="O105" i="3"/>
  <c r="N105" i="3"/>
  <c r="F8" i="3"/>
  <c r="F7" i="3"/>
  <c r="F105" i="3" l="1"/>
  <c r="M105" i="3"/>
  <c r="V105" i="3"/>
  <c r="W105" i="3" s="1"/>
  <c r="AA105" i="3"/>
  <c r="AB105" i="3" s="1"/>
  <c r="AC105" i="3" s="1"/>
  <c r="AF105" i="3" s="1"/>
  <c r="Y105" i="3"/>
  <c r="Z105" i="3" s="1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X105" i="3" l="1"/>
  <c r="AE105" i="3" s="1"/>
  <c r="G88" i="3"/>
  <c r="G89" i="3" s="1"/>
  <c r="M129" i="3" l="1"/>
  <c r="M93" i="3"/>
  <c r="M147" i="3"/>
  <c r="M135" i="3"/>
  <c r="M114" i="3"/>
  <c r="M99" i="3"/>
  <c r="M94" i="3"/>
  <c r="M92" i="3"/>
  <c r="M146" i="3"/>
  <c r="M141" i="3"/>
  <c r="M106" i="3"/>
  <c r="M91" i="3"/>
  <c r="M148" i="3"/>
  <c r="M130" i="3"/>
  <c r="M107" i="3"/>
  <c r="M90" i="3"/>
  <c r="M150" i="3"/>
  <c r="M145" i="3"/>
  <c r="M121" i="3"/>
  <c r="M113" i="3"/>
  <c r="M95" i="3"/>
  <c r="M89" i="3"/>
  <c r="M88" i="3"/>
  <c r="AI150" i="3"/>
  <c r="AI145" i="3"/>
  <c r="AI142" i="3"/>
  <c r="AI140" i="3"/>
  <c r="AI137" i="3"/>
  <c r="AI133" i="3"/>
  <c r="AI131" i="3"/>
  <c r="AI128" i="3"/>
  <c r="AI126" i="3"/>
  <c r="AI124" i="3"/>
  <c r="AI121" i="3"/>
  <c r="AI115" i="3"/>
  <c r="AI113" i="3"/>
  <c r="AI103" i="3"/>
  <c r="AI100" i="3"/>
  <c r="AI98" i="3"/>
  <c r="AI95" i="3"/>
  <c r="AI147" i="3"/>
  <c r="AI139" i="3"/>
  <c r="AI135" i="3"/>
  <c r="AI119" i="3"/>
  <c r="AI117" i="3"/>
  <c r="AI114" i="3"/>
  <c r="AI111" i="3"/>
  <c r="AI109" i="3"/>
  <c r="AI102" i="3"/>
  <c r="AI99" i="3"/>
  <c r="AI97" i="3"/>
  <c r="AI94" i="3"/>
  <c r="AI149" i="3"/>
  <c r="AI146" i="3"/>
  <c r="AI144" i="3"/>
  <c r="AI141" i="3"/>
  <c r="AI138" i="3"/>
  <c r="AI136" i="3"/>
  <c r="AI132" i="3"/>
  <c r="AI129" i="3"/>
  <c r="AI127" i="3"/>
  <c r="AI125" i="3"/>
  <c r="AI123" i="3"/>
  <c r="AI108" i="3"/>
  <c r="AI106" i="3"/>
  <c r="AI96" i="3"/>
  <c r="AI93" i="3"/>
  <c r="AI148" i="3"/>
  <c r="AI143" i="3"/>
  <c r="AI134" i="3"/>
  <c r="AI130" i="3"/>
  <c r="AI122" i="3"/>
  <c r="AI120" i="3"/>
  <c r="AI118" i="3"/>
  <c r="AI116" i="3"/>
  <c r="AI112" i="3"/>
  <c r="AI110" i="3"/>
  <c r="AI107" i="3"/>
  <c r="AI104" i="3"/>
  <c r="AI101" i="3"/>
  <c r="AI92" i="3"/>
  <c r="AI89" i="3"/>
  <c r="AI91" i="3"/>
  <c r="AI90" i="3"/>
  <c r="O149" i="3"/>
  <c r="F146" i="3"/>
  <c r="O144" i="3"/>
  <c r="O141" i="3"/>
  <c r="O138" i="3"/>
  <c r="O136" i="3"/>
  <c r="O132" i="3"/>
  <c r="F129" i="3"/>
  <c r="O127" i="3"/>
  <c r="O125" i="3"/>
  <c r="O123" i="3"/>
  <c r="O108" i="3"/>
  <c r="F106" i="3"/>
  <c r="O96" i="3"/>
  <c r="F93" i="3"/>
  <c r="F91" i="3"/>
  <c r="O148" i="3"/>
  <c r="O143" i="3"/>
  <c r="O134" i="3"/>
  <c r="O130" i="3"/>
  <c r="O122" i="3"/>
  <c r="O120" i="3"/>
  <c r="O118" i="3"/>
  <c r="O116" i="3"/>
  <c r="O112" i="3"/>
  <c r="O110" i="3"/>
  <c r="O107" i="3"/>
  <c r="O104" i="3"/>
  <c r="O101" i="3"/>
  <c r="F90" i="3"/>
  <c r="F150" i="3"/>
  <c r="F145" i="3"/>
  <c r="O142" i="3"/>
  <c r="O140" i="3"/>
  <c r="O137" i="3"/>
  <c r="O133" i="3"/>
  <c r="O131" i="3"/>
  <c r="O128" i="3"/>
  <c r="O126" i="3"/>
  <c r="O124" i="3"/>
  <c r="O121" i="3"/>
  <c r="O115" i="3"/>
  <c r="F113" i="3"/>
  <c r="O103" i="3"/>
  <c r="O100" i="3"/>
  <c r="O98" i="3"/>
  <c r="O95" i="3"/>
  <c r="F147" i="3"/>
  <c r="O139" i="3"/>
  <c r="F135" i="3"/>
  <c r="O119" i="3"/>
  <c r="O117" i="3"/>
  <c r="O114" i="3"/>
  <c r="O111" i="3"/>
  <c r="O109" i="3"/>
  <c r="O102" i="3"/>
  <c r="O99" i="3"/>
  <c r="O97" i="3"/>
  <c r="O94" i="3"/>
  <c r="F92" i="3"/>
  <c r="O89" i="3"/>
  <c r="O88" i="3"/>
  <c r="O145" i="3"/>
  <c r="O113" i="3"/>
  <c r="O150" i="3"/>
  <c r="O147" i="3"/>
  <c r="O135" i="3"/>
  <c r="O146" i="3"/>
  <c r="O106" i="3"/>
  <c r="O92" i="3"/>
  <c r="O129" i="3"/>
  <c r="O91" i="3"/>
  <c r="O93" i="3"/>
  <c r="O90" i="3"/>
  <c r="F130" i="3"/>
  <c r="F99" i="3"/>
  <c r="F141" i="3"/>
  <c r="F94" i="3"/>
  <c r="F107" i="3"/>
  <c r="F148" i="3"/>
  <c r="M149" i="3"/>
  <c r="F121" i="3"/>
  <c r="M122" i="3"/>
  <c r="F114" i="3"/>
  <c r="F95" i="3"/>
  <c r="F88" i="3"/>
  <c r="F89" i="3"/>
  <c r="S89" i="3" s="1"/>
  <c r="F142" i="3" l="1"/>
  <c r="M142" i="3"/>
  <c r="M108" i="3"/>
  <c r="F131" i="3"/>
  <c r="F116" i="3"/>
  <c r="M115" i="3"/>
  <c r="M131" i="3"/>
  <c r="F132" i="3"/>
  <c r="F100" i="3"/>
  <c r="F122" i="3"/>
  <c r="F149" i="3"/>
  <c r="M100" i="3"/>
  <c r="N89" i="3"/>
  <c r="M96" i="3"/>
  <c r="M143" i="3"/>
  <c r="M136" i="3"/>
  <c r="S88" i="3"/>
  <c r="N88" i="3" s="1"/>
  <c r="S114" i="3"/>
  <c r="S107" i="3"/>
  <c r="S135" i="3"/>
  <c r="S93" i="3"/>
  <c r="S122" i="3"/>
  <c r="N122" i="3" s="1"/>
  <c r="S141" i="3"/>
  <c r="S95" i="3"/>
  <c r="S123" i="3"/>
  <c r="S142" i="3"/>
  <c r="S147" i="3"/>
  <c r="S106" i="3"/>
  <c r="S100" i="3"/>
  <c r="S149" i="3"/>
  <c r="N149" i="3" s="1"/>
  <c r="S130" i="3"/>
  <c r="S109" i="3"/>
  <c r="S129" i="3"/>
  <c r="S121" i="3"/>
  <c r="S148" i="3"/>
  <c r="S94" i="3"/>
  <c r="S99" i="3"/>
  <c r="S92" i="3"/>
  <c r="S91" i="3"/>
  <c r="S131" i="3"/>
  <c r="S101" i="3"/>
  <c r="S150" i="3"/>
  <c r="S146" i="3"/>
  <c r="S90" i="3"/>
  <c r="F108" i="3"/>
  <c r="F96" i="3"/>
  <c r="F143" i="3"/>
  <c r="F115" i="3"/>
  <c r="F136" i="3"/>
  <c r="N129" i="3" l="1"/>
  <c r="N142" i="3"/>
  <c r="N107" i="3"/>
  <c r="F144" i="3"/>
  <c r="M144" i="3"/>
  <c r="N92" i="3"/>
  <c r="N148" i="3"/>
  <c r="N106" i="3"/>
  <c r="N114" i="3"/>
  <c r="N123" i="3"/>
  <c r="M123" i="3"/>
  <c r="F123" i="3"/>
  <c r="M132" i="3"/>
  <c r="M116" i="3"/>
  <c r="N121" i="3"/>
  <c r="N130" i="3"/>
  <c r="N147" i="3"/>
  <c r="N95" i="3"/>
  <c r="N131" i="3"/>
  <c r="N109" i="3"/>
  <c r="M109" i="3"/>
  <c r="F109" i="3"/>
  <c r="M97" i="3"/>
  <c r="N150" i="3"/>
  <c r="N146" i="3"/>
  <c r="N141" i="3"/>
  <c r="N135" i="3"/>
  <c r="N101" i="3"/>
  <c r="M101" i="3"/>
  <c r="F101" i="3"/>
  <c r="N100" i="3"/>
  <c r="N99" i="3"/>
  <c r="N91" i="3"/>
  <c r="N94" i="3"/>
  <c r="N93" i="3"/>
  <c r="N90" i="3"/>
  <c r="S145" i="3"/>
  <c r="S113" i="3"/>
  <c r="S144" i="3"/>
  <c r="N144" i="3" s="1"/>
  <c r="S96" i="3"/>
  <c r="S116" i="3"/>
  <c r="S132" i="3"/>
  <c r="S115" i="3"/>
  <c r="S137" i="3"/>
  <c r="S136" i="3"/>
  <c r="S143" i="3"/>
  <c r="S108" i="3"/>
  <c r="F97" i="3"/>
  <c r="N96" i="3" l="1"/>
  <c r="M137" i="3"/>
  <c r="N137" i="3"/>
  <c r="F137" i="3"/>
  <c r="N132" i="3"/>
  <c r="N145" i="3"/>
  <c r="M98" i="3"/>
  <c r="N115" i="3"/>
  <c r="N116" i="3"/>
  <c r="N143" i="3"/>
  <c r="N108" i="3"/>
  <c r="N136" i="3"/>
  <c r="N113" i="3"/>
  <c r="S117" i="3"/>
  <c r="S102" i="3"/>
  <c r="S97" i="3"/>
  <c r="S110" i="3"/>
  <c r="S124" i="3"/>
  <c r="F133" i="3"/>
  <c r="F98" i="3"/>
  <c r="N124" i="3" l="1"/>
  <c r="M124" i="3"/>
  <c r="F124" i="3"/>
  <c r="M102" i="3"/>
  <c r="N102" i="3"/>
  <c r="F102" i="3"/>
  <c r="M133" i="3"/>
  <c r="M110" i="3"/>
  <c r="N110" i="3"/>
  <c r="F110" i="3"/>
  <c r="N97" i="3"/>
  <c r="M117" i="3"/>
  <c r="N117" i="3"/>
  <c r="F117" i="3"/>
  <c r="S133" i="3"/>
  <c r="N133" i="3" s="1"/>
  <c r="S98" i="3"/>
  <c r="S103" i="3"/>
  <c r="S138" i="3"/>
  <c r="S134" i="3"/>
  <c r="N138" i="3" l="1"/>
  <c r="M138" i="3"/>
  <c r="F138" i="3"/>
  <c r="N103" i="3"/>
  <c r="M103" i="3"/>
  <c r="F103" i="3"/>
  <c r="N98" i="3"/>
  <c r="F134" i="3"/>
  <c r="M134" i="3"/>
  <c r="N134" i="3"/>
  <c r="S125" i="3"/>
  <c r="S104" i="3"/>
  <c r="S111" i="3"/>
  <c r="S139" i="3"/>
  <c r="S118" i="3"/>
  <c r="S140" i="3"/>
  <c r="M125" i="3" l="1"/>
  <c r="N125" i="3"/>
  <c r="F125" i="3"/>
  <c r="M111" i="3"/>
  <c r="N111" i="3"/>
  <c r="F111" i="3"/>
  <c r="M118" i="3"/>
  <c r="N118" i="3"/>
  <c r="F118" i="3"/>
  <c r="M104" i="3"/>
  <c r="N104" i="3"/>
  <c r="F104" i="3"/>
  <c r="N139" i="3"/>
  <c r="M139" i="3"/>
  <c r="F139" i="3"/>
  <c r="F140" i="3" l="1"/>
  <c r="N140" i="3"/>
  <c r="M140" i="3"/>
  <c r="S119" i="3"/>
  <c r="S112" i="3"/>
  <c r="S126" i="3"/>
  <c r="N126" i="3" l="1"/>
  <c r="M126" i="3"/>
  <c r="F126" i="3"/>
  <c r="N119" i="3"/>
  <c r="M119" i="3"/>
  <c r="F119" i="3"/>
  <c r="N112" i="3"/>
  <c r="M112" i="3"/>
  <c r="F112" i="3"/>
  <c r="S120" i="3" l="1"/>
  <c r="S127" i="3"/>
  <c r="N120" i="3" l="1"/>
  <c r="M120" i="3"/>
  <c r="F120" i="3"/>
  <c r="N127" i="3"/>
  <c r="M127" i="3"/>
  <c r="F127" i="3"/>
  <c r="S128" i="3"/>
  <c r="I36" i="2"/>
  <c r="J36" i="2"/>
  <c r="I37" i="2"/>
  <c r="J37" i="2"/>
  <c r="I38" i="2"/>
  <c r="J38" i="2"/>
  <c r="I26" i="2"/>
  <c r="I27" i="2"/>
  <c r="I28" i="2"/>
  <c r="I29" i="2"/>
  <c r="I30" i="2"/>
  <c r="I31" i="2"/>
  <c r="I32" i="2"/>
  <c r="Q105" i="3" s="1"/>
  <c r="I33" i="2"/>
  <c r="I34" i="2"/>
  <c r="I35" i="2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13" i="3"/>
  <c r="R14" i="3"/>
  <c r="R15" i="3"/>
  <c r="R16" i="3"/>
  <c r="R17" i="3"/>
  <c r="R18" i="3"/>
  <c r="R12" i="3"/>
  <c r="R11" i="3"/>
  <c r="J27" i="2"/>
  <c r="J28" i="2"/>
  <c r="J29" i="2"/>
  <c r="J30" i="2"/>
  <c r="J31" i="2"/>
  <c r="J32" i="2"/>
  <c r="R105" i="3" s="1"/>
  <c r="J33" i="2"/>
  <c r="J34" i="2"/>
  <c r="J35" i="2"/>
  <c r="J26" i="2"/>
  <c r="R92" i="3" l="1"/>
  <c r="R95" i="3"/>
  <c r="R101" i="3"/>
  <c r="R106" i="3"/>
  <c r="R113" i="3"/>
  <c r="Q131" i="3"/>
  <c r="Q136" i="3"/>
  <c r="Q112" i="3"/>
  <c r="Q119" i="3"/>
  <c r="Q126" i="3"/>
  <c r="Q129" i="3"/>
  <c r="Q110" i="3"/>
  <c r="Q117" i="3"/>
  <c r="Q124" i="3"/>
  <c r="Q96" i="3"/>
  <c r="Q102" i="3"/>
  <c r="Q107" i="3"/>
  <c r="Q114" i="3"/>
  <c r="Q121" i="3"/>
  <c r="R144" i="3"/>
  <c r="R150" i="3"/>
  <c r="R147" i="3"/>
  <c r="R149" i="3"/>
  <c r="R140" i="3"/>
  <c r="R128" i="3"/>
  <c r="R142" i="3"/>
  <c r="R133" i="3"/>
  <c r="R138" i="3"/>
  <c r="R145" i="3"/>
  <c r="R111" i="3"/>
  <c r="R118" i="3"/>
  <c r="R125" i="3"/>
  <c r="R130" i="3"/>
  <c r="R135" i="3"/>
  <c r="R98" i="3"/>
  <c r="R104" i="3"/>
  <c r="R109" i="3"/>
  <c r="R116" i="3"/>
  <c r="R123" i="3"/>
  <c r="R91" i="3"/>
  <c r="R94" i="3"/>
  <c r="R100" i="3"/>
  <c r="R89" i="3"/>
  <c r="Q92" i="3"/>
  <c r="Q95" i="3"/>
  <c r="Q101" i="3"/>
  <c r="Q106" i="3"/>
  <c r="Q113" i="3"/>
  <c r="Q150" i="3"/>
  <c r="Q147" i="3"/>
  <c r="Q149" i="3"/>
  <c r="Q140" i="3"/>
  <c r="Q144" i="3"/>
  <c r="Q133" i="3"/>
  <c r="Q138" i="3"/>
  <c r="Q145" i="3"/>
  <c r="Q128" i="3"/>
  <c r="Q142" i="3"/>
  <c r="R120" i="3"/>
  <c r="R127" i="3"/>
  <c r="R141" i="3"/>
  <c r="R132" i="3"/>
  <c r="R137" i="3"/>
  <c r="R97" i="3"/>
  <c r="R103" i="3"/>
  <c r="R108" i="3"/>
  <c r="R115" i="3"/>
  <c r="R122" i="3"/>
  <c r="Q132" i="3"/>
  <c r="Q137" i="3"/>
  <c r="Q120" i="3"/>
  <c r="Q127" i="3"/>
  <c r="Q141" i="3"/>
  <c r="Q130" i="3"/>
  <c r="Q135" i="3"/>
  <c r="Q111" i="3"/>
  <c r="Q118" i="3"/>
  <c r="Q125" i="3"/>
  <c r="Q98" i="3"/>
  <c r="Q104" i="3"/>
  <c r="Q109" i="3"/>
  <c r="Q116" i="3"/>
  <c r="Q123" i="3"/>
  <c r="Q89" i="3"/>
  <c r="Q91" i="3"/>
  <c r="Q94" i="3"/>
  <c r="Q100" i="3"/>
  <c r="R146" i="3"/>
  <c r="R148" i="3"/>
  <c r="R134" i="3"/>
  <c r="R139" i="3"/>
  <c r="R143" i="3"/>
  <c r="R90" i="3"/>
  <c r="R93" i="3"/>
  <c r="R99" i="3"/>
  <c r="R88" i="3"/>
  <c r="R112" i="3"/>
  <c r="R119" i="3"/>
  <c r="R126" i="3"/>
  <c r="R131" i="3"/>
  <c r="R136" i="3"/>
  <c r="R110" i="3"/>
  <c r="R117" i="3"/>
  <c r="R124" i="3"/>
  <c r="R129" i="3"/>
  <c r="R96" i="3"/>
  <c r="R102" i="3"/>
  <c r="R107" i="3"/>
  <c r="R114" i="3"/>
  <c r="R121" i="3"/>
  <c r="Q97" i="3"/>
  <c r="Q103" i="3"/>
  <c r="Q108" i="3"/>
  <c r="Q115" i="3"/>
  <c r="Q122" i="3"/>
  <c r="Q88" i="3"/>
  <c r="Q90" i="3"/>
  <c r="Q93" i="3"/>
  <c r="Q99" i="3"/>
  <c r="Q143" i="3"/>
  <c r="Q146" i="3"/>
  <c r="Q148" i="3"/>
  <c r="Q134" i="3"/>
  <c r="Q139" i="3"/>
  <c r="K36" i="2"/>
  <c r="K38" i="2"/>
  <c r="K37" i="2"/>
  <c r="L38" i="2"/>
  <c r="L37" i="2"/>
  <c r="L36" i="2"/>
  <c r="L34" i="2"/>
  <c r="L29" i="2"/>
  <c r="K26" i="2"/>
  <c r="L35" i="2"/>
  <c r="K33" i="2"/>
  <c r="K31" i="2"/>
  <c r="K28" i="2"/>
  <c r="K35" i="2"/>
  <c r="L32" i="2"/>
  <c r="T105" i="3" s="1"/>
  <c r="U105" i="3" s="1"/>
  <c r="AD105" i="3" s="1"/>
  <c r="AH105" i="3" s="1"/>
  <c r="L31" i="2"/>
  <c r="L33" i="2"/>
  <c r="L28" i="2"/>
  <c r="K30" i="2"/>
  <c r="K27" i="2"/>
  <c r="K29" i="2"/>
  <c r="L26" i="2"/>
  <c r="L30" i="2"/>
  <c r="L27" i="2"/>
  <c r="K34" i="2"/>
  <c r="K32" i="2"/>
  <c r="T110" i="3" l="1"/>
  <c r="U110" i="3" s="1"/>
  <c r="T117" i="3"/>
  <c r="U117" i="3" s="1"/>
  <c r="T124" i="3"/>
  <c r="U124" i="3" s="1"/>
  <c r="T129" i="3"/>
  <c r="U129" i="3" s="1"/>
  <c r="T128" i="3"/>
  <c r="U128" i="3" s="1"/>
  <c r="T133" i="3"/>
  <c r="U133" i="3" s="1"/>
  <c r="T138" i="3"/>
  <c r="U138" i="3" s="1"/>
  <c r="T145" i="3"/>
  <c r="U145" i="3" s="1"/>
  <c r="T142" i="3"/>
  <c r="U142" i="3" s="1"/>
  <c r="T148" i="3"/>
  <c r="U148" i="3" s="1"/>
  <c r="T134" i="3"/>
  <c r="U134" i="3" s="1"/>
  <c r="T139" i="3"/>
  <c r="U139" i="3" s="1"/>
  <c r="T146" i="3"/>
  <c r="U146" i="3" s="1"/>
  <c r="T143" i="3"/>
  <c r="U143" i="3" s="1"/>
  <c r="T111" i="3"/>
  <c r="U111" i="3" s="1"/>
  <c r="T118" i="3"/>
  <c r="U118" i="3" s="1"/>
  <c r="T125" i="3"/>
  <c r="U125" i="3" s="1"/>
  <c r="T130" i="3"/>
  <c r="U130" i="3" s="1"/>
  <c r="T135" i="3"/>
  <c r="U135" i="3" s="1"/>
  <c r="T141" i="3"/>
  <c r="U141" i="3" s="1"/>
  <c r="T120" i="3"/>
  <c r="U120" i="3" s="1"/>
  <c r="T127" i="3"/>
  <c r="U127" i="3" s="1"/>
  <c r="T132" i="3"/>
  <c r="U132" i="3" s="1"/>
  <c r="T137" i="3"/>
  <c r="U137" i="3" s="1"/>
  <c r="T96" i="3"/>
  <c r="U96" i="3" s="1"/>
  <c r="T102" i="3"/>
  <c r="U102" i="3" s="1"/>
  <c r="T107" i="3"/>
  <c r="U107" i="3" s="1"/>
  <c r="T114" i="3"/>
  <c r="U114" i="3" s="1"/>
  <c r="T121" i="3"/>
  <c r="U121" i="3" s="1"/>
  <c r="T144" i="3"/>
  <c r="U144" i="3" s="1"/>
  <c r="T149" i="3"/>
  <c r="U149" i="3" s="1"/>
  <c r="T150" i="3"/>
  <c r="U150" i="3" s="1"/>
  <c r="T140" i="3"/>
  <c r="U140" i="3" s="1"/>
  <c r="T147" i="3"/>
  <c r="U147" i="3" s="1"/>
  <c r="T94" i="3"/>
  <c r="U94" i="3" s="1"/>
  <c r="T100" i="3"/>
  <c r="U100" i="3" s="1"/>
  <c r="T91" i="3"/>
  <c r="U91" i="3" s="1"/>
  <c r="T89" i="3"/>
  <c r="U89" i="3" s="1"/>
  <c r="T95" i="3"/>
  <c r="U95" i="3" s="1"/>
  <c r="T101" i="3"/>
  <c r="U101" i="3" s="1"/>
  <c r="T106" i="3"/>
  <c r="U106" i="3" s="1"/>
  <c r="T113" i="3"/>
  <c r="U113" i="3" s="1"/>
  <c r="T92" i="3"/>
  <c r="U92" i="3" s="1"/>
  <c r="T97" i="3"/>
  <c r="U97" i="3" s="1"/>
  <c r="T103" i="3"/>
  <c r="U103" i="3" s="1"/>
  <c r="T108" i="3"/>
  <c r="U108" i="3" s="1"/>
  <c r="T115" i="3"/>
  <c r="U115" i="3" s="1"/>
  <c r="T122" i="3"/>
  <c r="U122" i="3" s="1"/>
  <c r="T93" i="3"/>
  <c r="U93" i="3" s="1"/>
  <c r="T99" i="3"/>
  <c r="U99" i="3" s="1"/>
  <c r="T90" i="3"/>
  <c r="U90" i="3" s="1"/>
  <c r="T88" i="3"/>
  <c r="U88" i="3" s="1"/>
  <c r="T98" i="3"/>
  <c r="U98" i="3" s="1"/>
  <c r="T104" i="3"/>
  <c r="U104" i="3" s="1"/>
  <c r="T109" i="3"/>
  <c r="U109" i="3" s="1"/>
  <c r="T116" i="3"/>
  <c r="U116" i="3" s="1"/>
  <c r="T123" i="3"/>
  <c r="U123" i="3" s="1"/>
  <c r="T112" i="3"/>
  <c r="U112" i="3" s="1"/>
  <c r="T119" i="3"/>
  <c r="U119" i="3" s="1"/>
  <c r="T126" i="3"/>
  <c r="U126" i="3" s="1"/>
  <c r="T131" i="3"/>
  <c r="U131" i="3" s="1"/>
  <c r="T136" i="3"/>
  <c r="U136" i="3" s="1"/>
  <c r="F128" i="3"/>
  <c r="M128" i="3"/>
  <c r="N128" i="3"/>
  <c r="AI85" i="3"/>
  <c r="AG85" i="3" s="1"/>
  <c r="AI75" i="3" l="1"/>
  <c r="AG75" i="3" s="1"/>
  <c r="AI56" i="3"/>
  <c r="AG56" i="3" s="1"/>
  <c r="AI68" i="3"/>
  <c r="AG68" i="3" s="1"/>
  <c r="AI61" i="3"/>
  <c r="AG61" i="3" s="1"/>
  <c r="AI22" i="3"/>
  <c r="AG22" i="3" s="1"/>
  <c r="AI88" i="3"/>
  <c r="AI15" i="3"/>
  <c r="AG15" i="3" s="1"/>
  <c r="AI27" i="3"/>
  <c r="AG27" i="3" s="1"/>
  <c r="AI43" i="3"/>
  <c r="AG43" i="3" s="1"/>
  <c r="AI81" i="3"/>
  <c r="AG81" i="3" s="1"/>
  <c r="AI37" i="3"/>
  <c r="AG37" i="3" s="1"/>
  <c r="AI50" i="3"/>
  <c r="AG50" i="3" s="1"/>
  <c r="AI77" i="3"/>
  <c r="AG77" i="3" s="1"/>
  <c r="AI11" i="3"/>
  <c r="AG11" i="3" s="1"/>
  <c r="AI20" i="3"/>
  <c r="AG20" i="3" s="1"/>
  <c r="AI24" i="3"/>
  <c r="AG24" i="3" s="1"/>
  <c r="AI34" i="3"/>
  <c r="AG34" i="3" s="1"/>
  <c r="AI46" i="3"/>
  <c r="AG46" i="3" s="1"/>
  <c r="AI52" i="3"/>
  <c r="AG52" i="3" s="1"/>
  <c r="AI59" i="3"/>
  <c r="AG59" i="3" s="1"/>
  <c r="AI35" i="3"/>
  <c r="AG35" i="3" s="1"/>
  <c r="AI39" i="3"/>
  <c r="AG39" i="3" s="1"/>
  <c r="AI41" i="3"/>
  <c r="AG41" i="3" s="1"/>
  <c r="AI47" i="3"/>
  <c r="AG47" i="3" s="1"/>
  <c r="AI54" i="3"/>
  <c r="AG54" i="3" s="1"/>
  <c r="AI57" i="3"/>
  <c r="AG57" i="3" s="1"/>
  <c r="AI69" i="3"/>
  <c r="AG69" i="3" s="1"/>
  <c r="AI83" i="3"/>
  <c r="AG83" i="3" s="1"/>
  <c r="AI79" i="3"/>
  <c r="AG79" i="3" s="1"/>
  <c r="AI71" i="3"/>
  <c r="AG71" i="3" s="1"/>
  <c r="AI65" i="3"/>
  <c r="AG65" i="3" s="1"/>
  <c r="AI28" i="3"/>
  <c r="AG28" i="3" s="1"/>
  <c r="AI38" i="3"/>
  <c r="AG38" i="3" s="1"/>
  <c r="AI53" i="3"/>
  <c r="AG53" i="3" s="1"/>
  <c r="AI62" i="3"/>
  <c r="AG62" i="3" s="1"/>
  <c r="AI36" i="3"/>
  <c r="AG36" i="3" s="1"/>
  <c r="AI44" i="3"/>
  <c r="AG44" i="3" s="1"/>
  <c r="AI40" i="3"/>
  <c r="AG40" i="3" s="1"/>
  <c r="AI48" i="3"/>
  <c r="AG48" i="3" s="1"/>
  <c r="AI55" i="3"/>
  <c r="AG55" i="3" s="1"/>
  <c r="AI60" i="3"/>
  <c r="AG60" i="3" s="1"/>
  <c r="AI73" i="3"/>
  <c r="AG73" i="3" s="1"/>
  <c r="AI82" i="3"/>
  <c r="AG82" i="3" s="1"/>
  <c r="AI78" i="3"/>
  <c r="AG78" i="3" s="1"/>
  <c r="AI70" i="3"/>
  <c r="AG70" i="3" s="1"/>
  <c r="AI67" i="3"/>
  <c r="AG67" i="3" s="1"/>
  <c r="AI19" i="3"/>
  <c r="AG19" i="3" s="1"/>
  <c r="AI21" i="3"/>
  <c r="AG21" i="3" s="1"/>
  <c r="AI23" i="3"/>
  <c r="AG23" i="3" s="1"/>
  <c r="AI33" i="3"/>
  <c r="AG33" i="3" s="1"/>
  <c r="AI45" i="3"/>
  <c r="AG45" i="3" s="1"/>
  <c r="AI49" i="3"/>
  <c r="AG49" i="3" s="1"/>
  <c r="AI58" i="3"/>
  <c r="AG58" i="3" s="1"/>
  <c r="AI72" i="3"/>
  <c r="AG72" i="3" s="1"/>
  <c r="AI42" i="3"/>
  <c r="AG42" i="3" s="1"/>
  <c r="AI51" i="3"/>
  <c r="AG51" i="3" s="1"/>
  <c r="AI63" i="3"/>
  <c r="AG63" i="3" s="1"/>
  <c r="AI84" i="3"/>
  <c r="AG84" i="3" s="1"/>
  <c r="AI80" i="3"/>
  <c r="AG80" i="3" s="1"/>
  <c r="AI76" i="3"/>
  <c r="AG76" i="3" s="1"/>
  <c r="AI74" i="3"/>
  <c r="AG74" i="3" s="1"/>
  <c r="AI66" i="3"/>
  <c r="AG66" i="3" s="1"/>
  <c r="AI64" i="3"/>
  <c r="AG64" i="3" s="1"/>
  <c r="AI12" i="3" l="1"/>
  <c r="AG12" i="3" s="1"/>
  <c r="AI13" i="3"/>
  <c r="AG13" i="3" s="1"/>
  <c r="AI14" i="3"/>
  <c r="AG14" i="3" s="1"/>
  <c r="AI16" i="3"/>
  <c r="AG16" i="3" s="1"/>
  <c r="AI17" i="3"/>
  <c r="AG17" i="3" s="1"/>
  <c r="AI18" i="3"/>
  <c r="AG18" i="3" s="1"/>
  <c r="AI25" i="3"/>
  <c r="AG25" i="3" s="1"/>
  <c r="AI26" i="3"/>
  <c r="AG26" i="3" s="1"/>
  <c r="AI29" i="3"/>
  <c r="AG29" i="3" s="1"/>
  <c r="AI30" i="3"/>
  <c r="AG30" i="3" s="1"/>
  <c r="AI31" i="3"/>
  <c r="AG31" i="3" s="1"/>
  <c r="AI32" i="3"/>
  <c r="AG32" i="3" s="1"/>
  <c r="Q38" i="3"/>
  <c r="U38" i="3" s="1"/>
  <c r="S15" i="3"/>
  <c r="S16" i="3"/>
  <c r="S21" i="3"/>
  <c r="S22" i="3"/>
  <c r="S29" i="3"/>
  <c r="S30" i="3"/>
  <c r="S39" i="3"/>
  <c r="S40" i="3"/>
  <c r="S49" i="3"/>
  <c r="S57" i="3"/>
  <c r="S64" i="3"/>
  <c r="S65" i="3"/>
  <c r="S76" i="3"/>
  <c r="P15" i="3"/>
  <c r="P16" i="3"/>
  <c r="P21" i="3"/>
  <c r="P22" i="3"/>
  <c r="P29" i="3"/>
  <c r="P30" i="3"/>
  <c r="P39" i="3"/>
  <c r="P40" i="3"/>
  <c r="P49" i="3"/>
  <c r="P57" i="3"/>
  <c r="P64" i="3"/>
  <c r="P65" i="3"/>
  <c r="P76" i="3"/>
  <c r="S12" i="3"/>
  <c r="S11" i="3"/>
  <c r="P12" i="3"/>
  <c r="P11" i="3"/>
  <c r="V150" i="3" l="1"/>
  <c r="W150" i="3" s="1"/>
  <c r="X150" i="3" s="1"/>
  <c r="AE150" i="3" s="1"/>
  <c r="Y145" i="3"/>
  <c r="Z145" i="3" s="1"/>
  <c r="AD145" i="3" s="1"/>
  <c r="Y142" i="3"/>
  <c r="Z142" i="3" s="1"/>
  <c r="AD142" i="3" s="1"/>
  <c r="Y140" i="3"/>
  <c r="Z140" i="3" s="1"/>
  <c r="AD140" i="3" s="1"/>
  <c r="Y137" i="3"/>
  <c r="Z137" i="3" s="1"/>
  <c r="AD137" i="3" s="1"/>
  <c r="AA133" i="3"/>
  <c r="AB133" i="3" s="1"/>
  <c r="AC133" i="3" s="1"/>
  <c r="AF133" i="3" s="1"/>
  <c r="AA131" i="3"/>
  <c r="AB131" i="3" s="1"/>
  <c r="AC131" i="3" s="1"/>
  <c r="AF131" i="3" s="1"/>
  <c r="V128" i="3"/>
  <c r="W128" i="3" s="1"/>
  <c r="X128" i="3" s="1"/>
  <c r="AE128" i="3" s="1"/>
  <c r="V126" i="3"/>
  <c r="W126" i="3" s="1"/>
  <c r="X126" i="3" s="1"/>
  <c r="AE126" i="3" s="1"/>
  <c r="V124" i="3"/>
  <c r="W124" i="3" s="1"/>
  <c r="X124" i="3" s="1"/>
  <c r="AE124" i="3" s="1"/>
  <c r="V121" i="3"/>
  <c r="W121" i="3" s="1"/>
  <c r="X121" i="3" s="1"/>
  <c r="AE121" i="3" s="1"/>
  <c r="Y115" i="3"/>
  <c r="Z115" i="3" s="1"/>
  <c r="AD115" i="3" s="1"/>
  <c r="V113" i="3"/>
  <c r="W113" i="3" s="1"/>
  <c r="X113" i="3" s="1"/>
  <c r="AE113" i="3" s="1"/>
  <c r="Y103" i="3"/>
  <c r="Z103" i="3" s="1"/>
  <c r="AD103" i="3" s="1"/>
  <c r="Y100" i="3"/>
  <c r="Z100" i="3" s="1"/>
  <c r="AD100" i="3" s="1"/>
  <c r="V98" i="3"/>
  <c r="W98" i="3" s="1"/>
  <c r="X98" i="3" s="1"/>
  <c r="AE98" i="3" s="1"/>
  <c r="V95" i="3"/>
  <c r="W95" i="3" s="1"/>
  <c r="X95" i="3" s="1"/>
  <c r="AE95" i="3" s="1"/>
  <c r="AA147" i="3"/>
  <c r="AB147" i="3" s="1"/>
  <c r="AC147" i="3" s="1"/>
  <c r="AF147" i="3" s="1"/>
  <c r="V139" i="3"/>
  <c r="W139" i="3" s="1"/>
  <c r="X139" i="3" s="1"/>
  <c r="AE139" i="3" s="1"/>
  <c r="Y135" i="3"/>
  <c r="Z135" i="3" s="1"/>
  <c r="AD135" i="3" s="1"/>
  <c r="V119" i="3"/>
  <c r="W119" i="3" s="1"/>
  <c r="X119" i="3" s="1"/>
  <c r="AE119" i="3" s="1"/>
  <c r="V117" i="3"/>
  <c r="W117" i="3" s="1"/>
  <c r="X117" i="3" s="1"/>
  <c r="AE117" i="3" s="1"/>
  <c r="V114" i="3"/>
  <c r="W114" i="3" s="1"/>
  <c r="X114" i="3" s="1"/>
  <c r="AE114" i="3" s="1"/>
  <c r="V111" i="3"/>
  <c r="W111" i="3" s="1"/>
  <c r="X111" i="3" s="1"/>
  <c r="AE111" i="3" s="1"/>
  <c r="V109" i="3"/>
  <c r="W109" i="3" s="1"/>
  <c r="X109" i="3" s="1"/>
  <c r="AE109" i="3" s="1"/>
  <c r="V102" i="3"/>
  <c r="W102" i="3" s="1"/>
  <c r="X102" i="3" s="1"/>
  <c r="AE102" i="3" s="1"/>
  <c r="V99" i="3"/>
  <c r="W99" i="3" s="1"/>
  <c r="X99" i="3" s="1"/>
  <c r="AE99" i="3" s="1"/>
  <c r="Y97" i="3"/>
  <c r="Z97" i="3" s="1"/>
  <c r="AD97" i="3" s="1"/>
  <c r="Y94" i="3"/>
  <c r="Z94" i="3" s="1"/>
  <c r="AD94" i="3" s="1"/>
  <c r="Y150" i="3"/>
  <c r="Z150" i="3" s="1"/>
  <c r="AD150" i="3" s="1"/>
  <c r="AA145" i="3"/>
  <c r="AB145" i="3" s="1"/>
  <c r="AC145" i="3" s="1"/>
  <c r="AF145" i="3" s="1"/>
  <c r="AA142" i="3"/>
  <c r="AB142" i="3" s="1"/>
  <c r="AC142" i="3" s="1"/>
  <c r="AF142" i="3" s="1"/>
  <c r="V140" i="3"/>
  <c r="W140" i="3" s="1"/>
  <c r="X140" i="3" s="1"/>
  <c r="AE140" i="3" s="1"/>
  <c r="Y133" i="3"/>
  <c r="Z133" i="3" s="1"/>
  <c r="AD133" i="3" s="1"/>
  <c r="Y128" i="3"/>
  <c r="Z128" i="3" s="1"/>
  <c r="AD128" i="3" s="1"/>
  <c r="AA126" i="3"/>
  <c r="AB126" i="3" s="1"/>
  <c r="AC126" i="3" s="1"/>
  <c r="AF126" i="3" s="1"/>
  <c r="Y124" i="3"/>
  <c r="Z124" i="3" s="1"/>
  <c r="AD124" i="3" s="1"/>
  <c r="Y121" i="3"/>
  <c r="Z121" i="3" s="1"/>
  <c r="AD121" i="3" s="1"/>
  <c r="AA113" i="3"/>
  <c r="AB113" i="3" s="1"/>
  <c r="AC113" i="3" s="1"/>
  <c r="AF113" i="3" s="1"/>
  <c r="Y98" i="3"/>
  <c r="Z98" i="3" s="1"/>
  <c r="AD98" i="3" s="1"/>
  <c r="Y95" i="3"/>
  <c r="Z95" i="3" s="1"/>
  <c r="AD95" i="3" s="1"/>
  <c r="Y139" i="3"/>
  <c r="Z139" i="3" s="1"/>
  <c r="AD139" i="3" s="1"/>
  <c r="V135" i="3"/>
  <c r="W135" i="3" s="1"/>
  <c r="X135" i="3" s="1"/>
  <c r="AE135" i="3" s="1"/>
  <c r="Y119" i="3"/>
  <c r="Z119" i="3" s="1"/>
  <c r="AD119" i="3" s="1"/>
  <c r="AA117" i="3"/>
  <c r="AB117" i="3" s="1"/>
  <c r="AC117" i="3" s="1"/>
  <c r="AF117" i="3" s="1"/>
  <c r="AA114" i="3"/>
  <c r="AB114" i="3" s="1"/>
  <c r="AC114" i="3" s="1"/>
  <c r="AF114" i="3" s="1"/>
  <c r="Y111" i="3"/>
  <c r="Z111" i="3" s="1"/>
  <c r="AD111" i="3" s="1"/>
  <c r="Y102" i="3"/>
  <c r="Z102" i="3" s="1"/>
  <c r="AD102" i="3" s="1"/>
  <c r="Y99" i="3"/>
  <c r="Z99" i="3" s="1"/>
  <c r="AD99" i="3" s="1"/>
  <c r="AA149" i="3"/>
  <c r="AB149" i="3" s="1"/>
  <c r="AC149" i="3" s="1"/>
  <c r="AF149" i="3" s="1"/>
  <c r="Y146" i="3"/>
  <c r="Z146" i="3" s="1"/>
  <c r="AD146" i="3" s="1"/>
  <c r="AA141" i="3"/>
  <c r="AB141" i="3" s="1"/>
  <c r="AC141" i="3" s="1"/>
  <c r="AF141" i="3" s="1"/>
  <c r="Y138" i="3"/>
  <c r="Z138" i="3" s="1"/>
  <c r="AD138" i="3" s="1"/>
  <c r="Y129" i="3"/>
  <c r="Z129" i="3" s="1"/>
  <c r="AD129" i="3" s="1"/>
  <c r="AA127" i="3"/>
  <c r="AB127" i="3" s="1"/>
  <c r="AC127" i="3" s="1"/>
  <c r="AF127" i="3" s="1"/>
  <c r="V125" i="3"/>
  <c r="W125" i="3" s="1"/>
  <c r="X125" i="3" s="1"/>
  <c r="AE125" i="3" s="1"/>
  <c r="Y106" i="3"/>
  <c r="Z106" i="3" s="1"/>
  <c r="AD106" i="3" s="1"/>
  <c r="V145" i="3"/>
  <c r="W145" i="3" s="1"/>
  <c r="X145" i="3" s="1"/>
  <c r="AE145" i="3" s="1"/>
  <c r="V131" i="3"/>
  <c r="W131" i="3" s="1"/>
  <c r="X131" i="3" s="1"/>
  <c r="AE131" i="3" s="1"/>
  <c r="V147" i="3"/>
  <c r="W147" i="3" s="1"/>
  <c r="X147" i="3" s="1"/>
  <c r="AE147" i="3" s="1"/>
  <c r="AA119" i="3"/>
  <c r="AB119" i="3" s="1"/>
  <c r="AC119" i="3" s="1"/>
  <c r="AF119" i="3" s="1"/>
  <c r="Y114" i="3"/>
  <c r="Z114" i="3" s="1"/>
  <c r="AD114" i="3" s="1"/>
  <c r="Y109" i="3"/>
  <c r="Z109" i="3" s="1"/>
  <c r="AD109" i="3" s="1"/>
  <c r="Y149" i="3"/>
  <c r="Z149" i="3" s="1"/>
  <c r="AD149" i="3" s="1"/>
  <c r="V144" i="3"/>
  <c r="W144" i="3" s="1"/>
  <c r="X144" i="3" s="1"/>
  <c r="AE144" i="3" s="1"/>
  <c r="Y141" i="3"/>
  <c r="Z141" i="3" s="1"/>
  <c r="AD141" i="3" s="1"/>
  <c r="AA136" i="3"/>
  <c r="AB136" i="3" s="1"/>
  <c r="AC136" i="3" s="1"/>
  <c r="AF136" i="3" s="1"/>
  <c r="Y132" i="3"/>
  <c r="Z132" i="3" s="1"/>
  <c r="AD132" i="3" s="1"/>
  <c r="AA129" i="3"/>
  <c r="AB129" i="3" s="1"/>
  <c r="AC129" i="3" s="1"/>
  <c r="AF129" i="3" s="1"/>
  <c r="V127" i="3"/>
  <c r="W127" i="3" s="1"/>
  <c r="X127" i="3" s="1"/>
  <c r="AE127" i="3" s="1"/>
  <c r="V108" i="3"/>
  <c r="W108" i="3" s="1"/>
  <c r="X108" i="3" s="1"/>
  <c r="AE108" i="3" s="1"/>
  <c r="Y96" i="3"/>
  <c r="Z96" i="3" s="1"/>
  <c r="AD96" i="3" s="1"/>
  <c r="Y93" i="3"/>
  <c r="Z93" i="3" s="1"/>
  <c r="AD93" i="3" s="1"/>
  <c r="V148" i="3"/>
  <c r="W148" i="3" s="1"/>
  <c r="X148" i="3" s="1"/>
  <c r="AE148" i="3" s="1"/>
  <c r="Y134" i="3"/>
  <c r="Z134" i="3" s="1"/>
  <c r="AD134" i="3" s="1"/>
  <c r="V130" i="3"/>
  <c r="W130" i="3" s="1"/>
  <c r="X130" i="3" s="1"/>
  <c r="AE130" i="3" s="1"/>
  <c r="V120" i="3"/>
  <c r="W120" i="3" s="1"/>
  <c r="X120" i="3" s="1"/>
  <c r="AE120" i="3" s="1"/>
  <c r="AA118" i="3"/>
  <c r="AB118" i="3" s="1"/>
  <c r="AC118" i="3" s="1"/>
  <c r="AF118" i="3" s="1"/>
  <c r="Y116" i="3"/>
  <c r="Z116" i="3" s="1"/>
  <c r="AD116" i="3" s="1"/>
  <c r="AA112" i="3"/>
  <c r="AB112" i="3" s="1"/>
  <c r="AC112" i="3" s="1"/>
  <c r="AF112" i="3" s="1"/>
  <c r="AA110" i="3"/>
  <c r="AB110" i="3" s="1"/>
  <c r="AC110" i="3" s="1"/>
  <c r="AF110" i="3" s="1"/>
  <c r="Y107" i="3"/>
  <c r="Z107" i="3" s="1"/>
  <c r="AD107" i="3" s="1"/>
  <c r="Y104" i="3"/>
  <c r="Z104" i="3" s="1"/>
  <c r="AD104" i="3" s="1"/>
  <c r="Y101" i="3"/>
  <c r="Z101" i="3" s="1"/>
  <c r="AD101" i="3" s="1"/>
  <c r="Y89" i="3"/>
  <c r="Z89" i="3" s="1"/>
  <c r="AD89" i="3" s="1"/>
  <c r="AA91" i="3"/>
  <c r="AB91" i="3" s="1"/>
  <c r="AC91" i="3" s="1"/>
  <c r="AF91" i="3" s="1"/>
  <c r="AA90" i="3"/>
  <c r="AB90" i="3" s="1"/>
  <c r="AC90" i="3" s="1"/>
  <c r="AF90" i="3" s="1"/>
  <c r="AA140" i="3"/>
  <c r="AB140" i="3" s="1"/>
  <c r="AC140" i="3" s="1"/>
  <c r="AF140" i="3" s="1"/>
  <c r="V133" i="3"/>
  <c r="W133" i="3" s="1"/>
  <c r="X133" i="3" s="1"/>
  <c r="AE133" i="3" s="1"/>
  <c r="AA128" i="3"/>
  <c r="AB128" i="3" s="1"/>
  <c r="AC128" i="3" s="1"/>
  <c r="AF128" i="3" s="1"/>
  <c r="AA124" i="3"/>
  <c r="AB124" i="3" s="1"/>
  <c r="AC124" i="3" s="1"/>
  <c r="AF124" i="3" s="1"/>
  <c r="AA115" i="3"/>
  <c r="AB115" i="3" s="1"/>
  <c r="AC115" i="3" s="1"/>
  <c r="AF115" i="3" s="1"/>
  <c r="Y113" i="3"/>
  <c r="Z113" i="3" s="1"/>
  <c r="AD113" i="3" s="1"/>
  <c r="AA100" i="3"/>
  <c r="AB100" i="3" s="1"/>
  <c r="AC100" i="3" s="1"/>
  <c r="AF100" i="3" s="1"/>
  <c r="AA98" i="3"/>
  <c r="AB98" i="3" s="1"/>
  <c r="AC98" i="3" s="1"/>
  <c r="AF98" i="3" s="1"/>
  <c r="Y147" i="3"/>
  <c r="Z147" i="3" s="1"/>
  <c r="AD147" i="3" s="1"/>
  <c r="AA99" i="3"/>
  <c r="AB99" i="3" s="1"/>
  <c r="AC99" i="3" s="1"/>
  <c r="AF99" i="3" s="1"/>
  <c r="AA94" i="3"/>
  <c r="AB94" i="3" s="1"/>
  <c r="AC94" i="3" s="1"/>
  <c r="AF94" i="3" s="1"/>
  <c r="V149" i="3"/>
  <c r="W149" i="3" s="1"/>
  <c r="X149" i="3" s="1"/>
  <c r="AE149" i="3" s="1"/>
  <c r="AA146" i="3"/>
  <c r="AB146" i="3" s="1"/>
  <c r="AC146" i="3" s="1"/>
  <c r="AF146" i="3" s="1"/>
  <c r="AA138" i="3"/>
  <c r="AB138" i="3" s="1"/>
  <c r="AC138" i="3" s="1"/>
  <c r="AF138" i="3" s="1"/>
  <c r="Y136" i="3"/>
  <c r="Z136" i="3" s="1"/>
  <c r="AD136" i="3" s="1"/>
  <c r="V132" i="3"/>
  <c r="W132" i="3" s="1"/>
  <c r="X132" i="3" s="1"/>
  <c r="AE132" i="3" s="1"/>
  <c r="V129" i="3"/>
  <c r="W129" i="3" s="1"/>
  <c r="X129" i="3" s="1"/>
  <c r="AE129" i="3" s="1"/>
  <c r="V123" i="3"/>
  <c r="W123" i="3" s="1"/>
  <c r="X123" i="3" s="1"/>
  <c r="AE123" i="3" s="1"/>
  <c r="Y108" i="3"/>
  <c r="Z108" i="3" s="1"/>
  <c r="AD108" i="3" s="1"/>
  <c r="AA106" i="3"/>
  <c r="AB106" i="3" s="1"/>
  <c r="AC106" i="3" s="1"/>
  <c r="AF106" i="3" s="1"/>
  <c r="V96" i="3"/>
  <c r="W96" i="3" s="1"/>
  <c r="X96" i="3" s="1"/>
  <c r="AE96" i="3" s="1"/>
  <c r="V93" i="3"/>
  <c r="W93" i="3" s="1"/>
  <c r="X93" i="3" s="1"/>
  <c r="AE93" i="3" s="1"/>
  <c r="Y148" i="3"/>
  <c r="Z148" i="3" s="1"/>
  <c r="AD148" i="3" s="1"/>
  <c r="AA143" i="3"/>
  <c r="AB143" i="3" s="1"/>
  <c r="AC143" i="3" s="1"/>
  <c r="AF143" i="3" s="1"/>
  <c r="V134" i="3"/>
  <c r="W134" i="3" s="1"/>
  <c r="X134" i="3" s="1"/>
  <c r="AE134" i="3" s="1"/>
  <c r="Y130" i="3"/>
  <c r="Z130" i="3" s="1"/>
  <c r="AD130" i="3" s="1"/>
  <c r="AA122" i="3"/>
  <c r="AB122" i="3" s="1"/>
  <c r="AC122" i="3" s="1"/>
  <c r="AF122" i="3" s="1"/>
  <c r="Y120" i="3"/>
  <c r="Z120" i="3" s="1"/>
  <c r="AD120" i="3" s="1"/>
  <c r="V118" i="3"/>
  <c r="W118" i="3" s="1"/>
  <c r="X118" i="3" s="1"/>
  <c r="AE118" i="3" s="1"/>
  <c r="V116" i="3"/>
  <c r="W116" i="3" s="1"/>
  <c r="X116" i="3" s="1"/>
  <c r="AE116" i="3" s="1"/>
  <c r="V112" i="3"/>
  <c r="W112" i="3" s="1"/>
  <c r="X112" i="3" s="1"/>
  <c r="AE112" i="3" s="1"/>
  <c r="V110" i="3"/>
  <c r="W110" i="3" s="1"/>
  <c r="X110" i="3" s="1"/>
  <c r="AE110" i="3" s="1"/>
  <c r="V107" i="3"/>
  <c r="W107" i="3" s="1"/>
  <c r="X107" i="3" s="1"/>
  <c r="AE107" i="3" s="1"/>
  <c r="V104" i="3"/>
  <c r="W104" i="3" s="1"/>
  <c r="X104" i="3" s="1"/>
  <c r="AE104" i="3" s="1"/>
  <c r="V101" i="3"/>
  <c r="W101" i="3" s="1"/>
  <c r="X101" i="3" s="1"/>
  <c r="AE101" i="3" s="1"/>
  <c r="AA92" i="3"/>
  <c r="AB92" i="3" s="1"/>
  <c r="AC92" i="3" s="1"/>
  <c r="AF92" i="3" s="1"/>
  <c r="V89" i="3"/>
  <c r="W89" i="3" s="1"/>
  <c r="Y91" i="3"/>
  <c r="Z91" i="3" s="1"/>
  <c r="AD91" i="3" s="1"/>
  <c r="Y90" i="3"/>
  <c r="Z90" i="3" s="1"/>
  <c r="AD90" i="3" s="1"/>
  <c r="V137" i="3"/>
  <c r="W137" i="3" s="1"/>
  <c r="X137" i="3" s="1"/>
  <c r="AE137" i="3" s="1"/>
  <c r="Y131" i="3"/>
  <c r="Z131" i="3" s="1"/>
  <c r="AD131" i="3" s="1"/>
  <c r="AA103" i="3"/>
  <c r="AB103" i="3" s="1"/>
  <c r="AC103" i="3" s="1"/>
  <c r="AF103" i="3" s="1"/>
  <c r="AA102" i="3"/>
  <c r="AB102" i="3" s="1"/>
  <c r="AC102" i="3" s="1"/>
  <c r="AF102" i="3" s="1"/>
  <c r="V146" i="3"/>
  <c r="W146" i="3" s="1"/>
  <c r="X146" i="3" s="1"/>
  <c r="AE146" i="3" s="1"/>
  <c r="Y125" i="3"/>
  <c r="Z125" i="3" s="1"/>
  <c r="AD125" i="3" s="1"/>
  <c r="Y123" i="3"/>
  <c r="Z123" i="3" s="1"/>
  <c r="AD123" i="3" s="1"/>
  <c r="V122" i="3"/>
  <c r="W122" i="3" s="1"/>
  <c r="X122" i="3" s="1"/>
  <c r="AE122" i="3" s="1"/>
  <c r="AA116" i="3"/>
  <c r="AB116" i="3" s="1"/>
  <c r="AC116" i="3" s="1"/>
  <c r="AF116" i="3" s="1"/>
  <c r="Y92" i="3"/>
  <c r="Z92" i="3" s="1"/>
  <c r="AD92" i="3" s="1"/>
  <c r="AA89" i="3"/>
  <c r="AB89" i="3" s="1"/>
  <c r="AC89" i="3" s="1"/>
  <c r="AF89" i="3" s="1"/>
  <c r="V90" i="3"/>
  <c r="W90" i="3" s="1"/>
  <c r="X90" i="3" s="1"/>
  <c r="AE90" i="3" s="1"/>
  <c r="AA137" i="3"/>
  <c r="AB137" i="3" s="1"/>
  <c r="AC137" i="3" s="1"/>
  <c r="AF137" i="3" s="1"/>
  <c r="AA121" i="3"/>
  <c r="AB121" i="3" s="1"/>
  <c r="AC121" i="3" s="1"/>
  <c r="AF121" i="3" s="1"/>
  <c r="V103" i="3"/>
  <c r="W103" i="3" s="1"/>
  <c r="X103" i="3" s="1"/>
  <c r="AE103" i="3" s="1"/>
  <c r="AA111" i="3"/>
  <c r="AB111" i="3" s="1"/>
  <c r="AC111" i="3" s="1"/>
  <c r="AF111" i="3" s="1"/>
  <c r="V94" i="3"/>
  <c r="W94" i="3" s="1"/>
  <c r="X94" i="3" s="1"/>
  <c r="AE94" i="3" s="1"/>
  <c r="V141" i="3"/>
  <c r="W141" i="3" s="1"/>
  <c r="X141" i="3" s="1"/>
  <c r="AE141" i="3" s="1"/>
  <c r="V136" i="3"/>
  <c r="W136" i="3" s="1"/>
  <c r="X136" i="3" s="1"/>
  <c r="AE136" i="3" s="1"/>
  <c r="AA125" i="3"/>
  <c r="AB125" i="3" s="1"/>
  <c r="AC125" i="3" s="1"/>
  <c r="AF125" i="3" s="1"/>
  <c r="V106" i="3"/>
  <c r="W106" i="3" s="1"/>
  <c r="X106" i="3" s="1"/>
  <c r="AE106" i="3" s="1"/>
  <c r="AA96" i="3"/>
  <c r="AB96" i="3" s="1"/>
  <c r="AC96" i="3" s="1"/>
  <c r="AF96" i="3" s="1"/>
  <c r="AA148" i="3"/>
  <c r="AB148" i="3" s="1"/>
  <c r="AC148" i="3" s="1"/>
  <c r="AF148" i="3" s="1"/>
  <c r="AA134" i="3"/>
  <c r="AB134" i="3" s="1"/>
  <c r="AC134" i="3" s="1"/>
  <c r="AF134" i="3" s="1"/>
  <c r="Y122" i="3"/>
  <c r="Z122" i="3" s="1"/>
  <c r="AD122" i="3" s="1"/>
  <c r="Y112" i="3"/>
  <c r="Z112" i="3" s="1"/>
  <c r="AD112" i="3" s="1"/>
  <c r="AA107" i="3"/>
  <c r="AB107" i="3" s="1"/>
  <c r="AC107" i="3" s="1"/>
  <c r="AF107" i="3" s="1"/>
  <c r="AA101" i="3"/>
  <c r="AB101" i="3" s="1"/>
  <c r="AC101" i="3" s="1"/>
  <c r="AF101" i="3" s="1"/>
  <c r="V92" i="3"/>
  <c r="W92" i="3" s="1"/>
  <c r="X92" i="3" s="1"/>
  <c r="AE92" i="3" s="1"/>
  <c r="V91" i="3"/>
  <c r="W91" i="3" s="1"/>
  <c r="X91" i="3" s="1"/>
  <c r="AE91" i="3" s="1"/>
  <c r="V142" i="3"/>
  <c r="W142" i="3" s="1"/>
  <c r="X142" i="3" s="1"/>
  <c r="AE142" i="3" s="1"/>
  <c r="Y126" i="3"/>
  <c r="Z126" i="3" s="1"/>
  <c r="AD126" i="3" s="1"/>
  <c r="V115" i="3"/>
  <c r="W115" i="3" s="1"/>
  <c r="X115" i="3" s="1"/>
  <c r="AE115" i="3" s="1"/>
  <c r="Y117" i="3"/>
  <c r="Z117" i="3" s="1"/>
  <c r="AD117" i="3" s="1"/>
  <c r="AA109" i="3"/>
  <c r="AB109" i="3" s="1"/>
  <c r="AC109" i="3" s="1"/>
  <c r="AF109" i="3" s="1"/>
  <c r="AA97" i="3"/>
  <c r="AB97" i="3" s="1"/>
  <c r="AC97" i="3" s="1"/>
  <c r="AF97" i="3" s="1"/>
  <c r="Y144" i="3"/>
  <c r="Z144" i="3" s="1"/>
  <c r="AD144" i="3" s="1"/>
  <c r="Y127" i="3"/>
  <c r="Z127" i="3" s="1"/>
  <c r="AD127" i="3" s="1"/>
  <c r="V143" i="3"/>
  <c r="W143" i="3" s="1"/>
  <c r="X143" i="3" s="1"/>
  <c r="AE143" i="3" s="1"/>
  <c r="AA130" i="3"/>
  <c r="AB130" i="3" s="1"/>
  <c r="AC130" i="3" s="1"/>
  <c r="AF130" i="3" s="1"/>
  <c r="Y118" i="3"/>
  <c r="Z118" i="3" s="1"/>
  <c r="AD118" i="3" s="1"/>
  <c r="AA150" i="3"/>
  <c r="AB150" i="3" s="1"/>
  <c r="AC150" i="3" s="1"/>
  <c r="AF150" i="3" s="1"/>
  <c r="V100" i="3"/>
  <c r="W100" i="3" s="1"/>
  <c r="X100" i="3" s="1"/>
  <c r="AE100" i="3" s="1"/>
  <c r="AA95" i="3"/>
  <c r="AB95" i="3" s="1"/>
  <c r="AC95" i="3" s="1"/>
  <c r="AF95" i="3" s="1"/>
  <c r="AA139" i="3"/>
  <c r="AB139" i="3" s="1"/>
  <c r="AC139" i="3" s="1"/>
  <c r="AF139" i="3" s="1"/>
  <c r="AA135" i="3"/>
  <c r="AB135" i="3" s="1"/>
  <c r="AC135" i="3" s="1"/>
  <c r="AF135" i="3" s="1"/>
  <c r="V97" i="3"/>
  <c r="W97" i="3" s="1"/>
  <c r="X97" i="3" s="1"/>
  <c r="AE97" i="3" s="1"/>
  <c r="AA144" i="3"/>
  <c r="AB144" i="3" s="1"/>
  <c r="AC144" i="3" s="1"/>
  <c r="AF144" i="3" s="1"/>
  <c r="V138" i="3"/>
  <c r="W138" i="3" s="1"/>
  <c r="X138" i="3" s="1"/>
  <c r="AE138" i="3" s="1"/>
  <c r="AA132" i="3"/>
  <c r="AB132" i="3" s="1"/>
  <c r="AC132" i="3" s="1"/>
  <c r="AF132" i="3" s="1"/>
  <c r="AA123" i="3"/>
  <c r="AB123" i="3" s="1"/>
  <c r="AC123" i="3" s="1"/>
  <c r="AF123" i="3" s="1"/>
  <c r="AA108" i="3"/>
  <c r="AB108" i="3" s="1"/>
  <c r="AC108" i="3" s="1"/>
  <c r="AF108" i="3" s="1"/>
  <c r="AA93" i="3"/>
  <c r="AB93" i="3" s="1"/>
  <c r="AC93" i="3" s="1"/>
  <c r="AF93" i="3" s="1"/>
  <c r="Y143" i="3"/>
  <c r="Z143" i="3" s="1"/>
  <c r="AD143" i="3" s="1"/>
  <c r="AA120" i="3"/>
  <c r="AB120" i="3" s="1"/>
  <c r="AC120" i="3" s="1"/>
  <c r="AF120" i="3" s="1"/>
  <c r="Y110" i="3"/>
  <c r="Z110" i="3" s="1"/>
  <c r="AD110" i="3" s="1"/>
  <c r="AA104" i="3"/>
  <c r="AB104" i="3" s="1"/>
  <c r="AC104" i="3" s="1"/>
  <c r="AF104" i="3" s="1"/>
  <c r="V88" i="3"/>
  <c r="W88" i="3" s="1"/>
  <c r="X88" i="3" s="1"/>
  <c r="AE88" i="3" s="1"/>
  <c r="Y88" i="3"/>
  <c r="Z88" i="3" s="1"/>
  <c r="AD88" i="3" s="1"/>
  <c r="AA88" i="3"/>
  <c r="AB88" i="3" s="1"/>
  <c r="AC88" i="3" s="1"/>
  <c r="AF88" i="3" s="1"/>
  <c r="AA13" i="3"/>
  <c r="AB13" i="3" s="1"/>
  <c r="AA29" i="3"/>
  <c r="AB29" i="3" s="1"/>
  <c r="AA45" i="3"/>
  <c r="AB45" i="3" s="1"/>
  <c r="AA61" i="3"/>
  <c r="AB61" i="3" s="1"/>
  <c r="AA77" i="3"/>
  <c r="AB77" i="3" s="1"/>
  <c r="Y19" i="3"/>
  <c r="Z19" i="3" s="1"/>
  <c r="Y35" i="3"/>
  <c r="Z35" i="3" s="1"/>
  <c r="Y51" i="3"/>
  <c r="Z51" i="3" s="1"/>
  <c r="Y67" i="3"/>
  <c r="Z67" i="3" s="1"/>
  <c r="Y83" i="3"/>
  <c r="Z83" i="3" s="1"/>
  <c r="V74" i="3"/>
  <c r="W74" i="3" s="1"/>
  <c r="V42" i="3"/>
  <c r="W42" i="3" s="1"/>
  <c r="AA18" i="3"/>
  <c r="AB18" i="3" s="1"/>
  <c r="AA38" i="3"/>
  <c r="AB38" i="3" s="1"/>
  <c r="Y20" i="3"/>
  <c r="Z20" i="3" s="1"/>
  <c r="Y80" i="3"/>
  <c r="Z80" i="3" s="1"/>
  <c r="V11" i="3"/>
  <c r="W11" i="3" s="1"/>
  <c r="AA27" i="3"/>
  <c r="AB27" i="3" s="1"/>
  <c r="AA43" i="3"/>
  <c r="AB43" i="3" s="1"/>
  <c r="AA59" i="3"/>
  <c r="AB59" i="3" s="1"/>
  <c r="AA75" i="3"/>
  <c r="AB75" i="3" s="1"/>
  <c r="Y17" i="3"/>
  <c r="Z17" i="3" s="1"/>
  <c r="Y33" i="3"/>
  <c r="Z33" i="3" s="1"/>
  <c r="Y49" i="3"/>
  <c r="Z49" i="3" s="1"/>
  <c r="Y65" i="3"/>
  <c r="Z65" i="3" s="1"/>
  <c r="Y81" i="3"/>
  <c r="Z81" i="3" s="1"/>
  <c r="V76" i="3"/>
  <c r="W76" i="3" s="1"/>
  <c r="V60" i="3"/>
  <c r="W60" i="3" s="1"/>
  <c r="V44" i="3"/>
  <c r="W44" i="3" s="1"/>
  <c r="V28" i="3"/>
  <c r="W28" i="3" s="1"/>
  <c r="V12" i="3"/>
  <c r="AA66" i="3"/>
  <c r="AB66" i="3" s="1"/>
  <c r="Y56" i="3"/>
  <c r="Z56" i="3" s="1"/>
  <c r="V53" i="3"/>
  <c r="W53" i="3" s="1"/>
  <c r="AA20" i="3"/>
  <c r="AB20" i="3" s="1"/>
  <c r="AA36" i="3"/>
  <c r="AB36" i="3" s="1"/>
  <c r="AA52" i="3"/>
  <c r="AB52" i="3" s="1"/>
  <c r="AA68" i="3"/>
  <c r="AB68" i="3" s="1"/>
  <c r="AA84" i="3"/>
  <c r="AB84" i="3" s="1"/>
  <c r="Y26" i="3"/>
  <c r="Z26" i="3" s="1"/>
  <c r="Y42" i="3"/>
  <c r="Z42" i="3" s="1"/>
  <c r="Y58" i="3"/>
  <c r="Z58" i="3" s="1"/>
  <c r="Y74" i="3"/>
  <c r="Z74" i="3" s="1"/>
  <c r="V83" i="3"/>
  <c r="W83" i="3" s="1"/>
  <c r="V67" i="3"/>
  <c r="W67" i="3" s="1"/>
  <c r="V51" i="3"/>
  <c r="W51" i="3" s="1"/>
  <c r="V35" i="3"/>
  <c r="W35" i="3" s="1"/>
  <c r="V19" i="3"/>
  <c r="W19" i="3" s="1"/>
  <c r="V50" i="3"/>
  <c r="W50" i="3" s="1"/>
  <c r="V30" i="3"/>
  <c r="W30" i="3" s="1"/>
  <c r="AA58" i="3"/>
  <c r="AB58" i="3" s="1"/>
  <c r="Y24" i="3"/>
  <c r="Z24" i="3" s="1"/>
  <c r="Y52" i="3"/>
  <c r="Z52" i="3" s="1"/>
  <c r="Y84" i="3"/>
  <c r="Z84" i="3" s="1"/>
  <c r="V57" i="3"/>
  <c r="W57" i="3" s="1"/>
  <c r="V25" i="3"/>
  <c r="W25" i="3" s="1"/>
  <c r="V17" i="3"/>
  <c r="W17" i="3" s="1"/>
  <c r="AA33" i="3"/>
  <c r="AB33" i="3" s="1"/>
  <c r="AA81" i="3"/>
  <c r="AB81" i="3" s="1"/>
  <c r="Y55" i="3"/>
  <c r="Z55" i="3" s="1"/>
  <c r="V70" i="3"/>
  <c r="W70" i="3" s="1"/>
  <c r="AA50" i="3"/>
  <c r="AB50" i="3" s="1"/>
  <c r="AA15" i="3"/>
  <c r="AB15" i="3" s="1"/>
  <c r="AA63" i="3"/>
  <c r="AB63" i="3" s="1"/>
  <c r="Y37" i="3"/>
  <c r="Z37" i="3" s="1"/>
  <c r="Y85" i="3"/>
  <c r="Z85" i="3" s="1"/>
  <c r="V40" i="3"/>
  <c r="W40" i="3" s="1"/>
  <c r="AA78" i="3"/>
  <c r="AB78" i="3" s="1"/>
  <c r="AA40" i="3"/>
  <c r="AB40" i="3" s="1"/>
  <c r="Y14" i="3"/>
  <c r="Z14" i="3" s="1"/>
  <c r="Y78" i="3"/>
  <c r="Z78" i="3" s="1"/>
  <c r="V31" i="3"/>
  <c r="W31" i="3" s="1"/>
  <c r="AA70" i="3"/>
  <c r="AB70" i="3" s="1"/>
  <c r="V49" i="3"/>
  <c r="W49" i="3" s="1"/>
  <c r="AA21" i="3"/>
  <c r="AB21" i="3" s="1"/>
  <c r="AA37" i="3"/>
  <c r="AB37" i="3" s="1"/>
  <c r="AA53" i="3"/>
  <c r="AB53" i="3" s="1"/>
  <c r="AA69" i="3"/>
  <c r="AB69" i="3" s="1"/>
  <c r="AA85" i="3"/>
  <c r="AB85" i="3" s="1"/>
  <c r="Y27" i="3"/>
  <c r="Z27" i="3" s="1"/>
  <c r="Y43" i="3"/>
  <c r="Z43" i="3" s="1"/>
  <c r="Y59" i="3"/>
  <c r="Z59" i="3" s="1"/>
  <c r="Y75" i="3"/>
  <c r="Z75" i="3" s="1"/>
  <c r="V82" i="3"/>
  <c r="W82" i="3" s="1"/>
  <c r="V66" i="3"/>
  <c r="W66" i="3" s="1"/>
  <c r="V14" i="3"/>
  <c r="W14" i="3" s="1"/>
  <c r="AA30" i="3"/>
  <c r="AB30" i="3" s="1"/>
  <c r="AA62" i="3"/>
  <c r="AB62" i="3" s="1"/>
  <c r="Y48" i="3"/>
  <c r="Z48" i="3" s="1"/>
  <c r="V61" i="3"/>
  <c r="W61" i="3" s="1"/>
  <c r="AA19" i="3"/>
  <c r="AB19" i="3" s="1"/>
  <c r="AA35" i="3"/>
  <c r="AB35" i="3" s="1"/>
  <c r="AA51" i="3"/>
  <c r="AB51" i="3" s="1"/>
  <c r="AA67" i="3"/>
  <c r="AB67" i="3" s="1"/>
  <c r="AA83" i="3"/>
  <c r="AB83" i="3" s="1"/>
  <c r="Y25" i="3"/>
  <c r="Z25" i="3" s="1"/>
  <c r="Y41" i="3"/>
  <c r="Z41" i="3" s="1"/>
  <c r="Y57" i="3"/>
  <c r="Z57" i="3" s="1"/>
  <c r="Y73" i="3"/>
  <c r="Z73" i="3" s="1"/>
  <c r="V84" i="3"/>
  <c r="W84" i="3" s="1"/>
  <c r="V68" i="3"/>
  <c r="W68" i="3" s="1"/>
  <c r="V52" i="3"/>
  <c r="W52" i="3" s="1"/>
  <c r="V36" i="3"/>
  <c r="W36" i="3" s="1"/>
  <c r="V20" i="3"/>
  <c r="W20" i="3" s="1"/>
  <c r="AA42" i="3"/>
  <c r="AB42" i="3" s="1"/>
  <c r="Y16" i="3"/>
  <c r="Z16" i="3" s="1"/>
  <c r="V85" i="3"/>
  <c r="W85" i="3" s="1"/>
  <c r="AA12" i="3"/>
  <c r="AB12" i="3" s="1"/>
  <c r="AA28" i="3"/>
  <c r="AB28" i="3" s="1"/>
  <c r="AA44" i="3"/>
  <c r="AB44" i="3" s="1"/>
  <c r="AA60" i="3"/>
  <c r="AB60" i="3" s="1"/>
  <c r="AA76" i="3"/>
  <c r="AB76" i="3" s="1"/>
  <c r="Y18" i="3"/>
  <c r="Z18" i="3" s="1"/>
  <c r="Y34" i="3"/>
  <c r="Z34" i="3" s="1"/>
  <c r="Y50" i="3"/>
  <c r="Z50" i="3" s="1"/>
  <c r="Y66" i="3"/>
  <c r="Z66" i="3" s="1"/>
  <c r="Y82" i="3"/>
  <c r="Z82" i="3" s="1"/>
  <c r="V75" i="3"/>
  <c r="W75" i="3" s="1"/>
  <c r="V59" i="3"/>
  <c r="W59" i="3" s="1"/>
  <c r="V43" i="3"/>
  <c r="W43" i="3" s="1"/>
  <c r="V27" i="3"/>
  <c r="W27" i="3" s="1"/>
  <c r="V62" i="3"/>
  <c r="W62" i="3" s="1"/>
  <c r="V38" i="3"/>
  <c r="W38" i="3" s="1"/>
  <c r="V18" i="3"/>
  <c r="W18" i="3" s="1"/>
  <c r="AA82" i="3"/>
  <c r="AB82" i="3" s="1"/>
  <c r="Y40" i="3"/>
  <c r="Z40" i="3" s="1"/>
  <c r="Y68" i="3"/>
  <c r="Z68" i="3" s="1"/>
  <c r="V73" i="3"/>
  <c r="W73" i="3" s="1"/>
  <c r="V29" i="3"/>
  <c r="W29" i="3" s="1"/>
  <c r="V21" i="3"/>
  <c r="W21" i="3" s="1"/>
  <c r="V41" i="3"/>
  <c r="W41" i="3" s="1"/>
  <c r="Y46" i="3"/>
  <c r="Z46" i="3" s="1"/>
  <c r="V63" i="3"/>
  <c r="W63" i="3" s="1"/>
  <c r="V46" i="3"/>
  <c r="W46" i="3" s="1"/>
  <c r="Y60" i="3"/>
  <c r="Z60" i="3" s="1"/>
  <c r="AA25" i="3"/>
  <c r="AB25" i="3" s="1"/>
  <c r="AA41" i="3"/>
  <c r="AB41" i="3" s="1"/>
  <c r="AA57" i="3"/>
  <c r="AB57" i="3" s="1"/>
  <c r="AA73" i="3"/>
  <c r="AB73" i="3" s="1"/>
  <c r="Y15" i="3"/>
  <c r="Z15" i="3" s="1"/>
  <c r="Y31" i="3"/>
  <c r="Z31" i="3" s="1"/>
  <c r="Y47" i="3"/>
  <c r="Z47" i="3" s="1"/>
  <c r="Y63" i="3"/>
  <c r="Z63" i="3" s="1"/>
  <c r="Y79" i="3"/>
  <c r="Z79" i="3" s="1"/>
  <c r="V78" i="3"/>
  <c r="W78" i="3" s="1"/>
  <c r="V58" i="3"/>
  <c r="W58" i="3" s="1"/>
  <c r="AA14" i="3"/>
  <c r="AB14" i="3" s="1"/>
  <c r="AA34" i="3"/>
  <c r="AB34" i="3" s="1"/>
  <c r="AA74" i="3"/>
  <c r="AB74" i="3" s="1"/>
  <c r="Y64" i="3"/>
  <c r="Z64" i="3" s="1"/>
  <c r="V45" i="3"/>
  <c r="W45" i="3" s="1"/>
  <c r="AA23" i="3"/>
  <c r="AB23" i="3" s="1"/>
  <c r="AA39" i="3"/>
  <c r="AB39" i="3" s="1"/>
  <c r="AA55" i="3"/>
  <c r="AB55" i="3" s="1"/>
  <c r="AA71" i="3"/>
  <c r="AB71" i="3" s="1"/>
  <c r="Y13" i="3"/>
  <c r="Z13" i="3" s="1"/>
  <c r="Y29" i="3"/>
  <c r="Z29" i="3" s="1"/>
  <c r="Y45" i="3"/>
  <c r="Z45" i="3" s="1"/>
  <c r="Y61" i="3"/>
  <c r="Z61" i="3" s="1"/>
  <c r="Y77" i="3"/>
  <c r="Z77" i="3" s="1"/>
  <c r="V80" i="3"/>
  <c r="W80" i="3" s="1"/>
  <c r="V64" i="3"/>
  <c r="W64" i="3" s="1"/>
  <c r="V48" i="3"/>
  <c r="W48" i="3" s="1"/>
  <c r="V32" i="3"/>
  <c r="W32" i="3" s="1"/>
  <c r="V16" i="3"/>
  <c r="AA54" i="3"/>
  <c r="AB54" i="3" s="1"/>
  <c r="Y32" i="3"/>
  <c r="Z32" i="3" s="1"/>
  <c r="V69" i="3"/>
  <c r="W69" i="3" s="1"/>
  <c r="AA16" i="3"/>
  <c r="AB16" i="3" s="1"/>
  <c r="AA32" i="3"/>
  <c r="AB32" i="3" s="1"/>
  <c r="AA48" i="3"/>
  <c r="AB48" i="3" s="1"/>
  <c r="AA64" i="3"/>
  <c r="AB64" i="3" s="1"/>
  <c r="AA80" i="3"/>
  <c r="AB80" i="3" s="1"/>
  <c r="Y22" i="3"/>
  <c r="Z22" i="3" s="1"/>
  <c r="Y38" i="3"/>
  <c r="Z38" i="3" s="1"/>
  <c r="AD38" i="3" s="1"/>
  <c r="Y54" i="3"/>
  <c r="Z54" i="3" s="1"/>
  <c r="Y70" i="3"/>
  <c r="Z70" i="3" s="1"/>
  <c r="Y11" i="3"/>
  <c r="Z11" i="3" s="1"/>
  <c r="V71" i="3"/>
  <c r="W71" i="3" s="1"/>
  <c r="V55" i="3"/>
  <c r="W55" i="3" s="1"/>
  <c r="V39" i="3"/>
  <c r="W39" i="3" s="1"/>
  <c r="V23" i="3"/>
  <c r="W23" i="3" s="1"/>
  <c r="V54" i="3"/>
  <c r="W54" i="3" s="1"/>
  <c r="V34" i="3"/>
  <c r="W34" i="3" s="1"/>
  <c r="AA46" i="3"/>
  <c r="AB46" i="3" s="1"/>
  <c r="Y12" i="3"/>
  <c r="Z12" i="3" s="1"/>
  <c r="Y44" i="3"/>
  <c r="Z44" i="3" s="1"/>
  <c r="Y76" i="3"/>
  <c r="Z76" i="3" s="1"/>
  <c r="V65" i="3"/>
  <c r="W65" i="3" s="1"/>
  <c r="V13" i="3"/>
  <c r="V33" i="3"/>
  <c r="W33" i="3" s="1"/>
  <c r="AA17" i="3"/>
  <c r="AB17" i="3" s="1"/>
  <c r="AA49" i="3"/>
  <c r="AB49" i="3" s="1"/>
  <c r="AA65" i="3"/>
  <c r="AB65" i="3" s="1"/>
  <c r="Y23" i="3"/>
  <c r="Z23" i="3" s="1"/>
  <c r="Y39" i="3"/>
  <c r="Z39" i="3" s="1"/>
  <c r="Y71" i="3"/>
  <c r="Z71" i="3" s="1"/>
  <c r="AA11" i="3"/>
  <c r="AB11" i="3" s="1"/>
  <c r="V26" i="3"/>
  <c r="W26" i="3" s="1"/>
  <c r="AA22" i="3"/>
  <c r="AB22" i="3" s="1"/>
  <c r="Y36" i="3"/>
  <c r="Z36" i="3" s="1"/>
  <c r="V77" i="3"/>
  <c r="W77" i="3" s="1"/>
  <c r="AA31" i="3"/>
  <c r="AB31" i="3" s="1"/>
  <c r="AA47" i="3"/>
  <c r="AB47" i="3" s="1"/>
  <c r="AA79" i="3"/>
  <c r="AB79" i="3" s="1"/>
  <c r="Y21" i="3"/>
  <c r="Z21" i="3" s="1"/>
  <c r="Y53" i="3"/>
  <c r="Z53" i="3" s="1"/>
  <c r="Y69" i="3"/>
  <c r="Z69" i="3" s="1"/>
  <c r="V72" i="3"/>
  <c r="W72" i="3" s="1"/>
  <c r="V56" i="3"/>
  <c r="W56" i="3" s="1"/>
  <c r="V24" i="3"/>
  <c r="W24" i="3" s="1"/>
  <c r="AA26" i="3"/>
  <c r="AB26" i="3" s="1"/>
  <c r="Y72" i="3"/>
  <c r="Z72" i="3" s="1"/>
  <c r="AA24" i="3"/>
  <c r="AB24" i="3" s="1"/>
  <c r="AA56" i="3"/>
  <c r="AB56" i="3" s="1"/>
  <c r="AA72" i="3"/>
  <c r="AB72" i="3" s="1"/>
  <c r="Y30" i="3"/>
  <c r="Z30" i="3" s="1"/>
  <c r="Y62" i="3"/>
  <c r="Z62" i="3" s="1"/>
  <c r="V79" i="3"/>
  <c r="W79" i="3" s="1"/>
  <c r="V47" i="3"/>
  <c r="W47" i="3" s="1"/>
  <c r="V15" i="3"/>
  <c r="W15" i="3" s="1"/>
  <c r="V22" i="3"/>
  <c r="W22" i="3" s="1"/>
  <c r="Y28" i="3"/>
  <c r="Z28" i="3" s="1"/>
  <c r="V81" i="3"/>
  <c r="W81" i="3" s="1"/>
  <c r="V37" i="3"/>
  <c r="W37" i="3" s="1"/>
  <c r="AH92" i="3" l="1"/>
  <c r="AH98" i="3"/>
  <c r="AH97" i="3"/>
  <c r="AH131" i="3"/>
  <c r="AH112" i="3"/>
  <c r="AH140" i="3"/>
  <c r="AH134" i="3"/>
  <c r="AH128" i="3"/>
  <c r="AH120" i="3"/>
  <c r="AH96" i="3"/>
  <c r="AH111" i="3"/>
  <c r="AH146" i="3"/>
  <c r="AH118" i="3"/>
  <c r="AH126" i="3"/>
  <c r="AH149" i="3"/>
  <c r="AH106" i="3"/>
  <c r="AH144" i="3"/>
  <c r="AH123" i="3"/>
  <c r="AH119" i="3"/>
  <c r="AH95" i="3"/>
  <c r="AH115" i="3"/>
  <c r="AH94" i="3"/>
  <c r="AH99" i="3"/>
  <c r="AH110" i="3"/>
  <c r="AH125" i="3"/>
  <c r="AH101" i="3"/>
  <c r="AH138" i="3"/>
  <c r="AH135" i="3"/>
  <c r="AH121" i="3"/>
  <c r="AH145" i="3"/>
  <c r="AH127" i="3"/>
  <c r="AH117" i="3"/>
  <c r="AH91" i="3"/>
  <c r="AH148" i="3"/>
  <c r="AH129" i="3"/>
  <c r="AH90" i="3"/>
  <c r="AH107" i="3"/>
  <c r="AH109" i="3"/>
  <c r="AH139" i="3"/>
  <c r="AH113" i="3"/>
  <c r="AH114" i="3"/>
  <c r="AH103" i="3"/>
  <c r="AH108" i="3"/>
  <c r="AH93" i="3"/>
  <c r="AH143" i="3"/>
  <c r="AH122" i="3"/>
  <c r="AH136" i="3"/>
  <c r="AH142" i="3"/>
  <c r="AH141" i="3"/>
  <c r="AH147" i="3"/>
  <c r="AH104" i="3"/>
  <c r="AH116" i="3"/>
  <c r="AH130" i="3"/>
  <c r="AH132" i="3"/>
  <c r="AH102" i="3"/>
  <c r="AH124" i="3"/>
  <c r="AH133" i="3"/>
  <c r="AH150" i="3"/>
  <c r="AH100" i="3"/>
  <c r="AH137" i="3"/>
  <c r="AH88" i="3"/>
  <c r="W16" i="3"/>
  <c r="W12" i="3"/>
  <c r="W13" i="3"/>
  <c r="Q85" i="3"/>
  <c r="U85" i="3" s="1"/>
  <c r="AD85" i="3" s="1"/>
  <c r="Q15" i="3"/>
  <c r="U15" i="3" s="1"/>
  <c r="AD15" i="3" s="1"/>
  <c r="Q16" i="3"/>
  <c r="U16" i="3" s="1"/>
  <c r="AD16" i="3" s="1"/>
  <c r="Q17" i="3"/>
  <c r="U17" i="3" s="1"/>
  <c r="AD17" i="3" s="1"/>
  <c r="Q18" i="3"/>
  <c r="U18" i="3" s="1"/>
  <c r="AD18" i="3" s="1"/>
  <c r="Q19" i="3"/>
  <c r="U19" i="3" s="1"/>
  <c r="AD19" i="3" s="1"/>
  <c r="Q20" i="3"/>
  <c r="U20" i="3" s="1"/>
  <c r="AD20" i="3" s="1"/>
  <c r="Q21" i="3"/>
  <c r="U21" i="3" s="1"/>
  <c r="AD21" i="3" s="1"/>
  <c r="Q22" i="3"/>
  <c r="U22" i="3" s="1"/>
  <c r="AD22" i="3" s="1"/>
  <c r="Q23" i="3"/>
  <c r="U23" i="3" s="1"/>
  <c r="AD23" i="3" s="1"/>
  <c r="Q24" i="3"/>
  <c r="U24" i="3" s="1"/>
  <c r="AD24" i="3" s="1"/>
  <c r="Q25" i="3"/>
  <c r="U25" i="3" s="1"/>
  <c r="AD25" i="3" s="1"/>
  <c r="Q26" i="3"/>
  <c r="U26" i="3" s="1"/>
  <c r="AD26" i="3" s="1"/>
  <c r="Q27" i="3"/>
  <c r="U27" i="3" s="1"/>
  <c r="AD27" i="3" s="1"/>
  <c r="Q28" i="3"/>
  <c r="U28" i="3" s="1"/>
  <c r="AD28" i="3" s="1"/>
  <c r="Q29" i="3"/>
  <c r="U29" i="3" s="1"/>
  <c r="AD29" i="3" s="1"/>
  <c r="Q30" i="3"/>
  <c r="U30" i="3" s="1"/>
  <c r="AD30" i="3" s="1"/>
  <c r="Q31" i="3"/>
  <c r="U31" i="3" s="1"/>
  <c r="AD31" i="3" s="1"/>
  <c r="Q32" i="3"/>
  <c r="U32" i="3" s="1"/>
  <c r="AD32" i="3" s="1"/>
  <c r="Q33" i="3"/>
  <c r="U33" i="3" s="1"/>
  <c r="AD33" i="3" s="1"/>
  <c r="Q34" i="3"/>
  <c r="U34" i="3" s="1"/>
  <c r="AD34" i="3" s="1"/>
  <c r="Q35" i="3"/>
  <c r="U35" i="3" s="1"/>
  <c r="AD35" i="3" s="1"/>
  <c r="Q36" i="3"/>
  <c r="U36" i="3" s="1"/>
  <c r="AD36" i="3" s="1"/>
  <c r="Q37" i="3"/>
  <c r="U37" i="3" s="1"/>
  <c r="AD37" i="3" s="1"/>
  <c r="Q39" i="3"/>
  <c r="U39" i="3" s="1"/>
  <c r="AD39" i="3" s="1"/>
  <c r="Q40" i="3"/>
  <c r="U40" i="3" s="1"/>
  <c r="AD40" i="3" s="1"/>
  <c r="Q41" i="3"/>
  <c r="U41" i="3" s="1"/>
  <c r="AD41" i="3" s="1"/>
  <c r="Q42" i="3"/>
  <c r="U42" i="3" s="1"/>
  <c r="AD42" i="3" s="1"/>
  <c r="Q43" i="3"/>
  <c r="U43" i="3" s="1"/>
  <c r="AD43" i="3" s="1"/>
  <c r="Q44" i="3"/>
  <c r="U44" i="3" s="1"/>
  <c r="AD44" i="3" s="1"/>
  <c r="Q45" i="3"/>
  <c r="U45" i="3" s="1"/>
  <c r="AD45" i="3" s="1"/>
  <c r="Q46" i="3"/>
  <c r="U46" i="3" s="1"/>
  <c r="AD46" i="3" s="1"/>
  <c r="Q47" i="3"/>
  <c r="U47" i="3" s="1"/>
  <c r="AD47" i="3" s="1"/>
  <c r="Q48" i="3"/>
  <c r="U48" i="3" s="1"/>
  <c r="AD48" i="3" s="1"/>
  <c r="Q49" i="3"/>
  <c r="U49" i="3" s="1"/>
  <c r="AD49" i="3" s="1"/>
  <c r="Q50" i="3"/>
  <c r="U50" i="3" s="1"/>
  <c r="AD50" i="3" s="1"/>
  <c r="Q51" i="3"/>
  <c r="U51" i="3" s="1"/>
  <c r="AD51" i="3" s="1"/>
  <c r="Q52" i="3"/>
  <c r="U52" i="3" s="1"/>
  <c r="AD52" i="3" s="1"/>
  <c r="Q53" i="3"/>
  <c r="U53" i="3" s="1"/>
  <c r="AD53" i="3" s="1"/>
  <c r="Q54" i="3"/>
  <c r="U54" i="3" s="1"/>
  <c r="AD54" i="3" s="1"/>
  <c r="Q55" i="3"/>
  <c r="U55" i="3" s="1"/>
  <c r="AD55" i="3" s="1"/>
  <c r="Q56" i="3"/>
  <c r="U56" i="3" s="1"/>
  <c r="AD56" i="3" s="1"/>
  <c r="Q57" i="3"/>
  <c r="U57" i="3" s="1"/>
  <c r="AD57" i="3" s="1"/>
  <c r="Q58" i="3"/>
  <c r="U58" i="3" s="1"/>
  <c r="AD58" i="3" s="1"/>
  <c r="Q59" i="3"/>
  <c r="U59" i="3" s="1"/>
  <c r="AD59" i="3" s="1"/>
  <c r="Q60" i="3"/>
  <c r="U60" i="3" s="1"/>
  <c r="AD60" i="3" s="1"/>
  <c r="Q61" i="3"/>
  <c r="U61" i="3" s="1"/>
  <c r="AD61" i="3" s="1"/>
  <c r="Q62" i="3"/>
  <c r="U62" i="3" s="1"/>
  <c r="AD62" i="3" s="1"/>
  <c r="Q63" i="3"/>
  <c r="U63" i="3" s="1"/>
  <c r="AD63" i="3" s="1"/>
  <c r="Q64" i="3"/>
  <c r="U64" i="3" s="1"/>
  <c r="AD64" i="3" s="1"/>
  <c r="Q65" i="3"/>
  <c r="U65" i="3" s="1"/>
  <c r="AD65" i="3" s="1"/>
  <c r="Q66" i="3"/>
  <c r="U66" i="3" s="1"/>
  <c r="AD66" i="3" s="1"/>
  <c r="Q67" i="3"/>
  <c r="U67" i="3" s="1"/>
  <c r="AD67" i="3" s="1"/>
  <c r="Q68" i="3"/>
  <c r="U68" i="3" s="1"/>
  <c r="AD68" i="3" s="1"/>
  <c r="Q69" i="3"/>
  <c r="U69" i="3" s="1"/>
  <c r="AD69" i="3" s="1"/>
  <c r="Q70" i="3"/>
  <c r="U70" i="3" s="1"/>
  <c r="AD70" i="3" s="1"/>
  <c r="Q71" i="3"/>
  <c r="U71" i="3" s="1"/>
  <c r="AD71" i="3" s="1"/>
  <c r="Q72" i="3"/>
  <c r="U72" i="3" s="1"/>
  <c r="AD72" i="3" s="1"/>
  <c r="Q73" i="3"/>
  <c r="U73" i="3" s="1"/>
  <c r="AD73" i="3" s="1"/>
  <c r="Q74" i="3"/>
  <c r="U74" i="3" s="1"/>
  <c r="AD74" i="3" s="1"/>
  <c r="Q75" i="3"/>
  <c r="U75" i="3" s="1"/>
  <c r="AD75" i="3" s="1"/>
  <c r="Q76" i="3"/>
  <c r="U76" i="3" s="1"/>
  <c r="AD76" i="3" s="1"/>
  <c r="Q77" i="3"/>
  <c r="U77" i="3" s="1"/>
  <c r="AD77" i="3" s="1"/>
  <c r="Q78" i="3"/>
  <c r="U78" i="3" s="1"/>
  <c r="AD78" i="3" s="1"/>
  <c r="Q79" i="3"/>
  <c r="U79" i="3" s="1"/>
  <c r="AD79" i="3" s="1"/>
  <c r="Q80" i="3"/>
  <c r="U80" i="3" s="1"/>
  <c r="AD80" i="3" s="1"/>
  <c r="Q81" i="3"/>
  <c r="U81" i="3" s="1"/>
  <c r="AD81" i="3" s="1"/>
  <c r="Q82" i="3"/>
  <c r="U82" i="3" s="1"/>
  <c r="AD82" i="3" s="1"/>
  <c r="Q83" i="3"/>
  <c r="U83" i="3" s="1"/>
  <c r="AD83" i="3" s="1"/>
  <c r="Q84" i="3"/>
  <c r="U84" i="3" s="1"/>
  <c r="AD84" i="3" s="1"/>
  <c r="Q12" i="3"/>
  <c r="U12" i="3" s="1"/>
  <c r="AD12" i="3" s="1"/>
  <c r="Q13" i="3"/>
  <c r="U13" i="3" s="1"/>
  <c r="AD13" i="3" s="1"/>
  <c r="Q14" i="3"/>
  <c r="U14" i="3" s="1"/>
  <c r="AD14" i="3" s="1"/>
  <c r="Q11" i="3"/>
  <c r="U11" i="3" s="1"/>
  <c r="AD11" i="3" s="1"/>
  <c r="G85" i="3"/>
  <c r="AC85" i="3" s="1"/>
  <c r="AF85" i="3" s="1"/>
  <c r="G31" i="3"/>
  <c r="AC31" i="3" s="1"/>
  <c r="AF31" i="3" s="1"/>
  <c r="G41" i="3"/>
  <c r="AC41" i="3" s="1"/>
  <c r="AF41" i="3" s="1"/>
  <c r="G50" i="3"/>
  <c r="X50" i="3" s="1"/>
  <c r="AE50" i="3" s="1"/>
  <c r="G58" i="3"/>
  <c r="G66" i="3"/>
  <c r="AC66" i="3" s="1"/>
  <c r="AF66" i="3" s="1"/>
  <c r="G72" i="3"/>
  <c r="X72" i="3" s="1"/>
  <c r="AE72" i="3" s="1"/>
  <c r="G77" i="3"/>
  <c r="G81" i="3"/>
  <c r="X81" i="3" s="1"/>
  <c r="AE81" i="3" s="1"/>
  <c r="G84" i="3"/>
  <c r="G13" i="3"/>
  <c r="G14" i="3" s="1"/>
  <c r="G17" i="3"/>
  <c r="G23" i="3"/>
  <c r="AC23" i="3" s="1"/>
  <c r="AF23" i="3" s="1"/>
  <c r="G11" i="3"/>
  <c r="X41" i="3" l="1"/>
  <c r="AE41" i="3" s="1"/>
  <c r="AH41" i="3" s="1"/>
  <c r="AC81" i="3"/>
  <c r="AF81" i="3" s="1"/>
  <c r="AH81" i="3" s="1"/>
  <c r="G78" i="3"/>
  <c r="S77" i="3"/>
  <c r="P77" i="3"/>
  <c r="X23" i="3"/>
  <c r="AE23" i="3" s="1"/>
  <c r="AH23" i="3" s="1"/>
  <c r="AC13" i="3"/>
  <c r="AF13" i="3" s="1"/>
  <c r="S13" i="3"/>
  <c r="P13" i="3"/>
  <c r="G73" i="3"/>
  <c r="G74" i="3" s="1"/>
  <c r="P72" i="3"/>
  <c r="S72" i="3"/>
  <c r="AC11" i="3"/>
  <c r="AF11" i="3" s="1"/>
  <c r="X11" i="3"/>
  <c r="AE11" i="3" s="1"/>
  <c r="P84" i="3"/>
  <c r="S84" i="3"/>
  <c r="G67" i="3"/>
  <c r="P66" i="3"/>
  <c r="S66" i="3"/>
  <c r="G32" i="3"/>
  <c r="G33" i="3" s="1"/>
  <c r="S31" i="3"/>
  <c r="P31" i="3"/>
  <c r="AC72" i="3"/>
  <c r="AF72" i="3" s="1"/>
  <c r="AH72" i="3" s="1"/>
  <c r="X31" i="3"/>
  <c r="AE31" i="3" s="1"/>
  <c r="AH31" i="3" s="1"/>
  <c r="X66" i="3"/>
  <c r="AE66" i="3" s="1"/>
  <c r="AH66" i="3" s="1"/>
  <c r="AC50" i="3"/>
  <c r="AF50" i="3" s="1"/>
  <c r="AH50" i="3" s="1"/>
  <c r="AC17" i="3"/>
  <c r="AF17" i="3" s="1"/>
  <c r="S17" i="3"/>
  <c r="P17" i="3"/>
  <c r="AC77" i="3"/>
  <c r="AF77" i="3" s="1"/>
  <c r="G24" i="3"/>
  <c r="G25" i="3" s="1"/>
  <c r="S23" i="3"/>
  <c r="P23" i="3"/>
  <c r="G82" i="3"/>
  <c r="S81" i="3"/>
  <c r="P81" i="3"/>
  <c r="G59" i="3"/>
  <c r="G60" i="3" s="1"/>
  <c r="P58" i="3"/>
  <c r="S58" i="3"/>
  <c r="S85" i="3"/>
  <c r="P85" i="3"/>
  <c r="X84" i="3"/>
  <c r="AE84" i="3" s="1"/>
  <c r="AC84" i="3"/>
  <c r="AF84" i="3" s="1"/>
  <c r="G51" i="3"/>
  <c r="G52" i="3" s="1"/>
  <c r="P50" i="3"/>
  <c r="S50" i="3"/>
  <c r="X58" i="3"/>
  <c r="AE58" i="3" s="1"/>
  <c r="G42" i="3"/>
  <c r="S41" i="3"/>
  <c r="P41" i="3"/>
  <c r="X85" i="3"/>
  <c r="AE85" i="3" s="1"/>
  <c r="AH85" i="3" s="1"/>
  <c r="AC58" i="3"/>
  <c r="AF58" i="3" s="1"/>
  <c r="X17" i="3"/>
  <c r="AE17" i="3" s="1"/>
  <c r="X77" i="3"/>
  <c r="AE77" i="3" s="1"/>
  <c r="AH77" i="3" s="1"/>
  <c r="X13" i="3"/>
  <c r="AE13" i="3" s="1"/>
  <c r="AH13" i="3" s="1"/>
  <c r="G18" i="3"/>
  <c r="G12" i="3"/>
  <c r="AH58" i="3" l="1"/>
  <c r="AH17" i="3"/>
  <c r="AH84" i="3"/>
  <c r="S25" i="3"/>
  <c r="P25" i="3"/>
  <c r="AC25" i="3"/>
  <c r="AF25" i="3" s="1"/>
  <c r="X25" i="3"/>
  <c r="AE25" i="3" s="1"/>
  <c r="S33" i="3"/>
  <c r="P33" i="3"/>
  <c r="AC33" i="3"/>
  <c r="AF33" i="3" s="1"/>
  <c r="X33" i="3"/>
  <c r="AE33" i="3" s="1"/>
  <c r="AC12" i="3"/>
  <c r="AF12" i="3" s="1"/>
  <c r="X12" i="3"/>
  <c r="AE12" i="3" s="1"/>
  <c r="S67" i="3"/>
  <c r="P67" i="3"/>
  <c r="AC67" i="3"/>
  <c r="AF67" i="3" s="1"/>
  <c r="X67" i="3"/>
  <c r="AE67" i="3" s="1"/>
  <c r="P74" i="3"/>
  <c r="S74" i="3"/>
  <c r="AC74" i="3"/>
  <c r="AF74" i="3" s="1"/>
  <c r="X74" i="3"/>
  <c r="AE74" i="3" s="1"/>
  <c r="P52" i="3"/>
  <c r="S52" i="3"/>
  <c r="AC52" i="3"/>
  <c r="AF52" i="3" s="1"/>
  <c r="X52" i="3"/>
  <c r="AE52" i="3" s="1"/>
  <c r="AC18" i="3"/>
  <c r="AF18" i="3" s="1"/>
  <c r="P18" i="3"/>
  <c r="S18" i="3"/>
  <c r="X18" i="3"/>
  <c r="AE18" i="3" s="1"/>
  <c r="P24" i="3"/>
  <c r="S24" i="3"/>
  <c r="AC24" i="3"/>
  <c r="AF24" i="3" s="1"/>
  <c r="X24" i="3"/>
  <c r="AE24" i="3" s="1"/>
  <c r="G79" i="3"/>
  <c r="P78" i="3"/>
  <c r="S78" i="3"/>
  <c r="X78" i="3"/>
  <c r="AE78" i="3" s="1"/>
  <c r="AC78" i="3"/>
  <c r="AF78" i="3" s="1"/>
  <c r="P60" i="3"/>
  <c r="S60" i="3"/>
  <c r="AC60" i="3"/>
  <c r="AF60" i="3" s="1"/>
  <c r="X60" i="3"/>
  <c r="AE60" i="3" s="1"/>
  <c r="G83" i="3"/>
  <c r="P82" i="3"/>
  <c r="S82" i="3"/>
  <c r="X82" i="3"/>
  <c r="AE82" i="3" s="1"/>
  <c r="AC82" i="3"/>
  <c r="AF82" i="3" s="1"/>
  <c r="AH11" i="3"/>
  <c r="S73" i="3"/>
  <c r="P73" i="3"/>
  <c r="X73" i="3"/>
  <c r="AE73" i="3" s="1"/>
  <c r="AC73" i="3"/>
  <c r="AF73" i="3" s="1"/>
  <c r="S59" i="3"/>
  <c r="P59" i="3"/>
  <c r="X59" i="3"/>
  <c r="AE59" i="3" s="1"/>
  <c r="AC59" i="3"/>
  <c r="AF59" i="3" s="1"/>
  <c r="G68" i="3"/>
  <c r="AC14" i="3"/>
  <c r="AF14" i="3" s="1"/>
  <c r="P14" i="3"/>
  <c r="S14" i="3"/>
  <c r="X14" i="3"/>
  <c r="AE14" i="3" s="1"/>
  <c r="G43" i="3"/>
  <c r="P42" i="3"/>
  <c r="S42" i="3"/>
  <c r="AC42" i="3"/>
  <c r="AF42" i="3" s="1"/>
  <c r="X42" i="3"/>
  <c r="AE42" i="3" s="1"/>
  <c r="S51" i="3"/>
  <c r="P51" i="3"/>
  <c r="X51" i="3"/>
  <c r="AE51" i="3" s="1"/>
  <c r="AC51" i="3"/>
  <c r="AF51" i="3" s="1"/>
  <c r="S32" i="3"/>
  <c r="P32" i="3"/>
  <c r="X32" i="3"/>
  <c r="AE32" i="3" s="1"/>
  <c r="AC32" i="3"/>
  <c r="AF32" i="3" s="1"/>
  <c r="G19" i="3"/>
  <c r="G15" i="3"/>
  <c r="G69" i="3"/>
  <c r="G75" i="3"/>
  <c r="G34" i="3"/>
  <c r="G53" i="3"/>
  <c r="G61" i="3"/>
  <c r="G26" i="3"/>
  <c r="AH82" i="3" l="1"/>
  <c r="AH33" i="3"/>
  <c r="AH25" i="3"/>
  <c r="AH32" i="3"/>
  <c r="AH51" i="3"/>
  <c r="AH14" i="3"/>
  <c r="AH78" i="3"/>
  <c r="AH18" i="3"/>
  <c r="AH24" i="3"/>
  <c r="AH52" i="3"/>
  <c r="AH74" i="3"/>
  <c r="AH67" i="3"/>
  <c r="AH12" i="3"/>
  <c r="S53" i="3"/>
  <c r="P53" i="3"/>
  <c r="AC53" i="3"/>
  <c r="AF53" i="3" s="1"/>
  <c r="X53" i="3"/>
  <c r="AE53" i="3" s="1"/>
  <c r="AC15" i="3"/>
  <c r="AF15" i="3" s="1"/>
  <c r="X15" i="3"/>
  <c r="AE15" i="3" s="1"/>
  <c r="P34" i="3"/>
  <c r="S34" i="3"/>
  <c r="AC34" i="3"/>
  <c r="AF34" i="3" s="1"/>
  <c r="X34" i="3"/>
  <c r="AE34" i="3" s="1"/>
  <c r="S19" i="3"/>
  <c r="P19" i="3"/>
  <c r="X19" i="3"/>
  <c r="AE19" i="3" s="1"/>
  <c r="AC19" i="3"/>
  <c r="AF19" i="3" s="1"/>
  <c r="AH59" i="3"/>
  <c r="AH73" i="3"/>
  <c r="S83" i="3"/>
  <c r="P83" i="3"/>
  <c r="AC83" i="3"/>
  <c r="AF83" i="3" s="1"/>
  <c r="X83" i="3"/>
  <c r="AE83" i="3" s="1"/>
  <c r="S69" i="3"/>
  <c r="P69" i="3"/>
  <c r="AC69" i="3"/>
  <c r="AF69" i="3" s="1"/>
  <c r="X69" i="3"/>
  <c r="AE69" i="3" s="1"/>
  <c r="P26" i="3"/>
  <c r="S26" i="3"/>
  <c r="X26" i="3"/>
  <c r="AE26" i="3" s="1"/>
  <c r="AC26" i="3"/>
  <c r="AF26" i="3" s="1"/>
  <c r="S75" i="3"/>
  <c r="P75" i="3"/>
  <c r="X75" i="3"/>
  <c r="AE75" i="3" s="1"/>
  <c r="AC75" i="3"/>
  <c r="AF75" i="3" s="1"/>
  <c r="AH42" i="3"/>
  <c r="G44" i="3"/>
  <c r="S43" i="3"/>
  <c r="P43" i="3"/>
  <c r="X43" i="3"/>
  <c r="AE43" i="3" s="1"/>
  <c r="AC43" i="3"/>
  <c r="AF43" i="3" s="1"/>
  <c r="AH60" i="3"/>
  <c r="G80" i="3"/>
  <c r="S79" i="3"/>
  <c r="P79" i="3"/>
  <c r="AC79" i="3"/>
  <c r="AF79" i="3" s="1"/>
  <c r="X79" i="3"/>
  <c r="AE79" i="3" s="1"/>
  <c r="S61" i="3"/>
  <c r="P61" i="3"/>
  <c r="AC61" i="3"/>
  <c r="AF61" i="3" s="1"/>
  <c r="X61" i="3"/>
  <c r="AE61" i="3" s="1"/>
  <c r="S68" i="3"/>
  <c r="P68" i="3"/>
  <c r="X68" i="3"/>
  <c r="AE68" i="3" s="1"/>
  <c r="AC68" i="3"/>
  <c r="AF68" i="3" s="1"/>
  <c r="G20" i="3"/>
  <c r="G16" i="3"/>
  <c r="G35" i="3"/>
  <c r="G27" i="3"/>
  <c r="G54" i="3"/>
  <c r="G76" i="3"/>
  <c r="G70" i="3"/>
  <c r="G62" i="3"/>
  <c r="AH69" i="3" l="1"/>
  <c r="AH83" i="3"/>
  <c r="AH53" i="3"/>
  <c r="AH68" i="3"/>
  <c r="AH75" i="3"/>
  <c r="AH26" i="3"/>
  <c r="AH34" i="3"/>
  <c r="AH15" i="3"/>
  <c r="X76" i="3"/>
  <c r="AE76" i="3" s="1"/>
  <c r="AC76" i="3"/>
  <c r="AF76" i="3" s="1"/>
  <c r="AC16" i="3"/>
  <c r="AF16" i="3" s="1"/>
  <c r="X16" i="3"/>
  <c r="AE16" i="3" s="1"/>
  <c r="G45" i="3"/>
  <c r="S44" i="3"/>
  <c r="P44" i="3"/>
  <c r="X44" i="3"/>
  <c r="AE44" i="3" s="1"/>
  <c r="AC44" i="3"/>
  <c r="AF44" i="3" s="1"/>
  <c r="P62" i="3"/>
  <c r="S62" i="3"/>
  <c r="AC62" i="3"/>
  <c r="AF62" i="3" s="1"/>
  <c r="X62" i="3"/>
  <c r="AE62" i="3" s="1"/>
  <c r="S27" i="3"/>
  <c r="P27" i="3"/>
  <c r="X27" i="3"/>
  <c r="AE27" i="3" s="1"/>
  <c r="AC27" i="3"/>
  <c r="AF27" i="3" s="1"/>
  <c r="AH61" i="3"/>
  <c r="AH79" i="3"/>
  <c r="S80" i="3"/>
  <c r="P80" i="3"/>
  <c r="AC80" i="3"/>
  <c r="AF80" i="3" s="1"/>
  <c r="X80" i="3"/>
  <c r="AE80" i="3" s="1"/>
  <c r="P70" i="3"/>
  <c r="S70" i="3"/>
  <c r="AC70" i="3"/>
  <c r="AF70" i="3" s="1"/>
  <c r="X70" i="3"/>
  <c r="AE70" i="3" s="1"/>
  <c r="S35" i="3"/>
  <c r="P35" i="3"/>
  <c r="AC35" i="3"/>
  <c r="AF35" i="3" s="1"/>
  <c r="X35" i="3"/>
  <c r="AE35" i="3" s="1"/>
  <c r="P54" i="3"/>
  <c r="S54" i="3"/>
  <c r="X54" i="3"/>
  <c r="AE54" i="3" s="1"/>
  <c r="AC54" i="3"/>
  <c r="AF54" i="3" s="1"/>
  <c r="S20" i="3"/>
  <c r="P20" i="3"/>
  <c r="X20" i="3"/>
  <c r="AE20" i="3" s="1"/>
  <c r="AC20" i="3"/>
  <c r="AF20" i="3" s="1"/>
  <c r="AH43" i="3"/>
  <c r="AH19" i="3"/>
  <c r="G21" i="3"/>
  <c r="G63" i="3"/>
  <c r="G28" i="3"/>
  <c r="G71" i="3"/>
  <c r="G55" i="3"/>
  <c r="G36" i="3"/>
  <c r="AH20" i="3" l="1"/>
  <c r="AH54" i="3"/>
  <c r="AH27" i="3"/>
  <c r="AH44" i="3"/>
  <c r="AH16" i="3"/>
  <c r="S55" i="3"/>
  <c r="P55" i="3"/>
  <c r="AC55" i="3"/>
  <c r="AF55" i="3" s="1"/>
  <c r="X55" i="3"/>
  <c r="AE55" i="3" s="1"/>
  <c r="P28" i="3"/>
  <c r="S28" i="3"/>
  <c r="X28" i="3"/>
  <c r="AE28" i="3" s="1"/>
  <c r="AC28" i="3"/>
  <c r="AF28" i="3" s="1"/>
  <c r="G22" i="3"/>
  <c r="X21" i="3"/>
  <c r="AE21" i="3" s="1"/>
  <c r="AC21" i="3"/>
  <c r="AF21" i="3" s="1"/>
  <c r="P36" i="3"/>
  <c r="S36" i="3"/>
  <c r="AC36" i="3"/>
  <c r="AF36" i="3" s="1"/>
  <c r="X36" i="3"/>
  <c r="AE36" i="3" s="1"/>
  <c r="S63" i="3"/>
  <c r="P63" i="3"/>
  <c r="AC63" i="3"/>
  <c r="AF63" i="3" s="1"/>
  <c r="X63" i="3"/>
  <c r="AE63" i="3" s="1"/>
  <c r="AH35" i="3"/>
  <c r="AH70" i="3"/>
  <c r="AH80" i="3"/>
  <c r="S71" i="3"/>
  <c r="P71" i="3"/>
  <c r="X71" i="3"/>
  <c r="AE71" i="3" s="1"/>
  <c r="AC71" i="3"/>
  <c r="AF71" i="3" s="1"/>
  <c r="AH62" i="3"/>
  <c r="G46" i="3"/>
  <c r="S45" i="3"/>
  <c r="P45" i="3"/>
  <c r="X45" i="3"/>
  <c r="AE45" i="3" s="1"/>
  <c r="AC45" i="3"/>
  <c r="AF45" i="3" s="1"/>
  <c r="AH76" i="3"/>
  <c r="G37" i="3"/>
  <c r="G64" i="3"/>
  <c r="G56" i="3"/>
  <c r="G29" i="3"/>
  <c r="AH63" i="3" l="1"/>
  <c r="AH55" i="3"/>
  <c r="AH45" i="3"/>
  <c r="AH28" i="3"/>
  <c r="AH21" i="3"/>
  <c r="S37" i="3"/>
  <c r="P37" i="3"/>
  <c r="X37" i="3"/>
  <c r="AE37" i="3" s="1"/>
  <c r="AC37" i="3"/>
  <c r="AF37" i="3" s="1"/>
  <c r="S56" i="3"/>
  <c r="P56" i="3"/>
  <c r="X56" i="3"/>
  <c r="AE56" i="3" s="1"/>
  <c r="AC56" i="3"/>
  <c r="AF56" i="3" s="1"/>
  <c r="G47" i="3"/>
  <c r="P46" i="3"/>
  <c r="S46" i="3"/>
  <c r="X46" i="3"/>
  <c r="AE46" i="3" s="1"/>
  <c r="AC46" i="3"/>
  <c r="AF46" i="3" s="1"/>
  <c r="AH36" i="3"/>
  <c r="G65" i="3"/>
  <c r="X64" i="3"/>
  <c r="AE64" i="3" s="1"/>
  <c r="AC64" i="3"/>
  <c r="AF64" i="3" s="1"/>
  <c r="G30" i="3"/>
  <c r="AC29" i="3"/>
  <c r="AF29" i="3" s="1"/>
  <c r="X29" i="3"/>
  <c r="AE29" i="3" s="1"/>
  <c r="AH71" i="3"/>
  <c r="AC22" i="3"/>
  <c r="AF22" i="3" s="1"/>
  <c r="X22" i="3"/>
  <c r="AE22" i="3" s="1"/>
  <c r="G57" i="3"/>
  <c r="G38" i="3"/>
  <c r="AH22" i="3" l="1"/>
  <c r="AH56" i="3"/>
  <c r="AH37" i="3"/>
  <c r="AH29" i="3"/>
  <c r="AH64" i="3"/>
  <c r="AH46" i="3"/>
  <c r="AC57" i="3"/>
  <c r="AF57" i="3" s="1"/>
  <c r="X57" i="3"/>
  <c r="AE57" i="3" s="1"/>
  <c r="X65" i="3"/>
  <c r="AE65" i="3" s="1"/>
  <c r="AC65" i="3"/>
  <c r="AF65" i="3" s="1"/>
  <c r="AC30" i="3"/>
  <c r="AF30" i="3" s="1"/>
  <c r="X30" i="3"/>
  <c r="AE30" i="3" s="1"/>
  <c r="P38" i="3"/>
  <c r="S38" i="3"/>
  <c r="AC38" i="3"/>
  <c r="AF38" i="3" s="1"/>
  <c r="X38" i="3"/>
  <c r="AE38" i="3" s="1"/>
  <c r="G48" i="3"/>
  <c r="S47" i="3"/>
  <c r="P47" i="3"/>
  <c r="AC47" i="3"/>
  <c r="AF47" i="3" s="1"/>
  <c r="X47" i="3"/>
  <c r="AE47" i="3" s="1"/>
  <c r="G39" i="3"/>
  <c r="AH38" i="3" l="1"/>
  <c r="AH30" i="3"/>
  <c r="AH57" i="3"/>
  <c r="AH65" i="3"/>
  <c r="G40" i="3"/>
  <c r="AC39" i="3"/>
  <c r="AF39" i="3" s="1"/>
  <c r="X39" i="3"/>
  <c r="AE39" i="3" s="1"/>
  <c r="AH47" i="3"/>
  <c r="G49" i="3"/>
  <c r="P48" i="3"/>
  <c r="S48" i="3"/>
  <c r="AC48" i="3"/>
  <c r="AF48" i="3" s="1"/>
  <c r="X48" i="3"/>
  <c r="AE48" i="3" s="1"/>
  <c r="AH39" i="3" l="1"/>
  <c r="AH48" i="3"/>
  <c r="AC49" i="3"/>
  <c r="AF49" i="3" s="1"/>
  <c r="X49" i="3"/>
  <c r="AE49" i="3" s="1"/>
  <c r="X40" i="3"/>
  <c r="AE40" i="3" s="1"/>
  <c r="AC40" i="3"/>
  <c r="AF40" i="3" s="1"/>
  <c r="D17" i="2"/>
  <c r="D18" i="2"/>
  <c r="D19" i="2"/>
  <c r="D20" i="2"/>
  <c r="D21" i="2"/>
  <c r="D22" i="2"/>
  <c r="D23" i="2"/>
  <c r="D24" i="2"/>
  <c r="D5" i="2"/>
  <c r="D6" i="2"/>
  <c r="D7" i="2"/>
  <c r="D8" i="2"/>
  <c r="D9" i="2"/>
  <c r="D10" i="2"/>
  <c r="D11" i="2"/>
  <c r="D12" i="2"/>
  <c r="D13" i="2"/>
  <c r="D14" i="2"/>
  <c r="D15" i="2"/>
  <c r="D4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L5" i="2" l="1"/>
  <c r="L7" i="2"/>
  <c r="L9" i="2"/>
  <c r="L11" i="2"/>
  <c r="L13" i="2"/>
  <c r="L15" i="2"/>
  <c r="L4" i="2"/>
  <c r="L6" i="2"/>
  <c r="L21" i="2"/>
  <c r="L23" i="2"/>
  <c r="K8" i="2"/>
  <c r="L8" i="2"/>
  <c r="K10" i="2"/>
  <c r="L10" i="2"/>
  <c r="K17" i="2"/>
  <c r="L17" i="2"/>
  <c r="K18" i="2"/>
  <c r="L18" i="2"/>
  <c r="K20" i="2"/>
  <c r="L20" i="2"/>
  <c r="K22" i="2"/>
  <c r="L22" i="2"/>
  <c r="K12" i="2"/>
  <c r="L12" i="2"/>
  <c r="K14" i="2"/>
  <c r="L14" i="2"/>
  <c r="K19" i="2"/>
  <c r="L19" i="2"/>
  <c r="AH49" i="3"/>
  <c r="AH40" i="3"/>
  <c r="K24" i="2"/>
  <c r="L24" i="2"/>
  <c r="K11" i="2"/>
  <c r="K15" i="2"/>
  <c r="K5" i="2"/>
  <c r="K7" i="2"/>
  <c r="K9" i="2"/>
  <c r="K23" i="2"/>
  <c r="K4" i="2"/>
  <c r="K6" i="2"/>
  <c r="K13" i="2"/>
  <c r="K21" i="2"/>
  <c r="H45" i="1"/>
  <c r="H49" i="1"/>
  <c r="H53" i="1"/>
  <c r="H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H3" i="1" s="1"/>
  <c r="F4" i="1"/>
  <c r="H4" i="1" s="1"/>
  <c r="F5" i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" i="1"/>
  <c r="H2" i="1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4" i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24" i="1"/>
  <c r="H24" i="1" s="1"/>
  <c r="F45" i="1"/>
  <c r="F46" i="1"/>
  <c r="H46" i="1" s="1"/>
  <c r="F47" i="1"/>
  <c r="H47" i="1" s="1"/>
  <c r="F48" i="1"/>
  <c r="H48" i="1" s="1"/>
  <c r="F49" i="1"/>
  <c r="F50" i="1"/>
  <c r="H50" i="1" s="1"/>
  <c r="F51" i="1"/>
  <c r="H51" i="1" s="1"/>
  <c r="F52" i="1"/>
  <c r="H52" i="1" s="1"/>
  <c r="F53" i="1"/>
  <c r="F54" i="1"/>
  <c r="H54" i="1" s="1"/>
  <c r="F55" i="1"/>
  <c r="H55" i="1" s="1"/>
  <c r="F44" i="1"/>
  <c r="H44" i="1" s="1"/>
  <c r="G45" i="1"/>
  <c r="G46" i="1"/>
  <c r="G47" i="1"/>
  <c r="G48" i="1"/>
  <c r="G49" i="1"/>
  <c r="G50" i="1"/>
  <c r="G51" i="1"/>
  <c r="G52" i="1"/>
  <c r="G53" i="1"/>
  <c r="G54" i="1"/>
  <c r="G55" i="1"/>
  <c r="G44" i="1"/>
  <c r="G60" i="1"/>
  <c r="G61" i="1"/>
  <c r="G62" i="1"/>
  <c r="G63" i="1"/>
  <c r="G64" i="1"/>
  <c r="G65" i="1"/>
  <c r="G66" i="1"/>
  <c r="G67" i="1"/>
  <c r="G59" i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59" i="1"/>
  <c r="H59" i="1" s="1"/>
  <c r="X89" i="3" l="1"/>
  <c r="AE89" i="3" s="1"/>
  <c r="AH89" i="3" s="1"/>
</calcChain>
</file>

<file path=xl/sharedStrings.xml><?xml version="1.0" encoding="utf-8"?>
<sst xmlns="http://schemas.openxmlformats.org/spreadsheetml/2006/main" count="1021" uniqueCount="331">
  <si>
    <t>Питерфлоу</t>
  </si>
  <si>
    <t>Взлет</t>
  </si>
  <si>
    <t>Проставка под расходомеры Питерфлоу</t>
  </si>
  <si>
    <t>Проставка под расходомеры Взлет</t>
  </si>
  <si>
    <t>Длина проставки</t>
  </si>
  <si>
    <t>Тип проставки</t>
  </si>
  <si>
    <t>Фланцевая</t>
  </si>
  <si>
    <t>Межфланцевая</t>
  </si>
  <si>
    <t>Резьбовая</t>
  </si>
  <si>
    <t>Расходомер Питерфлоу PC 20-6-А-С</t>
  </si>
  <si>
    <t>Расходомер Питерфлоу PC 20-12-А-С</t>
  </si>
  <si>
    <t>Расходомер Питерфлоу PC 20-6-А-М</t>
  </si>
  <si>
    <t>Расходомер Питерфлоу PC 20-12-А-М</t>
  </si>
  <si>
    <t>Расходомер Питерфлоу РС 25-9-А-Ф1</t>
  </si>
  <si>
    <t>Расходомер Питерфлоу РС 25-18-А-Ф1</t>
  </si>
  <si>
    <t>Диаметр расходомера</t>
  </si>
  <si>
    <t>Расходомер Питерфлоу РС 40-45-А-Ф1</t>
  </si>
  <si>
    <t>Расходомер Питерфлоу PC 32-15-А-С</t>
  </si>
  <si>
    <t>Расходомер Питерфлоу PC 32-30-А-С</t>
  </si>
  <si>
    <t>Расходомер Питерфлоу PC 32-15-А-М</t>
  </si>
  <si>
    <t>Расходомер Питерфлоу PC 32-30-А-М</t>
  </si>
  <si>
    <t>Расходомер Питерфлоу PC 32-15-А-Ф1</t>
  </si>
  <si>
    <t>Расходомер Питерфлоу PC 32-30-А-Ф1</t>
  </si>
  <si>
    <t>Расходомер Питерфлоу PC 50-36-А-М</t>
  </si>
  <si>
    <t>Расходомер Питерфлоу PC 50-72-А-М</t>
  </si>
  <si>
    <t>Расходомер Питерфлоу РС 80-90-А-Ф</t>
  </si>
  <si>
    <t>Расходомер Питерфлоу РС 65-60-А-Ф</t>
  </si>
  <si>
    <t>Расходомер Питерфлоу РС 100-140-А-Ф</t>
  </si>
  <si>
    <t>Расходомер Питерфлоу РС 100-280-А-Ф</t>
  </si>
  <si>
    <t>Расходомер Питерфлоу PC 150-630-А-Ф</t>
  </si>
  <si>
    <t>Пр-тель</t>
  </si>
  <si>
    <t>Расходомер Взлет ЭРСВ-хх0Л В, DN20</t>
  </si>
  <si>
    <t>Расходомер Взлет ЭРСВ-хх0Л В, DN25</t>
  </si>
  <si>
    <t>Расходомер Взлет ЭРСВ-хх0Л В, DN32</t>
  </si>
  <si>
    <t>Расходомер Взлет ЭРСВ-хх0Л В, DN40</t>
  </si>
  <si>
    <t>Расходомер Взлет ЭРСВ-хх0Л В, DN50</t>
  </si>
  <si>
    <t>Расходомер Взлет ЭРСВ-хх0Л В, DN65</t>
  </si>
  <si>
    <t>Расходомер Взлет ЭРСВ-хх0Л В, DN80</t>
  </si>
  <si>
    <t>Расходомер Взлет ЭРСВ-хх0Л В, DN100</t>
  </si>
  <si>
    <t>Расходомер Взлет ЭРСВ-хх0Л В, DN150</t>
  </si>
  <si>
    <t>Расходомер Взлет ЭРСВ-хх0Ф В, DN20</t>
  </si>
  <si>
    <t>Расходомер Взлет ЭРСВ-хх0Ф В, DN25</t>
  </si>
  <si>
    <t>Расходомер Взлет ЭРСВ-хх0Ф В, DN32</t>
  </si>
  <si>
    <t>Расходомер Взлет ЭРСВ-хх0Ф В, DN40</t>
  </si>
  <si>
    <t>Расходомер Взлет ЭРСВ-хх0Ф В, DN50</t>
  </si>
  <si>
    <t>Расходомер Взлет ЭРСВ-хх0Ф В, DN65</t>
  </si>
  <si>
    <t>Расходомер Взлет ЭРСВ-хх0Ф В, DN80</t>
  </si>
  <si>
    <t>Расходомер Взлет ЭРСВ-хх0Ф В, DN100</t>
  </si>
  <si>
    <t>Расходомер Взлет ЭРСВ-хх0Ф В, DN150</t>
  </si>
  <si>
    <t>Прэм</t>
  </si>
  <si>
    <t>Расходомер ПРЭМ 20 ГС класс B1</t>
  </si>
  <si>
    <t>Расходомер ПРЭМ 32 ГС класс B1</t>
  </si>
  <si>
    <t>Расходомер ПРЭМ 50 ГС класс B1</t>
  </si>
  <si>
    <t>Расходомер ПРЭМ 80 ГС класс B1</t>
  </si>
  <si>
    <t>Расходомер ПРЭМ 100 ГС класс B1</t>
  </si>
  <si>
    <t>Расходомер ПРЭМ 20 ГФ класс B1</t>
  </si>
  <si>
    <t>Расходомер ПРЭМ 32 ГФ класс B1</t>
  </si>
  <si>
    <t>Расходомер ПРЭМ 50 ГФ класс B1</t>
  </si>
  <si>
    <t>Расходомер ПРЭМ 80 ГФ класс B1</t>
  </si>
  <si>
    <t>Расходомер ПРЭМ 40 ГФ класс B1</t>
  </si>
  <si>
    <t>Расходомер ПРЭМ 65 ГФ класс B1</t>
  </si>
  <si>
    <t>Расходомер ПРЭМ 150 ГФ класс B1</t>
  </si>
  <si>
    <t>Проставка под расходомеры ПРЭМ</t>
  </si>
  <si>
    <t>ВИСТ</t>
  </si>
  <si>
    <t>Длина участка присоединительного до расходомера</t>
  </si>
  <si>
    <t>Длина участка присоединительного после расходомера</t>
  </si>
  <si>
    <t>Данфосс</t>
  </si>
  <si>
    <t>Расходомер Вис.т ПП-15</t>
  </si>
  <si>
    <t>Проставка под расходомеры ВИСТ</t>
  </si>
  <si>
    <t>Расходомер Вис.т ПП-25</t>
  </si>
  <si>
    <t>Расходомер Вис.т ПП-32</t>
  </si>
  <si>
    <t>Расходомер Вис.т ПП-40</t>
  </si>
  <si>
    <t>Расходомер Вис.т ПП-50</t>
  </si>
  <si>
    <t>Расходомер Вис.т ПП-80</t>
  </si>
  <si>
    <t>Расходомер Вис.т ПП-100</t>
  </si>
  <si>
    <t>Расходомер Вис.т ПП-150</t>
  </si>
  <si>
    <t>Расходомер Вис.т ПП-200</t>
  </si>
  <si>
    <t>Расходомеры Питерфлоу</t>
  </si>
  <si>
    <t>Тип</t>
  </si>
  <si>
    <t>Длина</t>
  </si>
  <si>
    <t>Qmin</t>
  </si>
  <si>
    <t>Qmax</t>
  </si>
  <si>
    <t>1 этап. Проверка по расходу</t>
  </si>
  <si>
    <t>2 этап. Поиск потерь на участке, подбор по допустимым потерям</t>
  </si>
  <si>
    <t>ДУ1</t>
  </si>
  <si>
    <t>Кол-во вариантов</t>
  </si>
  <si>
    <t>Тип РС</t>
  </si>
  <si>
    <t>Переход</t>
  </si>
  <si>
    <t>ДУ0</t>
  </si>
  <si>
    <t>Lпр.уч*</t>
  </si>
  <si>
    <t>PC20-6</t>
  </si>
  <si>
    <t>PC20-12</t>
  </si>
  <si>
    <t>20-20</t>
  </si>
  <si>
    <t>20-25</t>
  </si>
  <si>
    <t>PC25-9</t>
  </si>
  <si>
    <t>25-25</t>
  </si>
  <si>
    <t>PC25-18</t>
  </si>
  <si>
    <t>20-32</t>
  </si>
  <si>
    <t>25-32</t>
  </si>
  <si>
    <t>PC32-15</t>
  </si>
  <si>
    <t>PC32-30</t>
  </si>
  <si>
    <t>32-32</t>
  </si>
  <si>
    <t>20-40</t>
  </si>
  <si>
    <t>25-40</t>
  </si>
  <si>
    <t>32-40</t>
  </si>
  <si>
    <t>PC40-22</t>
  </si>
  <si>
    <t>PC40-45</t>
  </si>
  <si>
    <t>40-40</t>
  </si>
  <si>
    <t>20-50</t>
  </si>
  <si>
    <t>25-50</t>
  </si>
  <si>
    <t>32-50</t>
  </si>
  <si>
    <t>40-50</t>
  </si>
  <si>
    <t>PC50-36</t>
  </si>
  <si>
    <t>PC50-72</t>
  </si>
  <si>
    <t>50-50</t>
  </si>
  <si>
    <t>25-65</t>
  </si>
  <si>
    <t>32-65</t>
  </si>
  <si>
    <t>40-65</t>
  </si>
  <si>
    <t>50-65</t>
  </si>
  <si>
    <t>PC65-60</t>
  </si>
  <si>
    <t>32-80</t>
  </si>
  <si>
    <t>40-80</t>
  </si>
  <si>
    <t>50-80</t>
  </si>
  <si>
    <t>PC80-90</t>
  </si>
  <si>
    <t>40-100</t>
  </si>
  <si>
    <t>50-100</t>
  </si>
  <si>
    <t>PC100-140</t>
  </si>
  <si>
    <t>PC100-280</t>
  </si>
  <si>
    <t>100-100</t>
  </si>
  <si>
    <t>50-125</t>
  </si>
  <si>
    <t>100-125</t>
  </si>
  <si>
    <t>100-150</t>
  </si>
  <si>
    <t>PC150-630</t>
  </si>
  <si>
    <t>150-150</t>
  </si>
  <si>
    <t>100-200</t>
  </si>
  <si>
    <t>150-200</t>
  </si>
  <si>
    <t>100-250</t>
  </si>
  <si>
    <t>150-250</t>
  </si>
  <si>
    <t>150-300</t>
  </si>
  <si>
    <t>150-350</t>
  </si>
  <si>
    <t>65-65</t>
  </si>
  <si>
    <t>65-80</t>
  </si>
  <si>
    <t>80-80</t>
  </si>
  <si>
    <t>65-100</t>
  </si>
  <si>
    <t>80-100</t>
  </si>
  <si>
    <t>65-125</t>
  </si>
  <si>
    <t>80-125</t>
  </si>
  <si>
    <t>65-150</t>
  </si>
  <si>
    <t>80-150</t>
  </si>
  <si>
    <t>80-200</t>
  </si>
  <si>
    <t>Значение потерь на прямом участке</t>
  </si>
  <si>
    <t>Значение потерь на сужении</t>
  </si>
  <si>
    <t>Значение потерь на расширении</t>
  </si>
  <si>
    <t>Суммарные потери</t>
  </si>
  <si>
    <t>V = 0.00000178/(1 + 0.337*t + 0.000221*t2), м2/с</t>
  </si>
  <si>
    <t>Температура подачи</t>
  </si>
  <si>
    <t>Температура обратки</t>
  </si>
  <si>
    <t>Кинем вязкость</t>
  </si>
  <si>
    <r>
      <t>Re = d*v/</t>
    </r>
    <r>
      <rPr>
        <b/>
        <sz val="18"/>
        <color theme="1"/>
        <rFont val="Symbol"/>
        <family val="1"/>
        <charset val="2"/>
      </rPr>
      <t>n</t>
    </r>
    <r>
      <rPr>
        <sz val="16"/>
        <color theme="1"/>
        <rFont val="Times New Roman"/>
        <family val="1"/>
        <charset val="204"/>
      </rPr>
      <t xml:space="preserve"> - число Рейнольдса;</t>
    </r>
  </si>
  <si>
    <t>Коэф шерех(ke)</t>
  </si>
  <si>
    <t>Общая длина прямого участка</t>
  </si>
  <si>
    <r>
      <t>x</t>
    </r>
    <r>
      <rPr>
        <b/>
        <vertAlign val="subscript"/>
        <sz val="18"/>
        <color theme="1"/>
        <rFont val="Times New Roman"/>
        <family val="1"/>
        <charset val="204"/>
      </rPr>
      <t>расш</t>
    </r>
    <r>
      <rPr>
        <b/>
        <sz val="18"/>
        <color theme="1"/>
        <rFont val="Times New Roman"/>
        <family val="1"/>
        <charset val="204"/>
      </rPr>
      <t xml:space="preserve"> = 3.2 *(tg</t>
    </r>
    <r>
      <rPr>
        <b/>
        <sz val="18"/>
        <color theme="1"/>
        <rFont val="Symbol"/>
        <family val="1"/>
        <charset val="2"/>
      </rPr>
      <t>a</t>
    </r>
    <r>
      <rPr>
        <b/>
        <sz val="18"/>
        <color theme="1"/>
        <rFont val="Times New Roman"/>
        <family val="1"/>
        <charset val="204"/>
      </rPr>
      <t>/2)</t>
    </r>
    <r>
      <rPr>
        <b/>
        <vertAlign val="superscript"/>
        <sz val="18"/>
        <color theme="1"/>
        <rFont val="Times New Roman"/>
        <family val="1"/>
        <charset val="204"/>
      </rPr>
      <t>5/4</t>
    </r>
    <r>
      <rPr>
        <b/>
        <sz val="18"/>
        <color theme="1"/>
        <rFont val="Times New Roman"/>
        <family val="1"/>
        <charset val="204"/>
      </rPr>
      <t>(1-1/n</t>
    </r>
    <r>
      <rPr>
        <b/>
        <vertAlign val="subscript"/>
        <sz val="18"/>
        <color theme="1"/>
        <rFont val="Times New Roman"/>
        <family val="1"/>
        <charset val="204"/>
      </rPr>
      <t>1</t>
    </r>
    <r>
      <rPr>
        <b/>
        <sz val="18"/>
        <color theme="1"/>
        <rFont val="Times New Roman"/>
        <family val="1"/>
        <charset val="204"/>
      </rPr>
      <t>)</t>
    </r>
    <r>
      <rPr>
        <b/>
        <vertAlign val="superscript"/>
        <sz val="18"/>
        <color theme="1"/>
        <rFont val="Times New Roman"/>
        <family val="1"/>
        <charset val="204"/>
      </rPr>
      <t xml:space="preserve">2 </t>
    </r>
  </si>
  <si>
    <t>L1</t>
  </si>
  <si>
    <t>L3</t>
  </si>
  <si>
    <t>ДУ2</t>
  </si>
  <si>
    <t>Число Рейнольдса Reпрям1</t>
  </si>
  <si>
    <t>м3/ч</t>
  </si>
  <si>
    <t>Объемый расход</t>
  </si>
  <si>
    <t>Коэффициент сопротивления сужения</t>
  </si>
  <si>
    <r>
      <t xml:space="preserve">a1, </t>
    </r>
    <r>
      <rPr>
        <b/>
        <sz val="12"/>
        <color indexed="10"/>
        <rFont val="Minion Pro"/>
        <family val="1"/>
      </rPr>
      <t>°</t>
    </r>
  </si>
  <si>
    <r>
      <t xml:space="preserve">a2, </t>
    </r>
    <r>
      <rPr>
        <b/>
        <sz val="12"/>
        <color indexed="10"/>
        <rFont val="Minion Pro"/>
        <family val="1"/>
      </rPr>
      <t>°</t>
    </r>
  </si>
  <si>
    <t>м2/с</t>
  </si>
  <si>
    <t>Число Рейнольдса Reсуж</t>
  </si>
  <si>
    <t>Число Рейнольдса Reрасш</t>
  </si>
  <si>
    <t>Коэффициент трения сужения</t>
  </si>
  <si>
    <t>Коэффициент трения расширения</t>
  </si>
  <si>
    <t>Коэффициент трения прямой участок</t>
  </si>
  <si>
    <t>Коэффициент сопротивления расширения</t>
  </si>
  <si>
    <t>Скорость потока в расходомере, м/с</t>
  </si>
  <si>
    <r>
      <t>l</t>
    </r>
    <r>
      <rPr>
        <b/>
        <sz val="18"/>
        <color theme="1"/>
        <rFont val="Times New Roman"/>
        <family val="1"/>
        <charset val="204"/>
      </rPr>
      <t xml:space="preserve"> = 0.11*(68/Re+k</t>
    </r>
    <r>
      <rPr>
        <b/>
        <vertAlign val="subscript"/>
        <sz val="18"/>
        <color theme="1"/>
        <rFont val="Times New Roman"/>
        <family val="1"/>
        <charset val="204"/>
      </rPr>
      <t>e</t>
    </r>
    <r>
      <rPr>
        <b/>
        <sz val="18"/>
        <color theme="1"/>
        <rFont val="Times New Roman"/>
        <family val="1"/>
        <charset val="204"/>
      </rPr>
      <t>/d)</t>
    </r>
    <r>
      <rPr>
        <b/>
        <vertAlign val="superscript"/>
        <sz val="18"/>
        <color theme="1"/>
        <rFont val="Times New Roman"/>
        <family val="1"/>
        <charset val="204"/>
      </rPr>
      <t>0.25</t>
    </r>
  </si>
  <si>
    <r>
      <t>ξ</t>
    </r>
    <r>
      <rPr>
        <b/>
        <vertAlign val="subscript"/>
        <sz val="18"/>
        <color theme="1"/>
        <rFont val="Minion Pro"/>
        <family val="1"/>
      </rPr>
      <t>суж</t>
    </r>
    <r>
      <rPr>
        <b/>
        <sz val="18"/>
        <color theme="1"/>
        <rFont val="Minion Pro"/>
        <family val="1"/>
      </rPr>
      <t>=[–0,0125*n</t>
    </r>
    <r>
      <rPr>
        <b/>
        <vertAlign val="subscript"/>
        <sz val="18"/>
        <color theme="1"/>
        <rFont val="Minion Pro"/>
        <family val="1"/>
      </rPr>
      <t>1</t>
    </r>
    <r>
      <rPr>
        <b/>
        <vertAlign val="superscript"/>
        <sz val="18"/>
        <color theme="1"/>
        <rFont val="Minion Pro"/>
        <family val="1"/>
      </rPr>
      <t>4</t>
    </r>
    <r>
      <rPr>
        <b/>
        <sz val="18"/>
        <color theme="1"/>
        <rFont val="Minion Pro"/>
        <family val="1"/>
      </rPr>
      <t>+0,0224*n</t>
    </r>
    <r>
      <rPr>
        <b/>
        <vertAlign val="subscript"/>
        <sz val="18"/>
        <color theme="1"/>
        <rFont val="Minion Pro"/>
        <family val="1"/>
      </rPr>
      <t>1</t>
    </r>
    <r>
      <rPr>
        <b/>
        <vertAlign val="superscript"/>
        <sz val="18"/>
        <color theme="1"/>
        <rFont val="Minion Pro"/>
        <family val="1"/>
      </rPr>
      <t>3</t>
    </r>
    <r>
      <rPr>
        <b/>
        <sz val="18"/>
        <color theme="1"/>
        <rFont val="Minion Pro"/>
        <family val="1"/>
      </rPr>
      <t>–0,00723*n</t>
    </r>
    <r>
      <rPr>
        <b/>
        <vertAlign val="subscript"/>
        <sz val="18"/>
        <color theme="1"/>
        <rFont val="Minion Pro"/>
        <family val="1"/>
      </rPr>
      <t>1</t>
    </r>
    <r>
      <rPr>
        <b/>
        <vertAlign val="superscript"/>
        <sz val="18"/>
        <color theme="1"/>
        <rFont val="Minion Pro"/>
        <family val="1"/>
      </rPr>
      <t>2</t>
    </r>
    <r>
      <rPr>
        <b/>
        <sz val="18"/>
        <color theme="1"/>
        <rFont val="Minion Pro"/>
        <family val="1"/>
      </rPr>
      <t>+0,00444*n</t>
    </r>
    <r>
      <rPr>
        <b/>
        <vertAlign val="subscript"/>
        <sz val="18"/>
        <color theme="1"/>
        <rFont val="Minion Pro"/>
        <family val="1"/>
      </rPr>
      <t>1</t>
    </r>
    <r>
      <rPr>
        <b/>
        <vertAlign val="superscript"/>
        <sz val="18"/>
        <color theme="1"/>
        <rFont val="Minion Pro"/>
        <family val="1"/>
      </rPr>
      <t>2</t>
    </r>
    <r>
      <rPr>
        <b/>
        <sz val="18"/>
        <color theme="1"/>
        <rFont val="Minion Pro"/>
        <family val="1"/>
      </rPr>
      <t>-0,00745][(0,01745α)</t>
    </r>
    <r>
      <rPr>
        <b/>
        <vertAlign val="superscript"/>
        <sz val="18"/>
        <color theme="1"/>
        <rFont val="Minion Pro"/>
        <family val="1"/>
      </rPr>
      <t>3</t>
    </r>
    <r>
      <rPr>
        <b/>
        <sz val="18"/>
        <color theme="1"/>
        <rFont val="Minion Pro"/>
        <family val="1"/>
      </rPr>
      <t>–2π*(0,01745α)</t>
    </r>
    <r>
      <rPr>
        <b/>
        <vertAlign val="superscript"/>
        <sz val="18"/>
        <color theme="1"/>
        <rFont val="Minion Pro"/>
        <family val="1"/>
      </rPr>
      <t>2</t>
    </r>
    <r>
      <rPr>
        <b/>
        <sz val="18"/>
        <color theme="1"/>
        <rFont val="Minion Pro"/>
        <family val="1"/>
      </rPr>
      <t>–10*(0,01745α) ]</t>
    </r>
  </si>
  <si>
    <r>
      <t>x</t>
    </r>
    <r>
      <rPr>
        <b/>
        <vertAlign val="subscript"/>
        <sz val="18"/>
        <color theme="1"/>
        <rFont val="Times New Roman"/>
        <family val="1"/>
        <charset val="204"/>
      </rPr>
      <t>тр</t>
    </r>
    <r>
      <rPr>
        <b/>
        <sz val="18"/>
        <color theme="1"/>
        <rFont val="Times New Roman"/>
        <family val="1"/>
        <charset val="204"/>
      </rPr>
      <t xml:space="preserve"> = </t>
    </r>
    <r>
      <rPr>
        <b/>
        <sz val="18"/>
        <color theme="1"/>
        <rFont val="Symbol"/>
        <family val="1"/>
        <charset val="2"/>
      </rPr>
      <t>l</t>
    </r>
    <r>
      <rPr>
        <b/>
        <sz val="18"/>
        <color theme="1"/>
        <rFont val="Times New Roman"/>
        <family val="1"/>
        <charset val="204"/>
      </rPr>
      <t>/8*sin(</t>
    </r>
    <r>
      <rPr>
        <b/>
        <sz val="18"/>
        <color theme="1"/>
        <rFont val="Symbol"/>
        <family val="1"/>
        <charset val="2"/>
      </rPr>
      <t>a</t>
    </r>
    <r>
      <rPr>
        <b/>
        <sz val="18"/>
        <color theme="1"/>
        <rFont val="Times New Roman"/>
        <family val="1"/>
        <charset val="204"/>
      </rPr>
      <t>/2)*(1-(1/n</t>
    </r>
    <r>
      <rPr>
        <b/>
        <vertAlign val="subscript"/>
        <sz val="18"/>
        <color theme="1"/>
        <rFont val="Times New Roman"/>
        <family val="1"/>
        <charset val="204"/>
      </rPr>
      <t>1</t>
    </r>
    <r>
      <rPr>
        <b/>
        <sz val="18"/>
        <color theme="1"/>
        <rFont val="Times New Roman"/>
        <family val="1"/>
        <charset val="204"/>
      </rPr>
      <t>)</t>
    </r>
    <r>
      <rPr>
        <b/>
        <vertAlign val="superscript"/>
        <sz val="18"/>
        <color theme="1"/>
        <rFont val="Times New Roman"/>
        <family val="1"/>
        <charset val="204"/>
      </rPr>
      <t xml:space="preserve">2 </t>
    </r>
    <r>
      <rPr>
        <b/>
        <sz val="18"/>
        <color theme="1"/>
        <rFont val="Times New Roman"/>
        <family val="1"/>
        <charset val="204"/>
      </rPr>
      <t>)</t>
    </r>
  </si>
  <si>
    <t xml:space="preserve">резьбовое </t>
  </si>
  <si>
    <t xml:space="preserve">фланцевое </t>
  </si>
  <si>
    <t>Sono</t>
  </si>
  <si>
    <t>S</t>
  </si>
  <si>
    <t>L</t>
  </si>
  <si>
    <t>Тип каналов</t>
  </si>
  <si>
    <t>Интерполяционные коэффициенты</t>
  </si>
  <si>
    <t>Потери в расходомере (L-каналах Питерфлоу),  м.в.ст</t>
  </si>
  <si>
    <t>Lрасх</t>
  </si>
  <si>
    <t>L21</t>
  </si>
  <si>
    <t>L22</t>
  </si>
  <si>
    <t>Расходомеры SonoSensor</t>
  </si>
  <si>
    <t xml:space="preserve">Номин. расход, Qp </t>
  </si>
  <si>
    <t>SonoSensor 30 DN15, G3/4, 110 мм Qp 0,6</t>
  </si>
  <si>
    <t>SonoSensor 30 DN15, G3/4, 110 мм Qp 1,5</t>
  </si>
  <si>
    <t>SonoSensor 30 DN20, G1, 130 мм Qp 2,5</t>
  </si>
  <si>
    <t>SonoSensor 30 DN25, G5/4, 260 мм Qp 3,5</t>
  </si>
  <si>
    <t>SonoSensor 30 DN25, G5/4, 260 мм Qp 6</t>
  </si>
  <si>
    <t>SonoSensor 30 DN32, FL 260 мм Qp 6</t>
  </si>
  <si>
    <t>SonoSensor 30 DN40, G2, 300 мм Qp 10</t>
  </si>
  <si>
    <t>SonoSensor 30 DN40, FL 300 мм Qp 10</t>
  </si>
  <si>
    <t>SonoSensor 30 DN50, FL 270 мм Qp 15</t>
  </si>
  <si>
    <t>SonoSensor 30 DN65, FL 300 мм Qp 25</t>
  </si>
  <si>
    <t>SonoSensor 30 DN80, FL 350 мм Qp 40</t>
  </si>
  <si>
    <t>SonoSensor 30 DN100, FL 350 мм Qp 60</t>
  </si>
  <si>
    <t>SonoSensor 30 DN15 Qp 0,6</t>
  </si>
  <si>
    <t>SonoSensor 30 DN15 Qp 1,5</t>
  </si>
  <si>
    <t>SonoSensor 30 DN20 Qp 2,5</t>
  </si>
  <si>
    <t>SonoSensor 30 DN25 Qp 3,5</t>
  </si>
  <si>
    <t>SonoSensor 30 DN25 Qp 6</t>
  </si>
  <si>
    <t>SonoSensor 30 DN40 Qp 10</t>
  </si>
  <si>
    <t>SonoSensor 30 DN32 Qp 3,5</t>
  </si>
  <si>
    <t>SonoSensor 30 DN32 Qp 6</t>
  </si>
  <si>
    <t>SonoSensor 30 DN50 Qp 15</t>
  </si>
  <si>
    <t>SonoSensor 30 DN65 Qp 25</t>
  </si>
  <si>
    <t>SonoSensor 30 DN80 Qp 40</t>
  </si>
  <si>
    <t>SonoSensor 30 DN100 Qp 60</t>
  </si>
  <si>
    <t xml:space="preserve">Резьбовая </t>
  </si>
  <si>
    <t xml:space="preserve">Фланцевая </t>
  </si>
  <si>
    <t>Расходомеры Питефлоу</t>
  </si>
  <si>
    <t>Расходомеры SonoSensor 30</t>
  </si>
  <si>
    <t>SonoSensor 30 DN25, FL 260 мм Qp 3,5</t>
  </si>
  <si>
    <t>Себестоимость</t>
  </si>
  <si>
    <t>Прайсовая стоимость</t>
  </si>
  <si>
    <t>Кодовый номер</t>
  </si>
  <si>
    <t>Кодовый номер в системе Данфосс</t>
  </si>
  <si>
    <t>Расходомер Питерфлоу PC 50-36-А-Ф</t>
  </si>
  <si>
    <t>Расходомер Питерфлоу PC 50-72-А-Ф</t>
  </si>
  <si>
    <t>187F4000</t>
  </si>
  <si>
    <t>187F4001</t>
  </si>
  <si>
    <t>187F4002</t>
  </si>
  <si>
    <t>187F4003</t>
  </si>
  <si>
    <t>187F4004</t>
  </si>
  <si>
    <t>187F4005</t>
  </si>
  <si>
    <t>187F4006</t>
  </si>
  <si>
    <t>187F4007</t>
  </si>
  <si>
    <t>187F4014</t>
  </si>
  <si>
    <t>187F4015</t>
  </si>
  <si>
    <t>187F4019</t>
  </si>
  <si>
    <t>187F4020</t>
  </si>
  <si>
    <t>187F4021</t>
  </si>
  <si>
    <t>Тип подключения</t>
  </si>
  <si>
    <t>Расходомер Питерфлоу РС 40-22-А-Ф1</t>
  </si>
  <si>
    <t>Material</t>
  </si>
  <si>
    <t>Material Number</t>
  </si>
  <si>
    <t>Vendor</t>
  </si>
  <si>
    <t>Vendor Account Number</t>
  </si>
  <si>
    <t>Net Price</t>
  </si>
  <si>
    <t>Crcy</t>
  </si>
  <si>
    <t>Per</t>
  </si>
  <si>
    <t>SonoSensor30/Qp0,6/Qi0,012/DN15/thread</t>
  </si>
  <si>
    <t>1116298</t>
  </si>
  <si>
    <t>AXIOMA LEZ UAB</t>
  </si>
  <si>
    <t>EUR</t>
  </si>
  <si>
    <t>SonoSensor30/Qp1,5/Qi0,015/DN15/thread</t>
  </si>
  <si>
    <t>SonoSensor30/Qp2,5/Qi0,025/DN20/thread</t>
  </si>
  <si>
    <t>SonoSensor30/Qp3,5/Qi0,035/DN25/thread</t>
  </si>
  <si>
    <t>SonoSensor30/Qp3,5/Qi0,035/DN32/FL</t>
  </si>
  <si>
    <t>SonoSensor30/Qp6,0/Qi0,06/DN25/thread</t>
  </si>
  <si>
    <t>SonoSensor30/Qp6,0/Qi0,06/DN32/FL</t>
  </si>
  <si>
    <t>SonoSensor30/Qp10/Qi0,1/DN40/thread</t>
  </si>
  <si>
    <t>SonoSensor30/Qp10/Qi0,1/DN40/FL</t>
  </si>
  <si>
    <t>SonoSensor30/Qp15/Qi0,15/DN50/FL</t>
  </si>
  <si>
    <t>SonoSensor30/Qp25/Qi0,25/DN65/FL</t>
  </si>
  <si>
    <t>SonoSensor30/Qp40/Qi0,4/DN80/FL</t>
  </si>
  <si>
    <t>SonoSensor30/Qp60/Qi0,6/DN100/FL</t>
  </si>
  <si>
    <t>Код материала</t>
  </si>
  <si>
    <t>Описание</t>
  </si>
  <si>
    <t>Группа скидок</t>
  </si>
  <si>
    <t>Кол-во</t>
  </si>
  <si>
    <t>Цена, EUR</t>
  </si>
  <si>
    <t>Скидка</t>
  </si>
  <si>
    <t>Сумма со скидкой, EUR</t>
  </si>
  <si>
    <t>Итого со скидками и надбавками, EUR</t>
  </si>
  <si>
    <t>187F4000P</t>
  </si>
  <si>
    <t>SonoSensor30/Qp0,6/Qi0,012/Ду15/рез+пасп(пр. класс 35)</t>
  </si>
  <si>
    <t>81 RU PL08-HM</t>
  </si>
  <si>
    <t>187F4001P</t>
  </si>
  <si>
    <t>187F4002P</t>
  </si>
  <si>
    <t>SonoSensor30/Qp2,5/Qi0,025/Ду20/рез+пасп(пр. класс 35)</t>
  </si>
  <si>
    <t>187F4003P</t>
  </si>
  <si>
    <t>SonoSensor30/Qp3,5/Qi0,035/Ду25/рез+пасп(пр. класс 35)</t>
  </si>
  <si>
    <t>187F4004P</t>
  </si>
  <si>
    <t>SonoSensor30/Qp3,5/Qi0,035/Ду32/флн+пасп(пр. класс 35)</t>
  </si>
  <si>
    <t>187F4005P</t>
  </si>
  <si>
    <t>SonoSensor30/Qp6,0/Qi0,06/Ду25/рез+пасп(пр. класс 35)</t>
  </si>
  <si>
    <t>187F4006P</t>
  </si>
  <si>
    <t>SonoSensor30/Qp6,0/Qi0,06/Ду32/флн+пасп(пр. класс 35)</t>
  </si>
  <si>
    <t>187F4007P</t>
  </si>
  <si>
    <t>SonoSensor30/Qp10/Qi0,1/Ду40/рез+пасп(пр. класс 35)</t>
  </si>
  <si>
    <t>187F4014P</t>
  </si>
  <si>
    <t>SonoSensor30/Qp10/Qi0,1/Ду40/флн+пасп(пр. класс 35)</t>
  </si>
  <si>
    <t>187F4015P</t>
  </si>
  <si>
    <t>SonoSensor30/Qp15/Qi0,15/Ду50/флн+пасп(пр. класс 35)</t>
  </si>
  <si>
    <t>187F4019P</t>
  </si>
  <si>
    <t>SonoSensor30/Qp25/Qi0,25/Ду65/флн+пасп(пр. класс 35)</t>
  </si>
  <si>
    <t>187F4020P</t>
  </si>
  <si>
    <t>SonoSensor30/Qp40/Qi0,4/Ду80/флн+пасп(пр. класс 35)</t>
  </si>
  <si>
    <t>187F4021P</t>
  </si>
  <si>
    <t>SonoSensor30/Qp60/Qi0,6/Ду100/флн+пасп(пр. класс 35)</t>
  </si>
  <si>
    <t>Расчет гидравлических потерь напора на узлах установки расходомеров</t>
  </si>
  <si>
    <t>Исходные данные</t>
  </si>
  <si>
    <t>Тип конфизора</t>
  </si>
  <si>
    <t>Тип диффузора</t>
  </si>
  <si>
    <t>Расчетные данные</t>
  </si>
  <si>
    <t>Диаметр сужения</t>
  </si>
  <si>
    <t>Ду труб-да перед конфузором</t>
  </si>
  <si>
    <t>Ду труб-да после диффузора</t>
  </si>
  <si>
    <t>Угол раскрытия конфузора</t>
  </si>
  <si>
    <t>Угол раскрытия диффузора</t>
  </si>
  <si>
    <t>Расчет величины потерь</t>
  </si>
  <si>
    <t>Конфузор</t>
  </si>
  <si>
    <t>Коэффициент сопротивления трения</t>
  </si>
  <si>
    <t>Потеря напора на конфузоре</t>
  </si>
  <si>
    <t xml:space="preserve">Прямой участок </t>
  </si>
  <si>
    <t>Потеря напора на прямом участке</t>
  </si>
  <si>
    <t>Диффузор</t>
  </si>
  <si>
    <t>Коэф.сопр. расширения</t>
  </si>
  <si>
    <t>Коэф.сопр. трения</t>
  </si>
  <si>
    <t>Потери напора на диффузоре</t>
  </si>
  <si>
    <t>Суммарная потеря напора</t>
  </si>
  <si>
    <t>Объемный расход, м3/ч</t>
  </si>
  <si>
    <t>Температура, С</t>
  </si>
  <si>
    <t>Рабочее давление, бар</t>
  </si>
  <si>
    <t>Тип расходомера,</t>
  </si>
  <si>
    <t>Экв. шероховатость труб, мм</t>
  </si>
  <si>
    <t>Производитель</t>
  </si>
  <si>
    <t>Термотроник</t>
  </si>
  <si>
    <t>SonoSensor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</si>
</sst>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1"/>
      <color theme="1"/>
      <name val="Minion Pro"/>
      <family val="2"/>
      <charset val="204"/>
    </font>
    <font>
      <b/>
      <sz val="11"/>
      <color theme="1"/>
      <name val="Minion Pro"/>
      <family val="1"/>
    </font>
    <font>
      <sz val="10"/>
      <name val="Arial"/>
      <family val="2"/>
      <charset val="204"/>
    </font>
    <font>
      <b/>
      <sz val="10"/>
      <color indexed="10"/>
      <name val="Arial Cyr"/>
      <charset val="204"/>
    </font>
    <font>
      <b/>
      <sz val="12"/>
      <color indexed="10"/>
      <name val="Symbol"/>
      <family val="1"/>
      <charset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8"/>
      <color theme="1"/>
      <name val="Times New Roman"/>
      <family val="1"/>
      <charset val="204"/>
    </font>
    <font>
      <b/>
      <sz val="18"/>
      <color theme="1"/>
      <name val="Symbol"/>
      <family val="1"/>
      <charset val="2"/>
    </font>
    <font>
      <sz val="16"/>
      <color theme="1"/>
      <name val="Times New Roman"/>
      <family val="1"/>
      <charset val="204"/>
    </font>
    <font>
      <b/>
      <vertAlign val="subscript"/>
      <sz val="18"/>
      <color theme="1"/>
      <name val="Times New Roman"/>
      <family val="1"/>
      <charset val="204"/>
    </font>
    <font>
      <b/>
      <vertAlign val="superscript"/>
      <sz val="18"/>
      <color theme="1"/>
      <name val="Times New Roman"/>
      <family val="1"/>
      <charset val="204"/>
    </font>
    <font>
      <b/>
      <sz val="12"/>
      <color indexed="10"/>
      <name val="Minion Pro"/>
      <family val="1"/>
    </font>
    <font>
      <b/>
      <sz val="18"/>
      <color theme="1"/>
      <name val="Minion Pro"/>
      <family val="1"/>
    </font>
    <font>
      <b/>
      <vertAlign val="subscript"/>
      <sz val="18"/>
      <color theme="1"/>
      <name val="Minion Pro"/>
      <family val="1"/>
    </font>
    <font>
      <b/>
      <vertAlign val="superscript"/>
      <sz val="18"/>
      <color theme="1"/>
      <name val="Minion Pro"/>
      <family val="1"/>
    </font>
    <font>
      <sz val="10"/>
      <color rgb="FF000000"/>
      <name val="Times New Roman"/>
      <family val="1"/>
      <charset val="204"/>
    </font>
    <font>
      <b/>
      <sz val="11"/>
      <color theme="1"/>
      <name val="Minion Pro"/>
      <family val="1"/>
    </font>
    <font>
      <sz val="11"/>
      <color theme="1"/>
      <name val="Minion Pro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Minion Pro"/>
      <family val="2"/>
      <charset val="204"/>
    </font>
    <font>
      <b/>
      <sz val="13"/>
      <color theme="3"/>
      <name val="Minion Pro"/>
      <family val="2"/>
      <charset val="204"/>
    </font>
    <font>
      <b/>
      <sz val="11"/>
      <color theme="3"/>
      <name val="Minion Pro"/>
      <family val="2"/>
      <charset val="204"/>
    </font>
    <font>
      <sz val="11"/>
      <color rgb="FF006100"/>
      <name val="Minion Pro"/>
      <family val="2"/>
      <charset val="204"/>
    </font>
    <font>
      <sz val="11"/>
      <color rgb="FF9C0006"/>
      <name val="Minion Pro"/>
      <family val="2"/>
      <charset val="204"/>
    </font>
    <font>
      <sz val="11"/>
      <color rgb="FF9C5700"/>
      <name val="Minion Pro"/>
      <family val="2"/>
      <charset val="204"/>
    </font>
    <font>
      <sz val="11"/>
      <color rgb="FF3F3F76"/>
      <name val="Minion Pro"/>
      <family val="2"/>
      <charset val="204"/>
    </font>
    <font>
      <b/>
      <sz val="11"/>
      <color rgb="FF3F3F3F"/>
      <name val="Minion Pro"/>
      <family val="2"/>
      <charset val="204"/>
    </font>
    <font>
      <b/>
      <sz val="11"/>
      <color rgb="FFFA7D00"/>
      <name val="Minion Pro"/>
      <family val="2"/>
      <charset val="204"/>
    </font>
    <font>
      <sz val="11"/>
      <color rgb="FFFA7D00"/>
      <name val="Minion Pro"/>
      <family val="2"/>
      <charset val="204"/>
    </font>
    <font>
      <b/>
      <sz val="11"/>
      <color theme="0"/>
      <name val="Minion Pro"/>
      <family val="2"/>
      <charset val="204"/>
    </font>
    <font>
      <sz val="11"/>
      <color rgb="FFFF0000"/>
      <name val="Minion Pro"/>
      <family val="2"/>
      <charset val="204"/>
    </font>
    <font>
      <i/>
      <sz val="11"/>
      <color rgb="FF7F7F7F"/>
      <name val="Minion Pro"/>
      <family val="2"/>
      <charset val="204"/>
    </font>
    <font>
      <b/>
      <sz val="11"/>
      <color theme="1"/>
      <name val="Minion Pro"/>
      <family val="2"/>
      <charset val="204"/>
    </font>
    <font>
      <sz val="11"/>
      <color theme="0"/>
      <name val="Minion Pro"/>
      <family val="2"/>
      <charset val="204"/>
    </font>
    <font>
      <sz val="10"/>
      <name val="Arial"/>
      <charset val="204"/>
    </font>
    <font>
      <b/>
      <sz val="8"/>
      <name val="Arial"/>
      <family val="2"/>
      <charset val="204"/>
    </font>
    <font>
      <b/>
      <sz val="11"/>
      <color theme="1"/>
      <name val="Minion Pro"/>
      <charset val="204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9"/>
        <bgColor indexed="64"/>
      </patternFill>
    </fill>
    <fill>
      <patternFill patternType="solid">
        <fgColor rgb="FFC0C0C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ed">
        <color rgb="FFFF0000"/>
      </left>
      <right style="mediumDashed">
        <color rgb="FFFF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rgb="FFFF0000"/>
      </left>
      <right style="mediumDashed">
        <color rgb="FFFF0000"/>
      </right>
      <top style="thin">
        <color indexed="64"/>
      </top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/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0000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rgb="FFFF0000"/>
      </right>
      <top style="thin">
        <color indexed="64"/>
      </top>
      <bottom/>
      <diagonal/>
    </border>
    <border>
      <left style="thin">
        <color indexed="64"/>
      </left>
      <right style="mediumDashed">
        <color rgb="FFFF0000"/>
      </right>
      <top/>
      <bottom style="thin">
        <color indexed="64"/>
      </bottom>
      <diagonal/>
    </border>
    <border>
      <left style="thin">
        <color indexed="64"/>
      </left>
      <right style="mediumDashed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medium">
        <color rgb="FF002060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 style="thin">
        <color indexed="64"/>
      </top>
      <bottom style="thin">
        <color auto="1"/>
      </bottom>
      <diagonal/>
    </border>
    <border>
      <left style="mediumDashed">
        <color rgb="FFFF0000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/>
      <diagonal/>
    </border>
    <border>
      <left style="thin">
        <color indexed="64"/>
      </left>
      <right/>
      <top style="medium">
        <color rgb="FF0000FF"/>
      </top>
      <bottom/>
      <diagonal/>
    </border>
    <border>
      <left style="mediumDashed">
        <color rgb="FFFF0000"/>
      </left>
      <right/>
      <top style="medium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mediumDashed">
        <color rgb="FFFF0000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/>
    <xf numFmtId="0" fontId="19" fillId="0" borderId="0" applyNumberFormat="0" applyFill="0" applyBorder="0" applyAlignment="0" applyProtection="0"/>
    <xf numFmtId="0" fontId="20" fillId="0" borderId="47" applyNumberFormat="0" applyFill="0" applyAlignment="0" applyProtection="0"/>
    <xf numFmtId="0" fontId="21" fillId="0" borderId="48" applyNumberFormat="0" applyFill="0" applyAlignment="0" applyProtection="0"/>
    <xf numFmtId="0" fontId="22" fillId="0" borderId="49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50" applyNumberFormat="0" applyAlignment="0" applyProtection="0"/>
    <xf numFmtId="0" fontId="27" fillId="8" borderId="51" applyNumberFormat="0" applyAlignment="0" applyProtection="0"/>
    <xf numFmtId="0" fontId="28" fillId="8" borderId="50" applyNumberFormat="0" applyAlignment="0" applyProtection="0"/>
    <xf numFmtId="0" fontId="29" fillId="0" borderId="52" applyNumberFormat="0" applyFill="0" applyAlignment="0" applyProtection="0"/>
    <xf numFmtId="0" fontId="30" fillId="9" borderId="53" applyNumberFormat="0" applyAlignment="0" applyProtection="0"/>
    <xf numFmtId="0" fontId="31" fillId="0" borderId="0" applyNumberFormat="0" applyFill="0" applyBorder="0" applyAlignment="0" applyProtection="0"/>
    <xf numFmtId="0" fontId="18" fillId="10" borderId="54" applyNumberFormat="0" applyFont="0" applyAlignment="0" applyProtection="0"/>
    <xf numFmtId="0" fontId="32" fillId="0" borderId="0" applyNumberFormat="0" applyFill="0" applyBorder="0" applyAlignment="0" applyProtection="0"/>
    <xf numFmtId="0" fontId="33" fillId="0" borderId="55" applyNumberFormat="0" applyFill="0" applyAlignment="0" applyProtection="0"/>
    <xf numFmtId="0" fontId="34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34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34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4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4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4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35" fillId="0" borderId="0"/>
  </cellStyleXfs>
  <cellXfs count="121">
    <xf numFmtId="0" fontId="0" fillId="0" borderId="0" xfId="0"/>
    <xf numFmtId="0" fontId="1" fillId="0" borderId="0" xfId="0" applyFont="1"/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5" fillId="0" borderId="3" xfId="1" applyNumberFormat="1" applyFont="1" applyFill="1" applyBorder="1" applyAlignment="1">
      <alignment horizontal="center" vertical="center"/>
    </xf>
    <xf numFmtId="0" fontId="6" fillId="0" borderId="4" xfId="1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/>
    </xf>
    <xf numFmtId="0" fontId="5" fillId="0" borderId="7" xfId="1" applyNumberFormat="1" applyFont="1" applyFill="1" applyBorder="1" applyAlignment="1">
      <alignment horizontal="center" vertical="center"/>
    </xf>
    <xf numFmtId="0" fontId="5" fillId="0" borderId="8" xfId="1" applyNumberFormat="1" applyFon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/>
    </xf>
    <xf numFmtId="0" fontId="5" fillId="0" borderId="10" xfId="1" applyNumberFormat="1" applyFont="1" applyFill="1" applyBorder="1" applyAlignment="1">
      <alignment horizontal="center" vertical="center"/>
    </xf>
    <xf numFmtId="0" fontId="5" fillId="0" borderId="11" xfId="1" applyNumberFormat="1" applyFont="1" applyFill="1" applyBorder="1" applyAlignment="1">
      <alignment horizontal="center" vertical="center"/>
    </xf>
    <xf numFmtId="0" fontId="5" fillId="0" borderId="12" xfId="1" applyNumberFormat="1" applyFont="1" applyFill="1" applyBorder="1" applyAlignment="1">
      <alignment horizontal="center" vertical="center"/>
    </xf>
    <xf numFmtId="0" fontId="6" fillId="0" borderId="13" xfId="1" applyNumberFormat="1" applyFont="1" applyFill="1" applyBorder="1" applyAlignment="1">
      <alignment horizontal="center" vertical="center"/>
    </xf>
    <xf numFmtId="0" fontId="5" fillId="0" borderId="14" xfId="1" applyNumberFormat="1" applyFont="1" applyFill="1" applyBorder="1" applyAlignment="1">
      <alignment horizontal="center" vertical="center"/>
    </xf>
    <xf numFmtId="0" fontId="5" fillId="0" borderId="16" xfId="1" applyNumberFormat="1" applyFont="1" applyFill="1" applyBorder="1" applyAlignment="1">
      <alignment horizontal="center" vertical="center"/>
    </xf>
    <xf numFmtId="0" fontId="6" fillId="0" borderId="17" xfId="1" applyNumberFormat="1" applyFont="1" applyFill="1" applyBorder="1" applyAlignment="1">
      <alignment horizontal="center" vertical="center"/>
    </xf>
    <xf numFmtId="0" fontId="5" fillId="3" borderId="11" xfId="1" applyNumberFormat="1" applyFont="1" applyFill="1" applyBorder="1" applyAlignment="1">
      <alignment horizontal="center" vertical="center"/>
    </xf>
    <xf numFmtId="0" fontId="5" fillId="3" borderId="10" xfId="1" applyNumberFormat="1" applyFont="1" applyFill="1" applyBorder="1" applyAlignment="1">
      <alignment horizontal="center" vertical="center"/>
    </xf>
    <xf numFmtId="0" fontId="5" fillId="0" borderId="18" xfId="1" applyNumberFormat="1" applyFont="1" applyFill="1" applyBorder="1" applyAlignment="1">
      <alignment horizontal="center" vertical="center"/>
    </xf>
    <xf numFmtId="0" fontId="6" fillId="0" borderId="19" xfId="1" applyNumberFormat="1" applyFont="1" applyFill="1" applyBorder="1" applyAlignment="1">
      <alignment horizontal="center" vertical="center"/>
    </xf>
    <xf numFmtId="0" fontId="2" fillId="0" borderId="0" xfId="1"/>
    <xf numFmtId="0" fontId="5" fillId="0" borderId="10" xfId="1" applyNumberFormat="1" applyFont="1" applyFill="1" applyBorder="1" applyAlignment="1" applyProtection="1">
      <alignment horizontal="center" vertical="top" wrapText="1"/>
    </xf>
    <xf numFmtId="0" fontId="6" fillId="0" borderId="0" xfId="1" applyNumberFormat="1" applyFont="1" applyFill="1" applyBorder="1" applyAlignment="1">
      <alignment horizontal="center" vertical="center"/>
    </xf>
    <xf numFmtId="0" fontId="2" fillId="0" borderId="0" xfId="1" applyBorder="1"/>
    <xf numFmtId="0" fontId="2" fillId="0" borderId="12" xfId="1" applyBorder="1"/>
    <xf numFmtId="0" fontId="5" fillId="0" borderId="20" xfId="1" applyNumberFormat="1" applyFont="1" applyFill="1" applyBorder="1" applyAlignment="1">
      <alignment horizontal="center" vertical="center"/>
    </xf>
    <xf numFmtId="0" fontId="5" fillId="0" borderId="22" xfId="1" applyNumberFormat="1" applyFont="1" applyFill="1" applyBorder="1" applyAlignment="1">
      <alignment horizontal="center" vertical="center"/>
    </xf>
    <xf numFmtId="0" fontId="5" fillId="0" borderId="23" xfId="1" applyNumberFormat="1" applyFont="1" applyFill="1" applyBorder="1" applyAlignment="1">
      <alignment horizontal="center" vertical="center"/>
    </xf>
    <xf numFmtId="0" fontId="5" fillId="0" borderId="24" xfId="1" applyNumberFormat="1" applyFont="1" applyFill="1" applyBorder="1" applyAlignment="1">
      <alignment horizontal="center" vertical="center"/>
    </xf>
    <xf numFmtId="0" fontId="5" fillId="0" borderId="25" xfId="1" applyNumberFormat="1" applyFont="1" applyFill="1" applyBorder="1" applyAlignment="1">
      <alignment horizontal="center" vertical="center"/>
    </xf>
    <xf numFmtId="0" fontId="2" fillId="0" borderId="26" xfId="1" applyFill="1" applyBorder="1" applyAlignment="1">
      <alignment horizontal="center" vertical="center"/>
    </xf>
    <xf numFmtId="0" fontId="2" fillId="0" borderId="15" xfId="1" applyFill="1" applyBorder="1" applyAlignment="1">
      <alignment horizontal="center" vertical="center"/>
    </xf>
    <xf numFmtId="0" fontId="2" fillId="3" borderId="15" xfId="1" applyFill="1" applyBorder="1" applyAlignment="1">
      <alignment horizontal="center" vertical="center"/>
    </xf>
    <xf numFmtId="0" fontId="2" fillId="0" borderId="21" xfId="1" applyFill="1" applyBorder="1" applyAlignment="1">
      <alignment horizontal="center" vertical="center"/>
    </xf>
    <xf numFmtId="0" fontId="2" fillId="0" borderId="27" xfId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 wrapText="1"/>
    </xf>
    <xf numFmtId="0" fontId="0" fillId="0" borderId="11" xfId="0" applyBorder="1"/>
    <xf numFmtId="0" fontId="2" fillId="0" borderId="28" xfId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5" fillId="0" borderId="26" xfId="1" applyNumberFormat="1" applyFont="1" applyFill="1" applyBorder="1" applyAlignment="1">
      <alignment horizontal="center" vertical="center"/>
    </xf>
    <xf numFmtId="0" fontId="5" fillId="0" borderId="15" xfId="1" applyNumberFormat="1" applyFont="1" applyFill="1" applyBorder="1" applyAlignment="1">
      <alignment horizontal="center" vertical="center"/>
    </xf>
    <xf numFmtId="0" fontId="5" fillId="3" borderId="15" xfId="1" applyNumberFormat="1" applyFont="1" applyFill="1" applyBorder="1" applyAlignment="1">
      <alignment horizontal="center" vertical="center"/>
    </xf>
    <xf numFmtId="0" fontId="5" fillId="0" borderId="27" xfId="1" applyNumberFormat="1" applyFont="1" applyFill="1" applyBorder="1" applyAlignment="1">
      <alignment horizontal="center" vertical="center"/>
    </xf>
    <xf numFmtId="0" fontId="5" fillId="0" borderId="29" xfId="1" applyNumberFormat="1" applyFont="1" applyFill="1" applyBorder="1" applyAlignment="1">
      <alignment horizontal="center" vertical="center"/>
    </xf>
    <xf numFmtId="0" fontId="5" fillId="0" borderId="30" xfId="1" applyNumberFormat="1" applyFont="1" applyFill="1" applyBorder="1" applyAlignment="1">
      <alignment horizontal="center" vertical="center"/>
    </xf>
    <xf numFmtId="0" fontId="5" fillId="0" borderId="31" xfId="1" applyNumberFormat="1" applyFont="1" applyFill="1" applyBorder="1" applyAlignment="1">
      <alignment horizontal="center" vertical="center"/>
    </xf>
    <xf numFmtId="0" fontId="5" fillId="3" borderId="30" xfId="1" applyNumberFormat="1" applyFont="1" applyFill="1" applyBorder="1" applyAlignment="1">
      <alignment horizontal="center" vertical="center"/>
    </xf>
    <xf numFmtId="0" fontId="5" fillId="3" borderId="15" xfId="1" applyFont="1" applyFill="1" applyBorder="1" applyAlignment="1">
      <alignment horizontal="center" vertical="center"/>
    </xf>
    <xf numFmtId="0" fontId="2" fillId="3" borderId="28" xfId="1" applyFill="1" applyBorder="1" applyAlignment="1">
      <alignment horizontal="center" vertical="center"/>
    </xf>
    <xf numFmtId="0" fontId="0" fillId="3" borderId="11" xfId="0" applyFill="1" applyBorder="1"/>
    <xf numFmtId="0" fontId="13" fillId="0" borderId="0" xfId="0" applyFont="1"/>
    <xf numFmtId="0" fontId="2" fillId="0" borderId="11" xfId="1" applyBorder="1" applyAlignment="1">
      <alignment horizontal="center" vertical="center"/>
    </xf>
    <xf numFmtId="0" fontId="17" fillId="0" borderId="0" xfId="0" applyFont="1"/>
    <xf numFmtId="0" fontId="5" fillId="0" borderId="28" xfId="1" applyNumberFormat="1" applyFont="1" applyFill="1" applyBorder="1" applyAlignment="1">
      <alignment horizontal="center" vertical="center"/>
    </xf>
    <xf numFmtId="0" fontId="2" fillId="0" borderId="10" xfId="1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5" fillId="0" borderId="33" xfId="1" applyNumberFormat="1" applyFont="1" applyFill="1" applyBorder="1" applyAlignment="1">
      <alignment horizontal="center" vertical="center"/>
    </xf>
    <xf numFmtId="0" fontId="5" fillId="0" borderId="35" xfId="1" applyNumberFormat="1" applyFont="1" applyFill="1" applyBorder="1" applyAlignment="1">
      <alignment horizontal="center" vertical="center"/>
    </xf>
    <xf numFmtId="0" fontId="3" fillId="2" borderId="36" xfId="1" applyFont="1" applyFill="1" applyBorder="1" applyAlignment="1">
      <alignment horizontal="center" vertical="center" wrapText="1"/>
    </xf>
    <xf numFmtId="0" fontId="5" fillId="0" borderId="37" xfId="1" applyNumberFormat="1" applyFont="1" applyFill="1" applyBorder="1" applyAlignment="1">
      <alignment horizontal="center" vertical="center"/>
    </xf>
    <xf numFmtId="0" fontId="5" fillId="0" borderId="38" xfId="1" applyNumberFormat="1" applyFont="1" applyFill="1" applyBorder="1" applyAlignment="1">
      <alignment horizontal="center" vertical="center"/>
    </xf>
    <xf numFmtId="0" fontId="6" fillId="0" borderId="39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5" fillId="0" borderId="40" xfId="1" applyNumberFormat="1" applyFont="1" applyFill="1" applyBorder="1" applyAlignment="1">
      <alignment horizontal="center" vertical="center"/>
    </xf>
    <xf numFmtId="0" fontId="5" fillId="0" borderId="41" xfId="1" applyNumberFormat="1" applyFont="1" applyFill="1" applyBorder="1" applyAlignment="1">
      <alignment horizontal="center" vertical="center"/>
    </xf>
    <xf numFmtId="0" fontId="5" fillId="0" borderId="42" xfId="1" applyNumberFormat="1" applyFont="1" applyFill="1" applyBorder="1" applyAlignment="1">
      <alignment horizontal="center" vertical="center"/>
    </xf>
    <xf numFmtId="0" fontId="2" fillId="0" borderId="42" xfId="1" applyFill="1" applyBorder="1" applyAlignment="1">
      <alignment horizontal="center" vertical="center"/>
    </xf>
    <xf numFmtId="0" fontId="2" fillId="0" borderId="11" xfId="1" applyFill="1" applyBorder="1" applyAlignment="1">
      <alignment horizontal="center" vertical="center"/>
    </xf>
    <xf numFmtId="0" fontId="5" fillId="0" borderId="17" xfId="1" applyNumberFormat="1" applyFont="1" applyFill="1" applyBorder="1" applyAlignment="1">
      <alignment horizontal="center" vertical="center"/>
    </xf>
    <xf numFmtId="0" fontId="2" fillId="0" borderId="28" xfId="1" applyNumberFormat="1" applyFont="1" applyFill="1" applyBorder="1" applyAlignment="1">
      <alignment horizontal="center" vertical="center"/>
    </xf>
    <xf numFmtId="0" fontId="2" fillId="0" borderId="11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7" xfId="1" applyNumberFormat="1" applyFont="1" applyFill="1" applyBorder="1" applyAlignment="1">
      <alignment horizontal="center" vertical="center"/>
    </xf>
    <xf numFmtId="0" fontId="2" fillId="3" borderId="11" xfId="1" applyNumberFormat="1" applyFont="1" applyFill="1" applyBorder="1" applyAlignment="1">
      <alignment horizontal="center" vertical="center"/>
    </xf>
    <xf numFmtId="0" fontId="2" fillId="0" borderId="20" xfId="1" applyNumberFormat="1" applyFont="1" applyFill="1" applyBorder="1" applyAlignment="1">
      <alignment horizontal="center" vertical="center"/>
    </xf>
    <xf numFmtId="0" fontId="2" fillId="0" borderId="25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5" fillId="0" borderId="19" xfId="1" applyNumberFormat="1" applyFont="1" applyFill="1" applyBorder="1" applyAlignment="1">
      <alignment horizontal="center" vertical="center"/>
    </xf>
    <xf numFmtId="0" fontId="6" fillId="0" borderId="43" xfId="1" applyNumberFormat="1" applyFont="1" applyFill="1" applyBorder="1" applyAlignment="1">
      <alignment horizontal="center" vertical="center"/>
    </xf>
    <xf numFmtId="0" fontId="6" fillId="0" borderId="44" xfId="1" applyNumberFormat="1" applyFont="1" applyFill="1" applyBorder="1" applyAlignment="1">
      <alignment horizontal="center" vertical="center"/>
    </xf>
    <xf numFmtId="0" fontId="6" fillId="0" borderId="45" xfId="1" applyNumberFormat="1" applyFont="1" applyFill="1" applyBorder="1" applyAlignment="1">
      <alignment horizontal="center" vertical="center"/>
    </xf>
    <xf numFmtId="0" fontId="6" fillId="0" borderId="40" xfId="1" applyNumberFormat="1" applyFont="1" applyFill="1" applyBorder="1" applyAlignment="1">
      <alignment horizontal="center" vertical="center"/>
    </xf>
    <xf numFmtId="0" fontId="2" fillId="0" borderId="40" xfId="1" applyBorder="1"/>
    <xf numFmtId="0" fontId="6" fillId="0" borderId="46" xfId="1" applyNumberFormat="1" applyFont="1" applyFill="1" applyBorder="1" applyAlignment="1">
      <alignment horizontal="center" vertical="center"/>
    </xf>
    <xf numFmtId="0" fontId="6" fillId="0" borderId="11" xfId="1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4" xfId="0" applyBorder="1"/>
    <xf numFmtId="0" fontId="2" fillId="0" borderId="6" xfId="1" applyNumberFormat="1" applyFont="1" applyFill="1" applyBorder="1" applyAlignment="1">
      <alignment horizontal="center" vertical="center"/>
    </xf>
    <xf numFmtId="0" fontId="0" fillId="35" borderId="0" xfId="0" applyFill="1"/>
    <xf numFmtId="0" fontId="0" fillId="2" borderId="0" xfId="0" applyFill="1" applyAlignment="1">
      <alignment horizontal="left"/>
    </xf>
    <xf numFmtId="49" fontId="0" fillId="2" borderId="0" xfId="0" applyNumberFormat="1" applyFill="1"/>
    <xf numFmtId="4" fontId="0" fillId="0" borderId="0" xfId="0" applyNumberFormat="1"/>
    <xf numFmtId="49" fontId="0" fillId="0" borderId="0" xfId="0" applyNumberFormat="1"/>
    <xf numFmtId="3" fontId="0" fillId="0" borderId="0" xfId="0" applyNumberFormat="1"/>
    <xf numFmtId="0" fontId="35" fillId="0" borderId="0" xfId="43" applyNumberFormat="1"/>
    <xf numFmtId="49" fontId="35" fillId="0" borderId="0" xfId="43" applyNumberFormat="1"/>
    <xf numFmtId="2" fontId="35" fillId="0" borderId="0" xfId="43" applyNumberFormat="1"/>
    <xf numFmtId="49" fontId="36" fillId="36" borderId="0" xfId="43" applyNumberFormat="1" applyFont="1" applyFill="1" applyAlignment="1">
      <alignment horizontal="center" vertical="center"/>
    </xf>
    <xf numFmtId="1" fontId="35" fillId="0" borderId="0" xfId="43" applyNumberFormat="1"/>
    <xf numFmtId="14" fontId="36" fillId="36" borderId="0" xfId="43" applyNumberFormat="1" applyFont="1" applyFill="1" applyAlignment="1">
      <alignment horizontal="left" vertical="center"/>
    </xf>
    <xf numFmtId="49" fontId="36" fillId="36" borderId="0" xfId="43" applyNumberFormat="1" applyFont="1" applyFill="1" applyAlignment="1">
      <alignment horizontal="left" vertical="center"/>
    </xf>
    <xf numFmtId="14" fontId="36" fillId="36" borderId="0" xfId="43" applyNumberFormat="1" applyFont="1" applyFill="1" applyAlignment="1">
      <alignment horizontal="center" vertical="center"/>
    </xf>
    <xf numFmtId="2" fontId="36" fillId="36" borderId="0" xfId="43" applyNumberFormat="1" applyFont="1" applyFill="1" applyAlignment="1">
      <alignment horizontal="left" vertical="center" wrapText="1"/>
    </xf>
    <xf numFmtId="164" fontId="35" fillId="0" borderId="0" xfId="43" applyNumberFormat="1"/>
    <xf numFmtId="0" fontId="37" fillId="0" borderId="0" xfId="0" applyFont="1"/>
    <xf numFmtId="0" fontId="1" fillId="0" borderId="0" xfId="0" applyFont="1" applyAlignment="1">
      <alignment horizontal="left"/>
    </xf>
    <xf numFmtId="0" fontId="2" fillId="0" borderId="15" xfId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0" xfId="0" applyBorder="1" applyAlignment="1">
      <alignment horizontal="center"/>
    </xf>
    <xf numFmtId="0" fontId="37" fillId="0" borderId="0" xfId="0" applyFont="1" applyAlignment="1">
      <alignment horizontal="left" wrapText="1"/>
    </xf>
    <xf numFmtId="0" fontId="3" fillId="2" borderId="56" xfId="1" applyFont="1" applyFill="1" applyBorder="1" applyAlignment="1">
      <alignment horizontal="center" vertical="center" wrapText="1"/>
    </xf>
  </cellXfs>
  <cellStyles count="44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Normal 2" xfId="43" xr:uid="{00000000-0005-0000-0000-000025000000}"/>
    <cellStyle name="Normal 3" xfId="1" xr:uid="{00000000-0005-0000-0000-000026000000}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5.xml" Id="rId5" /><Relationship Type="http://schemas.openxmlformats.org/officeDocument/2006/relationships/calcChain" Target="calcChain.xml" Id="rId10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Relationship Type="http://schemas.openxmlformats.org/officeDocument/2006/relationships/customXml" Target="../vstoDataStore/item1.xml" Id="R1ed83e4104074d80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28575</xdr:rowOff>
    </xdr:from>
    <xdr:to>
      <xdr:col>18</xdr:col>
      <xdr:colOff>227077</xdr:colOff>
      <xdr:row>8</xdr:row>
      <xdr:rowOff>0</xdr:rowOff>
    </xdr:to>
    <xdr:grpSp>
      <xdr:nvGrpSpPr>
        <xdr:cNvPr id="2" name="Canvas 3">
          <a:extLst>
            <a:ext uri="{FF2B5EF4-FFF2-40B4-BE49-F238E27FC236}">
              <a16:creationId xmlns:a16="http://schemas.microsoft.com/office/drawing/2014/main" id="{675668A9-804D-412A-B5C4-AD96D0388D1B}"/>
            </a:ext>
          </a:extLst>
        </xdr:cNvPr>
        <xdr:cNvGrpSpPr/>
      </xdr:nvGrpSpPr>
      <xdr:grpSpPr>
        <a:xfrm>
          <a:off x="8162925" y="28575"/>
          <a:ext cx="8037577" cy="2352675"/>
          <a:chOff x="0" y="0"/>
          <a:chExt cx="4560952" cy="235267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78479290-A747-4D41-92E7-17BBC7A499E6}"/>
              </a:ext>
            </a:extLst>
          </xdr:cNvPr>
          <xdr:cNvSpPr/>
        </xdr:nvSpPr>
        <xdr:spPr>
          <a:xfrm>
            <a:off x="0" y="0"/>
            <a:ext cx="4543425" cy="2352675"/>
          </a:xfrm>
          <a:prstGeom prst="rect">
            <a:avLst/>
          </a:prstGeom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0E5D2A9-6ACA-4451-B961-47A9F96EA8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80000" y="180000"/>
            <a:ext cx="4380952" cy="2142857"/>
          </a:xfrm>
          <a:prstGeom prst="rect">
            <a:avLst/>
          </a:prstGeom>
        </xdr:spPr>
      </xdr:pic>
      <xdr:sp macro="" textlink="">
        <xdr:nvSpPr>
          <xdr:cNvPr id="5" name="Text Box 5">
            <a:extLst>
              <a:ext uri="{FF2B5EF4-FFF2-40B4-BE49-F238E27FC236}">
                <a16:creationId xmlns:a16="http://schemas.microsoft.com/office/drawing/2014/main" id="{82862D33-A349-4445-ABAF-FAD8067C6333}"/>
              </a:ext>
            </a:extLst>
          </xdr:cNvPr>
          <xdr:cNvSpPr txBox="1"/>
        </xdr:nvSpPr>
        <xdr:spPr>
          <a:xfrm>
            <a:off x="277200" y="352425"/>
            <a:ext cx="44513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ДУ</a:t>
            </a: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Text Box 5">
            <a:extLst>
              <a:ext uri="{FF2B5EF4-FFF2-40B4-BE49-F238E27FC236}">
                <a16:creationId xmlns:a16="http://schemas.microsoft.com/office/drawing/2014/main" id="{08423910-FD2C-4BCA-B9A4-46CB0947C0B6}"/>
              </a:ext>
            </a:extLst>
          </xdr:cNvPr>
          <xdr:cNvSpPr txBox="1"/>
        </xdr:nvSpPr>
        <xdr:spPr>
          <a:xfrm>
            <a:off x="3771900" y="389550"/>
            <a:ext cx="44513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6000"/>
              </a:lnSpc>
              <a:spcAft>
                <a:spcPts val="800"/>
              </a:spcAft>
            </a:pP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ДУ</a:t>
            </a: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C209737B-6399-4C43-8364-A68AB395BB63}"/>
              </a:ext>
            </a:extLst>
          </xdr:cNvPr>
          <xdr:cNvSpPr txBox="1"/>
        </xdr:nvSpPr>
        <xdr:spPr>
          <a:xfrm>
            <a:off x="2019300" y="647700"/>
            <a:ext cx="368300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6000"/>
              </a:lnSpc>
              <a:spcAft>
                <a:spcPts val="800"/>
              </a:spcAft>
            </a:pP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ДУ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" name="Text Box 5">
            <a:extLst>
              <a:ext uri="{FF2B5EF4-FFF2-40B4-BE49-F238E27FC236}">
                <a16:creationId xmlns:a16="http://schemas.microsoft.com/office/drawing/2014/main" id="{A48F65CA-B144-48AD-82FC-DE7B24A33F4D}"/>
              </a:ext>
            </a:extLst>
          </xdr:cNvPr>
          <xdr:cNvSpPr txBox="1"/>
        </xdr:nvSpPr>
        <xdr:spPr>
          <a:xfrm>
            <a:off x="847725" y="1799250"/>
            <a:ext cx="33083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6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L1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" name="Text Box 5">
            <a:extLst>
              <a:ext uri="{FF2B5EF4-FFF2-40B4-BE49-F238E27FC236}">
                <a16:creationId xmlns:a16="http://schemas.microsoft.com/office/drawing/2014/main" id="{4CEECB48-2470-4547-BD88-FF79854D09B6}"/>
              </a:ext>
            </a:extLst>
          </xdr:cNvPr>
          <xdr:cNvSpPr txBox="1"/>
        </xdr:nvSpPr>
        <xdr:spPr>
          <a:xfrm>
            <a:off x="3219450" y="1827825"/>
            <a:ext cx="33083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L3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" name="Text Box 5">
            <a:extLst>
              <a:ext uri="{FF2B5EF4-FFF2-40B4-BE49-F238E27FC236}">
                <a16:creationId xmlns:a16="http://schemas.microsoft.com/office/drawing/2014/main" id="{0625CCA0-5846-4F81-BA4A-78F37E3C59F7}"/>
              </a:ext>
            </a:extLst>
          </xdr:cNvPr>
          <xdr:cNvSpPr txBox="1"/>
        </xdr:nvSpPr>
        <xdr:spPr>
          <a:xfrm>
            <a:off x="1428750" y="1532550"/>
            <a:ext cx="40830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L2</a:t>
            </a: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1" name="Text Box 5">
            <a:extLst>
              <a:ext uri="{FF2B5EF4-FFF2-40B4-BE49-F238E27FC236}">
                <a16:creationId xmlns:a16="http://schemas.microsoft.com/office/drawing/2014/main" id="{EFFD40E2-6615-4826-A0BF-8555A55B382F}"/>
              </a:ext>
            </a:extLst>
          </xdr:cNvPr>
          <xdr:cNvSpPr txBox="1"/>
        </xdr:nvSpPr>
        <xdr:spPr>
          <a:xfrm>
            <a:off x="2667000" y="1532550"/>
            <a:ext cx="40830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L2</a:t>
            </a: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2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2" name="Text Box 5">
            <a:extLst>
              <a:ext uri="{FF2B5EF4-FFF2-40B4-BE49-F238E27FC236}">
                <a16:creationId xmlns:a16="http://schemas.microsoft.com/office/drawing/2014/main" id="{DA9E0EFF-2466-47CE-B5E6-3113FA2E9B0F}"/>
              </a:ext>
            </a:extLst>
          </xdr:cNvPr>
          <xdr:cNvSpPr txBox="1"/>
        </xdr:nvSpPr>
        <xdr:spPr>
          <a:xfrm>
            <a:off x="971550" y="256200"/>
            <a:ext cx="353060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α</a:t>
            </a: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3" name="Text Box 5">
            <a:extLst>
              <a:ext uri="{FF2B5EF4-FFF2-40B4-BE49-F238E27FC236}">
                <a16:creationId xmlns:a16="http://schemas.microsoft.com/office/drawing/2014/main" id="{340C5BFB-A220-47DA-BB55-AC64FB163C3A}"/>
              </a:ext>
            </a:extLst>
          </xdr:cNvPr>
          <xdr:cNvSpPr txBox="1"/>
        </xdr:nvSpPr>
        <xdr:spPr>
          <a:xfrm>
            <a:off x="3248025" y="246675"/>
            <a:ext cx="353060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α</a:t>
            </a: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2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4" name="Text Box 5">
            <a:extLst>
              <a:ext uri="{FF2B5EF4-FFF2-40B4-BE49-F238E27FC236}">
                <a16:creationId xmlns:a16="http://schemas.microsoft.com/office/drawing/2014/main" id="{DC92C00E-B5E4-4B34-960F-557539AFA750}"/>
              </a:ext>
            </a:extLst>
          </xdr:cNvPr>
          <xdr:cNvSpPr txBox="1"/>
        </xdr:nvSpPr>
        <xdr:spPr>
          <a:xfrm>
            <a:off x="1295400" y="199050"/>
            <a:ext cx="368300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6000"/>
              </a:lnSpc>
              <a:spcAft>
                <a:spcPts val="800"/>
              </a:spcAft>
            </a:pP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ДУ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5" name="Text Box 5">
            <a:extLst>
              <a:ext uri="{FF2B5EF4-FFF2-40B4-BE49-F238E27FC236}">
                <a16:creationId xmlns:a16="http://schemas.microsoft.com/office/drawing/2014/main" id="{68B338AA-C136-406C-8F78-B656828EB9E9}"/>
              </a:ext>
            </a:extLst>
          </xdr:cNvPr>
          <xdr:cNvSpPr txBox="1"/>
        </xdr:nvSpPr>
        <xdr:spPr>
          <a:xfrm>
            <a:off x="2705100" y="208575"/>
            <a:ext cx="368300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ДУ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6" name="Text Box 5">
            <a:extLst>
              <a:ext uri="{FF2B5EF4-FFF2-40B4-BE49-F238E27FC236}">
                <a16:creationId xmlns:a16="http://schemas.microsoft.com/office/drawing/2014/main" id="{60165606-3DFB-4F33-BDBC-3EE1ACD5F061}"/>
              </a:ext>
            </a:extLst>
          </xdr:cNvPr>
          <xdr:cNvSpPr txBox="1"/>
        </xdr:nvSpPr>
        <xdr:spPr>
          <a:xfrm>
            <a:off x="1865925" y="1904025"/>
            <a:ext cx="63055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L</a:t>
            </a: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пр.уч.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topLeftCell="A19" workbookViewId="0">
      <selection activeCell="B90" sqref="A87:B90"/>
    </sheetView>
  </sheetViews>
  <sheetFormatPr defaultRowHeight="15.75" x14ac:dyDescent="0.3"/>
  <cols>
    <col min="1" max="1" width="10.42578125" customWidth="1"/>
    <col min="2" max="2" width="62.7109375" bestFit="1" customWidth="1"/>
    <col min="3" max="3" width="14.42578125" bestFit="1" customWidth="1"/>
    <col min="4" max="4" width="21.85546875" bestFit="1" customWidth="1"/>
    <col min="5" max="5" width="16.7109375" bestFit="1" customWidth="1"/>
    <col min="6" max="6" width="51" bestFit="1" customWidth="1"/>
    <col min="7" max="7" width="54.42578125" bestFit="1" customWidth="1"/>
  </cols>
  <sheetData>
    <row r="1" spans="1:8" x14ac:dyDescent="0.3">
      <c r="A1" s="1" t="s">
        <v>30</v>
      </c>
      <c r="B1" s="1" t="s">
        <v>2</v>
      </c>
      <c r="C1" s="1" t="s">
        <v>5</v>
      </c>
      <c r="D1" s="1" t="s">
        <v>15</v>
      </c>
      <c r="E1" s="1" t="s">
        <v>4</v>
      </c>
      <c r="F1" s="1" t="s">
        <v>64</v>
      </c>
      <c r="G1" s="1" t="s">
        <v>65</v>
      </c>
    </row>
    <row r="2" spans="1:8" x14ac:dyDescent="0.3">
      <c r="A2" t="s">
        <v>0</v>
      </c>
      <c r="B2" t="s">
        <v>9</v>
      </c>
      <c r="C2" t="s">
        <v>7</v>
      </c>
      <c r="D2">
        <v>20</v>
      </c>
      <c r="E2">
        <v>111</v>
      </c>
      <c r="F2">
        <f>D2*2</f>
        <v>40</v>
      </c>
      <c r="G2">
        <f>D2*2</f>
        <v>40</v>
      </c>
      <c r="H2">
        <f>SUM(F2+G2)</f>
        <v>80</v>
      </c>
    </row>
    <row r="3" spans="1:8" x14ac:dyDescent="0.3">
      <c r="A3" t="s">
        <v>0</v>
      </c>
      <c r="B3" t="s">
        <v>10</v>
      </c>
      <c r="C3" t="s">
        <v>7</v>
      </c>
      <c r="D3">
        <v>20</v>
      </c>
      <c r="E3">
        <v>111</v>
      </c>
      <c r="F3">
        <f t="shared" ref="F3:F21" si="0">D3*2</f>
        <v>40</v>
      </c>
      <c r="G3">
        <f t="shared" ref="G3:G21" si="1">D3*2</f>
        <v>40</v>
      </c>
      <c r="H3">
        <f t="shared" ref="H3:H21" si="2">SUM(F3+G3)</f>
        <v>80</v>
      </c>
    </row>
    <row r="4" spans="1:8" x14ac:dyDescent="0.3">
      <c r="A4" t="s">
        <v>0</v>
      </c>
      <c r="B4" t="s">
        <v>11</v>
      </c>
      <c r="C4" t="s">
        <v>8</v>
      </c>
      <c r="D4">
        <v>20</v>
      </c>
      <c r="E4">
        <v>140</v>
      </c>
      <c r="F4">
        <f t="shared" si="0"/>
        <v>40</v>
      </c>
      <c r="G4">
        <f t="shared" si="1"/>
        <v>40</v>
      </c>
      <c r="H4">
        <f t="shared" si="2"/>
        <v>80</v>
      </c>
    </row>
    <row r="5" spans="1:8" x14ac:dyDescent="0.3">
      <c r="A5" t="s">
        <v>0</v>
      </c>
      <c r="B5" t="s">
        <v>12</v>
      </c>
      <c r="C5" t="s">
        <v>8</v>
      </c>
      <c r="D5">
        <v>20</v>
      </c>
      <c r="E5">
        <v>140</v>
      </c>
      <c r="F5">
        <f t="shared" si="0"/>
        <v>40</v>
      </c>
      <c r="G5">
        <f t="shared" si="1"/>
        <v>40</v>
      </c>
      <c r="H5">
        <f t="shared" si="2"/>
        <v>80</v>
      </c>
    </row>
    <row r="6" spans="1:8" x14ac:dyDescent="0.3">
      <c r="A6" t="s">
        <v>0</v>
      </c>
      <c r="B6" t="s">
        <v>13</v>
      </c>
      <c r="C6" t="s">
        <v>6</v>
      </c>
      <c r="D6">
        <v>25</v>
      </c>
      <c r="E6">
        <v>200</v>
      </c>
      <c r="F6">
        <f t="shared" si="0"/>
        <v>50</v>
      </c>
      <c r="G6">
        <f t="shared" si="1"/>
        <v>50</v>
      </c>
      <c r="H6">
        <f t="shared" si="2"/>
        <v>100</v>
      </c>
    </row>
    <row r="7" spans="1:8" x14ac:dyDescent="0.3">
      <c r="A7" t="s">
        <v>0</v>
      </c>
      <c r="B7" t="s">
        <v>14</v>
      </c>
      <c r="C7" t="s">
        <v>6</v>
      </c>
      <c r="D7">
        <v>25</v>
      </c>
      <c r="E7">
        <v>200</v>
      </c>
      <c r="F7">
        <f t="shared" si="0"/>
        <v>50</v>
      </c>
      <c r="G7">
        <f t="shared" si="1"/>
        <v>50</v>
      </c>
      <c r="H7">
        <f t="shared" si="2"/>
        <v>100</v>
      </c>
    </row>
    <row r="8" spans="1:8" x14ac:dyDescent="0.3">
      <c r="A8" t="s">
        <v>0</v>
      </c>
      <c r="B8" t="s">
        <v>17</v>
      </c>
      <c r="C8" t="s">
        <v>7</v>
      </c>
      <c r="D8">
        <v>32</v>
      </c>
      <c r="E8">
        <v>128</v>
      </c>
      <c r="F8">
        <f t="shared" si="0"/>
        <v>64</v>
      </c>
      <c r="G8">
        <f t="shared" si="1"/>
        <v>64</v>
      </c>
      <c r="H8">
        <f t="shared" si="2"/>
        <v>128</v>
      </c>
    </row>
    <row r="9" spans="1:8" x14ac:dyDescent="0.3">
      <c r="A9" t="s">
        <v>0</v>
      </c>
      <c r="B9" t="s">
        <v>18</v>
      </c>
      <c r="C9" t="s">
        <v>7</v>
      </c>
      <c r="D9">
        <v>32</v>
      </c>
      <c r="E9">
        <v>128</v>
      </c>
      <c r="F9">
        <f t="shared" si="0"/>
        <v>64</v>
      </c>
      <c r="G9">
        <f t="shared" si="1"/>
        <v>64</v>
      </c>
      <c r="H9">
        <f t="shared" si="2"/>
        <v>128</v>
      </c>
    </row>
    <row r="10" spans="1:8" x14ac:dyDescent="0.3">
      <c r="A10" t="s">
        <v>0</v>
      </c>
      <c r="B10" t="s">
        <v>19</v>
      </c>
      <c r="C10" t="s">
        <v>8</v>
      </c>
      <c r="D10">
        <v>32</v>
      </c>
      <c r="E10">
        <v>170</v>
      </c>
      <c r="F10">
        <f t="shared" si="0"/>
        <v>64</v>
      </c>
      <c r="G10">
        <f t="shared" si="1"/>
        <v>64</v>
      </c>
      <c r="H10">
        <f t="shared" si="2"/>
        <v>128</v>
      </c>
    </row>
    <row r="11" spans="1:8" x14ac:dyDescent="0.3">
      <c r="A11" t="s">
        <v>0</v>
      </c>
      <c r="B11" t="s">
        <v>20</v>
      </c>
      <c r="C11" t="s">
        <v>8</v>
      </c>
      <c r="D11">
        <v>32</v>
      </c>
      <c r="E11">
        <v>170</v>
      </c>
      <c r="F11">
        <f t="shared" si="0"/>
        <v>64</v>
      </c>
      <c r="G11">
        <f t="shared" si="1"/>
        <v>64</v>
      </c>
      <c r="H11">
        <f t="shared" si="2"/>
        <v>128</v>
      </c>
    </row>
    <row r="12" spans="1:8" x14ac:dyDescent="0.3">
      <c r="A12" t="s">
        <v>0</v>
      </c>
      <c r="B12" t="s">
        <v>21</v>
      </c>
      <c r="C12" t="s">
        <v>6</v>
      </c>
      <c r="D12">
        <v>32</v>
      </c>
      <c r="E12">
        <v>200</v>
      </c>
      <c r="F12">
        <f t="shared" si="0"/>
        <v>64</v>
      </c>
      <c r="G12">
        <f t="shared" si="1"/>
        <v>64</v>
      </c>
      <c r="H12">
        <f t="shared" si="2"/>
        <v>128</v>
      </c>
    </row>
    <row r="13" spans="1:8" x14ac:dyDescent="0.3">
      <c r="A13" t="s">
        <v>0</v>
      </c>
      <c r="B13" t="s">
        <v>22</v>
      </c>
      <c r="C13" t="s">
        <v>6</v>
      </c>
      <c r="D13">
        <v>32</v>
      </c>
      <c r="E13">
        <v>200</v>
      </c>
      <c r="F13">
        <f t="shared" si="0"/>
        <v>64</v>
      </c>
      <c r="G13">
        <f t="shared" si="1"/>
        <v>64</v>
      </c>
      <c r="H13">
        <f t="shared" si="2"/>
        <v>128</v>
      </c>
    </row>
    <row r="14" spans="1:8" x14ac:dyDescent="0.3">
      <c r="A14" t="s">
        <v>0</v>
      </c>
      <c r="B14" t="s">
        <v>16</v>
      </c>
      <c r="C14" t="s">
        <v>6</v>
      </c>
      <c r="D14">
        <v>40</v>
      </c>
      <c r="E14">
        <v>200</v>
      </c>
      <c r="F14">
        <f t="shared" si="0"/>
        <v>80</v>
      </c>
      <c r="G14">
        <f t="shared" si="1"/>
        <v>80</v>
      </c>
      <c r="H14">
        <f t="shared" si="2"/>
        <v>160</v>
      </c>
    </row>
    <row r="15" spans="1:8" x14ac:dyDescent="0.3">
      <c r="A15" t="s">
        <v>0</v>
      </c>
      <c r="B15" t="s">
        <v>23</v>
      </c>
      <c r="C15" t="s">
        <v>7</v>
      </c>
      <c r="D15">
        <v>50</v>
      </c>
      <c r="E15">
        <v>153</v>
      </c>
      <c r="F15">
        <f t="shared" si="0"/>
        <v>100</v>
      </c>
      <c r="G15">
        <f t="shared" si="1"/>
        <v>100</v>
      </c>
      <c r="H15">
        <f t="shared" si="2"/>
        <v>200</v>
      </c>
    </row>
    <row r="16" spans="1:8" x14ac:dyDescent="0.3">
      <c r="A16" t="s">
        <v>0</v>
      </c>
      <c r="B16" t="s">
        <v>24</v>
      </c>
      <c r="C16" t="s">
        <v>7</v>
      </c>
      <c r="D16">
        <v>50</v>
      </c>
      <c r="E16">
        <v>153</v>
      </c>
      <c r="F16">
        <f t="shared" si="0"/>
        <v>100</v>
      </c>
      <c r="G16">
        <f t="shared" si="1"/>
        <v>100</v>
      </c>
      <c r="H16">
        <f t="shared" si="2"/>
        <v>200</v>
      </c>
    </row>
    <row r="17" spans="1:8" x14ac:dyDescent="0.3">
      <c r="A17" t="s">
        <v>0</v>
      </c>
      <c r="B17" t="s">
        <v>26</v>
      </c>
      <c r="C17" t="s">
        <v>6</v>
      </c>
      <c r="D17">
        <v>65</v>
      </c>
      <c r="E17">
        <v>200</v>
      </c>
      <c r="F17">
        <f t="shared" si="0"/>
        <v>130</v>
      </c>
      <c r="G17">
        <f t="shared" si="1"/>
        <v>130</v>
      </c>
      <c r="H17">
        <f t="shared" si="2"/>
        <v>260</v>
      </c>
    </row>
    <row r="18" spans="1:8" x14ac:dyDescent="0.3">
      <c r="A18" t="s">
        <v>0</v>
      </c>
      <c r="B18" t="s">
        <v>25</v>
      </c>
      <c r="C18" t="s">
        <v>6</v>
      </c>
      <c r="D18">
        <v>80</v>
      </c>
      <c r="E18">
        <v>200</v>
      </c>
      <c r="F18">
        <f t="shared" si="0"/>
        <v>160</v>
      </c>
      <c r="G18">
        <f t="shared" si="1"/>
        <v>160</v>
      </c>
      <c r="H18">
        <f t="shared" si="2"/>
        <v>320</v>
      </c>
    </row>
    <row r="19" spans="1:8" x14ac:dyDescent="0.3">
      <c r="A19" t="s">
        <v>0</v>
      </c>
      <c r="B19" t="s">
        <v>27</v>
      </c>
      <c r="C19" t="s">
        <v>6</v>
      </c>
      <c r="D19">
        <v>100</v>
      </c>
      <c r="E19">
        <v>250</v>
      </c>
      <c r="F19">
        <f t="shared" si="0"/>
        <v>200</v>
      </c>
      <c r="G19">
        <f t="shared" si="1"/>
        <v>200</v>
      </c>
      <c r="H19">
        <f t="shared" si="2"/>
        <v>400</v>
      </c>
    </row>
    <row r="20" spans="1:8" x14ac:dyDescent="0.3">
      <c r="A20" t="s">
        <v>0</v>
      </c>
      <c r="B20" t="s">
        <v>28</v>
      </c>
      <c r="C20" t="s">
        <v>6</v>
      </c>
      <c r="D20">
        <v>100</v>
      </c>
      <c r="E20">
        <v>250</v>
      </c>
      <c r="F20">
        <f t="shared" si="0"/>
        <v>200</v>
      </c>
      <c r="G20">
        <f t="shared" si="1"/>
        <v>200</v>
      </c>
      <c r="H20">
        <f t="shared" si="2"/>
        <v>400</v>
      </c>
    </row>
    <row r="21" spans="1:8" x14ac:dyDescent="0.3">
      <c r="A21" t="s">
        <v>0</v>
      </c>
      <c r="B21" t="s">
        <v>29</v>
      </c>
      <c r="C21" t="s">
        <v>6</v>
      </c>
      <c r="D21">
        <v>100</v>
      </c>
      <c r="E21">
        <v>328</v>
      </c>
      <c r="F21">
        <f t="shared" si="0"/>
        <v>200</v>
      </c>
      <c r="G21">
        <f t="shared" si="1"/>
        <v>200</v>
      </c>
      <c r="H21">
        <f t="shared" si="2"/>
        <v>400</v>
      </c>
    </row>
    <row r="23" spans="1:8" x14ac:dyDescent="0.3">
      <c r="A23" s="1" t="s">
        <v>30</v>
      </c>
      <c r="B23" s="1" t="s">
        <v>3</v>
      </c>
      <c r="C23" s="1" t="s">
        <v>5</v>
      </c>
      <c r="D23" s="1" t="s">
        <v>15</v>
      </c>
      <c r="E23" s="1" t="s">
        <v>4</v>
      </c>
      <c r="F23" s="1" t="s">
        <v>64</v>
      </c>
      <c r="G23" s="1" t="s">
        <v>65</v>
      </c>
    </row>
    <row r="24" spans="1:8" x14ac:dyDescent="0.3">
      <c r="A24" t="s">
        <v>1</v>
      </c>
      <c r="B24" t="s">
        <v>31</v>
      </c>
      <c r="C24" t="s">
        <v>7</v>
      </c>
      <c r="D24">
        <v>20</v>
      </c>
      <c r="E24">
        <v>113</v>
      </c>
      <c r="F24">
        <f>3*D24</f>
        <v>60</v>
      </c>
      <c r="G24">
        <f>D24*1</f>
        <v>20</v>
      </c>
      <c r="H24">
        <f t="shared" ref="H24:H41" si="3">SUM(F24+G24)</f>
        <v>80</v>
      </c>
    </row>
    <row r="25" spans="1:8" x14ac:dyDescent="0.3">
      <c r="A25" t="s">
        <v>1</v>
      </c>
      <c r="B25" t="s">
        <v>32</v>
      </c>
      <c r="C25" t="s">
        <v>7</v>
      </c>
      <c r="D25">
        <v>25</v>
      </c>
      <c r="E25">
        <v>113</v>
      </c>
      <c r="F25">
        <f t="shared" ref="F25:F41" si="4">3*D25</f>
        <v>75</v>
      </c>
      <c r="G25">
        <f t="shared" ref="G25:G41" si="5">D25*1</f>
        <v>25</v>
      </c>
      <c r="H25">
        <f t="shared" si="3"/>
        <v>100</v>
      </c>
    </row>
    <row r="26" spans="1:8" x14ac:dyDescent="0.3">
      <c r="A26" t="s">
        <v>1</v>
      </c>
      <c r="B26" t="s">
        <v>33</v>
      </c>
      <c r="C26" t="s">
        <v>7</v>
      </c>
      <c r="D26">
        <v>32</v>
      </c>
      <c r="E26">
        <v>123</v>
      </c>
      <c r="F26">
        <f t="shared" si="4"/>
        <v>96</v>
      </c>
      <c r="G26">
        <f t="shared" si="5"/>
        <v>32</v>
      </c>
      <c r="H26">
        <f t="shared" si="3"/>
        <v>128</v>
      </c>
    </row>
    <row r="27" spans="1:8" x14ac:dyDescent="0.3">
      <c r="A27" t="s">
        <v>1</v>
      </c>
      <c r="B27" t="s">
        <v>34</v>
      </c>
      <c r="C27" t="s">
        <v>7</v>
      </c>
      <c r="D27">
        <v>40</v>
      </c>
      <c r="E27">
        <v>133</v>
      </c>
      <c r="F27">
        <f t="shared" si="4"/>
        <v>120</v>
      </c>
      <c r="G27">
        <f t="shared" si="5"/>
        <v>40</v>
      </c>
      <c r="H27">
        <f t="shared" si="3"/>
        <v>160</v>
      </c>
    </row>
    <row r="28" spans="1:8" x14ac:dyDescent="0.3">
      <c r="A28" t="s">
        <v>1</v>
      </c>
      <c r="B28" t="s">
        <v>35</v>
      </c>
      <c r="C28" t="s">
        <v>7</v>
      </c>
      <c r="D28">
        <v>50</v>
      </c>
      <c r="E28">
        <v>153</v>
      </c>
      <c r="F28">
        <f t="shared" si="4"/>
        <v>150</v>
      </c>
      <c r="G28">
        <f t="shared" si="5"/>
        <v>50</v>
      </c>
      <c r="H28">
        <f t="shared" si="3"/>
        <v>200</v>
      </c>
    </row>
    <row r="29" spans="1:8" x14ac:dyDescent="0.3">
      <c r="A29" t="s">
        <v>1</v>
      </c>
      <c r="B29" t="s">
        <v>36</v>
      </c>
      <c r="C29" t="s">
        <v>7</v>
      </c>
      <c r="D29">
        <v>65</v>
      </c>
      <c r="E29">
        <v>174</v>
      </c>
      <c r="F29">
        <f t="shared" si="4"/>
        <v>195</v>
      </c>
      <c r="G29">
        <f t="shared" si="5"/>
        <v>65</v>
      </c>
      <c r="H29">
        <f t="shared" si="3"/>
        <v>260</v>
      </c>
    </row>
    <row r="30" spans="1:8" x14ac:dyDescent="0.3">
      <c r="A30" t="s">
        <v>1</v>
      </c>
      <c r="B30" t="s">
        <v>37</v>
      </c>
      <c r="C30" t="s">
        <v>7</v>
      </c>
      <c r="D30">
        <v>80</v>
      </c>
      <c r="E30">
        <v>174</v>
      </c>
      <c r="F30">
        <f t="shared" si="4"/>
        <v>240</v>
      </c>
      <c r="G30">
        <f t="shared" si="5"/>
        <v>80</v>
      </c>
      <c r="H30">
        <f t="shared" si="3"/>
        <v>320</v>
      </c>
    </row>
    <row r="31" spans="1:8" x14ac:dyDescent="0.3">
      <c r="A31" t="s">
        <v>1</v>
      </c>
      <c r="B31" t="s">
        <v>38</v>
      </c>
      <c r="C31" t="s">
        <v>7</v>
      </c>
      <c r="D31">
        <v>100</v>
      </c>
      <c r="E31">
        <v>216</v>
      </c>
      <c r="F31">
        <f t="shared" si="4"/>
        <v>300</v>
      </c>
      <c r="G31">
        <f t="shared" si="5"/>
        <v>100</v>
      </c>
      <c r="H31">
        <f t="shared" si="3"/>
        <v>400</v>
      </c>
    </row>
    <row r="32" spans="1:8" x14ac:dyDescent="0.3">
      <c r="A32" t="s">
        <v>1</v>
      </c>
      <c r="B32" t="s">
        <v>39</v>
      </c>
      <c r="C32" t="s">
        <v>7</v>
      </c>
      <c r="D32">
        <v>150</v>
      </c>
      <c r="E32">
        <v>236</v>
      </c>
      <c r="F32">
        <f t="shared" si="4"/>
        <v>450</v>
      </c>
      <c r="G32">
        <f t="shared" si="5"/>
        <v>150</v>
      </c>
      <c r="H32">
        <f t="shared" si="3"/>
        <v>600</v>
      </c>
    </row>
    <row r="33" spans="1:8" x14ac:dyDescent="0.3">
      <c r="A33" t="s">
        <v>1</v>
      </c>
      <c r="B33" t="s">
        <v>40</v>
      </c>
      <c r="C33" t="s">
        <v>6</v>
      </c>
      <c r="D33">
        <v>20</v>
      </c>
      <c r="E33">
        <v>150</v>
      </c>
      <c r="F33">
        <f t="shared" si="4"/>
        <v>60</v>
      </c>
      <c r="G33">
        <f t="shared" si="5"/>
        <v>20</v>
      </c>
      <c r="H33">
        <f t="shared" si="3"/>
        <v>80</v>
      </c>
    </row>
    <row r="34" spans="1:8" x14ac:dyDescent="0.3">
      <c r="A34" t="s">
        <v>1</v>
      </c>
      <c r="B34" t="s">
        <v>41</v>
      </c>
      <c r="C34" t="s">
        <v>6</v>
      </c>
      <c r="D34">
        <v>25</v>
      </c>
      <c r="E34">
        <v>150</v>
      </c>
      <c r="F34">
        <f t="shared" si="4"/>
        <v>75</v>
      </c>
      <c r="G34">
        <f t="shared" si="5"/>
        <v>25</v>
      </c>
      <c r="H34">
        <f t="shared" si="3"/>
        <v>100</v>
      </c>
    </row>
    <row r="35" spans="1:8" x14ac:dyDescent="0.3">
      <c r="A35" t="s">
        <v>1</v>
      </c>
      <c r="B35" t="s">
        <v>42</v>
      </c>
      <c r="C35" t="s">
        <v>6</v>
      </c>
      <c r="D35">
        <v>32</v>
      </c>
      <c r="E35">
        <v>194</v>
      </c>
      <c r="F35">
        <f t="shared" si="4"/>
        <v>96</v>
      </c>
      <c r="G35">
        <f t="shared" si="5"/>
        <v>32</v>
      </c>
      <c r="H35">
        <f t="shared" si="3"/>
        <v>128</v>
      </c>
    </row>
    <row r="36" spans="1:8" x14ac:dyDescent="0.3">
      <c r="A36" t="s">
        <v>1</v>
      </c>
      <c r="B36" t="s">
        <v>43</v>
      </c>
      <c r="C36" t="s">
        <v>6</v>
      </c>
      <c r="D36">
        <v>40</v>
      </c>
      <c r="E36">
        <v>194</v>
      </c>
      <c r="F36">
        <f t="shared" si="4"/>
        <v>120</v>
      </c>
      <c r="G36">
        <f t="shared" si="5"/>
        <v>40</v>
      </c>
      <c r="H36">
        <f t="shared" si="3"/>
        <v>160</v>
      </c>
    </row>
    <row r="37" spans="1:8" x14ac:dyDescent="0.3">
      <c r="A37" t="s">
        <v>1</v>
      </c>
      <c r="B37" t="s">
        <v>44</v>
      </c>
      <c r="C37" t="s">
        <v>6</v>
      </c>
      <c r="D37">
        <v>50</v>
      </c>
      <c r="E37">
        <v>195</v>
      </c>
      <c r="F37">
        <f t="shared" si="4"/>
        <v>150</v>
      </c>
      <c r="G37">
        <f t="shared" si="5"/>
        <v>50</v>
      </c>
      <c r="H37">
        <f t="shared" si="3"/>
        <v>200</v>
      </c>
    </row>
    <row r="38" spans="1:8" x14ac:dyDescent="0.3">
      <c r="A38" t="s">
        <v>1</v>
      </c>
      <c r="B38" t="s">
        <v>45</v>
      </c>
      <c r="C38" t="s">
        <v>6</v>
      </c>
      <c r="D38">
        <v>65</v>
      </c>
      <c r="E38">
        <v>212</v>
      </c>
      <c r="F38">
        <f t="shared" si="4"/>
        <v>195</v>
      </c>
      <c r="G38">
        <f t="shared" si="5"/>
        <v>65</v>
      </c>
      <c r="H38">
        <f t="shared" si="3"/>
        <v>260</v>
      </c>
    </row>
    <row r="39" spans="1:8" x14ac:dyDescent="0.3">
      <c r="A39" t="s">
        <v>1</v>
      </c>
      <c r="B39" t="s">
        <v>46</v>
      </c>
      <c r="C39" t="s">
        <v>6</v>
      </c>
      <c r="D39">
        <v>80</v>
      </c>
      <c r="E39">
        <v>222</v>
      </c>
      <c r="F39">
        <f t="shared" si="4"/>
        <v>240</v>
      </c>
      <c r="G39">
        <f t="shared" si="5"/>
        <v>80</v>
      </c>
      <c r="H39">
        <f t="shared" si="3"/>
        <v>320</v>
      </c>
    </row>
    <row r="40" spans="1:8" x14ac:dyDescent="0.3">
      <c r="A40" t="s">
        <v>1</v>
      </c>
      <c r="B40" t="s">
        <v>47</v>
      </c>
      <c r="C40" t="s">
        <v>6</v>
      </c>
      <c r="D40">
        <v>100</v>
      </c>
      <c r="E40">
        <v>243</v>
      </c>
      <c r="F40">
        <f t="shared" si="4"/>
        <v>300</v>
      </c>
      <c r="G40">
        <f t="shared" si="5"/>
        <v>100</v>
      </c>
      <c r="H40">
        <f t="shared" si="3"/>
        <v>400</v>
      </c>
    </row>
    <row r="41" spans="1:8" x14ac:dyDescent="0.3">
      <c r="A41" t="s">
        <v>1</v>
      </c>
      <c r="B41" t="s">
        <v>48</v>
      </c>
      <c r="C41" t="s">
        <v>6</v>
      </c>
      <c r="D41">
        <v>150</v>
      </c>
      <c r="E41">
        <v>316</v>
      </c>
      <c r="F41">
        <f t="shared" si="4"/>
        <v>450</v>
      </c>
      <c r="G41">
        <f t="shared" si="5"/>
        <v>150</v>
      </c>
      <c r="H41">
        <f t="shared" si="3"/>
        <v>600</v>
      </c>
    </row>
    <row r="43" spans="1:8" x14ac:dyDescent="0.3">
      <c r="A43" s="1" t="s">
        <v>30</v>
      </c>
      <c r="B43" s="1" t="s">
        <v>62</v>
      </c>
      <c r="C43" s="1" t="s">
        <v>5</v>
      </c>
      <c r="D43" s="1" t="s">
        <v>15</v>
      </c>
      <c r="E43" s="1" t="s">
        <v>4</v>
      </c>
      <c r="F43" s="1" t="s">
        <v>64</v>
      </c>
      <c r="G43" s="1" t="s">
        <v>65</v>
      </c>
    </row>
    <row r="44" spans="1:8" x14ac:dyDescent="0.3">
      <c r="A44" t="s">
        <v>49</v>
      </c>
      <c r="B44" t="s">
        <v>50</v>
      </c>
      <c r="C44" t="s">
        <v>7</v>
      </c>
      <c r="D44">
        <v>20</v>
      </c>
      <c r="E44">
        <v>115</v>
      </c>
      <c r="F44">
        <f>D44*2</f>
        <v>40</v>
      </c>
      <c r="G44">
        <f>D44*2</f>
        <v>40</v>
      </c>
      <c r="H44">
        <f t="shared" ref="H44:H55" si="6">SUM(F44+G44)</f>
        <v>80</v>
      </c>
    </row>
    <row r="45" spans="1:8" x14ac:dyDescent="0.3">
      <c r="A45" t="s">
        <v>49</v>
      </c>
      <c r="B45" t="s">
        <v>51</v>
      </c>
      <c r="C45" t="s">
        <v>7</v>
      </c>
      <c r="D45">
        <v>32</v>
      </c>
      <c r="E45">
        <v>128</v>
      </c>
      <c r="F45">
        <f t="shared" ref="F45:F55" si="7">D45*2</f>
        <v>64</v>
      </c>
      <c r="G45">
        <f t="shared" ref="G45:G55" si="8">D45*2</f>
        <v>64</v>
      </c>
      <c r="H45">
        <f t="shared" si="6"/>
        <v>128</v>
      </c>
    </row>
    <row r="46" spans="1:8" x14ac:dyDescent="0.3">
      <c r="A46" t="s">
        <v>49</v>
      </c>
      <c r="B46" t="s">
        <v>52</v>
      </c>
      <c r="C46" t="s">
        <v>7</v>
      </c>
      <c r="D46">
        <v>50</v>
      </c>
      <c r="E46">
        <v>153</v>
      </c>
      <c r="F46">
        <f t="shared" si="7"/>
        <v>100</v>
      </c>
      <c r="G46">
        <f t="shared" si="8"/>
        <v>100</v>
      </c>
      <c r="H46">
        <f t="shared" si="6"/>
        <v>200</v>
      </c>
    </row>
    <row r="47" spans="1:8" x14ac:dyDescent="0.3">
      <c r="A47" t="s">
        <v>49</v>
      </c>
      <c r="B47" t="s">
        <v>53</v>
      </c>
      <c r="C47" t="s">
        <v>7</v>
      </c>
      <c r="D47">
        <v>80</v>
      </c>
      <c r="E47">
        <v>186</v>
      </c>
      <c r="F47">
        <f t="shared" si="7"/>
        <v>160</v>
      </c>
      <c r="G47">
        <f t="shared" si="8"/>
        <v>160</v>
      </c>
      <c r="H47">
        <f t="shared" si="6"/>
        <v>320</v>
      </c>
    </row>
    <row r="48" spans="1:8" x14ac:dyDescent="0.3">
      <c r="A48" t="s">
        <v>49</v>
      </c>
      <c r="B48" t="s">
        <v>54</v>
      </c>
      <c r="C48" t="s">
        <v>7</v>
      </c>
      <c r="D48">
        <v>100</v>
      </c>
      <c r="E48">
        <v>160</v>
      </c>
      <c r="F48">
        <f t="shared" si="7"/>
        <v>200</v>
      </c>
      <c r="G48">
        <f t="shared" si="8"/>
        <v>200</v>
      </c>
      <c r="H48">
        <f t="shared" si="6"/>
        <v>400</v>
      </c>
    </row>
    <row r="49" spans="1:8" x14ac:dyDescent="0.3">
      <c r="A49" t="s">
        <v>49</v>
      </c>
      <c r="B49" t="s">
        <v>55</v>
      </c>
      <c r="C49" t="s">
        <v>6</v>
      </c>
      <c r="D49">
        <v>20</v>
      </c>
      <c r="E49">
        <v>155</v>
      </c>
      <c r="F49">
        <f t="shared" si="7"/>
        <v>40</v>
      </c>
      <c r="G49">
        <f t="shared" si="8"/>
        <v>40</v>
      </c>
      <c r="H49">
        <f t="shared" si="6"/>
        <v>80</v>
      </c>
    </row>
    <row r="50" spans="1:8" x14ac:dyDescent="0.3">
      <c r="A50" t="s">
        <v>49</v>
      </c>
      <c r="B50" t="s">
        <v>56</v>
      </c>
      <c r="C50" t="s">
        <v>6</v>
      </c>
      <c r="D50">
        <v>32</v>
      </c>
      <c r="E50">
        <v>200</v>
      </c>
      <c r="F50">
        <f t="shared" si="7"/>
        <v>64</v>
      </c>
      <c r="G50">
        <f t="shared" si="8"/>
        <v>64</v>
      </c>
      <c r="H50">
        <f t="shared" si="6"/>
        <v>128</v>
      </c>
    </row>
    <row r="51" spans="1:8" x14ac:dyDescent="0.3">
      <c r="A51" t="s">
        <v>49</v>
      </c>
      <c r="B51" t="s">
        <v>59</v>
      </c>
      <c r="C51" t="s">
        <v>6</v>
      </c>
      <c r="D51">
        <v>40</v>
      </c>
      <c r="E51">
        <v>200</v>
      </c>
      <c r="F51">
        <f t="shared" si="7"/>
        <v>80</v>
      </c>
      <c r="G51">
        <f t="shared" si="8"/>
        <v>80</v>
      </c>
      <c r="H51">
        <f t="shared" si="6"/>
        <v>160</v>
      </c>
    </row>
    <row r="52" spans="1:8" x14ac:dyDescent="0.3">
      <c r="A52" t="s">
        <v>49</v>
      </c>
      <c r="B52" t="s">
        <v>57</v>
      </c>
      <c r="C52" t="s">
        <v>6</v>
      </c>
      <c r="D52">
        <v>50</v>
      </c>
      <c r="E52">
        <v>200</v>
      </c>
      <c r="F52">
        <f t="shared" si="7"/>
        <v>100</v>
      </c>
      <c r="G52">
        <f t="shared" si="8"/>
        <v>100</v>
      </c>
      <c r="H52">
        <f t="shared" si="6"/>
        <v>200</v>
      </c>
    </row>
    <row r="53" spans="1:8" x14ac:dyDescent="0.3">
      <c r="A53" t="s">
        <v>49</v>
      </c>
      <c r="B53" t="s">
        <v>60</v>
      </c>
      <c r="C53" t="s">
        <v>6</v>
      </c>
      <c r="D53">
        <v>65</v>
      </c>
      <c r="E53">
        <v>200</v>
      </c>
      <c r="F53">
        <f t="shared" si="7"/>
        <v>130</v>
      </c>
      <c r="G53">
        <f t="shared" si="8"/>
        <v>130</v>
      </c>
      <c r="H53">
        <f t="shared" si="6"/>
        <v>260</v>
      </c>
    </row>
    <row r="54" spans="1:8" x14ac:dyDescent="0.3">
      <c r="A54" t="s">
        <v>49</v>
      </c>
      <c r="B54" t="s">
        <v>58</v>
      </c>
      <c r="C54" t="s">
        <v>6</v>
      </c>
      <c r="D54">
        <v>80</v>
      </c>
      <c r="E54">
        <v>200</v>
      </c>
      <c r="F54">
        <f t="shared" si="7"/>
        <v>160</v>
      </c>
      <c r="G54">
        <f t="shared" si="8"/>
        <v>160</v>
      </c>
      <c r="H54">
        <f t="shared" si="6"/>
        <v>320</v>
      </c>
    </row>
    <row r="55" spans="1:8" x14ac:dyDescent="0.3">
      <c r="A55" t="s">
        <v>49</v>
      </c>
      <c r="B55" t="s">
        <v>61</v>
      </c>
      <c r="C55" t="s">
        <v>6</v>
      </c>
      <c r="D55">
        <v>150</v>
      </c>
      <c r="E55">
        <v>314</v>
      </c>
      <c r="F55">
        <f t="shared" si="7"/>
        <v>300</v>
      </c>
      <c r="G55">
        <f t="shared" si="8"/>
        <v>300</v>
      </c>
      <c r="H55">
        <f t="shared" si="6"/>
        <v>600</v>
      </c>
    </row>
    <row r="58" spans="1:8" x14ac:dyDescent="0.3">
      <c r="A58" s="1" t="s">
        <v>30</v>
      </c>
      <c r="B58" s="1" t="s">
        <v>68</v>
      </c>
      <c r="C58" s="1" t="s">
        <v>5</v>
      </c>
      <c r="D58" s="1" t="s">
        <v>15</v>
      </c>
      <c r="E58" s="1" t="s">
        <v>4</v>
      </c>
      <c r="F58" s="1" t="s">
        <v>64</v>
      </c>
      <c r="G58" s="1" t="s">
        <v>65</v>
      </c>
    </row>
    <row r="59" spans="1:8" x14ac:dyDescent="0.3">
      <c r="A59" t="s">
        <v>63</v>
      </c>
      <c r="B59" t="s">
        <v>67</v>
      </c>
      <c r="C59" t="s">
        <v>6</v>
      </c>
      <c r="D59">
        <v>15</v>
      </c>
      <c r="E59">
        <v>140</v>
      </c>
      <c r="F59">
        <f>D59*3</f>
        <v>45</v>
      </c>
      <c r="G59">
        <f>D59</f>
        <v>15</v>
      </c>
      <c r="H59">
        <f t="shared" ref="H59:H67" si="9">SUM(F59+G59)</f>
        <v>60</v>
      </c>
    </row>
    <row r="60" spans="1:8" x14ac:dyDescent="0.3">
      <c r="A60" t="s">
        <v>63</v>
      </c>
      <c r="B60" t="s">
        <v>69</v>
      </c>
      <c r="C60" t="s">
        <v>6</v>
      </c>
      <c r="D60">
        <v>25</v>
      </c>
      <c r="E60">
        <v>160</v>
      </c>
      <c r="F60">
        <f t="shared" ref="F60:F67" si="10">D60*3</f>
        <v>75</v>
      </c>
      <c r="G60">
        <f t="shared" ref="G60:G67" si="11">D60</f>
        <v>25</v>
      </c>
      <c r="H60">
        <f t="shared" si="9"/>
        <v>100</v>
      </c>
    </row>
    <row r="61" spans="1:8" x14ac:dyDescent="0.3">
      <c r="A61" t="s">
        <v>63</v>
      </c>
      <c r="B61" t="s">
        <v>70</v>
      </c>
      <c r="C61" t="s">
        <v>6</v>
      </c>
      <c r="D61">
        <v>32</v>
      </c>
      <c r="E61">
        <v>190</v>
      </c>
      <c r="F61">
        <f t="shared" si="10"/>
        <v>96</v>
      </c>
      <c r="G61">
        <f t="shared" si="11"/>
        <v>32</v>
      </c>
      <c r="H61">
        <f t="shared" si="9"/>
        <v>128</v>
      </c>
    </row>
    <row r="62" spans="1:8" x14ac:dyDescent="0.3">
      <c r="A62" t="s">
        <v>63</v>
      </c>
      <c r="B62" t="s">
        <v>71</v>
      </c>
      <c r="C62" t="s">
        <v>6</v>
      </c>
      <c r="D62">
        <v>40</v>
      </c>
      <c r="E62">
        <v>200</v>
      </c>
      <c r="F62">
        <f t="shared" si="10"/>
        <v>120</v>
      </c>
      <c r="G62">
        <f t="shared" si="11"/>
        <v>40</v>
      </c>
      <c r="H62">
        <f t="shared" si="9"/>
        <v>160</v>
      </c>
    </row>
    <row r="63" spans="1:8" x14ac:dyDescent="0.3">
      <c r="A63" t="s">
        <v>63</v>
      </c>
      <c r="B63" t="s">
        <v>72</v>
      </c>
      <c r="C63" t="s">
        <v>6</v>
      </c>
      <c r="D63">
        <v>50</v>
      </c>
      <c r="E63">
        <v>202</v>
      </c>
      <c r="F63">
        <f t="shared" si="10"/>
        <v>150</v>
      </c>
      <c r="G63">
        <f t="shared" si="11"/>
        <v>50</v>
      </c>
      <c r="H63">
        <f t="shared" si="9"/>
        <v>200</v>
      </c>
    </row>
    <row r="64" spans="1:8" x14ac:dyDescent="0.3">
      <c r="A64" t="s">
        <v>63</v>
      </c>
      <c r="B64" t="s">
        <v>73</v>
      </c>
      <c r="C64" t="s">
        <v>6</v>
      </c>
      <c r="D64">
        <v>80</v>
      </c>
      <c r="E64">
        <v>238</v>
      </c>
      <c r="F64">
        <f t="shared" si="10"/>
        <v>240</v>
      </c>
      <c r="G64">
        <f t="shared" si="11"/>
        <v>80</v>
      </c>
      <c r="H64">
        <f t="shared" si="9"/>
        <v>320</v>
      </c>
    </row>
    <row r="65" spans="1:8" x14ac:dyDescent="0.3">
      <c r="A65" t="s">
        <v>63</v>
      </c>
      <c r="B65" t="s">
        <v>74</v>
      </c>
      <c r="C65" t="s">
        <v>6</v>
      </c>
      <c r="D65">
        <v>100</v>
      </c>
      <c r="E65">
        <v>252</v>
      </c>
      <c r="F65">
        <f t="shared" si="10"/>
        <v>300</v>
      </c>
      <c r="G65">
        <f t="shared" si="11"/>
        <v>100</v>
      </c>
      <c r="H65">
        <f t="shared" si="9"/>
        <v>400</v>
      </c>
    </row>
    <row r="66" spans="1:8" x14ac:dyDescent="0.3">
      <c r="A66" t="s">
        <v>63</v>
      </c>
      <c r="B66" t="s">
        <v>75</v>
      </c>
      <c r="C66" t="s">
        <v>6</v>
      </c>
      <c r="D66">
        <v>150</v>
      </c>
      <c r="E66">
        <v>328</v>
      </c>
      <c r="F66">
        <f t="shared" si="10"/>
        <v>450</v>
      </c>
      <c r="G66">
        <f t="shared" si="11"/>
        <v>150</v>
      </c>
      <c r="H66">
        <f t="shared" si="9"/>
        <v>600</v>
      </c>
    </row>
    <row r="67" spans="1:8" x14ac:dyDescent="0.3">
      <c r="A67" t="s">
        <v>63</v>
      </c>
      <c r="B67" t="s">
        <v>76</v>
      </c>
      <c r="C67" t="s">
        <v>6</v>
      </c>
      <c r="D67">
        <v>200</v>
      </c>
      <c r="E67">
        <v>358</v>
      </c>
      <c r="F67">
        <f t="shared" si="10"/>
        <v>600</v>
      </c>
      <c r="G67">
        <f t="shared" si="11"/>
        <v>200</v>
      </c>
      <c r="H67">
        <f t="shared" si="9"/>
        <v>800</v>
      </c>
    </row>
    <row r="69" spans="1:8" x14ac:dyDescent="0.3">
      <c r="A69" t="s">
        <v>30</v>
      </c>
    </row>
    <row r="70" spans="1:8" x14ac:dyDescent="0.3">
      <c r="A70" t="s">
        <v>66</v>
      </c>
      <c r="B70" t="s">
        <v>207</v>
      </c>
      <c r="C70" t="s">
        <v>219</v>
      </c>
      <c r="D70">
        <v>15</v>
      </c>
      <c r="E70">
        <v>110</v>
      </c>
      <c r="F70">
        <v>0</v>
      </c>
      <c r="G70">
        <v>0</v>
      </c>
      <c r="H70">
        <v>0</v>
      </c>
    </row>
    <row r="71" spans="1:8" x14ac:dyDescent="0.3">
      <c r="A71" t="s">
        <v>66</v>
      </c>
      <c r="B71" t="s">
        <v>208</v>
      </c>
      <c r="C71" t="s">
        <v>219</v>
      </c>
      <c r="D71">
        <v>15</v>
      </c>
      <c r="E71">
        <v>110</v>
      </c>
      <c r="F71">
        <v>0</v>
      </c>
      <c r="G71">
        <v>0</v>
      </c>
      <c r="H71">
        <v>0</v>
      </c>
    </row>
    <row r="72" spans="1:8" x14ac:dyDescent="0.3">
      <c r="A72" t="s">
        <v>66</v>
      </c>
      <c r="B72" t="s">
        <v>209</v>
      </c>
      <c r="C72" t="s">
        <v>219</v>
      </c>
      <c r="D72">
        <v>20</v>
      </c>
      <c r="E72">
        <v>130</v>
      </c>
      <c r="F72">
        <v>0</v>
      </c>
      <c r="G72">
        <v>0</v>
      </c>
      <c r="H72">
        <v>0</v>
      </c>
    </row>
    <row r="73" spans="1:8" x14ac:dyDescent="0.3">
      <c r="A73" t="s">
        <v>66</v>
      </c>
      <c r="B73" t="s">
        <v>209</v>
      </c>
      <c r="C73" t="s">
        <v>219</v>
      </c>
      <c r="D73">
        <v>20</v>
      </c>
      <c r="E73">
        <v>130</v>
      </c>
      <c r="F73">
        <v>0</v>
      </c>
      <c r="G73">
        <v>0</v>
      </c>
      <c r="H73">
        <v>0</v>
      </c>
    </row>
    <row r="74" spans="1:8" x14ac:dyDescent="0.3">
      <c r="A74" t="s">
        <v>66</v>
      </c>
      <c r="B74" t="s">
        <v>210</v>
      </c>
      <c r="C74" t="s">
        <v>219</v>
      </c>
      <c r="D74">
        <v>25</v>
      </c>
      <c r="E74">
        <v>260</v>
      </c>
      <c r="F74">
        <v>0</v>
      </c>
      <c r="G74">
        <v>0</v>
      </c>
      <c r="H74">
        <v>0</v>
      </c>
    </row>
    <row r="75" spans="1:8" x14ac:dyDescent="0.3">
      <c r="A75" t="s">
        <v>66</v>
      </c>
      <c r="B75" t="s">
        <v>213</v>
      </c>
      <c r="C75" t="s">
        <v>220</v>
      </c>
      <c r="D75">
        <v>25</v>
      </c>
      <c r="E75">
        <v>260</v>
      </c>
      <c r="F75">
        <v>0</v>
      </c>
      <c r="G75">
        <v>0</v>
      </c>
      <c r="H75">
        <v>0</v>
      </c>
    </row>
    <row r="76" spans="1:8" x14ac:dyDescent="0.3">
      <c r="A76" t="s">
        <v>66</v>
      </c>
      <c r="B76" t="s">
        <v>211</v>
      </c>
      <c r="C76" t="s">
        <v>219</v>
      </c>
      <c r="D76">
        <v>25</v>
      </c>
      <c r="E76">
        <v>260</v>
      </c>
      <c r="F76">
        <v>0</v>
      </c>
      <c r="G76">
        <v>0</v>
      </c>
      <c r="H76">
        <v>0</v>
      </c>
    </row>
    <row r="77" spans="1:8" x14ac:dyDescent="0.3">
      <c r="A77" t="s">
        <v>66</v>
      </c>
      <c r="B77" t="s">
        <v>211</v>
      </c>
      <c r="C77" t="s">
        <v>219</v>
      </c>
      <c r="D77">
        <v>25</v>
      </c>
      <c r="E77">
        <v>260</v>
      </c>
      <c r="F77">
        <v>0</v>
      </c>
      <c r="G77">
        <v>0</v>
      </c>
      <c r="H77">
        <v>0</v>
      </c>
    </row>
    <row r="78" spans="1:8" x14ac:dyDescent="0.3">
      <c r="A78" t="s">
        <v>66</v>
      </c>
      <c r="B78" t="s">
        <v>214</v>
      </c>
      <c r="C78" t="s">
        <v>220</v>
      </c>
      <c r="D78">
        <v>32</v>
      </c>
      <c r="E78">
        <v>260</v>
      </c>
      <c r="F78">
        <v>0</v>
      </c>
      <c r="G78">
        <v>0</v>
      </c>
      <c r="H78">
        <v>0</v>
      </c>
    </row>
    <row r="79" spans="1:8" x14ac:dyDescent="0.3">
      <c r="A79" t="s">
        <v>66</v>
      </c>
      <c r="B79" t="s">
        <v>214</v>
      </c>
      <c r="C79" t="s">
        <v>220</v>
      </c>
      <c r="D79">
        <v>32</v>
      </c>
      <c r="E79">
        <v>260</v>
      </c>
      <c r="F79">
        <v>0</v>
      </c>
      <c r="G79">
        <v>0</v>
      </c>
      <c r="H79">
        <v>0</v>
      </c>
    </row>
    <row r="80" spans="1:8" x14ac:dyDescent="0.3">
      <c r="A80" t="s">
        <v>66</v>
      </c>
      <c r="B80" t="s">
        <v>212</v>
      </c>
      <c r="C80" t="s">
        <v>219</v>
      </c>
      <c r="D80">
        <v>40</v>
      </c>
      <c r="E80">
        <v>300</v>
      </c>
      <c r="F80">
        <v>0</v>
      </c>
      <c r="G80">
        <v>0</v>
      </c>
      <c r="H80">
        <v>0</v>
      </c>
    </row>
    <row r="81" spans="1:8" x14ac:dyDescent="0.3">
      <c r="A81" t="s">
        <v>66</v>
      </c>
      <c r="B81" t="s">
        <v>212</v>
      </c>
      <c r="C81" t="s">
        <v>219</v>
      </c>
      <c r="D81">
        <v>40</v>
      </c>
      <c r="E81">
        <v>300</v>
      </c>
      <c r="F81">
        <v>0</v>
      </c>
      <c r="G81">
        <v>0</v>
      </c>
      <c r="H81">
        <v>0</v>
      </c>
    </row>
    <row r="82" spans="1:8" x14ac:dyDescent="0.3">
      <c r="A82" t="s">
        <v>66</v>
      </c>
      <c r="B82" t="s">
        <v>212</v>
      </c>
      <c r="C82" t="s">
        <v>220</v>
      </c>
      <c r="D82">
        <v>40</v>
      </c>
      <c r="E82">
        <v>300</v>
      </c>
      <c r="F82">
        <v>0</v>
      </c>
      <c r="G82">
        <v>0</v>
      </c>
      <c r="H82">
        <v>0</v>
      </c>
    </row>
    <row r="83" spans="1:8" x14ac:dyDescent="0.3">
      <c r="A83" t="s">
        <v>66</v>
      </c>
      <c r="B83" t="s">
        <v>212</v>
      </c>
      <c r="C83" t="s">
        <v>220</v>
      </c>
      <c r="D83">
        <v>40</v>
      </c>
      <c r="E83">
        <v>300</v>
      </c>
      <c r="F83">
        <v>0</v>
      </c>
      <c r="G83">
        <v>0</v>
      </c>
      <c r="H83">
        <v>0</v>
      </c>
    </row>
    <row r="84" spans="1:8" x14ac:dyDescent="0.3">
      <c r="A84" t="s">
        <v>66</v>
      </c>
      <c r="B84" t="s">
        <v>215</v>
      </c>
      <c r="C84" t="s">
        <v>220</v>
      </c>
      <c r="D84">
        <v>50</v>
      </c>
      <c r="E84">
        <v>270</v>
      </c>
      <c r="F84">
        <v>0</v>
      </c>
      <c r="G84">
        <v>0</v>
      </c>
      <c r="H84">
        <v>0</v>
      </c>
    </row>
    <row r="85" spans="1:8" x14ac:dyDescent="0.3">
      <c r="A85" t="s">
        <v>66</v>
      </c>
      <c r="B85" t="s">
        <v>215</v>
      </c>
      <c r="C85" t="s">
        <v>220</v>
      </c>
      <c r="D85">
        <v>50</v>
      </c>
      <c r="E85">
        <v>270</v>
      </c>
      <c r="F85">
        <v>0</v>
      </c>
      <c r="G85">
        <v>0</v>
      </c>
      <c r="H85">
        <v>0</v>
      </c>
    </row>
    <row r="86" spans="1:8" x14ac:dyDescent="0.3">
      <c r="A86" t="s">
        <v>66</v>
      </c>
      <c r="B86" t="s">
        <v>216</v>
      </c>
      <c r="C86" t="s">
        <v>220</v>
      </c>
      <c r="D86">
        <v>65</v>
      </c>
      <c r="E86">
        <v>300</v>
      </c>
      <c r="F86">
        <v>325</v>
      </c>
      <c r="G86">
        <v>195</v>
      </c>
      <c r="H86">
        <v>520</v>
      </c>
    </row>
    <row r="87" spans="1:8" x14ac:dyDescent="0.3">
      <c r="A87" t="s">
        <v>66</v>
      </c>
      <c r="B87" t="s">
        <v>217</v>
      </c>
      <c r="C87" t="s">
        <v>220</v>
      </c>
      <c r="D87">
        <v>80</v>
      </c>
      <c r="E87">
        <v>350</v>
      </c>
      <c r="F87">
        <v>400</v>
      </c>
      <c r="G87">
        <v>240</v>
      </c>
      <c r="H87">
        <v>640</v>
      </c>
    </row>
    <row r="88" spans="1:8" x14ac:dyDescent="0.3">
      <c r="A88" t="s">
        <v>66</v>
      </c>
      <c r="B88" t="s">
        <v>218</v>
      </c>
      <c r="C88" t="s">
        <v>220</v>
      </c>
      <c r="D88">
        <v>100</v>
      </c>
      <c r="E88">
        <v>350</v>
      </c>
      <c r="F88">
        <v>500</v>
      </c>
      <c r="G88">
        <v>300</v>
      </c>
      <c r="H88">
        <v>800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8"/>
  <sheetViews>
    <sheetView topLeftCell="D7" workbookViewId="0">
      <selection activeCell="P4" sqref="P4"/>
    </sheetView>
  </sheetViews>
  <sheetFormatPr defaultRowHeight="15.75" x14ac:dyDescent="0.3"/>
  <cols>
    <col min="1" max="1" width="10.28515625" bestFit="1" customWidth="1"/>
    <col min="2" max="2" width="19.42578125" customWidth="1"/>
    <col min="3" max="3" width="39.5703125" bestFit="1" customWidth="1"/>
    <col min="4" max="4" width="9.140625" customWidth="1"/>
    <col min="5" max="5" width="9.85546875" customWidth="1"/>
    <col min="6" max="6" width="14.42578125" bestFit="1" customWidth="1"/>
    <col min="7" max="7" width="21.85546875" bestFit="1" customWidth="1"/>
    <col min="8" max="8" width="6.7109375" bestFit="1" customWidth="1"/>
    <col min="12" max="12" width="29.42578125" bestFit="1" customWidth="1"/>
    <col min="14" max="14" width="17.85546875" bestFit="1" customWidth="1"/>
    <col min="15" max="15" width="14.42578125" bestFit="1" customWidth="1"/>
    <col min="16" max="16" width="19.85546875" bestFit="1" customWidth="1"/>
  </cols>
  <sheetData>
    <row r="1" spans="1:16" x14ac:dyDescent="0.3">
      <c r="A1" s="1" t="s">
        <v>82</v>
      </c>
      <c r="B1" s="1"/>
    </row>
    <row r="3" spans="1:16" ht="31.5" x14ac:dyDescent="0.3">
      <c r="A3" s="1" t="s">
        <v>30</v>
      </c>
      <c r="B3" s="80" t="s">
        <v>227</v>
      </c>
      <c r="C3" s="1" t="s">
        <v>77</v>
      </c>
      <c r="D3" s="1" t="s">
        <v>80</v>
      </c>
      <c r="E3" s="1" t="s">
        <v>81</v>
      </c>
      <c r="F3" s="1" t="s">
        <v>78</v>
      </c>
      <c r="G3" s="1" t="s">
        <v>15</v>
      </c>
      <c r="H3" s="1" t="s">
        <v>79</v>
      </c>
      <c r="I3" s="1" t="s">
        <v>64</v>
      </c>
      <c r="J3" s="1" t="s">
        <v>65</v>
      </c>
      <c r="L3" s="1" t="s">
        <v>160</v>
      </c>
      <c r="O3" t="s">
        <v>224</v>
      </c>
      <c r="P3" t="s">
        <v>225</v>
      </c>
    </row>
    <row r="4" spans="1:16" x14ac:dyDescent="0.3">
      <c r="A4" t="s">
        <v>0</v>
      </c>
      <c r="B4" s="81">
        <v>6078719</v>
      </c>
      <c r="C4" t="s">
        <v>9</v>
      </c>
      <c r="D4">
        <f t="shared" ref="D4:D24" si="0">E4/100</f>
        <v>0.06</v>
      </c>
      <c r="E4">
        <v>6</v>
      </c>
      <c r="F4" t="s">
        <v>7</v>
      </c>
      <c r="G4">
        <v>20</v>
      </c>
      <c r="H4">
        <v>111</v>
      </c>
      <c r="I4">
        <f t="shared" ref="I4:I24" si="1">G4*2</f>
        <v>40</v>
      </c>
      <c r="J4">
        <f t="shared" ref="J4:J24" si="2">G4*2</f>
        <v>40</v>
      </c>
      <c r="K4">
        <f t="shared" ref="K4:K24" si="3">SUM(I4+J4)</f>
        <v>80</v>
      </c>
      <c r="L4">
        <f>SUM(H4:J4)</f>
        <v>191</v>
      </c>
    </row>
    <row r="5" spans="1:16" x14ac:dyDescent="0.3">
      <c r="A5" t="s">
        <v>0</v>
      </c>
      <c r="B5" s="81">
        <v>6091167</v>
      </c>
      <c r="C5" t="s">
        <v>10</v>
      </c>
      <c r="D5">
        <f t="shared" si="0"/>
        <v>0.12</v>
      </c>
      <c r="E5">
        <v>12</v>
      </c>
      <c r="F5" t="s">
        <v>7</v>
      </c>
      <c r="G5">
        <v>20</v>
      </c>
      <c r="H5">
        <v>111</v>
      </c>
      <c r="I5">
        <f t="shared" si="1"/>
        <v>40</v>
      </c>
      <c r="J5">
        <f t="shared" si="2"/>
        <v>40</v>
      </c>
      <c r="K5">
        <f t="shared" si="3"/>
        <v>80</v>
      </c>
      <c r="L5">
        <f t="shared" ref="L5:L24" si="4">SUM(H5:J5)</f>
        <v>191</v>
      </c>
    </row>
    <row r="6" spans="1:16" x14ac:dyDescent="0.3">
      <c r="A6" t="s">
        <v>0</v>
      </c>
      <c r="B6" s="81">
        <v>6115218</v>
      </c>
      <c r="C6" t="s">
        <v>11</v>
      </c>
      <c r="D6">
        <f t="shared" si="0"/>
        <v>0.06</v>
      </c>
      <c r="E6">
        <v>6</v>
      </c>
      <c r="F6" t="s">
        <v>8</v>
      </c>
      <c r="G6">
        <v>20</v>
      </c>
      <c r="H6">
        <v>140</v>
      </c>
      <c r="I6">
        <f t="shared" si="1"/>
        <v>40</v>
      </c>
      <c r="J6">
        <f t="shared" si="2"/>
        <v>40</v>
      </c>
      <c r="K6">
        <f t="shared" si="3"/>
        <v>80</v>
      </c>
      <c r="L6">
        <f t="shared" si="4"/>
        <v>220</v>
      </c>
    </row>
    <row r="7" spans="1:16" x14ac:dyDescent="0.3">
      <c r="A7" t="s">
        <v>0</v>
      </c>
      <c r="B7" s="81">
        <v>6115230</v>
      </c>
      <c r="C7" t="s">
        <v>12</v>
      </c>
      <c r="D7">
        <f t="shared" si="0"/>
        <v>0.12</v>
      </c>
      <c r="E7">
        <v>12</v>
      </c>
      <c r="F7" t="s">
        <v>8</v>
      </c>
      <c r="G7">
        <v>20</v>
      </c>
      <c r="H7">
        <v>140</v>
      </c>
      <c r="I7">
        <f t="shared" si="1"/>
        <v>40</v>
      </c>
      <c r="J7">
        <f t="shared" si="2"/>
        <v>40</v>
      </c>
      <c r="K7">
        <f t="shared" si="3"/>
        <v>80</v>
      </c>
      <c r="L7">
        <f t="shared" si="4"/>
        <v>220</v>
      </c>
    </row>
    <row r="8" spans="1:16" x14ac:dyDescent="0.3">
      <c r="A8" t="s">
        <v>0</v>
      </c>
      <c r="B8" s="81">
        <v>6121894</v>
      </c>
      <c r="C8" t="s">
        <v>13</v>
      </c>
      <c r="D8">
        <f t="shared" si="0"/>
        <v>0.09</v>
      </c>
      <c r="E8">
        <v>9</v>
      </c>
      <c r="F8" t="s">
        <v>6</v>
      </c>
      <c r="G8">
        <v>25</v>
      </c>
      <c r="H8">
        <v>200</v>
      </c>
      <c r="I8">
        <f t="shared" si="1"/>
        <v>50</v>
      </c>
      <c r="J8">
        <f t="shared" si="2"/>
        <v>50</v>
      </c>
      <c r="K8">
        <f t="shared" si="3"/>
        <v>100</v>
      </c>
      <c r="L8">
        <f t="shared" si="4"/>
        <v>300</v>
      </c>
    </row>
    <row r="9" spans="1:16" x14ac:dyDescent="0.3">
      <c r="A9" t="s">
        <v>0</v>
      </c>
      <c r="B9" s="81">
        <v>6121508</v>
      </c>
      <c r="C9" t="s">
        <v>14</v>
      </c>
      <c r="D9">
        <f t="shared" si="0"/>
        <v>0.18</v>
      </c>
      <c r="E9">
        <v>18</v>
      </c>
      <c r="F9" t="s">
        <v>6</v>
      </c>
      <c r="G9">
        <v>25</v>
      </c>
      <c r="H9">
        <v>200</v>
      </c>
      <c r="I9">
        <f t="shared" si="1"/>
        <v>50</v>
      </c>
      <c r="J9">
        <f t="shared" si="2"/>
        <v>50</v>
      </c>
      <c r="K9">
        <f t="shared" si="3"/>
        <v>100</v>
      </c>
      <c r="L9">
        <f t="shared" si="4"/>
        <v>300</v>
      </c>
    </row>
    <row r="10" spans="1:16" x14ac:dyDescent="0.3">
      <c r="A10" t="s">
        <v>0</v>
      </c>
      <c r="B10" s="81">
        <v>6078726</v>
      </c>
      <c r="C10" t="s">
        <v>17</v>
      </c>
      <c r="D10">
        <f t="shared" si="0"/>
        <v>0.15</v>
      </c>
      <c r="E10">
        <v>15</v>
      </c>
      <c r="F10" t="s">
        <v>7</v>
      </c>
      <c r="G10">
        <v>32</v>
      </c>
      <c r="H10">
        <v>128</v>
      </c>
      <c r="I10">
        <f t="shared" si="1"/>
        <v>64</v>
      </c>
      <c r="J10">
        <f t="shared" si="2"/>
        <v>64</v>
      </c>
      <c r="K10">
        <f t="shared" si="3"/>
        <v>128</v>
      </c>
      <c r="L10">
        <f t="shared" si="4"/>
        <v>256</v>
      </c>
    </row>
    <row r="11" spans="1:16" x14ac:dyDescent="0.3">
      <c r="A11" t="s">
        <v>0</v>
      </c>
      <c r="B11" s="81">
        <v>6091212</v>
      </c>
      <c r="C11" t="s">
        <v>18</v>
      </c>
      <c r="D11">
        <f t="shared" si="0"/>
        <v>0.3</v>
      </c>
      <c r="E11">
        <v>30</v>
      </c>
      <c r="F11" t="s">
        <v>7</v>
      </c>
      <c r="G11">
        <v>32</v>
      </c>
      <c r="H11">
        <v>128</v>
      </c>
      <c r="I11">
        <f t="shared" si="1"/>
        <v>64</v>
      </c>
      <c r="J11">
        <f t="shared" si="2"/>
        <v>64</v>
      </c>
      <c r="K11">
        <f t="shared" si="3"/>
        <v>128</v>
      </c>
      <c r="L11">
        <f t="shared" si="4"/>
        <v>256</v>
      </c>
    </row>
    <row r="12" spans="1:16" x14ac:dyDescent="0.3">
      <c r="A12" t="s">
        <v>0</v>
      </c>
      <c r="B12" s="81">
        <v>6115289</v>
      </c>
      <c r="C12" t="s">
        <v>19</v>
      </c>
      <c r="D12">
        <f t="shared" si="0"/>
        <v>0.15</v>
      </c>
      <c r="E12">
        <v>15</v>
      </c>
      <c r="F12" t="s">
        <v>8</v>
      </c>
      <c r="G12">
        <v>32</v>
      </c>
      <c r="H12">
        <v>170</v>
      </c>
      <c r="I12">
        <f t="shared" si="1"/>
        <v>64</v>
      </c>
      <c r="J12">
        <f t="shared" si="2"/>
        <v>64</v>
      </c>
      <c r="K12">
        <f t="shared" si="3"/>
        <v>128</v>
      </c>
      <c r="L12">
        <f t="shared" si="4"/>
        <v>298</v>
      </c>
    </row>
    <row r="13" spans="1:16" x14ac:dyDescent="0.3">
      <c r="A13" t="s">
        <v>0</v>
      </c>
      <c r="B13" s="81">
        <v>6115302</v>
      </c>
      <c r="C13" t="s">
        <v>20</v>
      </c>
      <c r="D13">
        <f t="shared" si="0"/>
        <v>0.3</v>
      </c>
      <c r="E13">
        <v>30</v>
      </c>
      <c r="F13" t="s">
        <v>8</v>
      </c>
      <c r="G13">
        <v>32</v>
      </c>
      <c r="H13">
        <v>170</v>
      </c>
      <c r="I13">
        <f t="shared" si="1"/>
        <v>64</v>
      </c>
      <c r="J13">
        <f t="shared" si="2"/>
        <v>64</v>
      </c>
      <c r="K13">
        <f t="shared" si="3"/>
        <v>128</v>
      </c>
      <c r="L13">
        <f t="shared" si="4"/>
        <v>298</v>
      </c>
    </row>
    <row r="14" spans="1:16" x14ac:dyDescent="0.3">
      <c r="A14" t="s">
        <v>0</v>
      </c>
      <c r="B14" s="81">
        <v>6115075</v>
      </c>
      <c r="C14" t="s">
        <v>21</v>
      </c>
      <c r="D14">
        <f t="shared" si="0"/>
        <v>0.15</v>
      </c>
      <c r="E14">
        <v>15</v>
      </c>
      <c r="F14" t="s">
        <v>6</v>
      </c>
      <c r="G14">
        <v>32</v>
      </c>
      <c r="H14">
        <v>200</v>
      </c>
      <c r="I14">
        <f t="shared" si="1"/>
        <v>64</v>
      </c>
      <c r="J14">
        <f t="shared" si="2"/>
        <v>64</v>
      </c>
      <c r="K14">
        <f t="shared" si="3"/>
        <v>128</v>
      </c>
      <c r="L14">
        <f t="shared" si="4"/>
        <v>328</v>
      </c>
    </row>
    <row r="15" spans="1:16" x14ac:dyDescent="0.3">
      <c r="A15" t="s">
        <v>0</v>
      </c>
      <c r="B15" s="81">
        <v>6115045</v>
      </c>
      <c r="C15" t="s">
        <v>22</v>
      </c>
      <c r="D15">
        <f t="shared" si="0"/>
        <v>0.3</v>
      </c>
      <c r="E15">
        <v>30</v>
      </c>
      <c r="F15" t="s">
        <v>6</v>
      </c>
      <c r="G15">
        <v>32</v>
      </c>
      <c r="H15">
        <v>200</v>
      </c>
      <c r="I15">
        <f t="shared" si="1"/>
        <v>64</v>
      </c>
      <c r="J15">
        <f t="shared" si="2"/>
        <v>64</v>
      </c>
      <c r="K15">
        <f t="shared" si="3"/>
        <v>128</v>
      </c>
      <c r="L15">
        <f t="shared" si="4"/>
        <v>328</v>
      </c>
    </row>
    <row r="16" spans="1:16" x14ac:dyDescent="0.3">
      <c r="A16" t="s">
        <v>0</v>
      </c>
      <c r="B16" s="81">
        <v>6115337</v>
      </c>
      <c r="C16" t="s">
        <v>244</v>
      </c>
      <c r="D16">
        <f t="shared" ref="D16" si="5">E16/100</f>
        <v>0.22</v>
      </c>
      <c r="E16">
        <v>22</v>
      </c>
      <c r="F16" t="s">
        <v>6</v>
      </c>
      <c r="G16">
        <v>40</v>
      </c>
      <c r="H16">
        <v>200</v>
      </c>
      <c r="I16">
        <f t="shared" ref="I16" si="6">G16*2</f>
        <v>80</v>
      </c>
      <c r="J16">
        <f t="shared" ref="J16" si="7">G16*2</f>
        <v>80</v>
      </c>
      <c r="K16">
        <f t="shared" ref="K16" si="8">SUM(I16+J16)</f>
        <v>160</v>
      </c>
      <c r="L16">
        <f t="shared" ref="L16" si="9">SUM(H16:J16)</f>
        <v>360</v>
      </c>
    </row>
    <row r="17" spans="1:23" x14ac:dyDescent="0.3">
      <c r="A17" t="s">
        <v>0</v>
      </c>
      <c r="B17" s="81">
        <v>6115367</v>
      </c>
      <c r="C17" t="s">
        <v>16</v>
      </c>
      <c r="D17">
        <f t="shared" si="0"/>
        <v>0.45</v>
      </c>
      <c r="E17">
        <v>45</v>
      </c>
      <c r="F17" t="s">
        <v>6</v>
      </c>
      <c r="G17">
        <v>40</v>
      </c>
      <c r="H17">
        <v>200</v>
      </c>
      <c r="I17">
        <f t="shared" si="1"/>
        <v>80</v>
      </c>
      <c r="J17">
        <f t="shared" si="2"/>
        <v>80</v>
      </c>
      <c r="K17">
        <f t="shared" si="3"/>
        <v>160</v>
      </c>
      <c r="L17">
        <f t="shared" si="4"/>
        <v>360</v>
      </c>
    </row>
    <row r="18" spans="1:23" x14ac:dyDescent="0.3">
      <c r="A18" t="s">
        <v>0</v>
      </c>
      <c r="B18" s="81">
        <v>6107383</v>
      </c>
      <c r="C18" t="s">
        <v>228</v>
      </c>
      <c r="D18">
        <f t="shared" si="0"/>
        <v>0.36</v>
      </c>
      <c r="E18">
        <v>36</v>
      </c>
      <c r="F18" t="s">
        <v>7</v>
      </c>
      <c r="G18">
        <v>50</v>
      </c>
      <c r="H18">
        <v>153</v>
      </c>
      <c r="I18">
        <f t="shared" si="1"/>
        <v>100</v>
      </c>
      <c r="J18">
        <f t="shared" si="2"/>
        <v>100</v>
      </c>
      <c r="K18">
        <f t="shared" si="3"/>
        <v>200</v>
      </c>
      <c r="L18">
        <f t="shared" si="4"/>
        <v>353</v>
      </c>
    </row>
    <row r="19" spans="1:23" x14ac:dyDescent="0.3">
      <c r="A19" t="s">
        <v>0</v>
      </c>
      <c r="B19" s="81">
        <v>6107443</v>
      </c>
      <c r="C19" t="s">
        <v>229</v>
      </c>
      <c r="D19">
        <f t="shared" si="0"/>
        <v>0.72</v>
      </c>
      <c r="E19">
        <v>72</v>
      </c>
      <c r="F19" t="s">
        <v>7</v>
      </c>
      <c r="G19">
        <v>50</v>
      </c>
      <c r="H19">
        <v>153</v>
      </c>
      <c r="I19">
        <f t="shared" si="1"/>
        <v>100</v>
      </c>
      <c r="J19">
        <f t="shared" si="2"/>
        <v>100</v>
      </c>
      <c r="K19">
        <f t="shared" si="3"/>
        <v>200</v>
      </c>
      <c r="L19">
        <f t="shared" si="4"/>
        <v>353</v>
      </c>
    </row>
    <row r="20" spans="1:23" x14ac:dyDescent="0.3">
      <c r="A20" t="s">
        <v>0</v>
      </c>
      <c r="B20" s="81">
        <v>6117175</v>
      </c>
      <c r="C20" t="s">
        <v>26</v>
      </c>
      <c r="D20">
        <f t="shared" si="0"/>
        <v>0.6</v>
      </c>
      <c r="E20">
        <v>60</v>
      </c>
      <c r="F20" t="s">
        <v>6</v>
      </c>
      <c r="G20">
        <v>65</v>
      </c>
      <c r="H20">
        <v>200</v>
      </c>
      <c r="I20">
        <f t="shared" si="1"/>
        <v>130</v>
      </c>
      <c r="J20">
        <f t="shared" si="2"/>
        <v>130</v>
      </c>
      <c r="K20">
        <f t="shared" si="3"/>
        <v>260</v>
      </c>
      <c r="L20">
        <f t="shared" si="4"/>
        <v>460</v>
      </c>
    </row>
    <row r="21" spans="1:23" x14ac:dyDescent="0.3">
      <c r="A21" t="s">
        <v>0</v>
      </c>
      <c r="B21" s="81">
        <v>6117213</v>
      </c>
      <c r="C21" t="s">
        <v>25</v>
      </c>
      <c r="D21">
        <f t="shared" si="0"/>
        <v>0.9</v>
      </c>
      <c r="E21">
        <v>90</v>
      </c>
      <c r="F21" t="s">
        <v>6</v>
      </c>
      <c r="G21">
        <v>80</v>
      </c>
      <c r="H21">
        <v>200</v>
      </c>
      <c r="I21">
        <f t="shared" si="1"/>
        <v>160</v>
      </c>
      <c r="J21">
        <f t="shared" si="2"/>
        <v>160</v>
      </c>
      <c r="K21">
        <f t="shared" si="3"/>
        <v>320</v>
      </c>
      <c r="L21">
        <f t="shared" si="4"/>
        <v>520</v>
      </c>
    </row>
    <row r="22" spans="1:23" x14ac:dyDescent="0.3">
      <c r="A22" t="s">
        <v>0</v>
      </c>
      <c r="B22" s="81">
        <v>6120347</v>
      </c>
      <c r="C22" t="s">
        <v>27</v>
      </c>
      <c r="D22">
        <f t="shared" si="0"/>
        <v>1.4</v>
      </c>
      <c r="E22">
        <v>140</v>
      </c>
      <c r="F22" t="s">
        <v>6</v>
      </c>
      <c r="G22">
        <v>100</v>
      </c>
      <c r="H22">
        <v>250</v>
      </c>
      <c r="I22">
        <f t="shared" si="1"/>
        <v>200</v>
      </c>
      <c r="J22">
        <f t="shared" si="2"/>
        <v>200</v>
      </c>
      <c r="K22">
        <f t="shared" si="3"/>
        <v>400</v>
      </c>
      <c r="L22">
        <f t="shared" si="4"/>
        <v>650</v>
      </c>
    </row>
    <row r="23" spans="1:23" x14ac:dyDescent="0.3">
      <c r="A23" t="s">
        <v>0</v>
      </c>
      <c r="B23" s="81">
        <v>6121260</v>
      </c>
      <c r="C23" t="s">
        <v>28</v>
      </c>
      <c r="D23">
        <f t="shared" si="0"/>
        <v>2.8</v>
      </c>
      <c r="E23">
        <v>280</v>
      </c>
      <c r="F23" t="s">
        <v>6</v>
      </c>
      <c r="G23">
        <v>100</v>
      </c>
      <c r="H23">
        <v>250</v>
      </c>
      <c r="I23">
        <f t="shared" si="1"/>
        <v>200</v>
      </c>
      <c r="J23">
        <f t="shared" si="2"/>
        <v>200</v>
      </c>
      <c r="K23">
        <f t="shared" si="3"/>
        <v>400</v>
      </c>
      <c r="L23">
        <f t="shared" si="4"/>
        <v>650</v>
      </c>
    </row>
    <row r="24" spans="1:23" x14ac:dyDescent="0.3">
      <c r="A24" t="s">
        <v>0</v>
      </c>
      <c r="B24" s="81">
        <v>6106404</v>
      </c>
      <c r="C24" t="s">
        <v>29</v>
      </c>
      <c r="D24">
        <f t="shared" si="0"/>
        <v>6.3</v>
      </c>
      <c r="E24">
        <v>630</v>
      </c>
      <c r="F24" t="s">
        <v>6</v>
      </c>
      <c r="G24">
        <v>100</v>
      </c>
      <c r="H24">
        <v>328</v>
      </c>
      <c r="I24">
        <f t="shared" si="1"/>
        <v>200</v>
      </c>
      <c r="J24">
        <f t="shared" si="2"/>
        <v>200</v>
      </c>
      <c r="K24">
        <f t="shared" si="3"/>
        <v>400</v>
      </c>
      <c r="L24">
        <f t="shared" si="4"/>
        <v>728</v>
      </c>
    </row>
    <row r="25" spans="1:23" x14ac:dyDescent="0.3">
      <c r="A25" s="1" t="s">
        <v>30</v>
      </c>
      <c r="B25" s="75"/>
      <c r="C25" s="55" t="s">
        <v>193</v>
      </c>
      <c r="D25" s="1" t="s">
        <v>80</v>
      </c>
      <c r="E25" s="1" t="s">
        <v>81</v>
      </c>
      <c r="F25" s="1" t="s">
        <v>78</v>
      </c>
      <c r="G25" s="1" t="s">
        <v>15</v>
      </c>
      <c r="H25" s="1" t="s">
        <v>79</v>
      </c>
      <c r="I25" s="1" t="s">
        <v>64</v>
      </c>
      <c r="J25" s="1" t="s">
        <v>65</v>
      </c>
      <c r="L25" s="1" t="s">
        <v>160</v>
      </c>
      <c r="N25" s="1" t="s">
        <v>194</v>
      </c>
    </row>
    <row r="26" spans="1:23" x14ac:dyDescent="0.3">
      <c r="A26" t="s">
        <v>184</v>
      </c>
      <c r="B26" s="81" t="s">
        <v>230</v>
      </c>
      <c r="C26" s="65" t="s">
        <v>195</v>
      </c>
      <c r="D26">
        <v>1.2E-2</v>
      </c>
      <c r="E26">
        <v>1.2</v>
      </c>
      <c r="F26" t="s">
        <v>182</v>
      </c>
      <c r="G26">
        <v>15</v>
      </c>
      <c r="H26">
        <v>110</v>
      </c>
      <c r="I26">
        <f>IF(G26&lt;=50,0,5*G26)</f>
        <v>0</v>
      </c>
      <c r="J26">
        <f>IF(G26&lt;=50,0,3*G26)</f>
        <v>0</v>
      </c>
      <c r="K26">
        <f>SUM(I26+J26)</f>
        <v>0</v>
      </c>
      <c r="L26">
        <f>SUM(H26:J26)</f>
        <v>110</v>
      </c>
      <c r="N26">
        <v>0.6</v>
      </c>
      <c r="O26">
        <f>VLOOKUP(Sheet2!B26,Sheet5!A:E,5,FALSE)</f>
        <v>45.8</v>
      </c>
      <c r="P26">
        <f>VLOOKUP(B26,Sheet6!B:I,7,FALSE)</f>
        <v>252.99999999999997</v>
      </c>
      <c r="R26" s="66"/>
      <c r="S26" s="66"/>
      <c r="T26" s="66"/>
      <c r="U26" s="66"/>
      <c r="V26" s="66"/>
      <c r="W26" s="66"/>
    </row>
    <row r="27" spans="1:23" x14ac:dyDescent="0.3">
      <c r="A27" t="s">
        <v>184</v>
      </c>
      <c r="B27" s="81" t="s">
        <v>231</v>
      </c>
      <c r="C27" s="65" t="s">
        <v>196</v>
      </c>
      <c r="D27">
        <v>1.4999999999999999E-2</v>
      </c>
      <c r="E27">
        <v>3</v>
      </c>
      <c r="F27" t="s">
        <v>182</v>
      </c>
      <c r="G27">
        <v>15</v>
      </c>
      <c r="H27">
        <v>110</v>
      </c>
      <c r="I27">
        <f t="shared" ref="I27:I35" si="10">IF(G27&lt;=50,0,5*G27)</f>
        <v>0</v>
      </c>
      <c r="J27">
        <f t="shared" ref="J27:J35" si="11">IF(G27&lt;=50,0,3*G27)</f>
        <v>0</v>
      </c>
      <c r="K27">
        <f t="shared" ref="K27:K35" si="12">SUM(I27+J27)</f>
        <v>0</v>
      </c>
      <c r="L27">
        <f t="shared" ref="L27:L35" si="13">SUM(H27:J27)</f>
        <v>110</v>
      </c>
      <c r="N27">
        <v>1.5</v>
      </c>
      <c r="O27">
        <f>VLOOKUP(Sheet2!B27,Sheet5!A:E,5,FALSE)</f>
        <v>45.8</v>
      </c>
      <c r="P27">
        <f>VLOOKUP(B27,Sheet6!B:I,7,FALSE)</f>
        <v>252.99999999999997</v>
      </c>
      <c r="R27" s="66"/>
      <c r="S27" s="66"/>
      <c r="T27" s="66"/>
      <c r="U27" s="66"/>
      <c r="V27" s="66"/>
      <c r="W27" s="66"/>
    </row>
    <row r="28" spans="1:23" x14ac:dyDescent="0.3">
      <c r="A28" t="s">
        <v>184</v>
      </c>
      <c r="B28" s="81" t="s">
        <v>232</v>
      </c>
      <c r="C28" s="65" t="s">
        <v>197</v>
      </c>
      <c r="D28">
        <v>2.5000000000000001E-2</v>
      </c>
      <c r="E28">
        <v>5</v>
      </c>
      <c r="F28" t="s">
        <v>182</v>
      </c>
      <c r="G28">
        <v>20</v>
      </c>
      <c r="H28">
        <v>130</v>
      </c>
      <c r="I28">
        <f t="shared" si="10"/>
        <v>0</v>
      </c>
      <c r="J28">
        <f t="shared" si="11"/>
        <v>0</v>
      </c>
      <c r="K28">
        <f t="shared" si="12"/>
        <v>0</v>
      </c>
      <c r="L28">
        <f t="shared" si="13"/>
        <v>130</v>
      </c>
      <c r="N28">
        <v>2.5</v>
      </c>
      <c r="O28">
        <f>VLOOKUP(Sheet2!B28,Sheet5!A:E,5,FALSE)</f>
        <v>57.42</v>
      </c>
      <c r="P28">
        <f>VLOOKUP(B28,Sheet6!B:I,7,FALSE)</f>
        <v>255.29999999999998</v>
      </c>
      <c r="R28" s="66"/>
      <c r="S28" s="66"/>
      <c r="T28" s="66"/>
      <c r="U28" s="66"/>
      <c r="V28" s="66"/>
      <c r="W28" s="66"/>
    </row>
    <row r="29" spans="1:23" x14ac:dyDescent="0.3">
      <c r="A29" t="s">
        <v>184</v>
      </c>
      <c r="B29" s="81" t="s">
        <v>233</v>
      </c>
      <c r="C29" s="65" t="s">
        <v>198</v>
      </c>
      <c r="D29">
        <v>3.5000000000000003E-2</v>
      </c>
      <c r="E29">
        <v>7</v>
      </c>
      <c r="F29" t="s">
        <v>182</v>
      </c>
      <c r="G29">
        <v>25</v>
      </c>
      <c r="H29">
        <v>260</v>
      </c>
      <c r="I29">
        <f t="shared" si="10"/>
        <v>0</v>
      </c>
      <c r="J29">
        <f t="shared" si="11"/>
        <v>0</v>
      </c>
      <c r="K29">
        <f t="shared" si="12"/>
        <v>0</v>
      </c>
      <c r="L29">
        <f t="shared" si="13"/>
        <v>260</v>
      </c>
      <c r="N29">
        <v>3.5</v>
      </c>
      <c r="O29">
        <f>VLOOKUP(Sheet2!B29,Sheet5!A:E,5,FALSE)</f>
        <v>118.96</v>
      </c>
      <c r="P29">
        <f>VLOOKUP(B29,Sheet6!B:I,7,FALSE)</f>
        <v>272.55</v>
      </c>
      <c r="R29" s="66"/>
      <c r="S29" s="66"/>
      <c r="T29" s="66"/>
      <c r="U29" s="66"/>
      <c r="V29" s="66"/>
      <c r="W29" s="66"/>
    </row>
    <row r="30" spans="1:23" x14ac:dyDescent="0.3">
      <c r="A30" t="s">
        <v>184</v>
      </c>
      <c r="B30" s="82" t="s">
        <v>234</v>
      </c>
      <c r="C30" s="65" t="s">
        <v>223</v>
      </c>
      <c r="D30">
        <v>3.5000000000000003E-2</v>
      </c>
      <c r="E30">
        <v>7</v>
      </c>
      <c r="F30" t="s">
        <v>183</v>
      </c>
      <c r="G30">
        <v>25</v>
      </c>
      <c r="H30">
        <v>260</v>
      </c>
      <c r="I30">
        <f>IF(G30&lt;=50,0,5*G30)</f>
        <v>0</v>
      </c>
      <c r="J30">
        <f>IF(G30&lt;=50,0,3*G30)</f>
        <v>0</v>
      </c>
      <c r="K30">
        <f>SUM(I30+J30)</f>
        <v>0</v>
      </c>
      <c r="L30">
        <f>SUM(H30:J30)</f>
        <v>260</v>
      </c>
      <c r="N30">
        <v>3.5</v>
      </c>
      <c r="O30">
        <f>VLOOKUP(Sheet2!B30,Sheet5!A:E,5,FALSE)</f>
        <v>151.13999999999999</v>
      </c>
      <c r="P30">
        <f>VLOOKUP(B30,Sheet6!B:I,7,FALSE)</f>
        <v>350.75</v>
      </c>
      <c r="R30" s="66"/>
      <c r="S30" s="66"/>
      <c r="T30" s="66"/>
      <c r="U30" s="66"/>
      <c r="V30" s="66"/>
      <c r="W30" s="66"/>
    </row>
    <row r="31" spans="1:23" x14ac:dyDescent="0.3">
      <c r="A31" t="s">
        <v>184</v>
      </c>
      <c r="B31" s="83" t="s">
        <v>235</v>
      </c>
      <c r="C31" s="65" t="s">
        <v>199</v>
      </c>
      <c r="D31">
        <v>0.06</v>
      </c>
      <c r="E31">
        <v>12</v>
      </c>
      <c r="F31" t="s">
        <v>182</v>
      </c>
      <c r="G31">
        <v>25</v>
      </c>
      <c r="H31">
        <v>260</v>
      </c>
      <c r="I31">
        <f t="shared" si="10"/>
        <v>0</v>
      </c>
      <c r="J31">
        <f t="shared" si="11"/>
        <v>0</v>
      </c>
      <c r="K31">
        <f t="shared" si="12"/>
        <v>0</v>
      </c>
      <c r="L31">
        <f t="shared" si="13"/>
        <v>260</v>
      </c>
      <c r="N31">
        <v>6</v>
      </c>
      <c r="O31">
        <f>VLOOKUP(Sheet2!B31,Sheet5!A:E,5,FALSE)</f>
        <v>123.21</v>
      </c>
      <c r="P31">
        <f>VLOOKUP(B31,Sheet6!B:I,7,FALSE)</f>
        <v>292</v>
      </c>
      <c r="R31" s="66"/>
      <c r="S31" s="66"/>
      <c r="T31" s="66"/>
      <c r="U31" s="66"/>
      <c r="V31" s="66"/>
      <c r="W31" s="66"/>
    </row>
    <row r="32" spans="1:23" x14ac:dyDescent="0.3">
      <c r="A32" t="s">
        <v>184</v>
      </c>
      <c r="B32" s="81" t="s">
        <v>236</v>
      </c>
      <c r="C32" s="65" t="s">
        <v>200</v>
      </c>
      <c r="D32">
        <v>0.06</v>
      </c>
      <c r="E32">
        <v>12</v>
      </c>
      <c r="F32" t="s">
        <v>183</v>
      </c>
      <c r="G32">
        <v>32</v>
      </c>
      <c r="H32">
        <v>260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260</v>
      </c>
      <c r="N32">
        <v>6</v>
      </c>
      <c r="O32">
        <f>VLOOKUP(Sheet2!B32,Sheet5!A:E,5,FALSE)</f>
        <v>155.38999999999999</v>
      </c>
      <c r="P32">
        <f>VLOOKUP(B32,Sheet6!B:I,7,FALSE)</f>
        <v>364</v>
      </c>
      <c r="R32" s="66"/>
      <c r="S32" s="66"/>
      <c r="T32" s="66"/>
      <c r="U32" s="66"/>
      <c r="V32" s="66"/>
      <c r="W32" s="66"/>
    </row>
    <row r="33" spans="1:23" x14ac:dyDescent="0.3">
      <c r="A33" t="s">
        <v>184</v>
      </c>
      <c r="B33" s="81" t="s">
        <v>237</v>
      </c>
      <c r="C33" s="65" t="s">
        <v>201</v>
      </c>
      <c r="D33">
        <v>0.1</v>
      </c>
      <c r="E33">
        <v>20</v>
      </c>
      <c r="F33" t="s">
        <v>182</v>
      </c>
      <c r="G33">
        <v>40</v>
      </c>
      <c r="H33">
        <v>300</v>
      </c>
      <c r="I33">
        <f t="shared" si="10"/>
        <v>0</v>
      </c>
      <c r="J33">
        <f t="shared" si="11"/>
        <v>0</v>
      </c>
      <c r="K33">
        <f t="shared" si="12"/>
        <v>0</v>
      </c>
      <c r="L33">
        <f t="shared" si="13"/>
        <v>300</v>
      </c>
      <c r="N33">
        <v>10</v>
      </c>
      <c r="O33">
        <f>VLOOKUP(Sheet2!B33,Sheet5!A:E,5,FALSE)</f>
        <v>152.34</v>
      </c>
      <c r="P33">
        <f>VLOOKUP(B33,Sheet6!B:I,7,FALSE)</f>
        <v>354</v>
      </c>
      <c r="R33" s="66"/>
      <c r="S33" s="66"/>
      <c r="T33" s="66"/>
      <c r="U33" s="66"/>
      <c r="V33" s="66"/>
      <c r="W33" s="66"/>
    </row>
    <row r="34" spans="1:23" x14ac:dyDescent="0.3">
      <c r="A34" t="s">
        <v>184</v>
      </c>
      <c r="B34" s="81" t="s">
        <v>238</v>
      </c>
      <c r="C34" s="65" t="s">
        <v>202</v>
      </c>
      <c r="D34">
        <v>0.1</v>
      </c>
      <c r="E34">
        <v>20</v>
      </c>
      <c r="F34" t="s">
        <v>183</v>
      </c>
      <c r="G34">
        <v>40</v>
      </c>
      <c r="H34">
        <v>300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300</v>
      </c>
      <c r="N34">
        <v>10</v>
      </c>
      <c r="O34">
        <f>VLOOKUP(Sheet2!B34,Sheet5!A:E,5,FALSE)</f>
        <v>178.57</v>
      </c>
      <c r="P34">
        <f>VLOOKUP(B34,Sheet6!B:I,7,FALSE)</f>
        <v>372.6</v>
      </c>
      <c r="R34" s="66"/>
      <c r="S34" s="66"/>
      <c r="T34" s="66"/>
      <c r="U34" s="66"/>
      <c r="V34" s="66"/>
      <c r="W34" s="66"/>
    </row>
    <row r="35" spans="1:23" x14ac:dyDescent="0.3">
      <c r="A35" t="s">
        <v>184</v>
      </c>
      <c r="B35" s="81" t="s">
        <v>239</v>
      </c>
      <c r="C35" s="65" t="s">
        <v>203</v>
      </c>
      <c r="D35">
        <v>0.15</v>
      </c>
      <c r="E35">
        <v>30</v>
      </c>
      <c r="F35" t="s">
        <v>183</v>
      </c>
      <c r="G35">
        <v>50</v>
      </c>
      <c r="H35">
        <v>270</v>
      </c>
      <c r="I35">
        <f t="shared" si="10"/>
        <v>0</v>
      </c>
      <c r="J35">
        <f t="shared" si="11"/>
        <v>0</v>
      </c>
      <c r="K35">
        <f t="shared" si="12"/>
        <v>0</v>
      </c>
      <c r="L35">
        <f t="shared" si="13"/>
        <v>270</v>
      </c>
      <c r="N35">
        <v>15</v>
      </c>
      <c r="O35">
        <f>VLOOKUP(Sheet2!B35,Sheet5!A:E,5,FALSE)</f>
        <v>196.54</v>
      </c>
      <c r="P35">
        <f>VLOOKUP(B35,Sheet6!B:I,7,FALSE)</f>
        <v>399</v>
      </c>
      <c r="R35" s="66"/>
      <c r="S35" s="66"/>
      <c r="T35" s="66"/>
      <c r="U35" s="66"/>
      <c r="V35" s="66"/>
      <c r="W35" s="66"/>
    </row>
    <row r="36" spans="1:23" x14ac:dyDescent="0.3">
      <c r="A36" t="s">
        <v>184</v>
      </c>
      <c r="B36" s="81" t="s">
        <v>240</v>
      </c>
      <c r="C36" s="65" t="s">
        <v>204</v>
      </c>
      <c r="D36">
        <v>0.25</v>
      </c>
      <c r="E36">
        <v>50</v>
      </c>
      <c r="F36" t="s">
        <v>183</v>
      </c>
      <c r="G36">
        <v>65</v>
      </c>
      <c r="H36">
        <v>300</v>
      </c>
      <c r="I36">
        <f t="shared" ref="I36:I38" si="14">IF(G36&lt;=50,0,5*G36)</f>
        <v>325</v>
      </c>
      <c r="J36">
        <f t="shared" ref="J36:J38" si="15">IF(G36&lt;=50,0,3*G36)</f>
        <v>195</v>
      </c>
      <c r="K36">
        <f t="shared" ref="K36:K38" si="16">SUM(I36+J36)</f>
        <v>520</v>
      </c>
      <c r="L36">
        <f t="shared" ref="L36:L38" si="17">SUM(H36:J36)</f>
        <v>820</v>
      </c>
      <c r="N36">
        <v>25</v>
      </c>
      <c r="O36">
        <f>VLOOKUP(Sheet2!B36,Sheet5!A:E,5,FALSE)</f>
        <v>361.28</v>
      </c>
      <c r="P36">
        <f>VLOOKUP(B36,Sheet6!B:I,7,FALSE)</f>
        <v>655</v>
      </c>
    </row>
    <row r="37" spans="1:23" x14ac:dyDescent="0.3">
      <c r="A37" t="s">
        <v>184</v>
      </c>
      <c r="B37" s="81" t="s">
        <v>241</v>
      </c>
      <c r="C37" s="65" t="s">
        <v>205</v>
      </c>
      <c r="D37">
        <v>0.4</v>
      </c>
      <c r="E37">
        <v>80</v>
      </c>
      <c r="F37" t="s">
        <v>183</v>
      </c>
      <c r="G37">
        <v>80</v>
      </c>
      <c r="H37">
        <v>350</v>
      </c>
      <c r="I37">
        <f t="shared" si="14"/>
        <v>400</v>
      </c>
      <c r="J37">
        <f t="shared" si="15"/>
        <v>240</v>
      </c>
      <c r="K37">
        <f t="shared" si="16"/>
        <v>640</v>
      </c>
      <c r="L37">
        <f t="shared" si="17"/>
        <v>990</v>
      </c>
      <c r="N37">
        <v>40</v>
      </c>
      <c r="O37">
        <f>VLOOKUP(Sheet2!B37,Sheet5!A:E,5,FALSE)</f>
        <v>397.28</v>
      </c>
      <c r="P37">
        <f>VLOOKUP(B37,Sheet6!B:I,7,FALSE)</f>
        <v>719</v>
      </c>
    </row>
    <row r="38" spans="1:23" x14ac:dyDescent="0.3">
      <c r="A38" t="s">
        <v>184</v>
      </c>
      <c r="B38" s="81" t="s">
        <v>242</v>
      </c>
      <c r="C38" s="65" t="s">
        <v>206</v>
      </c>
      <c r="D38">
        <v>0.6</v>
      </c>
      <c r="E38">
        <v>120</v>
      </c>
      <c r="F38" t="s">
        <v>183</v>
      </c>
      <c r="G38">
        <v>100</v>
      </c>
      <c r="H38">
        <v>350</v>
      </c>
      <c r="I38">
        <f t="shared" si="14"/>
        <v>500</v>
      </c>
      <c r="J38">
        <f t="shared" si="15"/>
        <v>300</v>
      </c>
      <c r="K38">
        <f t="shared" si="16"/>
        <v>800</v>
      </c>
      <c r="L38">
        <f t="shared" si="17"/>
        <v>1150</v>
      </c>
      <c r="N38">
        <v>60</v>
      </c>
      <c r="O38">
        <f>VLOOKUP(Sheet2!B38,Sheet5!A:E,5,FALSE)</f>
        <v>423.28</v>
      </c>
      <c r="P38">
        <f>VLOOKUP(B38,Sheet6!B:I,7,FALSE)</f>
        <v>765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>
      <selection activeCell="F3" sqref="F3"/>
    </sheetView>
  </sheetViews>
  <sheetFormatPr defaultRowHeight="15.75" x14ac:dyDescent="0.3"/>
  <sheetData>
    <row r="1" spans="1:7" x14ac:dyDescent="0.3">
      <c r="A1" s="96" t="s">
        <v>245</v>
      </c>
      <c r="B1" s="96" t="s">
        <v>246</v>
      </c>
      <c r="C1" s="96" t="s">
        <v>247</v>
      </c>
      <c r="D1" s="96" t="s">
        <v>248</v>
      </c>
      <c r="E1" s="97" t="s">
        <v>249</v>
      </c>
      <c r="F1" s="97" t="s">
        <v>250</v>
      </c>
      <c r="G1" s="97" t="s">
        <v>251</v>
      </c>
    </row>
    <row r="2" spans="1:7" x14ac:dyDescent="0.3">
      <c r="A2" s="98" t="s">
        <v>230</v>
      </c>
      <c r="B2" s="98" t="s">
        <v>252</v>
      </c>
      <c r="C2" s="98" t="s">
        <v>253</v>
      </c>
      <c r="D2" s="98" t="s">
        <v>254</v>
      </c>
      <c r="E2" s="99">
        <v>45.8</v>
      </c>
      <c r="F2" s="100" t="s">
        <v>255</v>
      </c>
      <c r="G2" s="101">
        <v>1</v>
      </c>
    </row>
    <row r="3" spans="1:7" x14ac:dyDescent="0.3">
      <c r="A3" s="98" t="s">
        <v>231</v>
      </c>
      <c r="B3" s="98" t="s">
        <v>256</v>
      </c>
      <c r="C3" s="98" t="s">
        <v>253</v>
      </c>
      <c r="D3" s="98" t="s">
        <v>254</v>
      </c>
      <c r="E3" s="99">
        <v>45.8</v>
      </c>
      <c r="F3" s="100" t="s">
        <v>255</v>
      </c>
      <c r="G3" s="101">
        <v>1</v>
      </c>
    </row>
    <row r="4" spans="1:7" x14ac:dyDescent="0.3">
      <c r="A4" s="98" t="s">
        <v>232</v>
      </c>
      <c r="B4" s="98" t="s">
        <v>257</v>
      </c>
      <c r="C4" s="98" t="s">
        <v>253</v>
      </c>
      <c r="D4" s="98" t="s">
        <v>254</v>
      </c>
      <c r="E4" s="99">
        <v>57.42</v>
      </c>
      <c r="F4" s="100" t="s">
        <v>255</v>
      </c>
      <c r="G4" s="101">
        <v>1</v>
      </c>
    </row>
    <row r="5" spans="1:7" x14ac:dyDescent="0.3">
      <c r="A5" s="98" t="s">
        <v>233</v>
      </c>
      <c r="B5" s="98" t="s">
        <v>258</v>
      </c>
      <c r="C5" s="98" t="s">
        <v>253</v>
      </c>
      <c r="D5" s="98" t="s">
        <v>254</v>
      </c>
      <c r="E5" s="99">
        <v>118.96</v>
      </c>
      <c r="F5" s="100" t="s">
        <v>255</v>
      </c>
      <c r="G5" s="101">
        <v>1</v>
      </c>
    </row>
    <row r="6" spans="1:7" x14ac:dyDescent="0.3">
      <c r="A6" s="98" t="s">
        <v>234</v>
      </c>
      <c r="B6" s="98" t="s">
        <v>259</v>
      </c>
      <c r="C6" s="98" t="s">
        <v>253</v>
      </c>
      <c r="D6" s="98" t="s">
        <v>254</v>
      </c>
      <c r="E6" s="99">
        <v>151.13999999999999</v>
      </c>
      <c r="F6" s="100" t="s">
        <v>255</v>
      </c>
      <c r="G6" s="101">
        <v>1</v>
      </c>
    </row>
    <row r="7" spans="1:7" x14ac:dyDescent="0.3">
      <c r="A7" s="98" t="s">
        <v>235</v>
      </c>
      <c r="B7" s="98" t="s">
        <v>260</v>
      </c>
      <c r="C7" s="98" t="s">
        <v>253</v>
      </c>
      <c r="D7" s="98" t="s">
        <v>254</v>
      </c>
      <c r="E7" s="99">
        <v>123.21</v>
      </c>
      <c r="F7" s="100" t="s">
        <v>255</v>
      </c>
      <c r="G7" s="101">
        <v>1</v>
      </c>
    </row>
    <row r="8" spans="1:7" x14ac:dyDescent="0.3">
      <c r="A8" s="98" t="s">
        <v>236</v>
      </c>
      <c r="B8" s="98" t="s">
        <v>261</v>
      </c>
      <c r="C8" s="98" t="s">
        <v>253</v>
      </c>
      <c r="D8" s="98" t="s">
        <v>254</v>
      </c>
      <c r="E8" s="99">
        <v>155.38999999999999</v>
      </c>
      <c r="F8" s="100" t="s">
        <v>255</v>
      </c>
      <c r="G8" s="101">
        <v>1</v>
      </c>
    </row>
    <row r="9" spans="1:7" x14ac:dyDescent="0.3">
      <c r="A9" s="98" t="s">
        <v>237</v>
      </c>
      <c r="B9" s="98" t="s">
        <v>262</v>
      </c>
      <c r="C9" s="98" t="s">
        <v>253</v>
      </c>
      <c r="D9" s="98" t="s">
        <v>254</v>
      </c>
      <c r="E9" s="99">
        <v>152.34</v>
      </c>
      <c r="F9" s="100" t="s">
        <v>255</v>
      </c>
      <c r="G9" s="101">
        <v>1</v>
      </c>
    </row>
    <row r="10" spans="1:7" x14ac:dyDescent="0.3">
      <c r="A10" s="98" t="s">
        <v>238</v>
      </c>
      <c r="B10" s="98" t="s">
        <v>263</v>
      </c>
      <c r="C10" s="98" t="s">
        <v>253</v>
      </c>
      <c r="D10" s="98" t="s">
        <v>254</v>
      </c>
      <c r="E10" s="99">
        <v>178.57</v>
      </c>
      <c r="F10" s="100" t="s">
        <v>255</v>
      </c>
      <c r="G10" s="101">
        <v>1</v>
      </c>
    </row>
    <row r="11" spans="1:7" x14ac:dyDescent="0.3">
      <c r="A11" s="98" t="s">
        <v>239</v>
      </c>
      <c r="B11" s="98" t="s">
        <v>264</v>
      </c>
      <c r="C11" s="98" t="s">
        <v>253</v>
      </c>
      <c r="D11" s="98" t="s">
        <v>254</v>
      </c>
      <c r="E11" s="99">
        <v>196.54</v>
      </c>
      <c r="F11" s="100" t="s">
        <v>255</v>
      </c>
      <c r="G11" s="101">
        <v>1</v>
      </c>
    </row>
    <row r="12" spans="1:7" x14ac:dyDescent="0.3">
      <c r="A12" s="98" t="s">
        <v>240</v>
      </c>
      <c r="B12" s="98" t="s">
        <v>265</v>
      </c>
      <c r="C12" s="98" t="s">
        <v>253</v>
      </c>
      <c r="D12" s="98" t="s">
        <v>254</v>
      </c>
      <c r="E12" s="99">
        <v>361.28</v>
      </c>
      <c r="F12" s="100" t="s">
        <v>255</v>
      </c>
      <c r="G12" s="101">
        <v>1</v>
      </c>
    </row>
    <row r="13" spans="1:7" x14ac:dyDescent="0.3">
      <c r="A13" s="98" t="s">
        <v>241</v>
      </c>
      <c r="B13" s="98" t="s">
        <v>266</v>
      </c>
      <c r="C13" s="98" t="s">
        <v>253</v>
      </c>
      <c r="D13" s="98" t="s">
        <v>254</v>
      </c>
      <c r="E13" s="99">
        <v>397.28</v>
      </c>
      <c r="F13" s="100" t="s">
        <v>255</v>
      </c>
      <c r="G13" s="101">
        <v>1</v>
      </c>
    </row>
    <row r="14" spans="1:7" x14ac:dyDescent="0.3">
      <c r="A14" s="98" t="s">
        <v>242</v>
      </c>
      <c r="B14" s="98" t="s">
        <v>267</v>
      </c>
      <c r="C14" s="98" t="s">
        <v>253</v>
      </c>
      <c r="D14" s="98" t="s">
        <v>254</v>
      </c>
      <c r="E14" s="99">
        <v>423.28</v>
      </c>
      <c r="F14" s="100" t="s">
        <v>255</v>
      </c>
      <c r="G14" s="1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"/>
  <sheetViews>
    <sheetView workbookViewId="0">
      <selection activeCell="F12" sqref="F12"/>
    </sheetView>
  </sheetViews>
  <sheetFormatPr defaultRowHeight="15.75" x14ac:dyDescent="0.3"/>
  <cols>
    <col min="1" max="1" width="11.28515625" bestFit="1" customWidth="1"/>
    <col min="2" max="2" width="11.28515625" customWidth="1"/>
    <col min="3" max="3" width="46" bestFit="1" customWidth="1"/>
  </cols>
  <sheetData>
    <row r="1" spans="1:9" ht="56.25" x14ac:dyDescent="0.3">
      <c r="A1" s="107" t="s">
        <v>268</v>
      </c>
      <c r="B1" s="107" t="s">
        <v>268</v>
      </c>
      <c r="C1" s="105" t="s">
        <v>269</v>
      </c>
      <c r="D1" s="107" t="s">
        <v>270</v>
      </c>
      <c r="E1" s="108" t="s">
        <v>271</v>
      </c>
      <c r="F1" s="109" t="s">
        <v>272</v>
      </c>
      <c r="G1" s="105" t="s">
        <v>273</v>
      </c>
      <c r="H1" s="109" t="s">
        <v>274</v>
      </c>
      <c r="I1" s="110" t="s">
        <v>275</v>
      </c>
    </row>
    <row r="2" spans="1:9" x14ac:dyDescent="0.3">
      <c r="A2" s="103" t="s">
        <v>276</v>
      </c>
      <c r="B2" s="102" t="str">
        <f>LEFT(A2,8)</f>
        <v>187F4000</v>
      </c>
      <c r="C2" s="103" t="s">
        <v>277</v>
      </c>
      <c r="D2" s="103" t="s">
        <v>278</v>
      </c>
      <c r="E2" s="106">
        <v>1</v>
      </c>
      <c r="F2" s="104">
        <v>253</v>
      </c>
      <c r="G2" s="111">
        <v>0</v>
      </c>
      <c r="H2" s="104">
        <v>252.99999999999997</v>
      </c>
      <c r="I2" s="104">
        <v>253</v>
      </c>
    </row>
    <row r="3" spans="1:9" x14ac:dyDescent="0.3">
      <c r="A3" s="103" t="s">
        <v>279</v>
      </c>
      <c r="B3" s="102" t="str">
        <f t="shared" ref="B3:B14" si="0">LEFT(A3,8)</f>
        <v>187F4001</v>
      </c>
      <c r="C3" s="103" t="s">
        <v>277</v>
      </c>
      <c r="D3" s="103" t="s">
        <v>278</v>
      </c>
      <c r="E3" s="106">
        <v>1</v>
      </c>
      <c r="F3" s="104">
        <v>253</v>
      </c>
      <c r="G3" s="111">
        <v>0</v>
      </c>
      <c r="H3" s="104">
        <v>252.99999999999997</v>
      </c>
      <c r="I3" s="104">
        <v>253</v>
      </c>
    </row>
    <row r="4" spans="1:9" x14ac:dyDescent="0.3">
      <c r="A4" s="103" t="s">
        <v>280</v>
      </c>
      <c r="B4" s="102" t="str">
        <f t="shared" si="0"/>
        <v>187F4002</v>
      </c>
      <c r="C4" s="103" t="s">
        <v>281</v>
      </c>
      <c r="D4" s="103" t="s">
        <v>278</v>
      </c>
      <c r="E4" s="106">
        <v>1</v>
      </c>
      <c r="F4" s="104">
        <v>255.3</v>
      </c>
      <c r="G4" s="111">
        <v>0</v>
      </c>
      <c r="H4" s="104">
        <v>255.29999999999998</v>
      </c>
      <c r="I4" s="104">
        <v>255.3</v>
      </c>
    </row>
    <row r="5" spans="1:9" x14ac:dyDescent="0.3">
      <c r="A5" s="103" t="s">
        <v>282</v>
      </c>
      <c r="B5" s="102" t="str">
        <f t="shared" si="0"/>
        <v>187F4003</v>
      </c>
      <c r="C5" s="103" t="s">
        <v>283</v>
      </c>
      <c r="D5" s="103" t="s">
        <v>278</v>
      </c>
      <c r="E5" s="106">
        <v>1</v>
      </c>
      <c r="F5" s="104">
        <v>272.55</v>
      </c>
      <c r="G5" s="111">
        <v>0</v>
      </c>
      <c r="H5" s="104">
        <v>272.55</v>
      </c>
      <c r="I5" s="104">
        <v>272.55</v>
      </c>
    </row>
    <row r="6" spans="1:9" x14ac:dyDescent="0.3">
      <c r="A6" s="103" t="s">
        <v>284</v>
      </c>
      <c r="B6" s="102" t="str">
        <f t="shared" si="0"/>
        <v>187F4004</v>
      </c>
      <c r="C6" s="103" t="s">
        <v>285</v>
      </c>
      <c r="D6" s="103" t="s">
        <v>278</v>
      </c>
      <c r="E6" s="106">
        <v>1</v>
      </c>
      <c r="F6" s="104">
        <v>350.75</v>
      </c>
      <c r="G6" s="111">
        <v>0</v>
      </c>
      <c r="H6" s="104">
        <v>350.75</v>
      </c>
      <c r="I6" s="104">
        <v>350.75</v>
      </c>
    </row>
    <row r="7" spans="1:9" x14ac:dyDescent="0.3">
      <c r="A7" s="103" t="s">
        <v>286</v>
      </c>
      <c r="B7" s="102" t="str">
        <f t="shared" si="0"/>
        <v>187F4005</v>
      </c>
      <c r="C7" s="103" t="s">
        <v>287</v>
      </c>
      <c r="D7" s="103" t="s">
        <v>278</v>
      </c>
      <c r="E7" s="106">
        <v>1</v>
      </c>
      <c r="F7" s="104">
        <v>292</v>
      </c>
      <c r="G7" s="111">
        <v>0</v>
      </c>
      <c r="H7" s="104">
        <v>292</v>
      </c>
      <c r="I7" s="104">
        <v>292</v>
      </c>
    </row>
    <row r="8" spans="1:9" x14ac:dyDescent="0.3">
      <c r="A8" s="103" t="s">
        <v>288</v>
      </c>
      <c r="B8" s="102" t="str">
        <f t="shared" si="0"/>
        <v>187F4006</v>
      </c>
      <c r="C8" s="103" t="s">
        <v>289</v>
      </c>
      <c r="D8" s="103" t="s">
        <v>278</v>
      </c>
      <c r="E8" s="106">
        <v>1</v>
      </c>
      <c r="F8" s="104">
        <v>364</v>
      </c>
      <c r="G8" s="111">
        <v>0</v>
      </c>
      <c r="H8" s="104">
        <v>364</v>
      </c>
      <c r="I8" s="104">
        <v>364</v>
      </c>
    </row>
    <row r="9" spans="1:9" x14ac:dyDescent="0.3">
      <c r="A9" s="103" t="s">
        <v>290</v>
      </c>
      <c r="B9" s="102" t="str">
        <f t="shared" si="0"/>
        <v>187F4007</v>
      </c>
      <c r="C9" s="103" t="s">
        <v>291</v>
      </c>
      <c r="D9" s="103" t="s">
        <v>278</v>
      </c>
      <c r="E9" s="106">
        <v>1</v>
      </c>
      <c r="F9" s="104">
        <v>354</v>
      </c>
      <c r="G9" s="111">
        <v>0</v>
      </c>
      <c r="H9" s="104">
        <v>354</v>
      </c>
      <c r="I9" s="104">
        <v>354</v>
      </c>
    </row>
    <row r="10" spans="1:9" x14ac:dyDescent="0.3">
      <c r="A10" s="103" t="s">
        <v>292</v>
      </c>
      <c r="B10" s="102" t="str">
        <f t="shared" si="0"/>
        <v>187F4014</v>
      </c>
      <c r="C10" s="103" t="s">
        <v>293</v>
      </c>
      <c r="D10" s="103" t="s">
        <v>278</v>
      </c>
      <c r="E10" s="106">
        <v>1</v>
      </c>
      <c r="F10" s="104">
        <v>372.6</v>
      </c>
      <c r="G10" s="111">
        <v>0</v>
      </c>
      <c r="H10" s="104">
        <v>372.6</v>
      </c>
      <c r="I10" s="104">
        <v>372.6</v>
      </c>
    </row>
    <row r="11" spans="1:9" x14ac:dyDescent="0.3">
      <c r="A11" s="103" t="s">
        <v>294</v>
      </c>
      <c r="B11" s="102" t="str">
        <f t="shared" si="0"/>
        <v>187F4015</v>
      </c>
      <c r="C11" s="103" t="s">
        <v>295</v>
      </c>
      <c r="D11" s="103" t="s">
        <v>278</v>
      </c>
      <c r="E11" s="106">
        <v>1</v>
      </c>
      <c r="F11" s="104">
        <v>399</v>
      </c>
      <c r="G11" s="111">
        <v>0</v>
      </c>
      <c r="H11" s="104">
        <v>399</v>
      </c>
      <c r="I11" s="104">
        <v>399</v>
      </c>
    </row>
    <row r="12" spans="1:9" x14ac:dyDescent="0.3">
      <c r="A12" s="103" t="s">
        <v>296</v>
      </c>
      <c r="B12" s="102" t="str">
        <f t="shared" si="0"/>
        <v>187F4019</v>
      </c>
      <c r="C12" s="103" t="s">
        <v>297</v>
      </c>
      <c r="D12" s="103" t="s">
        <v>278</v>
      </c>
      <c r="E12" s="106">
        <v>1</v>
      </c>
      <c r="F12" s="104">
        <v>655</v>
      </c>
      <c r="G12" s="111">
        <v>0</v>
      </c>
      <c r="H12" s="104">
        <v>655</v>
      </c>
      <c r="I12" s="104">
        <v>655</v>
      </c>
    </row>
    <row r="13" spans="1:9" x14ac:dyDescent="0.3">
      <c r="A13" s="103" t="s">
        <v>298</v>
      </c>
      <c r="B13" s="102" t="str">
        <f t="shared" si="0"/>
        <v>187F4020</v>
      </c>
      <c r="C13" s="103" t="s">
        <v>299</v>
      </c>
      <c r="D13" s="103" t="s">
        <v>278</v>
      </c>
      <c r="E13" s="106">
        <v>1</v>
      </c>
      <c r="F13" s="104">
        <v>719</v>
      </c>
      <c r="G13" s="111">
        <v>0</v>
      </c>
      <c r="H13" s="104">
        <v>719</v>
      </c>
      <c r="I13" s="104">
        <v>719</v>
      </c>
    </row>
    <row r="14" spans="1:9" x14ac:dyDescent="0.3">
      <c r="A14" s="103" t="s">
        <v>300</v>
      </c>
      <c r="B14" s="102" t="str">
        <f t="shared" si="0"/>
        <v>187F4021</v>
      </c>
      <c r="C14" s="103" t="s">
        <v>301</v>
      </c>
      <c r="D14" s="103" t="s">
        <v>278</v>
      </c>
      <c r="E14" s="106">
        <v>1</v>
      </c>
      <c r="F14" s="104">
        <v>765</v>
      </c>
      <c r="G14" s="111">
        <v>0</v>
      </c>
      <c r="H14" s="104">
        <v>765</v>
      </c>
      <c r="I14" s="104">
        <v>765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50"/>
  <sheetViews>
    <sheetView tabSelected="1" topLeftCell="S1" zoomScaleNormal="100" workbookViewId="0">
      <selection activeCell="AJ87" sqref="AJ87"/>
    </sheetView>
  </sheetViews>
  <sheetFormatPr defaultRowHeight="15.75" x14ac:dyDescent="0.3"/>
  <cols>
    <col min="1" max="1" width="12.42578125" customWidth="1"/>
    <col min="3" max="3" width="14.42578125" customWidth="1"/>
    <col min="4" max="4" width="29.5703125" bestFit="1" customWidth="1"/>
    <col min="5" max="5" width="29.5703125" customWidth="1"/>
    <col min="6" max="6" width="12.5703125" bestFit="1" customWidth="1"/>
    <col min="7" max="7" width="12.28515625" customWidth="1"/>
    <col min="8" max="8" width="12.5703125" bestFit="1" customWidth="1"/>
    <col min="9" max="9" width="14.42578125" customWidth="1"/>
    <col min="10" max="12" width="12.5703125" customWidth="1"/>
    <col min="20" max="20" width="24.5703125" customWidth="1"/>
    <col min="21" max="21" width="16.5703125" customWidth="1"/>
    <col min="22" max="22" width="15" customWidth="1"/>
    <col min="29" max="29" width="9.5703125" bestFit="1" customWidth="1"/>
    <col min="30" max="30" width="12.5703125" bestFit="1" customWidth="1"/>
    <col min="32" max="32" width="12.5703125" bestFit="1" customWidth="1"/>
    <col min="33" max="33" width="12.5703125" customWidth="1"/>
    <col min="36" max="36" width="18.5703125" customWidth="1"/>
  </cols>
  <sheetData>
    <row r="1" spans="1:55" x14ac:dyDescent="0.3">
      <c r="A1" s="1" t="s">
        <v>83</v>
      </c>
      <c r="AU1" s="114" t="s">
        <v>187</v>
      </c>
      <c r="AV1" s="115"/>
      <c r="AY1" s="116" t="s">
        <v>188</v>
      </c>
      <c r="AZ1" s="117"/>
      <c r="BA1" s="117"/>
      <c r="BB1" s="117"/>
      <c r="BC1" s="118"/>
    </row>
    <row r="2" spans="1:55" x14ac:dyDescent="0.3">
      <c r="A2" s="1"/>
      <c r="AU2" s="54" t="s">
        <v>90</v>
      </c>
      <c r="AV2" s="54" t="s">
        <v>186</v>
      </c>
      <c r="AY2" s="54">
        <v>20</v>
      </c>
      <c r="AZ2" s="54">
        <v>-2.4685314685316678E-4</v>
      </c>
      <c r="BA2" s="54">
        <v>2.3193473193473669E-4</v>
      </c>
      <c r="BB2" s="54">
        <v>9.7025641025641051E-3</v>
      </c>
      <c r="BC2" s="54">
        <v>-3.9440559440559475E-4</v>
      </c>
    </row>
    <row r="3" spans="1:55" ht="23.25" x14ac:dyDescent="0.35">
      <c r="A3" s="1" t="s">
        <v>154</v>
      </c>
      <c r="T3" s="40" t="s">
        <v>158</v>
      </c>
      <c r="U3" s="40"/>
      <c r="AU3" s="54" t="s">
        <v>91</v>
      </c>
      <c r="AV3" s="54" t="s">
        <v>185</v>
      </c>
      <c r="AY3" s="54">
        <v>25</v>
      </c>
      <c r="AZ3" s="54">
        <v>-2.139860139860159E-4</v>
      </c>
      <c r="BA3" s="54">
        <v>1.7598290598290689E-3</v>
      </c>
      <c r="BB3" s="54">
        <v>2.5531468531468492E-3</v>
      </c>
      <c r="BC3" s="54">
        <v>-4.4910644910644529E-5</v>
      </c>
    </row>
    <row r="4" spans="1:55" ht="29.25" x14ac:dyDescent="0.55000000000000004">
      <c r="A4" s="1"/>
      <c r="T4" t="s">
        <v>167</v>
      </c>
      <c r="V4">
        <v>10</v>
      </c>
      <c r="W4" t="s">
        <v>166</v>
      </c>
      <c r="AD4" s="53" t="s">
        <v>180</v>
      </c>
      <c r="AU4" s="54" t="s">
        <v>94</v>
      </c>
      <c r="AV4" s="54" t="s">
        <v>186</v>
      </c>
      <c r="AY4" s="54">
        <v>32</v>
      </c>
      <c r="AZ4" s="54">
        <v>-2.139860139860159E-4</v>
      </c>
      <c r="BA4" s="54">
        <v>1.7598290598290689E-3</v>
      </c>
      <c r="BB4" s="54">
        <v>2.5531468531468492E-3</v>
      </c>
      <c r="BC4" s="54">
        <v>-4.4910644910644529E-5</v>
      </c>
    </row>
    <row r="5" spans="1:55" ht="29.25" x14ac:dyDescent="0.45">
      <c r="A5" s="1"/>
      <c r="T5" t="s">
        <v>159</v>
      </c>
      <c r="V5">
        <v>0.5</v>
      </c>
      <c r="AD5" s="41" t="s">
        <v>179</v>
      </c>
      <c r="AU5" s="54" t="s">
        <v>96</v>
      </c>
      <c r="AV5" s="54" t="s">
        <v>185</v>
      </c>
      <c r="AY5" s="54">
        <v>40</v>
      </c>
      <c r="AZ5" s="54">
        <v>-6.293706293706433E-5</v>
      </c>
      <c r="BA5" s="54">
        <v>1.1763791763791801E-3</v>
      </c>
      <c r="BB5" s="54">
        <v>1.3939393939393929E-3</v>
      </c>
      <c r="BC5" s="54">
        <v>3.1080031080031988E-6</v>
      </c>
    </row>
    <row r="6" spans="1:55" ht="29.25" x14ac:dyDescent="0.45">
      <c r="A6" s="1"/>
      <c r="F6" t="s">
        <v>157</v>
      </c>
      <c r="AD6" s="41" t="s">
        <v>161</v>
      </c>
      <c r="AU6" s="54" t="s">
        <v>99</v>
      </c>
      <c r="AV6" s="54" t="s">
        <v>186</v>
      </c>
      <c r="AY6" s="54">
        <v>50</v>
      </c>
      <c r="AZ6" s="54">
        <v>-6.293706293706433E-5</v>
      </c>
      <c r="BA6" s="54">
        <v>1.1763791763791801E-3</v>
      </c>
      <c r="BB6" s="54">
        <v>1.3939393939393929E-3</v>
      </c>
      <c r="BC6" s="54">
        <v>3.1080031080031988E-6</v>
      </c>
    </row>
    <row r="7" spans="1:55" ht="29.25" x14ac:dyDescent="0.45">
      <c r="A7" s="113" t="s">
        <v>155</v>
      </c>
      <c r="B7" s="113"/>
      <c r="C7" s="84"/>
      <c r="D7">
        <v>150</v>
      </c>
      <c r="F7">
        <f>0.00000178/(1+0.0337*D7+0.000221*D7^2)</f>
        <v>1.6141464520516888E-7</v>
      </c>
      <c r="G7" t="s">
        <v>171</v>
      </c>
      <c r="AD7" s="41" t="s">
        <v>181</v>
      </c>
      <c r="AU7" s="54" t="s">
        <v>100</v>
      </c>
      <c r="AV7" s="54" t="s">
        <v>185</v>
      </c>
      <c r="AY7" s="54">
        <v>65</v>
      </c>
      <c r="AZ7" s="54">
        <v>-7.6223776223775406E-5</v>
      </c>
      <c r="BA7" s="54">
        <v>6.2315462315462415E-4</v>
      </c>
      <c r="BB7" s="54">
        <v>1.7424242424242419E-3</v>
      </c>
      <c r="BC7" s="54">
        <v>-4.1802641802641798E-5</v>
      </c>
    </row>
    <row r="8" spans="1:55" x14ac:dyDescent="0.3">
      <c r="A8" s="113" t="s">
        <v>156</v>
      </c>
      <c r="B8" s="113"/>
      <c r="C8" s="84"/>
      <c r="D8">
        <v>70</v>
      </c>
      <c r="F8">
        <f>0.00000178/(1+0.0337*D8+0.000221*D8^2)</f>
        <v>4.0072941759157111E-7</v>
      </c>
      <c r="G8" t="s">
        <v>171</v>
      </c>
      <c r="AU8" s="54" t="s">
        <v>105</v>
      </c>
      <c r="AV8" s="54" t="s">
        <v>186</v>
      </c>
      <c r="AY8" s="54">
        <v>80</v>
      </c>
      <c r="AZ8" s="54">
        <v>-7.6223776223775406E-5</v>
      </c>
      <c r="BA8" s="54">
        <v>6.2315462315462415E-4</v>
      </c>
      <c r="BB8" s="54">
        <v>1.7424242424242419E-3</v>
      </c>
      <c r="BC8" s="54">
        <v>-4.1802641802641798E-5</v>
      </c>
    </row>
    <row r="9" spans="1:55" ht="23.25" thickBot="1" x14ac:dyDescent="0.35">
      <c r="F9" s="40" t="s">
        <v>221</v>
      </c>
      <c r="AU9" s="54" t="s">
        <v>106</v>
      </c>
      <c r="AV9" s="54" t="s">
        <v>185</v>
      </c>
      <c r="AY9" s="54">
        <v>100</v>
      </c>
      <c r="AZ9" s="54">
        <v>-9.5238095238068854E-6</v>
      </c>
      <c r="BA9" s="54">
        <v>5.158730158730156E-4</v>
      </c>
      <c r="BB9" s="54">
        <v>1.1226190476190472E-3</v>
      </c>
      <c r="BC9" s="54">
        <v>-2.7777777777776928E-6</v>
      </c>
    </row>
    <row r="10" spans="1:55" ht="77.25" thickBot="1" x14ac:dyDescent="0.35">
      <c r="A10" s="2" t="s">
        <v>84</v>
      </c>
      <c r="B10" s="3" t="s">
        <v>85</v>
      </c>
      <c r="C10" s="3" t="s">
        <v>226</v>
      </c>
      <c r="D10" s="3" t="s">
        <v>86</v>
      </c>
      <c r="E10" s="3" t="s">
        <v>243</v>
      </c>
      <c r="F10" s="3" t="s">
        <v>87</v>
      </c>
      <c r="G10" s="2" t="s">
        <v>84</v>
      </c>
      <c r="H10" s="3" t="s">
        <v>88</v>
      </c>
      <c r="I10" s="3" t="s">
        <v>224</v>
      </c>
      <c r="J10" s="3" t="s">
        <v>225</v>
      </c>
      <c r="K10" s="3" t="s">
        <v>80</v>
      </c>
      <c r="L10" s="3" t="s">
        <v>81</v>
      </c>
      <c r="M10" s="4" t="s">
        <v>169</v>
      </c>
      <c r="N10" s="4" t="s">
        <v>170</v>
      </c>
      <c r="O10" s="3" t="s">
        <v>164</v>
      </c>
      <c r="P10" s="3" t="s">
        <v>162</v>
      </c>
      <c r="Q10" s="3" t="s">
        <v>191</v>
      </c>
      <c r="R10" s="3" t="s">
        <v>192</v>
      </c>
      <c r="S10" s="3" t="s">
        <v>163</v>
      </c>
      <c r="T10" s="3" t="s">
        <v>190</v>
      </c>
      <c r="U10" s="3" t="s">
        <v>89</v>
      </c>
      <c r="V10" s="37" t="s">
        <v>172</v>
      </c>
      <c r="W10" s="37" t="s">
        <v>174</v>
      </c>
      <c r="X10" s="37" t="s">
        <v>168</v>
      </c>
      <c r="Y10" s="37" t="s">
        <v>165</v>
      </c>
      <c r="Z10" s="37" t="s">
        <v>176</v>
      </c>
      <c r="AA10" s="37" t="s">
        <v>173</v>
      </c>
      <c r="AB10" s="37" t="s">
        <v>175</v>
      </c>
      <c r="AC10" s="37" t="s">
        <v>177</v>
      </c>
      <c r="AD10" s="37" t="s">
        <v>150</v>
      </c>
      <c r="AE10" s="37" t="s">
        <v>151</v>
      </c>
      <c r="AF10" s="37" t="s">
        <v>152</v>
      </c>
      <c r="AG10" s="37" t="s">
        <v>189</v>
      </c>
      <c r="AH10" s="37" t="s">
        <v>153</v>
      </c>
      <c r="AI10" s="37" t="s">
        <v>178</v>
      </c>
      <c r="AJ10" s="120" t="s">
        <v>328</v>
      </c>
      <c r="AU10" s="54" t="s">
        <v>112</v>
      </c>
      <c r="AV10" s="54" t="s">
        <v>186</v>
      </c>
      <c r="AY10" s="54">
        <v>150</v>
      </c>
      <c r="AZ10" s="54">
        <v>0</v>
      </c>
      <c r="BA10" s="54">
        <v>0</v>
      </c>
      <c r="BB10" s="54">
        <v>0</v>
      </c>
      <c r="BC10" s="54">
        <v>0</v>
      </c>
    </row>
    <row r="11" spans="1:55" x14ac:dyDescent="0.3">
      <c r="A11" s="5">
        <v>20</v>
      </c>
      <c r="B11" s="86">
        <v>2</v>
      </c>
      <c r="C11" s="92">
        <v>6078719</v>
      </c>
      <c r="D11" s="7" t="s">
        <v>90</v>
      </c>
      <c r="E11" s="85" t="str">
        <f>VLOOKUP(C11,Sheet2!B:F,5,FALSE)</f>
        <v>Межфланцевая</v>
      </c>
      <c r="F11" s="95" t="s">
        <v>92</v>
      </c>
      <c r="G11" s="46">
        <f t="shared" ref="G11:G42" si="0">IF(A11="",G10,A11)</f>
        <v>20</v>
      </c>
      <c r="H11" s="8">
        <v>20</v>
      </c>
      <c r="I11" s="8"/>
      <c r="J11" s="8"/>
      <c r="K11" s="76">
        <f>L11*0.1</f>
        <v>0.60000000000000009</v>
      </c>
      <c r="L11" s="76">
        <v>6</v>
      </c>
      <c r="M11" s="8">
        <v>0</v>
      </c>
      <c r="N11" s="8">
        <v>0</v>
      </c>
      <c r="O11" s="42">
        <v>20</v>
      </c>
      <c r="P11" s="42">
        <f>IF(M11=0,0,(G11-O11)/(2*TAN(RADIANS(M11)/2))+10)</f>
        <v>0</v>
      </c>
      <c r="Q11" s="42">
        <f t="shared" ref="Q11:Q38" si="1">2*O11</f>
        <v>40</v>
      </c>
      <c r="R11" s="42">
        <f>2*O11</f>
        <v>40</v>
      </c>
      <c r="S11" s="42">
        <f>IF(N11=0,0,(G11-O11)/(2*TAN(RADIANS(N11)/2))+10)</f>
        <v>0</v>
      </c>
      <c r="T11" s="32">
        <v>111</v>
      </c>
      <c r="U11" s="32">
        <f>T11+Q11+R11</f>
        <v>191</v>
      </c>
      <c r="V11" s="39">
        <f>4*$V$4/(3.6*PI()*H11*$F$8)</f>
        <v>441292.34813975659</v>
      </c>
      <c r="W11" s="39">
        <f t="shared" ref="W11:W42" si="2">0.11*((68/V11)+$V$5/H11)^0.25</f>
        <v>4.3807134899537192E-2</v>
      </c>
      <c r="X11" s="39">
        <f>(-0.0125*(H11/G11)^8+0.0224*(H11/G11)^6-0.00723*(H11/G11)^4+0.00444*(H11/G11)^2-0.00745)*((0.01745*M11)^3-2*PI()*(0.01745*M11)^2-10*0.01745*M11)+IF(M11=0,0,W11/(8*SIN(RADIANS(M11/2)))*(1-(H11/G11)^4))</f>
        <v>0</v>
      </c>
      <c r="Y11" s="39">
        <f>4*$V$4/(3.6*PI()*H11*$F$8)</f>
        <v>441292.34813975659</v>
      </c>
      <c r="Z11" s="39">
        <f t="shared" ref="Z11:Z42" si="3">0.11*((68/Y11)+$V$5/H11)^0.25</f>
        <v>4.3807134899537192E-2</v>
      </c>
      <c r="AA11" s="39">
        <f>4*$V$4/(3.6*PI()*H11*$F$8)</f>
        <v>441292.34813975659</v>
      </c>
      <c r="AB11" s="39">
        <f t="shared" ref="AB11:AB42" si="4">0.11*((68/AA11)+$V$5/H11)^0.25</f>
        <v>4.3807134899537192E-2</v>
      </c>
      <c r="AC11" s="39">
        <f>IF(N11&gt;40,1,(3.2*(TAN(RADIANS(N11/2)))^1.25))*((1-(H11/G11)^2)^2)+IF(N11=0,0,AB11/(8*SIN(RADIANS(N11/2)))*(1-(H11/G11)^4))</f>
        <v>0</v>
      </c>
      <c r="AD11" s="38">
        <f>Z11*(((U11)/H11)*(4*$V$4*1000/(3.6*PI()*H11^2))^2)/(2*9.81)</f>
        <v>1.6670340543633988</v>
      </c>
      <c r="AE11" s="38">
        <f>X11*((4*$V$4*1000/(3.6*PI()*H11^2))^2)/(2*9.81)</f>
        <v>0</v>
      </c>
      <c r="AF11" s="38">
        <f>AC11*((4*$V$4*1000/(3.6*PI()*H11^2))^2)/(2*9.81)</f>
        <v>0</v>
      </c>
      <c r="AG11" s="38">
        <f t="shared" ref="AG11:AG42" ca="1" si="5">(OFFSET($AY$2:$AY$10,MATCH(H11,$AY$2:$AY$10,0)-1,1,1,1)+OFFSET($AY$2:$AY$10,MATCH(H11,$AY$2:$AY$10,0)-1,2,1,1)*AI11+OFFSET($AY$2:$AY$10,MATCH(H11,$AY$2:$AY$10,0)-1,3,1,1)*AI11^2+OFFSET($AY$2:$AY$10,MATCH(H11,$AY$2:$AY$10,0)-1,4,1,1)*AI11^3)*10.0000371*IF(VLOOKUP(D11,$AU$2:$AV$16,2,FALSE)="L",1,0)</f>
        <v>4.8771372660512382</v>
      </c>
      <c r="AH11" s="38">
        <f ca="1">SUM(AD11:AG11)</f>
        <v>6.5441713204146374</v>
      </c>
      <c r="AI11" s="38">
        <f t="shared" ref="AI11:AI42" si="6">(4*$V$4*1000/(3.6*PI()*H11^2))</f>
        <v>8.8419412828830737</v>
      </c>
      <c r="AJ11" t="s">
        <v>329</v>
      </c>
      <c r="AU11" s="54" t="s">
        <v>113</v>
      </c>
      <c r="AV11" s="54" t="s">
        <v>185</v>
      </c>
    </row>
    <row r="12" spans="1:55" x14ac:dyDescent="0.3">
      <c r="A12" s="9"/>
      <c r="B12" s="87"/>
      <c r="C12" s="92">
        <v>6091167</v>
      </c>
      <c r="D12" s="10" t="s">
        <v>91</v>
      </c>
      <c r="E12" s="85" t="str">
        <f>VLOOKUP(C12,Sheet2!B:F,5,FALSE)</f>
        <v>Межфланцевая</v>
      </c>
      <c r="F12" s="11" t="s">
        <v>92</v>
      </c>
      <c r="G12" s="47">
        <f t="shared" si="0"/>
        <v>20</v>
      </c>
      <c r="H12" s="12">
        <v>20</v>
      </c>
      <c r="I12" s="12"/>
      <c r="J12" s="12"/>
      <c r="K12" s="74">
        <f>L12*0.1</f>
        <v>1.2000000000000002</v>
      </c>
      <c r="L12" s="74">
        <v>12</v>
      </c>
      <c r="M12" s="12">
        <v>0</v>
      </c>
      <c r="N12" s="12">
        <v>0</v>
      </c>
      <c r="O12" s="43">
        <v>20</v>
      </c>
      <c r="P12" s="43">
        <f>IF(M12=0,0,(G12-O12)/(2*TAN(RADIANS(M12)/2))+10)</f>
        <v>0</v>
      </c>
      <c r="Q12" s="43">
        <f t="shared" si="1"/>
        <v>40</v>
      </c>
      <c r="R12" s="43">
        <f>2*O12</f>
        <v>40</v>
      </c>
      <c r="S12" s="43">
        <f>IF(N12=0,0,(G12-O12)/(2*TAN(RADIANS(N12)/2))+10)</f>
        <v>0</v>
      </c>
      <c r="T12" s="33">
        <v>111</v>
      </c>
      <c r="U12" s="33">
        <f t="shared" ref="U12:U75" si="7">T12+Q12+R12</f>
        <v>191</v>
      </c>
      <c r="V12" s="39">
        <f t="shared" ref="V12:V75" si="8">4*$V$4/(3.6*PI()*H12*$F$8)</f>
        <v>441292.34813975659</v>
      </c>
      <c r="W12" s="39">
        <f t="shared" si="2"/>
        <v>4.3807134899537192E-2</v>
      </c>
      <c r="X12" s="39">
        <f t="shared" ref="X12:X18" si="9">(-0.0125*(H12/G12)^8+0.0224*(H12/G12)^6-0.00723*(H12/G12)^4+0.00444*(H12/G12)^2-0.00745)*((0.01745*M12)^3-2*PI()*(0.01745*M12)^2-10*0.01745*M12)+IF(M12=0,0,W12/(8*SIN(RADIANS(M12/2)))*(1-(H12/G12)^4))</f>
        <v>0</v>
      </c>
      <c r="Y12" s="39">
        <f t="shared" ref="Y12:Y75" si="10">4*$V$4/(3.6*PI()*H12*$F$8)</f>
        <v>441292.34813975659</v>
      </c>
      <c r="Z12" s="39">
        <f t="shared" si="3"/>
        <v>4.3807134899537192E-2</v>
      </c>
      <c r="AA12" s="39">
        <f t="shared" ref="AA12:AA75" si="11">4*$V$4/(3.6*PI()*H12*$F$8)</f>
        <v>441292.34813975659</v>
      </c>
      <c r="AB12" s="39">
        <f t="shared" si="4"/>
        <v>4.3807134899537192E-2</v>
      </c>
      <c r="AC12" s="39">
        <f t="shared" ref="AC12:AC17" si="12">IF(N12&gt;40,1,(3.2*(TAN(RADIANS(N12/2)))^1.25))*((1-(H12/G12)^2)^2)+IF(N12=0,0,AB12/(8*SIN(RADIANS(N12/2)))*(1-(H12/G12)^4))</f>
        <v>0</v>
      </c>
      <c r="AD12" s="38">
        <f t="shared" ref="AD12:AD75" si="13">Z12*(((U12)/H12)*(4*$V$4*1000/(3.6*PI()*H12^2))^2)/(2*9.81)</f>
        <v>1.6670340543633988</v>
      </c>
      <c r="AE12" s="38">
        <f t="shared" ref="AE12:AE18" si="14">X12*((4*$V$4*1000/(3.6*PI()*H12^2))^2)/(2*9.81)</f>
        <v>0</v>
      </c>
      <c r="AF12" s="38">
        <f t="shared" ref="AF12:AF18" si="15">AC12*((4*$V$4*1000/(3.6*PI()*H12^2))^2)/(2*9.81)</f>
        <v>0</v>
      </c>
      <c r="AG12" s="38">
        <f t="shared" ca="1" si="5"/>
        <v>0</v>
      </c>
      <c r="AH12" s="38">
        <f t="shared" ref="AH12:AH18" si="16">SUM(AD12:AF12)</f>
        <v>1.6670340543633988</v>
      </c>
      <c r="AI12" s="38">
        <f t="shared" si="6"/>
        <v>8.8419412828830737</v>
      </c>
      <c r="AJ12" t="s">
        <v>329</v>
      </c>
      <c r="AU12" s="54" t="s">
        <v>119</v>
      </c>
      <c r="AV12" s="54" t="s">
        <v>186</v>
      </c>
    </row>
    <row r="13" spans="1:55" x14ac:dyDescent="0.3">
      <c r="A13" s="13">
        <v>25</v>
      </c>
      <c r="B13" s="24">
        <v>4</v>
      </c>
      <c r="C13" s="92">
        <v>6078719</v>
      </c>
      <c r="D13" s="15" t="s">
        <v>90</v>
      </c>
      <c r="E13" s="85" t="str">
        <f>VLOOKUP(C13,Sheet2!B:F,5,FALSE)</f>
        <v>Межфланцевая</v>
      </c>
      <c r="F13" s="11" t="s">
        <v>93</v>
      </c>
      <c r="G13" s="47">
        <f t="shared" si="0"/>
        <v>25</v>
      </c>
      <c r="H13" s="12">
        <v>20</v>
      </c>
      <c r="I13" s="12"/>
      <c r="J13" s="12"/>
      <c r="K13" s="74">
        <f t="shared" ref="K13:K76" si="17">L13*0.1</f>
        <v>0.60000000000000009</v>
      </c>
      <c r="L13" s="74">
        <v>6</v>
      </c>
      <c r="M13" s="12">
        <v>5.6127405035765001</v>
      </c>
      <c r="N13" s="12">
        <v>5.6127405035765001</v>
      </c>
      <c r="O13" s="43">
        <v>20</v>
      </c>
      <c r="P13" s="43">
        <f t="shared" ref="P13:P76" si="18">IF(M13=0,0,(G13-O13)/(2*TAN(RADIANS(M13)/2))+10)</f>
        <v>60.999999999999993</v>
      </c>
      <c r="Q13" s="43">
        <f t="shared" si="1"/>
        <v>40</v>
      </c>
      <c r="R13" s="43">
        <f t="shared" ref="R13:R76" si="19">2*O13</f>
        <v>40</v>
      </c>
      <c r="S13" s="43">
        <f t="shared" ref="S13:S76" si="20">IF(N13=0,0,(G13-O13)/(2*TAN(RADIANS(N13)/2))+10)</f>
        <v>60.999999999999993</v>
      </c>
      <c r="T13" s="33">
        <v>151</v>
      </c>
      <c r="U13" s="33">
        <f t="shared" si="7"/>
        <v>231</v>
      </c>
      <c r="V13" s="39">
        <f t="shared" si="8"/>
        <v>441292.34813975659</v>
      </c>
      <c r="W13" s="39">
        <f t="shared" si="2"/>
        <v>4.3807134899537192E-2</v>
      </c>
      <c r="X13" s="39">
        <f t="shared" si="9"/>
        <v>6.9973721917263171E-2</v>
      </c>
      <c r="Y13" s="39">
        <f t="shared" si="10"/>
        <v>441292.34813975659</v>
      </c>
      <c r="Z13" s="39">
        <f t="shared" si="3"/>
        <v>4.3807134899537192E-2</v>
      </c>
      <c r="AA13" s="39">
        <f t="shared" si="11"/>
        <v>441292.34813975659</v>
      </c>
      <c r="AB13" s="39">
        <f t="shared" si="4"/>
        <v>4.3807134899537192E-2</v>
      </c>
      <c r="AC13" s="39">
        <f t="shared" si="12"/>
        <v>7.5597420891373168E-2</v>
      </c>
      <c r="AD13" s="38">
        <f t="shared" si="13"/>
        <v>2.0161511338112308</v>
      </c>
      <c r="AE13" s="38">
        <f t="shared" si="14"/>
        <v>0.27882468791753562</v>
      </c>
      <c r="AF13" s="38">
        <f t="shared" si="15"/>
        <v>0.301233473222002</v>
      </c>
      <c r="AG13" s="38">
        <f t="shared" ca="1" si="5"/>
        <v>4.8771372660512382</v>
      </c>
      <c r="AH13" s="38">
        <f t="shared" si="16"/>
        <v>2.5962092949507682</v>
      </c>
      <c r="AI13" s="38">
        <f t="shared" si="6"/>
        <v>8.8419412828830737</v>
      </c>
      <c r="AJ13" t="s">
        <v>329</v>
      </c>
      <c r="AU13" s="54" t="s">
        <v>123</v>
      </c>
      <c r="AV13" s="54" t="s">
        <v>186</v>
      </c>
    </row>
    <row r="14" spans="1:55" x14ac:dyDescent="0.3">
      <c r="A14" s="13"/>
      <c r="B14" s="24"/>
      <c r="C14" s="92">
        <v>6091167</v>
      </c>
      <c r="D14" s="15" t="s">
        <v>91</v>
      </c>
      <c r="E14" s="85" t="str">
        <f>VLOOKUP(C14,Sheet2!B:F,5,FALSE)</f>
        <v>Межфланцевая</v>
      </c>
      <c r="F14" s="11" t="s">
        <v>93</v>
      </c>
      <c r="G14" s="47">
        <f t="shared" si="0"/>
        <v>25</v>
      </c>
      <c r="H14" s="12">
        <v>20</v>
      </c>
      <c r="I14" s="12"/>
      <c r="J14" s="12"/>
      <c r="K14" s="74">
        <f t="shared" si="17"/>
        <v>1.2000000000000002</v>
      </c>
      <c r="L14" s="74">
        <v>12</v>
      </c>
      <c r="M14" s="12">
        <v>5.6127405035765001</v>
      </c>
      <c r="N14" s="12">
        <v>5.6127405035765001</v>
      </c>
      <c r="O14" s="43">
        <v>20</v>
      </c>
      <c r="P14" s="43">
        <f t="shared" si="18"/>
        <v>60.999999999999993</v>
      </c>
      <c r="Q14" s="43">
        <f t="shared" si="1"/>
        <v>40</v>
      </c>
      <c r="R14" s="43">
        <f t="shared" si="19"/>
        <v>40</v>
      </c>
      <c r="S14" s="43">
        <f t="shared" si="20"/>
        <v>60.999999999999993</v>
      </c>
      <c r="T14" s="33">
        <v>151</v>
      </c>
      <c r="U14" s="33">
        <f t="shared" si="7"/>
        <v>231</v>
      </c>
      <c r="V14" s="39">
        <f t="shared" si="8"/>
        <v>441292.34813975659</v>
      </c>
      <c r="W14" s="39">
        <f t="shared" si="2"/>
        <v>4.3807134899537192E-2</v>
      </c>
      <c r="X14" s="39">
        <f t="shared" si="9"/>
        <v>6.9973721917263171E-2</v>
      </c>
      <c r="Y14" s="39">
        <f t="shared" si="10"/>
        <v>441292.34813975659</v>
      </c>
      <c r="Z14" s="39">
        <f t="shared" si="3"/>
        <v>4.3807134899537192E-2</v>
      </c>
      <c r="AA14" s="39">
        <f t="shared" si="11"/>
        <v>441292.34813975659</v>
      </c>
      <c r="AB14" s="39">
        <f t="shared" si="4"/>
        <v>4.3807134899537192E-2</v>
      </c>
      <c r="AC14" s="39">
        <f t="shared" si="12"/>
        <v>7.5597420891373168E-2</v>
      </c>
      <c r="AD14" s="38">
        <f t="shared" si="13"/>
        <v>2.0161511338112308</v>
      </c>
      <c r="AE14" s="38">
        <f t="shared" si="14"/>
        <v>0.27882468791753562</v>
      </c>
      <c r="AF14" s="38">
        <f t="shared" si="15"/>
        <v>0.301233473222002</v>
      </c>
      <c r="AG14" s="38">
        <f t="shared" ca="1" si="5"/>
        <v>0</v>
      </c>
      <c r="AH14" s="38">
        <f t="shared" si="16"/>
        <v>2.5962092949507682</v>
      </c>
      <c r="AI14" s="38">
        <f t="shared" si="6"/>
        <v>8.8419412828830737</v>
      </c>
      <c r="AJ14" t="s">
        <v>329</v>
      </c>
      <c r="AU14" s="54" t="s">
        <v>126</v>
      </c>
      <c r="AV14" s="54" t="s">
        <v>186</v>
      </c>
    </row>
    <row r="15" spans="1:55" x14ac:dyDescent="0.3">
      <c r="A15" s="13"/>
      <c r="B15" s="24"/>
      <c r="C15" s="92">
        <v>6121894</v>
      </c>
      <c r="D15" s="15" t="s">
        <v>94</v>
      </c>
      <c r="E15" s="85" t="str">
        <f>VLOOKUP(C15,Sheet2!B:F,5,FALSE)</f>
        <v>Фланцевая</v>
      </c>
      <c r="F15" s="11" t="s">
        <v>95</v>
      </c>
      <c r="G15" s="47">
        <f t="shared" si="0"/>
        <v>25</v>
      </c>
      <c r="H15" s="12">
        <v>25</v>
      </c>
      <c r="I15" s="12"/>
      <c r="J15" s="12"/>
      <c r="K15" s="74">
        <f t="shared" si="17"/>
        <v>0.9</v>
      </c>
      <c r="L15" s="74">
        <v>9</v>
      </c>
      <c r="M15" s="12">
        <v>0</v>
      </c>
      <c r="N15" s="12">
        <v>0</v>
      </c>
      <c r="O15" s="43">
        <v>25</v>
      </c>
      <c r="P15" s="43">
        <f t="shared" si="18"/>
        <v>0</v>
      </c>
      <c r="Q15" s="43">
        <f t="shared" si="1"/>
        <v>50</v>
      </c>
      <c r="R15" s="43">
        <f t="shared" si="19"/>
        <v>50</v>
      </c>
      <c r="S15" s="43">
        <f t="shared" si="20"/>
        <v>0</v>
      </c>
      <c r="T15" s="33">
        <v>200</v>
      </c>
      <c r="U15" s="33">
        <f t="shared" si="7"/>
        <v>300</v>
      </c>
      <c r="V15" s="39">
        <f t="shared" si="8"/>
        <v>353033.87851180526</v>
      </c>
      <c r="W15" s="39">
        <f t="shared" si="2"/>
        <v>4.1465874809924794E-2</v>
      </c>
      <c r="X15" s="39">
        <f t="shared" si="9"/>
        <v>0</v>
      </c>
      <c r="Y15" s="39">
        <f t="shared" si="10"/>
        <v>353033.87851180526</v>
      </c>
      <c r="Z15" s="39">
        <f t="shared" si="3"/>
        <v>4.1465874809924794E-2</v>
      </c>
      <c r="AA15" s="39">
        <f t="shared" si="11"/>
        <v>353033.87851180526</v>
      </c>
      <c r="AB15" s="39">
        <f t="shared" si="4"/>
        <v>4.1465874809924794E-2</v>
      </c>
      <c r="AC15" s="39">
        <f t="shared" si="12"/>
        <v>0</v>
      </c>
      <c r="AD15" s="38">
        <f t="shared" si="13"/>
        <v>0.81213509134721484</v>
      </c>
      <c r="AE15" s="38">
        <f t="shared" si="14"/>
        <v>0</v>
      </c>
      <c r="AF15" s="38">
        <f t="shared" si="15"/>
        <v>0</v>
      </c>
      <c r="AG15" s="38">
        <f t="shared" ca="1" si="5"/>
        <v>0.83364787466053847</v>
      </c>
      <c r="AH15" s="38">
        <f t="shared" si="16"/>
        <v>0.81213509134721484</v>
      </c>
      <c r="AI15" s="38">
        <f t="shared" si="6"/>
        <v>5.6588424210451675</v>
      </c>
      <c r="AJ15" t="s">
        <v>329</v>
      </c>
      <c r="AU15" s="54" t="s">
        <v>127</v>
      </c>
      <c r="AV15" s="54" t="s">
        <v>185</v>
      </c>
    </row>
    <row r="16" spans="1:55" x14ac:dyDescent="0.3">
      <c r="A16" s="13"/>
      <c r="B16" s="24"/>
      <c r="C16" s="92">
        <v>6121508</v>
      </c>
      <c r="D16" s="12" t="s">
        <v>96</v>
      </c>
      <c r="E16" s="85" t="str">
        <f>VLOOKUP(C16,Sheet2!B:F,5,FALSE)</f>
        <v>Фланцевая</v>
      </c>
      <c r="F16" s="11" t="s">
        <v>95</v>
      </c>
      <c r="G16" s="47">
        <f t="shared" si="0"/>
        <v>25</v>
      </c>
      <c r="H16" s="12">
        <v>25</v>
      </c>
      <c r="I16" s="12"/>
      <c r="J16" s="12"/>
      <c r="K16" s="74">
        <f t="shared" si="17"/>
        <v>1.8</v>
      </c>
      <c r="L16" s="74">
        <v>18</v>
      </c>
      <c r="M16" s="12">
        <v>0</v>
      </c>
      <c r="N16" s="12">
        <v>0</v>
      </c>
      <c r="O16" s="43">
        <v>25</v>
      </c>
      <c r="P16" s="43">
        <f t="shared" si="18"/>
        <v>0</v>
      </c>
      <c r="Q16" s="43">
        <f t="shared" si="1"/>
        <v>50</v>
      </c>
      <c r="R16" s="43">
        <f t="shared" si="19"/>
        <v>50</v>
      </c>
      <c r="S16" s="43">
        <f t="shared" si="20"/>
        <v>0</v>
      </c>
      <c r="T16" s="33">
        <v>200</v>
      </c>
      <c r="U16" s="33">
        <f t="shared" si="7"/>
        <v>300</v>
      </c>
      <c r="V16" s="39">
        <f t="shared" si="8"/>
        <v>353033.87851180526</v>
      </c>
      <c r="W16" s="39">
        <f t="shared" si="2"/>
        <v>4.1465874809924794E-2</v>
      </c>
      <c r="X16" s="39">
        <f t="shared" si="9"/>
        <v>0</v>
      </c>
      <c r="Y16" s="39">
        <f t="shared" si="10"/>
        <v>353033.87851180526</v>
      </c>
      <c r="Z16" s="39">
        <f t="shared" si="3"/>
        <v>4.1465874809924794E-2</v>
      </c>
      <c r="AA16" s="39">
        <f t="shared" si="11"/>
        <v>353033.87851180526</v>
      </c>
      <c r="AB16" s="39">
        <f t="shared" si="4"/>
        <v>4.1465874809924794E-2</v>
      </c>
      <c r="AC16" s="39">
        <f t="shared" si="12"/>
        <v>0</v>
      </c>
      <c r="AD16" s="38">
        <f t="shared" si="13"/>
        <v>0.81213509134721484</v>
      </c>
      <c r="AE16" s="38">
        <f t="shared" si="14"/>
        <v>0</v>
      </c>
      <c r="AF16" s="38">
        <f t="shared" si="15"/>
        <v>0</v>
      </c>
      <c r="AG16" s="38">
        <f t="shared" ca="1" si="5"/>
        <v>0</v>
      </c>
      <c r="AH16" s="38">
        <f t="shared" si="16"/>
        <v>0.81213509134721484</v>
      </c>
      <c r="AI16" s="38">
        <f t="shared" si="6"/>
        <v>5.6588424210451675</v>
      </c>
      <c r="AJ16" t="s">
        <v>329</v>
      </c>
      <c r="AU16" s="54" t="s">
        <v>132</v>
      </c>
      <c r="AV16" s="54" t="s">
        <v>185</v>
      </c>
    </row>
    <row r="17" spans="1:36" x14ac:dyDescent="0.3">
      <c r="A17" s="16">
        <v>32</v>
      </c>
      <c r="B17" s="88">
        <v>6</v>
      </c>
      <c r="C17" s="92">
        <v>6078719</v>
      </c>
      <c r="D17" s="12" t="s">
        <v>90</v>
      </c>
      <c r="E17" s="85" t="str">
        <f>VLOOKUP(C17,Sheet2!B:F,5,FALSE)</f>
        <v>Межфланцевая</v>
      </c>
      <c r="F17" s="11" t="s">
        <v>97</v>
      </c>
      <c r="G17" s="47">
        <f t="shared" si="0"/>
        <v>32</v>
      </c>
      <c r="H17" s="12">
        <v>20</v>
      </c>
      <c r="I17" s="12"/>
      <c r="J17" s="12"/>
      <c r="K17" s="74">
        <f t="shared" si="17"/>
        <v>0.60000000000000009</v>
      </c>
      <c r="L17" s="74">
        <v>6</v>
      </c>
      <c r="M17" s="12">
        <v>22.619864948040426</v>
      </c>
      <c r="N17" s="12">
        <v>22.619864948040426</v>
      </c>
      <c r="O17" s="43">
        <v>20</v>
      </c>
      <c r="P17" s="43">
        <f t="shared" si="18"/>
        <v>40</v>
      </c>
      <c r="Q17" s="43">
        <f t="shared" si="1"/>
        <v>40</v>
      </c>
      <c r="R17" s="43">
        <f t="shared" si="19"/>
        <v>40</v>
      </c>
      <c r="S17" s="43">
        <f t="shared" si="20"/>
        <v>40</v>
      </c>
      <c r="T17" s="33">
        <v>191</v>
      </c>
      <c r="U17" s="33">
        <f t="shared" si="7"/>
        <v>271</v>
      </c>
      <c r="V17" s="39">
        <f t="shared" si="8"/>
        <v>441292.34813975659</v>
      </c>
      <c r="W17" s="39">
        <f t="shared" si="2"/>
        <v>4.3807134899537192E-2</v>
      </c>
      <c r="X17" s="39">
        <f t="shared" si="9"/>
        <v>5.1752902609668264E-2</v>
      </c>
      <c r="Y17" s="39">
        <f t="shared" si="10"/>
        <v>441292.34813975659</v>
      </c>
      <c r="Z17" s="39">
        <f t="shared" si="3"/>
        <v>4.3807134899537192E-2</v>
      </c>
      <c r="AA17" s="39">
        <f t="shared" si="11"/>
        <v>441292.34813975659</v>
      </c>
      <c r="AB17" s="39">
        <f t="shared" si="4"/>
        <v>4.3807134899537192E-2</v>
      </c>
      <c r="AC17" s="39">
        <f t="shared" si="12"/>
        <v>0.18259148239382067</v>
      </c>
      <c r="AD17" s="38">
        <f t="shared" si="13"/>
        <v>2.3652682132590632</v>
      </c>
      <c r="AE17" s="38">
        <f t="shared" si="14"/>
        <v>0.20622008553481497</v>
      </c>
      <c r="AF17" s="38">
        <f t="shared" si="15"/>
        <v>0.72757331895328303</v>
      </c>
      <c r="AG17" s="38">
        <f t="shared" ca="1" si="5"/>
        <v>4.8771372660512382</v>
      </c>
      <c r="AH17" s="38">
        <f t="shared" si="16"/>
        <v>3.299061617747161</v>
      </c>
      <c r="AI17" s="38">
        <f t="shared" si="6"/>
        <v>8.8419412828830737</v>
      </c>
      <c r="AJ17" t="s">
        <v>329</v>
      </c>
    </row>
    <row r="18" spans="1:36" x14ac:dyDescent="0.3">
      <c r="A18" s="13"/>
      <c r="B18" s="24"/>
      <c r="C18" s="92">
        <v>6091167</v>
      </c>
      <c r="D18" s="12" t="s">
        <v>91</v>
      </c>
      <c r="E18" s="85" t="str">
        <f>VLOOKUP(C18,Sheet2!B:F,5,FALSE)</f>
        <v>Межфланцевая</v>
      </c>
      <c r="F18" s="11" t="s">
        <v>97</v>
      </c>
      <c r="G18" s="47">
        <f t="shared" si="0"/>
        <v>32</v>
      </c>
      <c r="H18" s="12">
        <v>20</v>
      </c>
      <c r="I18" s="12"/>
      <c r="J18" s="12"/>
      <c r="K18" s="74">
        <f t="shared" si="17"/>
        <v>1.2000000000000002</v>
      </c>
      <c r="L18" s="74">
        <v>12</v>
      </c>
      <c r="M18" s="12">
        <v>22.619864948040426</v>
      </c>
      <c r="N18" s="12">
        <v>22.619864948040426</v>
      </c>
      <c r="O18" s="43">
        <v>20</v>
      </c>
      <c r="P18" s="43">
        <f t="shared" si="18"/>
        <v>40</v>
      </c>
      <c r="Q18" s="43">
        <f t="shared" si="1"/>
        <v>40</v>
      </c>
      <c r="R18" s="43">
        <f t="shared" si="19"/>
        <v>40</v>
      </c>
      <c r="S18" s="43">
        <f t="shared" si="20"/>
        <v>40</v>
      </c>
      <c r="T18" s="33">
        <v>191</v>
      </c>
      <c r="U18" s="33">
        <f t="shared" si="7"/>
        <v>271</v>
      </c>
      <c r="V18" s="39">
        <f t="shared" si="8"/>
        <v>441292.34813975659</v>
      </c>
      <c r="W18" s="39">
        <f t="shared" si="2"/>
        <v>4.3807134899537192E-2</v>
      </c>
      <c r="X18" s="39">
        <f t="shared" si="9"/>
        <v>5.1752902609668264E-2</v>
      </c>
      <c r="Y18" s="39">
        <f t="shared" si="10"/>
        <v>441292.34813975659</v>
      </c>
      <c r="Z18" s="39">
        <f t="shared" si="3"/>
        <v>4.3807134899537192E-2</v>
      </c>
      <c r="AA18" s="39">
        <f t="shared" si="11"/>
        <v>441292.34813975659</v>
      </c>
      <c r="AB18" s="39">
        <f t="shared" si="4"/>
        <v>4.3807134899537192E-2</v>
      </c>
      <c r="AC18" s="39">
        <f t="shared" ref="AC18" si="21">IF(N18&gt;40,1,(3.2*(TAN(RADIANS(N18/2)))^1.25))*((1-(H18/G18)^2)^2)+IF(N18=0,0,AB18/(8*SIN(RADIANS(N18/2)))*(1-(H18/G18)^4))</f>
        <v>0.18259148239382067</v>
      </c>
      <c r="AD18" s="38">
        <f t="shared" si="13"/>
        <v>2.3652682132590632</v>
      </c>
      <c r="AE18" s="38">
        <f t="shared" si="14"/>
        <v>0.20622008553481497</v>
      </c>
      <c r="AF18" s="38">
        <f t="shared" si="15"/>
        <v>0.72757331895328303</v>
      </c>
      <c r="AG18" s="38">
        <f t="shared" ca="1" si="5"/>
        <v>0</v>
      </c>
      <c r="AH18" s="38">
        <f t="shared" si="16"/>
        <v>3.299061617747161</v>
      </c>
      <c r="AI18" s="38">
        <f t="shared" si="6"/>
        <v>8.8419412828830737</v>
      </c>
      <c r="AJ18" t="s">
        <v>329</v>
      </c>
    </row>
    <row r="19" spans="1:36" x14ac:dyDescent="0.3">
      <c r="A19" s="13"/>
      <c r="B19" s="24"/>
      <c r="C19" s="92">
        <v>6121894</v>
      </c>
      <c r="D19" s="18" t="s">
        <v>94</v>
      </c>
      <c r="E19" s="85" t="str">
        <f>VLOOKUP(C19,Sheet2!B:F,5,FALSE)</f>
        <v>Фланцевая</v>
      </c>
      <c r="F19" s="19" t="s">
        <v>98</v>
      </c>
      <c r="G19" s="47">
        <f t="shared" si="0"/>
        <v>32</v>
      </c>
      <c r="H19" s="18">
        <v>25</v>
      </c>
      <c r="I19" s="18"/>
      <c r="J19" s="18"/>
      <c r="K19" s="77">
        <f t="shared" si="17"/>
        <v>0.9</v>
      </c>
      <c r="L19" s="77">
        <v>9</v>
      </c>
      <c r="M19" s="18">
        <v>7.8518154073679698</v>
      </c>
      <c r="N19" s="18">
        <v>7.8518154073679698</v>
      </c>
      <c r="O19" s="44">
        <v>25</v>
      </c>
      <c r="P19" s="44">
        <f t="shared" si="18"/>
        <v>60.999999999999964</v>
      </c>
      <c r="Q19" s="44">
        <f t="shared" si="1"/>
        <v>50</v>
      </c>
      <c r="R19" s="44">
        <f t="shared" si="19"/>
        <v>50</v>
      </c>
      <c r="S19" s="44">
        <f t="shared" si="20"/>
        <v>60.999999999999964</v>
      </c>
      <c r="T19" s="34">
        <v>300</v>
      </c>
      <c r="U19" s="34">
        <f t="shared" si="7"/>
        <v>400</v>
      </c>
      <c r="V19" s="51">
        <f t="shared" si="8"/>
        <v>353033.87851180526</v>
      </c>
      <c r="W19" s="51">
        <f t="shared" si="2"/>
        <v>4.1465874809924794E-2</v>
      </c>
      <c r="X19" s="51">
        <f t="shared" ref="X19:X26" si="22">(-0.0125*(H19/G19)^8+0.0224*(H19/G19)^6-0.00723*(H19/G19)^4+0.00444*(H19/G19)^2-0.00745)*((0.01745*M19)^3-2*PI()*(0.01745*M19)^2-10*0.01745*M19)+IF(M19=0,0,W19/(8*SIN(RADIANS(M19/2)))*(1-(H19/G19)^4))</f>
        <v>5.3556022240061917E-2</v>
      </c>
      <c r="Y19" s="51">
        <f t="shared" si="10"/>
        <v>353033.87851180526</v>
      </c>
      <c r="Z19" s="51">
        <f t="shared" si="3"/>
        <v>4.1465874809924794E-2</v>
      </c>
      <c r="AA19" s="51">
        <f t="shared" si="11"/>
        <v>353033.87851180526</v>
      </c>
      <c r="AB19" s="51">
        <f t="shared" si="4"/>
        <v>4.1465874809924794E-2</v>
      </c>
      <c r="AC19" s="51">
        <f t="shared" ref="AC19:AC26" si="23">IF(N19&gt;40,1,(3.2*(TAN(RADIANS(N19/2)))^1.25))*((1-(H19/G19)^2)^2)+IF(N19=0,0,AB19/(8*SIN(RADIANS(N19/2)))*(1-(H19/G19)^4))</f>
        <v>6.4568016981465748E-2</v>
      </c>
      <c r="AD19" s="52">
        <f>Z19*(((U19)/H19)*(4*$V$4*1000/(3.6*PI()*H19^2))^2)/(2*9.81)</f>
        <v>1.0828467884629531</v>
      </c>
      <c r="AE19" s="52">
        <f t="shared" ref="AE19:AE26" si="24">X19*((4*$V$4*1000/(3.6*PI()*H19^2))^2)/(2*9.81)</f>
        <v>8.7410682505999204E-2</v>
      </c>
      <c r="AF19" s="52">
        <f t="shared" ref="AF19:AF26" si="25">AC19*((4*$V$4*1000/(3.6*PI()*H19^2))^2)/(2*9.81)</f>
        <v>0.10538374950832315</v>
      </c>
      <c r="AG19" s="52">
        <f t="shared" ca="1" si="5"/>
        <v>0.83364787466053847</v>
      </c>
      <c r="AH19" s="52">
        <f t="shared" ref="AH19:AH26" si="26">SUM(AD19:AF19)</f>
        <v>1.2756412204772756</v>
      </c>
      <c r="AI19" s="52">
        <f t="shared" si="6"/>
        <v>5.6588424210451675</v>
      </c>
      <c r="AJ19" t="s">
        <v>329</v>
      </c>
    </row>
    <row r="20" spans="1:36" x14ac:dyDescent="0.3">
      <c r="A20" s="13"/>
      <c r="B20" s="24"/>
      <c r="C20" s="92">
        <v>6121508</v>
      </c>
      <c r="D20" s="18" t="s">
        <v>96</v>
      </c>
      <c r="E20" s="85" t="str">
        <f>VLOOKUP(C20,Sheet2!B:F,5,FALSE)</f>
        <v>Фланцевая</v>
      </c>
      <c r="F20" s="19" t="s">
        <v>98</v>
      </c>
      <c r="G20" s="47">
        <f t="shared" si="0"/>
        <v>32</v>
      </c>
      <c r="H20" s="18">
        <v>25</v>
      </c>
      <c r="I20" s="18"/>
      <c r="J20" s="18"/>
      <c r="K20" s="77">
        <f t="shared" si="17"/>
        <v>1.8</v>
      </c>
      <c r="L20" s="77">
        <v>18</v>
      </c>
      <c r="M20" s="18">
        <v>7.8518154073679698</v>
      </c>
      <c r="N20" s="18">
        <v>7.8518154073679698</v>
      </c>
      <c r="O20" s="44">
        <v>25</v>
      </c>
      <c r="P20" s="44">
        <f t="shared" si="18"/>
        <v>60.999999999999964</v>
      </c>
      <c r="Q20" s="44">
        <f t="shared" si="1"/>
        <v>50</v>
      </c>
      <c r="R20" s="44">
        <f t="shared" si="19"/>
        <v>50</v>
      </c>
      <c r="S20" s="44">
        <f t="shared" si="20"/>
        <v>60.999999999999964</v>
      </c>
      <c r="T20" s="34">
        <v>300</v>
      </c>
      <c r="U20" s="34">
        <f t="shared" si="7"/>
        <v>400</v>
      </c>
      <c r="V20" s="51">
        <f t="shared" si="8"/>
        <v>353033.87851180526</v>
      </c>
      <c r="W20" s="51">
        <f t="shared" si="2"/>
        <v>4.1465874809924794E-2</v>
      </c>
      <c r="X20" s="51">
        <f t="shared" si="22"/>
        <v>5.3556022240061917E-2</v>
      </c>
      <c r="Y20" s="51">
        <f t="shared" si="10"/>
        <v>353033.87851180526</v>
      </c>
      <c r="Z20" s="51">
        <f t="shared" si="3"/>
        <v>4.1465874809924794E-2</v>
      </c>
      <c r="AA20" s="51">
        <f t="shared" si="11"/>
        <v>353033.87851180526</v>
      </c>
      <c r="AB20" s="51">
        <f t="shared" si="4"/>
        <v>4.1465874809924794E-2</v>
      </c>
      <c r="AC20" s="51">
        <f t="shared" si="23"/>
        <v>6.4568016981465748E-2</v>
      </c>
      <c r="AD20" s="52">
        <f t="shared" si="13"/>
        <v>1.0828467884629531</v>
      </c>
      <c r="AE20" s="52">
        <f t="shared" si="24"/>
        <v>8.7410682505999204E-2</v>
      </c>
      <c r="AF20" s="52">
        <f t="shared" si="25"/>
        <v>0.10538374950832315</v>
      </c>
      <c r="AG20" s="52">
        <f t="shared" ca="1" si="5"/>
        <v>0</v>
      </c>
      <c r="AH20" s="52">
        <f t="shared" si="26"/>
        <v>1.2756412204772756</v>
      </c>
      <c r="AI20" s="52">
        <f t="shared" si="6"/>
        <v>5.6588424210451675</v>
      </c>
      <c r="AJ20" t="s">
        <v>329</v>
      </c>
    </row>
    <row r="21" spans="1:36" x14ac:dyDescent="0.3">
      <c r="A21" s="13"/>
      <c r="B21" s="24"/>
      <c r="C21" s="93">
        <v>6115075</v>
      </c>
      <c r="D21" s="12" t="s">
        <v>99</v>
      </c>
      <c r="E21" s="85" t="str">
        <f>VLOOKUP(C21,Sheet2!B:F,5,FALSE)</f>
        <v>Фланцевая</v>
      </c>
      <c r="F21" s="11" t="s">
        <v>101</v>
      </c>
      <c r="G21" s="47">
        <f t="shared" si="0"/>
        <v>32</v>
      </c>
      <c r="H21" s="12">
        <v>32</v>
      </c>
      <c r="I21" s="12"/>
      <c r="J21" s="12"/>
      <c r="K21" s="74">
        <f t="shared" si="17"/>
        <v>1.5</v>
      </c>
      <c r="L21" s="74">
        <v>15</v>
      </c>
      <c r="M21" s="12">
        <v>0</v>
      </c>
      <c r="N21" s="12">
        <v>0</v>
      </c>
      <c r="O21" s="43">
        <v>32</v>
      </c>
      <c r="P21" s="43">
        <f t="shared" si="18"/>
        <v>0</v>
      </c>
      <c r="Q21" s="43">
        <f t="shared" si="1"/>
        <v>64</v>
      </c>
      <c r="R21" s="43">
        <f t="shared" si="19"/>
        <v>64</v>
      </c>
      <c r="S21" s="43">
        <f t="shared" si="20"/>
        <v>0</v>
      </c>
      <c r="T21" s="33">
        <v>128</v>
      </c>
      <c r="U21" s="33">
        <f t="shared" si="7"/>
        <v>256</v>
      </c>
      <c r="V21" s="39">
        <f t="shared" si="8"/>
        <v>275807.7175873479</v>
      </c>
      <c r="W21" s="39">
        <f t="shared" si="2"/>
        <v>3.9043389274015572E-2</v>
      </c>
      <c r="X21" s="39">
        <f t="shared" si="22"/>
        <v>0</v>
      </c>
      <c r="Y21" s="39">
        <f t="shared" si="10"/>
        <v>275807.7175873479</v>
      </c>
      <c r="Z21" s="39">
        <f t="shared" si="3"/>
        <v>3.9043389274015572E-2</v>
      </c>
      <c r="AA21" s="39">
        <f t="shared" si="11"/>
        <v>275807.7175873479</v>
      </c>
      <c r="AB21" s="39">
        <f t="shared" si="4"/>
        <v>3.9043389274015572E-2</v>
      </c>
      <c r="AC21" s="39">
        <f t="shared" si="23"/>
        <v>0</v>
      </c>
      <c r="AD21" s="38">
        <f t="shared" si="13"/>
        <v>0.18991261648100219</v>
      </c>
      <c r="AE21" s="38">
        <f t="shared" si="24"/>
        <v>0</v>
      </c>
      <c r="AF21" s="38">
        <f t="shared" si="25"/>
        <v>0</v>
      </c>
      <c r="AG21" s="38">
        <f t="shared" ca="1" si="5"/>
        <v>0.34471237885471773</v>
      </c>
      <c r="AH21" s="38">
        <f t="shared" si="26"/>
        <v>0.18991261648100219</v>
      </c>
      <c r="AI21" s="38">
        <f t="shared" si="6"/>
        <v>3.4538833136262008</v>
      </c>
      <c r="AJ21" t="s">
        <v>329</v>
      </c>
    </row>
    <row r="22" spans="1:36" x14ac:dyDescent="0.3">
      <c r="A22" s="20"/>
      <c r="B22" s="89"/>
      <c r="C22" s="93">
        <v>6115045</v>
      </c>
      <c r="D22" s="12" t="s">
        <v>100</v>
      </c>
      <c r="E22" s="85" t="str">
        <f>VLOOKUP(C22,Sheet2!B:F,5,FALSE)</f>
        <v>Фланцевая</v>
      </c>
      <c r="F22" s="11" t="s">
        <v>101</v>
      </c>
      <c r="G22" s="47">
        <f t="shared" si="0"/>
        <v>32</v>
      </c>
      <c r="H22" s="12">
        <v>32</v>
      </c>
      <c r="I22" s="12"/>
      <c r="J22" s="12"/>
      <c r="K22" s="74">
        <f t="shared" si="17"/>
        <v>3</v>
      </c>
      <c r="L22" s="74">
        <v>30</v>
      </c>
      <c r="M22" s="12">
        <v>0</v>
      </c>
      <c r="N22" s="12">
        <v>0</v>
      </c>
      <c r="O22" s="43">
        <v>32</v>
      </c>
      <c r="P22" s="43">
        <f t="shared" si="18"/>
        <v>0</v>
      </c>
      <c r="Q22" s="43">
        <f t="shared" si="1"/>
        <v>64</v>
      </c>
      <c r="R22" s="43">
        <f t="shared" si="19"/>
        <v>64</v>
      </c>
      <c r="S22" s="43">
        <f t="shared" si="20"/>
        <v>0</v>
      </c>
      <c r="T22" s="33">
        <v>128</v>
      </c>
      <c r="U22" s="33">
        <f t="shared" si="7"/>
        <v>256</v>
      </c>
      <c r="V22" s="39">
        <f t="shared" si="8"/>
        <v>275807.7175873479</v>
      </c>
      <c r="W22" s="39">
        <f t="shared" si="2"/>
        <v>3.9043389274015572E-2</v>
      </c>
      <c r="X22" s="39">
        <f t="shared" si="22"/>
        <v>0</v>
      </c>
      <c r="Y22" s="39">
        <f t="shared" si="10"/>
        <v>275807.7175873479</v>
      </c>
      <c r="Z22" s="39">
        <f t="shared" si="3"/>
        <v>3.9043389274015572E-2</v>
      </c>
      <c r="AA22" s="39">
        <f t="shared" si="11"/>
        <v>275807.7175873479</v>
      </c>
      <c r="AB22" s="39">
        <f t="shared" si="4"/>
        <v>3.9043389274015572E-2</v>
      </c>
      <c r="AC22" s="39">
        <f t="shared" si="23"/>
        <v>0</v>
      </c>
      <c r="AD22" s="38">
        <f t="shared" si="13"/>
        <v>0.18991261648100219</v>
      </c>
      <c r="AE22" s="38">
        <f t="shared" si="24"/>
        <v>0</v>
      </c>
      <c r="AF22" s="38">
        <f t="shared" si="25"/>
        <v>0</v>
      </c>
      <c r="AG22" s="38">
        <f t="shared" ca="1" si="5"/>
        <v>0</v>
      </c>
      <c r="AH22" s="38">
        <f t="shared" si="26"/>
        <v>0.18991261648100219</v>
      </c>
      <c r="AI22" s="38">
        <f t="shared" si="6"/>
        <v>3.4538833136262008</v>
      </c>
      <c r="AJ22" t="s">
        <v>329</v>
      </c>
    </row>
    <row r="23" spans="1:36" x14ac:dyDescent="0.3">
      <c r="A23" s="16">
        <v>40</v>
      </c>
      <c r="B23" s="88">
        <v>8</v>
      </c>
      <c r="C23" s="92">
        <v>6078719</v>
      </c>
      <c r="D23" s="12" t="s">
        <v>90</v>
      </c>
      <c r="E23" s="85" t="str">
        <f>VLOOKUP(C23,Sheet2!B:F,5,FALSE)</f>
        <v>Межфланцевая</v>
      </c>
      <c r="F23" s="11" t="s">
        <v>102</v>
      </c>
      <c r="G23" s="47">
        <f t="shared" si="0"/>
        <v>40</v>
      </c>
      <c r="H23" s="12">
        <v>20</v>
      </c>
      <c r="I23" s="12"/>
      <c r="J23" s="12"/>
      <c r="K23" s="74">
        <f t="shared" si="17"/>
        <v>0.60000000000000009</v>
      </c>
      <c r="L23" s="74">
        <v>6</v>
      </c>
      <c r="M23" s="12">
        <v>36.86989764584402</v>
      </c>
      <c r="N23" s="12">
        <v>36.86989764584402</v>
      </c>
      <c r="O23" s="43">
        <v>20</v>
      </c>
      <c r="P23" s="43">
        <f t="shared" si="18"/>
        <v>40</v>
      </c>
      <c r="Q23" s="43">
        <f t="shared" si="1"/>
        <v>40</v>
      </c>
      <c r="R23" s="43">
        <f t="shared" si="19"/>
        <v>40</v>
      </c>
      <c r="S23" s="43">
        <f t="shared" si="20"/>
        <v>40</v>
      </c>
      <c r="T23" s="33">
        <v>191</v>
      </c>
      <c r="U23" s="33">
        <f t="shared" si="7"/>
        <v>271</v>
      </c>
      <c r="V23" s="39">
        <f t="shared" si="8"/>
        <v>441292.34813975659</v>
      </c>
      <c r="W23" s="39">
        <f t="shared" si="2"/>
        <v>4.3807134899537192E-2</v>
      </c>
      <c r="X23" s="39">
        <f t="shared" si="22"/>
        <v>7.3146609820675459E-2</v>
      </c>
      <c r="Y23" s="39">
        <f t="shared" si="10"/>
        <v>441292.34813975659</v>
      </c>
      <c r="Z23" s="39">
        <f t="shared" si="3"/>
        <v>4.3807134899537192E-2</v>
      </c>
      <c r="AA23" s="39">
        <f t="shared" si="11"/>
        <v>441292.34813975659</v>
      </c>
      <c r="AB23" s="39">
        <f t="shared" si="4"/>
        <v>4.3807134899537192E-2</v>
      </c>
      <c r="AC23" s="39">
        <f t="shared" si="23"/>
        <v>0.47213543374042299</v>
      </c>
      <c r="AD23" s="38">
        <f t="shared" si="13"/>
        <v>2.3652682132590632</v>
      </c>
      <c r="AE23" s="38">
        <f t="shared" si="24"/>
        <v>0.29146771240195996</v>
      </c>
      <c r="AF23" s="38">
        <f t="shared" si="25"/>
        <v>1.8813207495685063</v>
      </c>
      <c r="AG23" s="38">
        <f t="shared" ca="1" si="5"/>
        <v>4.8771372660512382</v>
      </c>
      <c r="AH23" s="38">
        <f t="shared" si="26"/>
        <v>4.5380566752295293</v>
      </c>
      <c r="AI23" s="38">
        <f t="shared" si="6"/>
        <v>8.8419412828830737</v>
      </c>
      <c r="AJ23" t="s">
        <v>329</v>
      </c>
    </row>
    <row r="24" spans="1:36" x14ac:dyDescent="0.3">
      <c r="A24" s="13"/>
      <c r="B24" s="24"/>
      <c r="C24" s="92">
        <v>6091167</v>
      </c>
      <c r="D24" s="12" t="s">
        <v>91</v>
      </c>
      <c r="E24" s="85" t="str">
        <f>VLOOKUP(C24,Sheet2!B:F,5,FALSE)</f>
        <v>Межфланцевая</v>
      </c>
      <c r="F24" s="11" t="s">
        <v>102</v>
      </c>
      <c r="G24" s="47">
        <f t="shared" si="0"/>
        <v>40</v>
      </c>
      <c r="H24" s="12">
        <v>20</v>
      </c>
      <c r="I24" s="12"/>
      <c r="J24" s="12"/>
      <c r="K24" s="74">
        <f t="shared" si="17"/>
        <v>1.2000000000000002</v>
      </c>
      <c r="L24" s="74">
        <v>12</v>
      </c>
      <c r="M24" s="12">
        <v>36.86989764584402</v>
      </c>
      <c r="N24" s="12">
        <v>36.86989764584402</v>
      </c>
      <c r="O24" s="43">
        <v>20</v>
      </c>
      <c r="P24" s="43">
        <f t="shared" si="18"/>
        <v>40</v>
      </c>
      <c r="Q24" s="43">
        <f t="shared" si="1"/>
        <v>40</v>
      </c>
      <c r="R24" s="43">
        <f t="shared" si="19"/>
        <v>40</v>
      </c>
      <c r="S24" s="43">
        <f t="shared" si="20"/>
        <v>40</v>
      </c>
      <c r="T24" s="33">
        <v>191</v>
      </c>
      <c r="U24" s="33">
        <f t="shared" si="7"/>
        <v>271</v>
      </c>
      <c r="V24" s="39">
        <f t="shared" si="8"/>
        <v>441292.34813975659</v>
      </c>
      <c r="W24" s="39">
        <f t="shared" si="2"/>
        <v>4.3807134899537192E-2</v>
      </c>
      <c r="X24" s="39">
        <f t="shared" si="22"/>
        <v>7.3146609820675459E-2</v>
      </c>
      <c r="Y24" s="39">
        <f t="shared" si="10"/>
        <v>441292.34813975659</v>
      </c>
      <c r="Z24" s="39">
        <f t="shared" si="3"/>
        <v>4.3807134899537192E-2</v>
      </c>
      <c r="AA24" s="39">
        <f t="shared" si="11"/>
        <v>441292.34813975659</v>
      </c>
      <c r="AB24" s="39">
        <f t="shared" si="4"/>
        <v>4.3807134899537192E-2</v>
      </c>
      <c r="AC24" s="39">
        <f t="shared" si="23"/>
        <v>0.47213543374042299</v>
      </c>
      <c r="AD24" s="38">
        <f t="shared" si="13"/>
        <v>2.3652682132590632</v>
      </c>
      <c r="AE24" s="38">
        <f t="shared" si="24"/>
        <v>0.29146771240195996</v>
      </c>
      <c r="AF24" s="38">
        <f t="shared" si="25"/>
        <v>1.8813207495685063</v>
      </c>
      <c r="AG24" s="38">
        <f t="shared" ca="1" si="5"/>
        <v>0</v>
      </c>
      <c r="AH24" s="38">
        <f t="shared" si="26"/>
        <v>4.5380566752295293</v>
      </c>
      <c r="AI24" s="38">
        <f t="shared" si="6"/>
        <v>8.8419412828830737</v>
      </c>
      <c r="AJ24" t="s">
        <v>329</v>
      </c>
    </row>
    <row r="25" spans="1:36" x14ac:dyDescent="0.3">
      <c r="A25" s="13"/>
      <c r="B25" s="24"/>
      <c r="C25" s="92">
        <v>6121894</v>
      </c>
      <c r="D25" s="18" t="s">
        <v>94</v>
      </c>
      <c r="E25" s="85" t="str">
        <f>VLOOKUP(C25,Sheet2!B:F,5,FALSE)</f>
        <v>Фланцевая</v>
      </c>
      <c r="F25" s="19" t="s">
        <v>103</v>
      </c>
      <c r="G25" s="47">
        <f t="shared" si="0"/>
        <v>40</v>
      </c>
      <c r="H25" s="18">
        <v>25</v>
      </c>
      <c r="I25" s="18"/>
      <c r="J25" s="18"/>
      <c r="K25" s="77">
        <f t="shared" si="17"/>
        <v>0.9</v>
      </c>
      <c r="L25" s="77">
        <v>9</v>
      </c>
      <c r="M25" s="18">
        <v>13.367728216068237</v>
      </c>
      <c r="N25" s="18">
        <v>13.367728216068237</v>
      </c>
      <c r="O25" s="44">
        <v>25</v>
      </c>
      <c r="P25" s="44">
        <f t="shared" si="18"/>
        <v>74</v>
      </c>
      <c r="Q25" s="44">
        <f t="shared" si="1"/>
        <v>50</v>
      </c>
      <c r="R25" s="44">
        <f t="shared" si="19"/>
        <v>50</v>
      </c>
      <c r="S25" s="44">
        <f t="shared" si="20"/>
        <v>74</v>
      </c>
      <c r="T25" s="34">
        <v>300</v>
      </c>
      <c r="U25" s="34">
        <f t="shared" si="7"/>
        <v>400</v>
      </c>
      <c r="V25" s="51">
        <f t="shared" si="8"/>
        <v>353033.87851180526</v>
      </c>
      <c r="W25" s="51">
        <f t="shared" si="2"/>
        <v>4.1465874809924794E-2</v>
      </c>
      <c r="X25" s="51">
        <f t="shared" si="22"/>
        <v>5.31093022695803E-2</v>
      </c>
      <c r="Y25" s="51">
        <f t="shared" si="10"/>
        <v>353033.87851180526</v>
      </c>
      <c r="Z25" s="51">
        <f t="shared" si="3"/>
        <v>4.1465874809924794E-2</v>
      </c>
      <c r="AA25" s="51">
        <f t="shared" si="11"/>
        <v>353033.87851180526</v>
      </c>
      <c r="AB25" s="51">
        <f t="shared" si="4"/>
        <v>4.1465874809924794E-2</v>
      </c>
      <c r="AC25" s="51">
        <f t="shared" si="23"/>
        <v>0.11921209020031609</v>
      </c>
      <c r="AD25" s="52">
        <f t="shared" si="13"/>
        <v>1.0828467884629531</v>
      </c>
      <c r="AE25" s="52">
        <f t="shared" si="24"/>
        <v>8.6681575005561118E-2</v>
      </c>
      <c r="AF25" s="52">
        <f t="shared" si="25"/>
        <v>0.19457027858916509</v>
      </c>
      <c r="AG25" s="52">
        <f t="shared" ca="1" si="5"/>
        <v>0.83364787466053847</v>
      </c>
      <c r="AH25" s="52">
        <f t="shared" si="26"/>
        <v>1.3640986420576793</v>
      </c>
      <c r="AI25" s="52">
        <f t="shared" si="6"/>
        <v>5.6588424210451675</v>
      </c>
      <c r="AJ25" t="s">
        <v>329</v>
      </c>
    </row>
    <row r="26" spans="1:36" x14ac:dyDescent="0.3">
      <c r="A26" s="13"/>
      <c r="B26" s="24"/>
      <c r="C26" s="92">
        <v>6121508</v>
      </c>
      <c r="D26" s="18" t="s">
        <v>96</v>
      </c>
      <c r="E26" s="85" t="str">
        <f>VLOOKUP(C26,Sheet2!B:F,5,FALSE)</f>
        <v>Фланцевая</v>
      </c>
      <c r="F26" s="19" t="s">
        <v>103</v>
      </c>
      <c r="G26" s="47">
        <f t="shared" si="0"/>
        <v>40</v>
      </c>
      <c r="H26" s="18">
        <v>25</v>
      </c>
      <c r="I26" s="18"/>
      <c r="J26" s="18"/>
      <c r="K26" s="77">
        <f t="shared" si="17"/>
        <v>1.8</v>
      </c>
      <c r="L26" s="77">
        <v>18</v>
      </c>
      <c r="M26" s="18">
        <v>13.367728216068237</v>
      </c>
      <c r="N26" s="18">
        <v>13.367728216068237</v>
      </c>
      <c r="O26" s="44">
        <v>25</v>
      </c>
      <c r="P26" s="44">
        <f t="shared" si="18"/>
        <v>74</v>
      </c>
      <c r="Q26" s="44">
        <f t="shared" si="1"/>
        <v>50</v>
      </c>
      <c r="R26" s="44">
        <f t="shared" si="19"/>
        <v>50</v>
      </c>
      <c r="S26" s="44">
        <f t="shared" si="20"/>
        <v>74</v>
      </c>
      <c r="T26" s="34">
        <v>300</v>
      </c>
      <c r="U26" s="34">
        <f t="shared" si="7"/>
        <v>400</v>
      </c>
      <c r="V26" s="51">
        <f t="shared" si="8"/>
        <v>353033.87851180526</v>
      </c>
      <c r="W26" s="51">
        <f t="shared" si="2"/>
        <v>4.1465874809924794E-2</v>
      </c>
      <c r="X26" s="51">
        <f t="shared" si="22"/>
        <v>5.31093022695803E-2</v>
      </c>
      <c r="Y26" s="51">
        <f t="shared" si="10"/>
        <v>353033.87851180526</v>
      </c>
      <c r="Z26" s="51">
        <f t="shared" si="3"/>
        <v>4.1465874809924794E-2</v>
      </c>
      <c r="AA26" s="51">
        <f t="shared" si="11"/>
        <v>353033.87851180526</v>
      </c>
      <c r="AB26" s="51">
        <f t="shared" si="4"/>
        <v>4.1465874809924794E-2</v>
      </c>
      <c r="AC26" s="51">
        <f t="shared" si="23"/>
        <v>0.11921209020031609</v>
      </c>
      <c r="AD26" s="52">
        <f t="shared" si="13"/>
        <v>1.0828467884629531</v>
      </c>
      <c r="AE26" s="52">
        <f t="shared" si="24"/>
        <v>8.6681575005561118E-2</v>
      </c>
      <c r="AF26" s="52">
        <f t="shared" si="25"/>
        <v>0.19457027858916509</v>
      </c>
      <c r="AG26" s="52">
        <f t="shared" ca="1" si="5"/>
        <v>0</v>
      </c>
      <c r="AH26" s="52">
        <f t="shared" si="26"/>
        <v>1.3640986420576793</v>
      </c>
      <c r="AI26" s="52">
        <f t="shared" si="6"/>
        <v>5.6588424210451675</v>
      </c>
      <c r="AJ26" t="s">
        <v>329</v>
      </c>
    </row>
    <row r="27" spans="1:36" x14ac:dyDescent="0.3">
      <c r="A27" s="13"/>
      <c r="B27" s="24"/>
      <c r="C27" s="93">
        <v>6115075</v>
      </c>
      <c r="D27" s="12" t="s">
        <v>99</v>
      </c>
      <c r="E27" s="85" t="str">
        <f>VLOOKUP(C27,Sheet2!B:F,5,FALSE)</f>
        <v>Фланцевая</v>
      </c>
      <c r="F27" s="11" t="s">
        <v>104</v>
      </c>
      <c r="G27" s="47">
        <f t="shared" si="0"/>
        <v>40</v>
      </c>
      <c r="H27" s="12">
        <v>32</v>
      </c>
      <c r="I27" s="12"/>
      <c r="J27" s="12"/>
      <c r="K27" s="74">
        <f t="shared" si="17"/>
        <v>1.5</v>
      </c>
      <c r="L27" s="74">
        <v>15</v>
      </c>
      <c r="M27" s="12">
        <v>15.189286737182901</v>
      </c>
      <c r="N27" s="12">
        <v>15.189286737182901</v>
      </c>
      <c r="O27" s="43">
        <v>32</v>
      </c>
      <c r="P27" s="43">
        <f t="shared" si="18"/>
        <v>39.999999999999986</v>
      </c>
      <c r="Q27" s="43">
        <f t="shared" si="1"/>
        <v>64</v>
      </c>
      <c r="R27" s="43">
        <f t="shared" si="19"/>
        <v>64</v>
      </c>
      <c r="S27" s="43">
        <f t="shared" si="20"/>
        <v>39.999999999999986</v>
      </c>
      <c r="T27" s="33">
        <v>256</v>
      </c>
      <c r="U27" s="33">
        <f t="shared" si="7"/>
        <v>384</v>
      </c>
      <c r="V27" s="39">
        <f t="shared" si="8"/>
        <v>275807.7175873479</v>
      </c>
      <c r="W27" s="39">
        <f t="shared" si="2"/>
        <v>3.9043389274015572E-2</v>
      </c>
      <c r="X27" s="39">
        <f t="shared" ref="X27" si="27">(-0.0125*(H27/G27)^8+0.0224*(H27/G27)^6-0.00723*(H27/G27)^4+0.00444*(H27/G27)^2-0.00745)*((0.01745*M27)^3-2*PI()*(0.01745*M27)^2-10*0.01745*M27)+IF(M27=0,0,W27/(8*SIN(RADIANS(M27/2)))*(1-(H27/G27)^4))</f>
        <v>3.3464822788690077E-2</v>
      </c>
      <c r="Y27" s="39">
        <f t="shared" si="10"/>
        <v>275807.7175873479</v>
      </c>
      <c r="Z27" s="39">
        <f t="shared" si="3"/>
        <v>3.9043389274015572E-2</v>
      </c>
      <c r="AA27" s="39">
        <f t="shared" si="11"/>
        <v>275807.7175873479</v>
      </c>
      <c r="AB27" s="39">
        <f t="shared" si="4"/>
        <v>3.9043389274015572E-2</v>
      </c>
      <c r="AC27" s="39">
        <f t="shared" ref="AC27" si="28">IF(N27&gt;40,1,(3.2*(TAN(RADIANS(N27/2)))^1.25))*((1-(H27/G27)^2)^2)+IF(N27=0,0,AB27/(8*SIN(RADIANS(N27/2)))*(1-(H27/G27)^4))</f>
        <v>5.5215757989657638E-2</v>
      </c>
      <c r="AD27" s="38">
        <f t="shared" si="13"/>
        <v>0.28486892472150332</v>
      </c>
      <c r="AE27" s="38">
        <f t="shared" ref="AE27" si="29">X27*((4*$V$4*1000/(3.6*PI()*H27^2))^2)/(2*9.81)</f>
        <v>2.0347209137216493E-2</v>
      </c>
      <c r="AF27" s="38">
        <f t="shared" ref="AF27" si="30">AC27*((4*$V$4*1000/(3.6*PI()*H27^2))^2)/(2*9.81)</f>
        <v>3.3572165691108789E-2</v>
      </c>
      <c r="AG27" s="38">
        <f t="shared" ca="1" si="5"/>
        <v>0.34471237885471773</v>
      </c>
      <c r="AH27" s="38">
        <f t="shared" ref="AH27" si="31">SUM(AD27:AF27)</f>
        <v>0.33878829954982859</v>
      </c>
      <c r="AI27" s="38">
        <f t="shared" si="6"/>
        <v>3.4538833136262008</v>
      </c>
      <c r="AJ27" t="s">
        <v>329</v>
      </c>
    </row>
    <row r="28" spans="1:36" x14ac:dyDescent="0.3">
      <c r="A28" s="13"/>
      <c r="B28" s="24"/>
      <c r="C28" s="93">
        <v>6115045</v>
      </c>
      <c r="D28" s="12" t="s">
        <v>100</v>
      </c>
      <c r="E28" s="85" t="str">
        <f>VLOOKUP(C28,Sheet2!B:F,5,FALSE)</f>
        <v>Фланцевая</v>
      </c>
      <c r="F28" s="11" t="s">
        <v>104</v>
      </c>
      <c r="G28" s="47">
        <f t="shared" si="0"/>
        <v>40</v>
      </c>
      <c r="H28" s="12">
        <v>32</v>
      </c>
      <c r="I28" s="12"/>
      <c r="J28" s="12"/>
      <c r="K28" s="74">
        <f t="shared" si="17"/>
        <v>3</v>
      </c>
      <c r="L28" s="74">
        <v>30</v>
      </c>
      <c r="M28" s="12">
        <v>15.189286737182901</v>
      </c>
      <c r="N28" s="12">
        <v>15.189286737182901</v>
      </c>
      <c r="O28" s="43">
        <v>32</v>
      </c>
      <c r="P28" s="43">
        <f t="shared" si="18"/>
        <v>39.999999999999986</v>
      </c>
      <c r="Q28" s="43">
        <f t="shared" si="1"/>
        <v>64</v>
      </c>
      <c r="R28" s="43">
        <f t="shared" si="19"/>
        <v>64</v>
      </c>
      <c r="S28" s="43">
        <f t="shared" si="20"/>
        <v>39.999999999999986</v>
      </c>
      <c r="T28" s="33">
        <v>256</v>
      </c>
      <c r="U28" s="33">
        <f t="shared" si="7"/>
        <v>384</v>
      </c>
      <c r="V28" s="39">
        <f t="shared" si="8"/>
        <v>275807.7175873479</v>
      </c>
      <c r="W28" s="39">
        <f t="shared" si="2"/>
        <v>3.9043389274015572E-2</v>
      </c>
      <c r="X28" s="39">
        <f t="shared" ref="X28" si="32">(-0.0125*(H28/G28)^8+0.0224*(H28/G28)^6-0.00723*(H28/G28)^4+0.00444*(H28/G28)^2-0.00745)*((0.01745*M28)^3-2*PI()*(0.01745*M28)^2-10*0.01745*M28)+IF(M28=0,0,W28/(8*SIN(RADIANS(M28/2)))*(1-(H28/G28)^4))</f>
        <v>3.3464822788690077E-2</v>
      </c>
      <c r="Y28" s="39">
        <f t="shared" si="10"/>
        <v>275807.7175873479</v>
      </c>
      <c r="Z28" s="39">
        <f t="shared" si="3"/>
        <v>3.9043389274015572E-2</v>
      </c>
      <c r="AA28" s="39">
        <f t="shared" si="11"/>
        <v>275807.7175873479</v>
      </c>
      <c r="AB28" s="39">
        <f t="shared" si="4"/>
        <v>3.9043389274015572E-2</v>
      </c>
      <c r="AC28" s="39">
        <f t="shared" ref="AC28" si="33">IF(N28&gt;40,1,(3.2*(TAN(RADIANS(N28/2)))^1.25))*((1-(H28/G28)^2)^2)+IF(N28=0,0,AB28/(8*SIN(RADIANS(N28/2)))*(1-(H28/G28)^4))</f>
        <v>5.5215757989657638E-2</v>
      </c>
      <c r="AD28" s="38">
        <f t="shared" si="13"/>
        <v>0.28486892472150332</v>
      </c>
      <c r="AE28" s="38">
        <f t="shared" ref="AE28" si="34">X28*((4*$V$4*1000/(3.6*PI()*H28^2))^2)/(2*9.81)</f>
        <v>2.0347209137216493E-2</v>
      </c>
      <c r="AF28" s="38">
        <f t="shared" ref="AF28" si="35">AC28*((4*$V$4*1000/(3.6*PI()*H28^2))^2)/(2*9.81)</f>
        <v>3.3572165691108789E-2</v>
      </c>
      <c r="AG28" s="38">
        <f t="shared" ca="1" si="5"/>
        <v>0</v>
      </c>
      <c r="AH28" s="38">
        <f t="shared" ref="AH28" si="36">SUM(AD28:AF28)</f>
        <v>0.33878829954982859</v>
      </c>
      <c r="AI28" s="38">
        <f t="shared" si="6"/>
        <v>3.4538833136262008</v>
      </c>
      <c r="AJ28" t="s">
        <v>329</v>
      </c>
    </row>
    <row r="29" spans="1:36" x14ac:dyDescent="0.3">
      <c r="A29" s="13"/>
      <c r="B29" s="24"/>
      <c r="C29" s="92">
        <v>6115337</v>
      </c>
      <c r="D29" s="12" t="s">
        <v>105</v>
      </c>
      <c r="E29" s="85" t="str">
        <f>VLOOKUP(C29,Sheet2!B:F,5,FALSE)</f>
        <v>Фланцевая</v>
      </c>
      <c r="F29" s="11" t="s">
        <v>107</v>
      </c>
      <c r="G29" s="47">
        <f t="shared" si="0"/>
        <v>40</v>
      </c>
      <c r="H29" s="12">
        <v>40</v>
      </c>
      <c r="I29" s="12"/>
      <c r="J29" s="12"/>
      <c r="K29" s="74">
        <f t="shared" si="17"/>
        <v>2.2000000000000002</v>
      </c>
      <c r="L29" s="74">
        <v>22</v>
      </c>
      <c r="M29" s="12">
        <v>0</v>
      </c>
      <c r="N29" s="12">
        <v>0</v>
      </c>
      <c r="O29" s="43">
        <v>40</v>
      </c>
      <c r="P29" s="43">
        <f t="shared" si="18"/>
        <v>0</v>
      </c>
      <c r="Q29" s="43">
        <f t="shared" si="1"/>
        <v>80</v>
      </c>
      <c r="R29" s="43">
        <f t="shared" si="19"/>
        <v>80</v>
      </c>
      <c r="S29" s="43">
        <f t="shared" si="20"/>
        <v>0</v>
      </c>
      <c r="T29" s="33">
        <v>200</v>
      </c>
      <c r="U29" s="33">
        <f t="shared" si="7"/>
        <v>360</v>
      </c>
      <c r="V29" s="39">
        <f t="shared" si="8"/>
        <v>220646.1740698783</v>
      </c>
      <c r="W29" s="39">
        <f t="shared" si="2"/>
        <v>3.7005356225573237E-2</v>
      </c>
      <c r="X29" s="39">
        <f t="shared" ref="X29:X32" si="37">(-0.0125*(H29/G29)^8+0.0224*(H29/G29)^6-0.00723*(H29/G29)^4+0.00444*(H29/G29)^2-0.00745)*((0.01745*M29)^3-2*PI()*(0.01745*M29)^2-10*0.01745*M29)+IF(M29=0,0,W29/(8*SIN(RADIANS(M29/2)))*(1-(H29/G29)^4))</f>
        <v>0</v>
      </c>
      <c r="Y29" s="39">
        <f t="shared" si="10"/>
        <v>220646.1740698783</v>
      </c>
      <c r="Z29" s="39">
        <f t="shared" si="3"/>
        <v>3.7005356225573237E-2</v>
      </c>
      <c r="AA29" s="39">
        <f t="shared" si="11"/>
        <v>220646.1740698783</v>
      </c>
      <c r="AB29" s="39">
        <f t="shared" si="4"/>
        <v>3.7005356225573237E-2</v>
      </c>
      <c r="AC29" s="39">
        <f t="shared" ref="AC29:AC32" si="38">IF(N29&gt;40,1,(3.2*(TAN(RADIANS(N29/2)))^1.25))*((1-(H29/G29)^2)^2)+IF(N29=0,0,AB29/(8*SIN(RADIANS(N29/2)))*(1-(H29/G29)^4))</f>
        <v>0</v>
      </c>
      <c r="AD29" s="38">
        <f t="shared" si="13"/>
        <v>8.2943692613684145E-2</v>
      </c>
      <c r="AE29" s="38">
        <f t="shared" ref="AE29:AE32" si="39">X29*((4*$V$4*1000/(3.6*PI()*H29^2))^2)/(2*9.81)</f>
        <v>0</v>
      </c>
      <c r="AF29" s="38">
        <f t="shared" ref="AF29:AF32" si="40">AC29*((4*$V$4*1000/(3.6*PI()*H29^2))^2)/(2*9.81)</f>
        <v>0</v>
      </c>
      <c r="AG29" s="38">
        <f t="shared" ca="1" si="5"/>
        <v>9.3821659915281186E-2</v>
      </c>
      <c r="AH29" s="38">
        <f t="shared" ref="AH29:AH32" si="41">SUM(AD29:AF29)</f>
        <v>8.2943692613684145E-2</v>
      </c>
      <c r="AI29" s="38">
        <f t="shared" si="6"/>
        <v>2.2104853207207684</v>
      </c>
      <c r="AJ29" t="s">
        <v>329</v>
      </c>
    </row>
    <row r="30" spans="1:36" x14ac:dyDescent="0.3">
      <c r="A30" s="13"/>
      <c r="B30" s="24"/>
      <c r="C30" s="93">
        <v>6115367</v>
      </c>
      <c r="D30" s="12" t="s">
        <v>106</v>
      </c>
      <c r="E30" s="85" t="str">
        <f>VLOOKUP(C30,Sheet2!B:F,5,FALSE)</f>
        <v>Фланцевая</v>
      </c>
      <c r="F30" s="11" t="s">
        <v>107</v>
      </c>
      <c r="G30" s="47">
        <f t="shared" si="0"/>
        <v>40</v>
      </c>
      <c r="H30" s="12">
        <v>40</v>
      </c>
      <c r="I30" s="12"/>
      <c r="J30" s="12"/>
      <c r="K30" s="74">
        <f t="shared" si="17"/>
        <v>4.5</v>
      </c>
      <c r="L30" s="74">
        <v>45</v>
      </c>
      <c r="M30" s="12">
        <v>0</v>
      </c>
      <c r="N30" s="12">
        <v>0</v>
      </c>
      <c r="O30" s="43">
        <v>40</v>
      </c>
      <c r="P30" s="43">
        <f t="shared" si="18"/>
        <v>0</v>
      </c>
      <c r="Q30" s="43">
        <f t="shared" si="1"/>
        <v>80</v>
      </c>
      <c r="R30" s="43">
        <f t="shared" si="19"/>
        <v>80</v>
      </c>
      <c r="S30" s="43">
        <f t="shared" si="20"/>
        <v>0</v>
      </c>
      <c r="T30" s="33">
        <v>200</v>
      </c>
      <c r="U30" s="33">
        <f t="shared" si="7"/>
        <v>360</v>
      </c>
      <c r="V30" s="39">
        <f t="shared" si="8"/>
        <v>220646.1740698783</v>
      </c>
      <c r="W30" s="39">
        <f t="shared" si="2"/>
        <v>3.7005356225573237E-2</v>
      </c>
      <c r="X30" s="39">
        <f t="shared" si="37"/>
        <v>0</v>
      </c>
      <c r="Y30" s="39">
        <f t="shared" si="10"/>
        <v>220646.1740698783</v>
      </c>
      <c r="Z30" s="39">
        <f t="shared" si="3"/>
        <v>3.7005356225573237E-2</v>
      </c>
      <c r="AA30" s="39">
        <f t="shared" si="11"/>
        <v>220646.1740698783</v>
      </c>
      <c r="AB30" s="39">
        <f t="shared" si="4"/>
        <v>3.7005356225573237E-2</v>
      </c>
      <c r="AC30" s="39">
        <f t="shared" si="38"/>
        <v>0</v>
      </c>
      <c r="AD30" s="38">
        <f t="shared" si="13"/>
        <v>8.2943692613684145E-2</v>
      </c>
      <c r="AE30" s="38">
        <f t="shared" si="39"/>
        <v>0</v>
      </c>
      <c r="AF30" s="38">
        <f t="shared" si="40"/>
        <v>0</v>
      </c>
      <c r="AG30" s="38">
        <f t="shared" ca="1" si="5"/>
        <v>0</v>
      </c>
      <c r="AH30" s="38">
        <f t="shared" si="41"/>
        <v>8.2943692613684145E-2</v>
      </c>
      <c r="AI30" s="38">
        <f t="shared" si="6"/>
        <v>2.2104853207207684</v>
      </c>
      <c r="AJ30" t="s">
        <v>329</v>
      </c>
    </row>
    <row r="31" spans="1:36" x14ac:dyDescent="0.3">
      <c r="A31" s="16">
        <v>50</v>
      </c>
      <c r="B31" s="88">
        <v>10</v>
      </c>
      <c r="C31" s="92">
        <v>6078719</v>
      </c>
      <c r="D31" s="12" t="s">
        <v>90</v>
      </c>
      <c r="E31" s="85" t="str">
        <f>VLOOKUP(C31,Sheet2!B:F,5,FALSE)</f>
        <v>Межфланцевая</v>
      </c>
      <c r="F31" s="11" t="s">
        <v>108</v>
      </c>
      <c r="G31" s="47">
        <f t="shared" si="0"/>
        <v>50</v>
      </c>
      <c r="H31" s="12">
        <v>20</v>
      </c>
      <c r="I31" s="12"/>
      <c r="J31" s="12"/>
      <c r="K31" s="74">
        <f t="shared" si="17"/>
        <v>0.60000000000000009</v>
      </c>
      <c r="L31" s="74">
        <v>6</v>
      </c>
      <c r="M31" s="12">
        <v>36.86989764584402</v>
      </c>
      <c r="N31" s="12">
        <v>36.86989764584402</v>
      </c>
      <c r="O31" s="43">
        <v>20</v>
      </c>
      <c r="P31" s="43">
        <f t="shared" si="18"/>
        <v>55</v>
      </c>
      <c r="Q31" s="43">
        <f t="shared" si="1"/>
        <v>40</v>
      </c>
      <c r="R31" s="43">
        <f t="shared" si="19"/>
        <v>40</v>
      </c>
      <c r="S31" s="43">
        <f t="shared" si="20"/>
        <v>55</v>
      </c>
      <c r="T31" s="33">
        <v>191</v>
      </c>
      <c r="U31" s="33">
        <f t="shared" si="7"/>
        <v>271</v>
      </c>
      <c r="V31" s="39">
        <f t="shared" si="8"/>
        <v>441292.34813975659</v>
      </c>
      <c r="W31" s="39">
        <f t="shared" si="2"/>
        <v>4.3807134899537192E-2</v>
      </c>
      <c r="X31" s="39">
        <f t="shared" si="37"/>
        <v>7.6858233783437438E-2</v>
      </c>
      <c r="Y31" s="39">
        <f t="shared" si="10"/>
        <v>441292.34813975659</v>
      </c>
      <c r="Z31" s="39">
        <f t="shared" si="3"/>
        <v>4.3807134899537192E-2</v>
      </c>
      <c r="AA31" s="39">
        <f t="shared" si="11"/>
        <v>441292.34813975659</v>
      </c>
      <c r="AB31" s="39">
        <f t="shared" si="4"/>
        <v>4.3807134899537192E-2</v>
      </c>
      <c r="AC31" s="39">
        <f t="shared" si="38"/>
        <v>0.58875572391795705</v>
      </c>
      <c r="AD31" s="38">
        <f t="shared" si="13"/>
        <v>2.3652682132590632</v>
      </c>
      <c r="AE31" s="38">
        <f t="shared" si="39"/>
        <v>0.30625744152781681</v>
      </c>
      <c r="AF31" s="38">
        <f t="shared" si="40"/>
        <v>2.3460182834806083</v>
      </c>
      <c r="AG31" s="38">
        <f t="shared" ca="1" si="5"/>
        <v>4.8771372660512382</v>
      </c>
      <c r="AH31" s="38">
        <f t="shared" si="41"/>
        <v>5.0175439382674885</v>
      </c>
      <c r="AI31" s="38">
        <f t="shared" si="6"/>
        <v>8.8419412828830737</v>
      </c>
      <c r="AJ31" t="s">
        <v>329</v>
      </c>
    </row>
    <row r="32" spans="1:36" x14ac:dyDescent="0.3">
      <c r="A32" s="13"/>
      <c r="B32" s="24"/>
      <c r="C32" s="92">
        <v>6091167</v>
      </c>
      <c r="D32" s="12" t="s">
        <v>91</v>
      </c>
      <c r="E32" s="85" t="str">
        <f>VLOOKUP(C32,Sheet2!B:F,5,FALSE)</f>
        <v>Межфланцевая</v>
      </c>
      <c r="F32" s="11" t="s">
        <v>108</v>
      </c>
      <c r="G32" s="47">
        <f t="shared" si="0"/>
        <v>50</v>
      </c>
      <c r="H32" s="12">
        <v>20</v>
      </c>
      <c r="I32" s="12"/>
      <c r="J32" s="12"/>
      <c r="K32" s="74">
        <f t="shared" si="17"/>
        <v>1.2000000000000002</v>
      </c>
      <c r="L32" s="74">
        <v>12</v>
      </c>
      <c r="M32" s="12">
        <v>36.86989764584402</v>
      </c>
      <c r="N32" s="12">
        <v>36.86989764584402</v>
      </c>
      <c r="O32" s="43">
        <v>20</v>
      </c>
      <c r="P32" s="43">
        <f t="shared" si="18"/>
        <v>55</v>
      </c>
      <c r="Q32" s="43">
        <f t="shared" si="1"/>
        <v>40</v>
      </c>
      <c r="R32" s="43">
        <f t="shared" si="19"/>
        <v>40</v>
      </c>
      <c r="S32" s="43">
        <f t="shared" si="20"/>
        <v>55</v>
      </c>
      <c r="T32" s="33">
        <v>191</v>
      </c>
      <c r="U32" s="33">
        <f t="shared" si="7"/>
        <v>271</v>
      </c>
      <c r="V32" s="39">
        <f t="shared" si="8"/>
        <v>441292.34813975659</v>
      </c>
      <c r="W32" s="39">
        <f t="shared" si="2"/>
        <v>4.3807134899537192E-2</v>
      </c>
      <c r="X32" s="39">
        <f t="shared" si="37"/>
        <v>7.6858233783437438E-2</v>
      </c>
      <c r="Y32" s="39">
        <f t="shared" si="10"/>
        <v>441292.34813975659</v>
      </c>
      <c r="Z32" s="39">
        <f t="shared" si="3"/>
        <v>4.3807134899537192E-2</v>
      </c>
      <c r="AA32" s="39">
        <f t="shared" si="11"/>
        <v>441292.34813975659</v>
      </c>
      <c r="AB32" s="39">
        <f t="shared" si="4"/>
        <v>4.3807134899537192E-2</v>
      </c>
      <c r="AC32" s="39">
        <f t="shared" si="38"/>
        <v>0.58875572391795705</v>
      </c>
      <c r="AD32" s="38">
        <f t="shared" si="13"/>
        <v>2.3652682132590632</v>
      </c>
      <c r="AE32" s="38">
        <f t="shared" si="39"/>
        <v>0.30625744152781681</v>
      </c>
      <c r="AF32" s="38">
        <f t="shared" si="40"/>
        <v>2.3460182834806083</v>
      </c>
      <c r="AG32" s="38">
        <f t="shared" ca="1" si="5"/>
        <v>0</v>
      </c>
      <c r="AH32" s="38">
        <f t="shared" si="41"/>
        <v>5.0175439382674885</v>
      </c>
      <c r="AI32" s="38">
        <f t="shared" si="6"/>
        <v>8.8419412828830737</v>
      </c>
      <c r="AJ32" t="s">
        <v>329</v>
      </c>
    </row>
    <row r="33" spans="1:36" x14ac:dyDescent="0.3">
      <c r="A33" s="13"/>
      <c r="B33" s="24"/>
      <c r="C33" s="92">
        <v>6121894</v>
      </c>
      <c r="D33" s="18" t="s">
        <v>94</v>
      </c>
      <c r="E33" s="85" t="str">
        <f>VLOOKUP(C33,Sheet2!B:F,5,FALSE)</f>
        <v>Фланцевая</v>
      </c>
      <c r="F33" s="19" t="s">
        <v>109</v>
      </c>
      <c r="G33" s="47">
        <f t="shared" si="0"/>
        <v>50</v>
      </c>
      <c r="H33" s="18">
        <v>25</v>
      </c>
      <c r="I33" s="18"/>
      <c r="J33" s="18"/>
      <c r="K33" s="77">
        <f t="shared" si="17"/>
        <v>0.9</v>
      </c>
      <c r="L33" s="77">
        <v>9</v>
      </c>
      <c r="M33" s="18">
        <v>18.680052345610633</v>
      </c>
      <c r="N33" s="18">
        <v>18.680052345610633</v>
      </c>
      <c r="O33" s="44">
        <v>25</v>
      </c>
      <c r="P33" s="44">
        <f t="shared" si="18"/>
        <v>85.999999999999986</v>
      </c>
      <c r="Q33" s="44">
        <f t="shared" si="1"/>
        <v>50</v>
      </c>
      <c r="R33" s="44">
        <f t="shared" si="19"/>
        <v>50</v>
      </c>
      <c r="S33" s="44">
        <f t="shared" si="20"/>
        <v>85.999999999999986</v>
      </c>
      <c r="T33" s="50">
        <v>300</v>
      </c>
      <c r="U33" s="34">
        <f t="shared" si="7"/>
        <v>400</v>
      </c>
      <c r="V33" s="51">
        <f t="shared" si="8"/>
        <v>353033.87851180526</v>
      </c>
      <c r="W33" s="51">
        <f t="shared" si="2"/>
        <v>4.1465874809924794E-2</v>
      </c>
      <c r="X33" s="51">
        <f t="shared" ref="X33" si="42">(-0.0125*(H33/G33)^8+0.0224*(H33/G33)^6-0.00723*(H33/G33)^4+0.00444*(H33/G33)^2-0.00745)*((0.01745*M33)^3-2*PI()*(0.01745*M33)^2-10*0.01745*M33)+IF(M33=0,0,W33/(8*SIN(RADIANS(M33/2)))*(1-(H33/G33)^4))</f>
        <v>5.5207416569290367E-2</v>
      </c>
      <c r="Y33" s="51">
        <f t="shared" si="10"/>
        <v>353033.87851180526</v>
      </c>
      <c r="Z33" s="51">
        <f t="shared" si="3"/>
        <v>4.1465874809924794E-2</v>
      </c>
      <c r="AA33" s="51">
        <f t="shared" si="11"/>
        <v>353033.87851180526</v>
      </c>
      <c r="AB33" s="51">
        <f t="shared" si="4"/>
        <v>4.1465874809924794E-2</v>
      </c>
      <c r="AC33" s="51">
        <f t="shared" ref="AC33" si="43">IF(N33&gt;40,1,(3.2*(TAN(RADIANS(N33/2)))^1.25))*((1-(H33/G33)^2)^2)+IF(N33=0,0,AB33/(8*SIN(RADIANS(N33/2)))*(1-(H33/G33)^4))</f>
        <v>0.21847683520510955</v>
      </c>
      <c r="AD33" s="52">
        <f t="shared" si="13"/>
        <v>1.0828467884629531</v>
      </c>
      <c r="AE33" s="52">
        <f t="shared" ref="AE33" si="44">X33*((4*$V$4*1000/(3.6*PI()*H33^2))^2)/(2*9.81)</f>
        <v>9.0105981734111343E-2</v>
      </c>
      <c r="AF33" s="52">
        <f t="shared" ref="AF33" si="45">AC33*((4*$V$4*1000/(3.6*PI()*H33^2))^2)/(2*9.81)</f>
        <v>0.35658378793382289</v>
      </c>
      <c r="AG33" s="52">
        <f t="shared" ca="1" si="5"/>
        <v>0.83364787466053847</v>
      </c>
      <c r="AH33" s="52">
        <f t="shared" ref="AH33" si="46">SUM(AD33:AF33)</f>
        <v>1.5295365581308875</v>
      </c>
      <c r="AI33" s="52">
        <f t="shared" si="6"/>
        <v>5.6588424210451675</v>
      </c>
      <c r="AJ33" t="s">
        <v>329</v>
      </c>
    </row>
    <row r="34" spans="1:36" x14ac:dyDescent="0.3">
      <c r="A34" s="13"/>
      <c r="B34" s="24"/>
      <c r="C34" s="92">
        <v>6121508</v>
      </c>
      <c r="D34" s="18" t="s">
        <v>96</v>
      </c>
      <c r="E34" s="85" t="str">
        <f>VLOOKUP(C34,Sheet2!B:F,5,FALSE)</f>
        <v>Фланцевая</v>
      </c>
      <c r="F34" s="19" t="s">
        <v>109</v>
      </c>
      <c r="G34" s="47">
        <f t="shared" si="0"/>
        <v>50</v>
      </c>
      <c r="H34" s="18">
        <v>25</v>
      </c>
      <c r="I34" s="18"/>
      <c r="J34" s="18"/>
      <c r="K34" s="77">
        <f t="shared" si="17"/>
        <v>1.8</v>
      </c>
      <c r="L34" s="77">
        <v>18</v>
      </c>
      <c r="M34" s="18">
        <v>18.680052345610633</v>
      </c>
      <c r="N34" s="18">
        <v>18.680052345610633</v>
      </c>
      <c r="O34" s="44">
        <v>25</v>
      </c>
      <c r="P34" s="44">
        <f t="shared" si="18"/>
        <v>85.999999999999986</v>
      </c>
      <c r="Q34" s="44">
        <f t="shared" si="1"/>
        <v>50</v>
      </c>
      <c r="R34" s="44">
        <f t="shared" si="19"/>
        <v>50</v>
      </c>
      <c r="S34" s="44">
        <f t="shared" si="20"/>
        <v>85.999999999999986</v>
      </c>
      <c r="T34" s="34">
        <v>300</v>
      </c>
      <c r="U34" s="34">
        <f t="shared" si="7"/>
        <v>400</v>
      </c>
      <c r="V34" s="51">
        <f t="shared" si="8"/>
        <v>353033.87851180526</v>
      </c>
      <c r="W34" s="51">
        <f t="shared" si="2"/>
        <v>4.1465874809924794E-2</v>
      </c>
      <c r="X34" s="51">
        <f t="shared" ref="X34:X36" si="47">(-0.0125*(H34/G34)^8+0.0224*(H34/G34)^6-0.00723*(H34/G34)^4+0.00444*(H34/G34)^2-0.00745)*((0.01745*M34)^3-2*PI()*(0.01745*M34)^2-10*0.01745*M34)+IF(M34=0,0,W34/(8*SIN(RADIANS(M34/2)))*(1-(H34/G34)^4))</f>
        <v>5.5207416569290367E-2</v>
      </c>
      <c r="Y34" s="51">
        <f t="shared" si="10"/>
        <v>353033.87851180526</v>
      </c>
      <c r="Z34" s="51">
        <f t="shared" si="3"/>
        <v>4.1465874809924794E-2</v>
      </c>
      <c r="AA34" s="51">
        <f t="shared" si="11"/>
        <v>353033.87851180526</v>
      </c>
      <c r="AB34" s="51">
        <f t="shared" si="4"/>
        <v>4.1465874809924794E-2</v>
      </c>
      <c r="AC34" s="51">
        <f t="shared" ref="AC34:AC36" si="48">IF(N34&gt;40,1,(3.2*(TAN(RADIANS(N34/2)))^1.25))*((1-(H34/G34)^2)^2)+IF(N34=0,0,AB34/(8*SIN(RADIANS(N34/2)))*(1-(H34/G34)^4))</f>
        <v>0.21847683520510955</v>
      </c>
      <c r="AD34" s="52">
        <f t="shared" si="13"/>
        <v>1.0828467884629531</v>
      </c>
      <c r="AE34" s="52">
        <f t="shared" ref="AE34:AE36" si="49">X34*((4*$V$4*1000/(3.6*PI()*H34^2))^2)/(2*9.81)</f>
        <v>9.0105981734111343E-2</v>
      </c>
      <c r="AF34" s="52">
        <f t="shared" ref="AF34:AF36" si="50">AC34*((4*$V$4*1000/(3.6*PI()*H34^2))^2)/(2*9.81)</f>
        <v>0.35658378793382289</v>
      </c>
      <c r="AG34" s="52">
        <f t="shared" ca="1" si="5"/>
        <v>0</v>
      </c>
      <c r="AH34" s="52">
        <f t="shared" ref="AH34:AH36" si="51">SUM(AD34:AF34)</f>
        <v>1.5295365581308875</v>
      </c>
      <c r="AI34" s="52">
        <f t="shared" si="6"/>
        <v>5.6588424210451675</v>
      </c>
      <c r="AJ34" t="s">
        <v>329</v>
      </c>
    </row>
    <row r="35" spans="1:36" x14ac:dyDescent="0.3">
      <c r="A35" s="13"/>
      <c r="B35" s="24"/>
      <c r="C35" s="93">
        <v>6115075</v>
      </c>
      <c r="D35" s="12" t="s">
        <v>99</v>
      </c>
      <c r="E35" s="85" t="str">
        <f>VLOOKUP(C35,Sheet2!B:F,5,FALSE)</f>
        <v>Фланцевая</v>
      </c>
      <c r="F35" s="11" t="s">
        <v>110</v>
      </c>
      <c r="G35" s="47">
        <f t="shared" si="0"/>
        <v>50</v>
      </c>
      <c r="H35" s="12">
        <v>32</v>
      </c>
      <c r="I35" s="12"/>
      <c r="J35" s="12"/>
      <c r="K35" s="74">
        <f t="shared" si="17"/>
        <v>1.5</v>
      </c>
      <c r="L35" s="74">
        <v>15</v>
      </c>
      <c r="M35" s="12">
        <v>22.619864948040426</v>
      </c>
      <c r="N35" s="12">
        <v>22.619864948040426</v>
      </c>
      <c r="O35" s="43">
        <v>32</v>
      </c>
      <c r="P35" s="43">
        <f t="shared" si="18"/>
        <v>55.000000000000007</v>
      </c>
      <c r="Q35" s="43">
        <f t="shared" si="1"/>
        <v>64</v>
      </c>
      <c r="R35" s="43">
        <f t="shared" si="19"/>
        <v>64</v>
      </c>
      <c r="S35" s="43">
        <f t="shared" si="20"/>
        <v>55.000000000000007</v>
      </c>
      <c r="T35" s="33">
        <v>256</v>
      </c>
      <c r="U35" s="33">
        <f t="shared" si="7"/>
        <v>384</v>
      </c>
      <c r="V35" s="39">
        <f t="shared" si="8"/>
        <v>275807.7175873479</v>
      </c>
      <c r="W35" s="39">
        <f t="shared" si="2"/>
        <v>3.9043389274015572E-2</v>
      </c>
      <c r="X35" s="39">
        <f t="shared" si="47"/>
        <v>4.8228822844288394E-2</v>
      </c>
      <c r="Y35" s="39">
        <f t="shared" si="10"/>
        <v>275807.7175873479</v>
      </c>
      <c r="Z35" s="39">
        <f t="shared" si="3"/>
        <v>3.9043389274015572E-2</v>
      </c>
      <c r="AA35" s="39">
        <f t="shared" si="11"/>
        <v>275807.7175873479</v>
      </c>
      <c r="AB35" s="39">
        <f t="shared" si="4"/>
        <v>3.9043389274015572E-2</v>
      </c>
      <c r="AC35" s="39">
        <f t="shared" si="48"/>
        <v>0.16989702393179001</v>
      </c>
      <c r="AD35" s="38">
        <f t="shared" si="13"/>
        <v>0.28486892472150332</v>
      </c>
      <c r="AE35" s="38">
        <f t="shared" si="49"/>
        <v>2.9323984503098952E-2</v>
      </c>
      <c r="AF35" s="38">
        <f t="shared" si="50"/>
        <v>0.10330042084965491</v>
      </c>
      <c r="AG35" s="38">
        <f t="shared" ca="1" si="5"/>
        <v>0.34471237885471773</v>
      </c>
      <c r="AH35" s="38">
        <f t="shared" si="51"/>
        <v>0.41749333007425721</v>
      </c>
      <c r="AI35" s="38">
        <f t="shared" si="6"/>
        <v>3.4538833136262008</v>
      </c>
      <c r="AJ35" t="s">
        <v>329</v>
      </c>
    </row>
    <row r="36" spans="1:36" x14ac:dyDescent="0.3">
      <c r="A36" s="13"/>
      <c r="B36" s="24"/>
      <c r="C36" s="93">
        <v>6115045</v>
      </c>
      <c r="D36" s="12" t="s">
        <v>100</v>
      </c>
      <c r="E36" s="85" t="str">
        <f>VLOOKUP(C36,Sheet2!B:F,5,FALSE)</f>
        <v>Фланцевая</v>
      </c>
      <c r="F36" s="11" t="s">
        <v>110</v>
      </c>
      <c r="G36" s="47">
        <f t="shared" si="0"/>
        <v>50</v>
      </c>
      <c r="H36" s="12">
        <v>32</v>
      </c>
      <c r="I36" s="12"/>
      <c r="J36" s="12"/>
      <c r="K36" s="74">
        <f t="shared" si="17"/>
        <v>3</v>
      </c>
      <c r="L36" s="74">
        <v>30</v>
      </c>
      <c r="M36" s="12">
        <v>22.619864948040426</v>
      </c>
      <c r="N36" s="12">
        <v>22.619864948040426</v>
      </c>
      <c r="O36" s="43">
        <v>32</v>
      </c>
      <c r="P36" s="43">
        <f t="shared" si="18"/>
        <v>55.000000000000007</v>
      </c>
      <c r="Q36" s="43">
        <f t="shared" si="1"/>
        <v>64</v>
      </c>
      <c r="R36" s="43">
        <f t="shared" si="19"/>
        <v>64</v>
      </c>
      <c r="S36" s="43">
        <f t="shared" si="20"/>
        <v>55.000000000000007</v>
      </c>
      <c r="T36" s="33">
        <v>256</v>
      </c>
      <c r="U36" s="33">
        <f t="shared" si="7"/>
        <v>384</v>
      </c>
      <c r="V36" s="39">
        <f t="shared" si="8"/>
        <v>275807.7175873479</v>
      </c>
      <c r="W36" s="39">
        <f t="shared" si="2"/>
        <v>3.9043389274015572E-2</v>
      </c>
      <c r="X36" s="39">
        <f t="shared" si="47"/>
        <v>4.8228822844288394E-2</v>
      </c>
      <c r="Y36" s="39">
        <f t="shared" si="10"/>
        <v>275807.7175873479</v>
      </c>
      <c r="Z36" s="39">
        <f t="shared" si="3"/>
        <v>3.9043389274015572E-2</v>
      </c>
      <c r="AA36" s="39">
        <f t="shared" si="11"/>
        <v>275807.7175873479</v>
      </c>
      <c r="AB36" s="39">
        <f t="shared" si="4"/>
        <v>3.9043389274015572E-2</v>
      </c>
      <c r="AC36" s="39">
        <f t="shared" si="48"/>
        <v>0.16989702393179001</v>
      </c>
      <c r="AD36" s="38">
        <f t="shared" si="13"/>
        <v>0.28486892472150332</v>
      </c>
      <c r="AE36" s="38">
        <f t="shared" si="49"/>
        <v>2.9323984503098952E-2</v>
      </c>
      <c r="AF36" s="38">
        <f t="shared" si="50"/>
        <v>0.10330042084965491</v>
      </c>
      <c r="AG36" s="38">
        <f t="shared" ca="1" si="5"/>
        <v>0</v>
      </c>
      <c r="AH36" s="38">
        <f t="shared" si="51"/>
        <v>0.41749333007425721</v>
      </c>
      <c r="AI36" s="38">
        <f t="shared" si="6"/>
        <v>3.4538833136262008</v>
      </c>
      <c r="AJ36" t="s">
        <v>329</v>
      </c>
    </row>
    <row r="37" spans="1:36" x14ac:dyDescent="0.3">
      <c r="A37" s="13"/>
      <c r="B37" s="24"/>
      <c r="C37" s="92">
        <v>6115337</v>
      </c>
      <c r="D37" s="77" t="s">
        <v>105</v>
      </c>
      <c r="E37" s="85" t="str">
        <f>VLOOKUP(C37,Sheet2!B:F,5,FALSE)</f>
        <v>Фланцевая</v>
      </c>
      <c r="F37" s="19" t="s">
        <v>111</v>
      </c>
      <c r="G37" s="49">
        <f t="shared" si="0"/>
        <v>50</v>
      </c>
      <c r="H37" s="18">
        <v>40</v>
      </c>
      <c r="I37" s="18"/>
      <c r="J37" s="18"/>
      <c r="K37" s="77">
        <f t="shared" si="17"/>
        <v>2.2000000000000002</v>
      </c>
      <c r="L37" s="77">
        <v>22</v>
      </c>
      <c r="M37" s="18">
        <v>9.5272833814523548</v>
      </c>
      <c r="N37" s="18">
        <v>9.5272833814523548</v>
      </c>
      <c r="O37" s="44">
        <v>40</v>
      </c>
      <c r="P37" s="44">
        <f t="shared" si="18"/>
        <v>70</v>
      </c>
      <c r="Q37" s="44">
        <f t="shared" si="1"/>
        <v>80</v>
      </c>
      <c r="R37" s="44">
        <f t="shared" si="19"/>
        <v>80</v>
      </c>
      <c r="S37" s="44">
        <f t="shared" si="20"/>
        <v>70</v>
      </c>
      <c r="T37" s="34">
        <v>360</v>
      </c>
      <c r="U37" s="34">
        <f t="shared" si="7"/>
        <v>520</v>
      </c>
      <c r="V37" s="51">
        <f t="shared" si="8"/>
        <v>220646.1740698783</v>
      </c>
      <c r="W37" s="51">
        <f t="shared" si="2"/>
        <v>3.7005356225573237E-2</v>
      </c>
      <c r="X37" s="51">
        <f t="shared" ref="X37" si="52">(-0.0125*(H37/G37)^8+0.0224*(H37/G37)^6-0.00723*(H37/G37)^4+0.00444*(H37/G37)^2-0.00745)*((0.01745*M37)^3-2*PI()*(0.01745*M37)^2-10*0.01745*M37)+IF(M37=0,0,W37/(8*SIN(RADIANS(M37/2)))*(1-(H37/G37)^4))</f>
        <v>3.9836262138869663E-2</v>
      </c>
      <c r="Y37" s="51">
        <f t="shared" si="10"/>
        <v>220646.1740698783</v>
      </c>
      <c r="Z37" s="51">
        <f t="shared" si="3"/>
        <v>3.7005356225573237E-2</v>
      </c>
      <c r="AA37" s="51">
        <f t="shared" si="11"/>
        <v>220646.1740698783</v>
      </c>
      <c r="AB37" s="51">
        <f t="shared" si="4"/>
        <v>3.7005356225573237E-2</v>
      </c>
      <c r="AC37" s="51">
        <f t="shared" ref="AC37" si="53">IF(N37&gt;40,1,(3.2*(TAN(RADIANS(N37/2)))^1.25))*((1-(H37/G37)^2)^2)+IF(N37=0,0,AB37/(8*SIN(RADIANS(N37/2)))*(1-(H37/G37)^4))</f>
        <v>5.145410649402675E-2</v>
      </c>
      <c r="AD37" s="52">
        <f t="shared" si="13"/>
        <v>0.11980755599754377</v>
      </c>
      <c r="AE37" s="52">
        <f t="shared" ref="AE37" si="54">X37*((4*$V$4*1000/(3.6*PI()*H37^2))^2)/(2*9.81)</f>
        <v>9.9209862773599229E-3</v>
      </c>
      <c r="AF37" s="52">
        <f t="shared" ref="AF37" si="55">AC37*((4*$V$4*1000/(3.6*PI()*H37^2))^2)/(2*9.81)</f>
        <v>1.2814341934530205E-2</v>
      </c>
      <c r="AG37" s="52">
        <f t="shared" ca="1" si="5"/>
        <v>9.3821659915281186E-2</v>
      </c>
      <c r="AH37" s="52">
        <f t="shared" ref="AH37" si="56">SUM(AD37:AF37)</f>
        <v>0.1425428842094339</v>
      </c>
      <c r="AI37" s="52">
        <f t="shared" si="6"/>
        <v>2.2104853207207684</v>
      </c>
      <c r="AJ37" t="s">
        <v>329</v>
      </c>
    </row>
    <row r="38" spans="1:36" x14ac:dyDescent="0.3">
      <c r="A38" s="13"/>
      <c r="B38" s="24"/>
      <c r="C38" s="93">
        <v>6115367</v>
      </c>
      <c r="D38" s="18" t="s">
        <v>106</v>
      </c>
      <c r="E38" s="85" t="str">
        <f>VLOOKUP(C38,Sheet2!B:F,5,FALSE)</f>
        <v>Фланцевая</v>
      </c>
      <c r="F38" s="19" t="s">
        <v>111</v>
      </c>
      <c r="G38" s="49">
        <f t="shared" si="0"/>
        <v>50</v>
      </c>
      <c r="H38" s="18">
        <v>40</v>
      </c>
      <c r="I38" s="18"/>
      <c r="J38" s="18"/>
      <c r="K38" s="77">
        <f t="shared" si="17"/>
        <v>4.5</v>
      </c>
      <c r="L38" s="77">
        <v>45</v>
      </c>
      <c r="M38" s="18">
        <v>9.5272833814523548</v>
      </c>
      <c r="N38" s="18">
        <v>9.5272833814523548</v>
      </c>
      <c r="O38" s="44">
        <v>40</v>
      </c>
      <c r="P38" s="44">
        <f t="shared" si="18"/>
        <v>70</v>
      </c>
      <c r="Q38" s="44">
        <f t="shared" si="1"/>
        <v>80</v>
      </c>
      <c r="R38" s="44">
        <f t="shared" si="19"/>
        <v>80</v>
      </c>
      <c r="S38" s="44">
        <f t="shared" si="20"/>
        <v>70</v>
      </c>
      <c r="T38" s="50">
        <v>360</v>
      </c>
      <c r="U38" s="34">
        <f t="shared" si="7"/>
        <v>520</v>
      </c>
      <c r="V38" s="51">
        <f t="shared" si="8"/>
        <v>220646.1740698783</v>
      </c>
      <c r="W38" s="51">
        <f t="shared" si="2"/>
        <v>3.7005356225573237E-2</v>
      </c>
      <c r="X38" s="51">
        <f t="shared" ref="X38:X39" si="57">(-0.0125*(H38/G38)^8+0.0224*(H38/G38)^6-0.00723*(H38/G38)^4+0.00444*(H38/G38)^2-0.00745)*((0.01745*M38)^3-2*PI()*(0.01745*M38)^2-10*0.01745*M38)+IF(M38=0,0,W38/(8*SIN(RADIANS(M38/2)))*(1-(H38/G38)^4))</f>
        <v>3.9836262138869663E-2</v>
      </c>
      <c r="Y38" s="51">
        <f t="shared" si="10"/>
        <v>220646.1740698783</v>
      </c>
      <c r="Z38" s="51">
        <f t="shared" si="3"/>
        <v>3.7005356225573237E-2</v>
      </c>
      <c r="AA38" s="51">
        <f t="shared" si="11"/>
        <v>220646.1740698783</v>
      </c>
      <c r="AB38" s="51">
        <f t="shared" si="4"/>
        <v>3.7005356225573237E-2</v>
      </c>
      <c r="AC38" s="51">
        <f t="shared" ref="AC38:AC39" si="58">IF(N38&gt;40,1,(3.2*(TAN(RADIANS(N38/2)))^1.25))*((1-(H38/G38)^2)^2)+IF(N38=0,0,AB38/(8*SIN(RADIANS(N38/2)))*(1-(H38/G38)^4))</f>
        <v>5.145410649402675E-2</v>
      </c>
      <c r="AD38" s="52">
        <f t="shared" si="13"/>
        <v>0.11980755599754377</v>
      </c>
      <c r="AE38" s="52">
        <f t="shared" ref="AE38:AE39" si="59">X38*((4*$V$4*1000/(3.6*PI()*H38^2))^2)/(2*9.81)</f>
        <v>9.9209862773599229E-3</v>
      </c>
      <c r="AF38" s="52">
        <f t="shared" ref="AF38:AF39" si="60">AC38*((4*$V$4*1000/(3.6*PI()*H38^2))^2)/(2*9.81)</f>
        <v>1.2814341934530205E-2</v>
      </c>
      <c r="AG38" s="52">
        <f t="shared" ca="1" si="5"/>
        <v>0</v>
      </c>
      <c r="AH38" s="52">
        <f t="shared" ref="AH38:AH39" si="61">SUM(AD38:AF38)</f>
        <v>0.1425428842094339</v>
      </c>
      <c r="AI38" s="52">
        <f t="shared" si="6"/>
        <v>2.2104853207207684</v>
      </c>
      <c r="AJ38" t="s">
        <v>329</v>
      </c>
    </row>
    <row r="39" spans="1:36" x14ac:dyDescent="0.3">
      <c r="A39" s="13"/>
      <c r="B39" s="24"/>
      <c r="C39" s="93">
        <v>6107383</v>
      </c>
      <c r="D39" s="12" t="s">
        <v>112</v>
      </c>
      <c r="E39" s="85" t="str">
        <f>VLOOKUP(C39,Sheet2!B:F,5,FALSE)</f>
        <v>Межфланцевая</v>
      </c>
      <c r="F39" s="11" t="s">
        <v>114</v>
      </c>
      <c r="G39" s="47">
        <f t="shared" si="0"/>
        <v>50</v>
      </c>
      <c r="H39" s="12">
        <v>50</v>
      </c>
      <c r="I39" s="12"/>
      <c r="J39" s="12"/>
      <c r="K39" s="74">
        <f t="shared" si="17"/>
        <v>3.6</v>
      </c>
      <c r="L39" s="74">
        <v>36</v>
      </c>
      <c r="M39" s="12">
        <v>0</v>
      </c>
      <c r="N39" s="12">
        <v>0</v>
      </c>
      <c r="O39" s="43">
        <v>50</v>
      </c>
      <c r="P39" s="43">
        <f t="shared" si="18"/>
        <v>0</v>
      </c>
      <c r="Q39" s="43">
        <f t="shared" ref="Q39:Q85" si="62">2*O39</f>
        <v>100</v>
      </c>
      <c r="R39" s="43">
        <f t="shared" si="19"/>
        <v>100</v>
      </c>
      <c r="S39" s="43">
        <f t="shared" si="20"/>
        <v>0</v>
      </c>
      <c r="T39" s="33">
        <v>153</v>
      </c>
      <c r="U39" s="33">
        <f t="shared" si="7"/>
        <v>353</v>
      </c>
      <c r="V39" s="39">
        <f t="shared" si="8"/>
        <v>176516.93925590263</v>
      </c>
      <c r="W39" s="39">
        <f t="shared" si="2"/>
        <v>3.5115328653073222E-2</v>
      </c>
      <c r="X39" s="39">
        <f t="shared" si="57"/>
        <v>0</v>
      </c>
      <c r="Y39" s="39">
        <f t="shared" si="10"/>
        <v>176516.93925590263</v>
      </c>
      <c r="Z39" s="39">
        <f t="shared" si="3"/>
        <v>3.5115328653073222E-2</v>
      </c>
      <c r="AA39" s="39">
        <f t="shared" si="11"/>
        <v>176516.93925590263</v>
      </c>
      <c r="AB39" s="39">
        <f t="shared" si="4"/>
        <v>3.5115328653073222E-2</v>
      </c>
      <c r="AC39" s="39">
        <f t="shared" si="58"/>
        <v>0</v>
      </c>
      <c r="AD39" s="38">
        <f t="shared" si="13"/>
        <v>2.5289349232071771E-2</v>
      </c>
      <c r="AE39" s="38">
        <f t="shared" si="59"/>
        <v>0</v>
      </c>
      <c r="AF39" s="38">
        <f t="shared" si="60"/>
        <v>0</v>
      </c>
      <c r="AG39" s="38">
        <f t="shared" ca="1" si="5"/>
        <v>4.3999541912574075E-2</v>
      </c>
      <c r="AH39" s="38">
        <f t="shared" si="61"/>
        <v>2.5289349232071771E-2</v>
      </c>
      <c r="AI39" s="38">
        <f t="shared" si="6"/>
        <v>1.4147106052612919</v>
      </c>
      <c r="AJ39" t="s">
        <v>329</v>
      </c>
    </row>
    <row r="40" spans="1:36" x14ac:dyDescent="0.3">
      <c r="A40" s="20"/>
      <c r="B40" s="89"/>
      <c r="C40" s="93">
        <v>6107443</v>
      </c>
      <c r="D40" s="12" t="s">
        <v>113</v>
      </c>
      <c r="E40" s="85" t="str">
        <f>VLOOKUP(C40,Sheet2!B:F,5,FALSE)</f>
        <v>Межфланцевая</v>
      </c>
      <c r="F40" s="11" t="s">
        <v>114</v>
      </c>
      <c r="G40" s="47">
        <f t="shared" si="0"/>
        <v>50</v>
      </c>
      <c r="H40" s="12">
        <v>50</v>
      </c>
      <c r="I40" s="12"/>
      <c r="J40" s="12"/>
      <c r="K40" s="74">
        <f t="shared" si="17"/>
        <v>7.2</v>
      </c>
      <c r="L40" s="74">
        <v>72</v>
      </c>
      <c r="M40" s="12">
        <v>0</v>
      </c>
      <c r="N40" s="12">
        <v>0</v>
      </c>
      <c r="O40" s="43">
        <v>50</v>
      </c>
      <c r="P40" s="43">
        <f t="shared" si="18"/>
        <v>0</v>
      </c>
      <c r="Q40" s="43">
        <f t="shared" si="62"/>
        <v>100</v>
      </c>
      <c r="R40" s="43">
        <f t="shared" si="19"/>
        <v>100</v>
      </c>
      <c r="S40" s="43">
        <f t="shared" si="20"/>
        <v>0</v>
      </c>
      <c r="T40" s="33">
        <v>153</v>
      </c>
      <c r="U40" s="33">
        <f t="shared" si="7"/>
        <v>353</v>
      </c>
      <c r="V40" s="39">
        <f t="shared" si="8"/>
        <v>176516.93925590263</v>
      </c>
      <c r="W40" s="39">
        <f t="shared" si="2"/>
        <v>3.5115328653073222E-2</v>
      </c>
      <c r="X40" s="39">
        <f t="shared" ref="X40:X44" si="63">(-0.0125*(H40/G40)^8+0.0224*(H40/G40)^6-0.00723*(H40/G40)^4+0.00444*(H40/G40)^2-0.00745)*((0.01745*M40)^3-2*PI()*(0.01745*M40)^2-10*0.01745*M40)+IF(M40=0,0,W40/(8*SIN(RADIANS(M40/2)))*(1-(H40/G40)^4))</f>
        <v>0</v>
      </c>
      <c r="Y40" s="39">
        <f t="shared" si="10"/>
        <v>176516.93925590263</v>
      </c>
      <c r="Z40" s="39">
        <f t="shared" si="3"/>
        <v>3.5115328653073222E-2</v>
      </c>
      <c r="AA40" s="39">
        <f t="shared" si="11"/>
        <v>176516.93925590263</v>
      </c>
      <c r="AB40" s="39">
        <f t="shared" si="4"/>
        <v>3.5115328653073222E-2</v>
      </c>
      <c r="AC40" s="39">
        <f t="shared" ref="AC40:AC44" si="64">IF(N40&gt;40,1,(3.2*(TAN(RADIANS(N40/2)))^1.25))*((1-(H40/G40)^2)^2)+IF(N40=0,0,AB40/(8*SIN(RADIANS(N40/2)))*(1-(H40/G40)^4))</f>
        <v>0</v>
      </c>
      <c r="AD40" s="38">
        <f t="shared" si="13"/>
        <v>2.5289349232071771E-2</v>
      </c>
      <c r="AE40" s="38">
        <f t="shared" ref="AE40:AE44" si="65">X40*((4*$V$4*1000/(3.6*PI()*H40^2))^2)/(2*9.81)</f>
        <v>0</v>
      </c>
      <c r="AF40" s="38">
        <f t="shared" ref="AF40:AF44" si="66">AC40*((4*$V$4*1000/(3.6*PI()*H40^2))^2)/(2*9.81)</f>
        <v>0</v>
      </c>
      <c r="AG40" s="38">
        <f t="shared" ca="1" si="5"/>
        <v>0</v>
      </c>
      <c r="AH40" s="38">
        <f t="shared" ref="AH40:AH44" si="67">SUM(AD40:AF40)</f>
        <v>2.5289349232071771E-2</v>
      </c>
      <c r="AI40" s="38">
        <f t="shared" si="6"/>
        <v>1.4147106052612919</v>
      </c>
      <c r="AJ40" t="s">
        <v>329</v>
      </c>
    </row>
    <row r="41" spans="1:36" x14ac:dyDescent="0.3">
      <c r="A41" s="16">
        <v>65</v>
      </c>
      <c r="B41" s="88">
        <v>9</v>
      </c>
      <c r="C41" s="92">
        <v>6121894</v>
      </c>
      <c r="D41" s="12" t="s">
        <v>94</v>
      </c>
      <c r="E41" s="85" t="str">
        <f>VLOOKUP(C41,Sheet2!B:F,5,FALSE)</f>
        <v>Фланцевая</v>
      </c>
      <c r="F41" s="11" t="s">
        <v>115</v>
      </c>
      <c r="G41" s="47">
        <f t="shared" si="0"/>
        <v>65</v>
      </c>
      <c r="H41" s="12">
        <v>25</v>
      </c>
      <c r="I41" s="12"/>
      <c r="J41" s="12"/>
      <c r="K41" s="74">
        <f t="shared" si="17"/>
        <v>0.9</v>
      </c>
      <c r="L41" s="74">
        <v>9</v>
      </c>
      <c r="M41" s="12">
        <v>26.48103983037441</v>
      </c>
      <c r="N41" s="12">
        <v>26.48103983037441</v>
      </c>
      <c r="O41" s="43">
        <v>25</v>
      </c>
      <c r="P41" s="43">
        <f t="shared" si="18"/>
        <v>95</v>
      </c>
      <c r="Q41" s="43">
        <f t="shared" si="62"/>
        <v>50</v>
      </c>
      <c r="R41" s="43">
        <f t="shared" si="19"/>
        <v>50</v>
      </c>
      <c r="S41" s="43">
        <f t="shared" si="20"/>
        <v>95</v>
      </c>
      <c r="T41" s="33">
        <v>300</v>
      </c>
      <c r="U41" s="33">
        <f t="shared" si="7"/>
        <v>400</v>
      </c>
      <c r="V41" s="39">
        <f t="shared" si="8"/>
        <v>353033.87851180526</v>
      </c>
      <c r="W41" s="39">
        <f t="shared" si="2"/>
        <v>4.1465874809924794E-2</v>
      </c>
      <c r="X41" s="39">
        <f t="shared" si="63"/>
        <v>6.2507543954750389E-2</v>
      </c>
      <c r="Y41" s="39">
        <f t="shared" si="10"/>
        <v>353033.87851180526</v>
      </c>
      <c r="Z41" s="39">
        <f t="shared" si="3"/>
        <v>4.1465874809924794E-2</v>
      </c>
      <c r="AA41" s="39">
        <f t="shared" si="11"/>
        <v>353033.87851180526</v>
      </c>
      <c r="AB41" s="39">
        <f t="shared" si="4"/>
        <v>4.1465874809924794E-2</v>
      </c>
      <c r="AC41" s="39">
        <f t="shared" si="64"/>
        <v>0.40286360756054607</v>
      </c>
      <c r="AD41" s="38">
        <f t="shared" si="13"/>
        <v>1.0828467884629531</v>
      </c>
      <c r="AE41" s="38">
        <f t="shared" si="65"/>
        <v>0.10202077843584373</v>
      </c>
      <c r="AF41" s="38">
        <f t="shared" si="66"/>
        <v>0.65752797576804578</v>
      </c>
      <c r="AG41" s="38">
        <f t="shared" ca="1" si="5"/>
        <v>0.83364787466053847</v>
      </c>
      <c r="AH41" s="38">
        <f t="shared" si="67"/>
        <v>1.8423955426668428</v>
      </c>
      <c r="AI41" s="38">
        <f t="shared" si="6"/>
        <v>5.6588424210451675</v>
      </c>
      <c r="AJ41" t="s">
        <v>329</v>
      </c>
    </row>
    <row r="42" spans="1:36" x14ac:dyDescent="0.3">
      <c r="A42" s="13"/>
      <c r="B42" s="24"/>
      <c r="C42" s="92">
        <v>6121508</v>
      </c>
      <c r="D42" s="12" t="s">
        <v>96</v>
      </c>
      <c r="E42" s="85" t="str">
        <f>VLOOKUP(C42,Sheet2!B:F,5,FALSE)</f>
        <v>Фланцевая</v>
      </c>
      <c r="F42" s="11" t="s">
        <v>115</v>
      </c>
      <c r="G42" s="47">
        <f t="shared" si="0"/>
        <v>65</v>
      </c>
      <c r="H42" s="12">
        <v>25</v>
      </c>
      <c r="I42" s="12"/>
      <c r="J42" s="12"/>
      <c r="K42" s="74">
        <f t="shared" si="17"/>
        <v>1.8</v>
      </c>
      <c r="L42" s="74">
        <v>18</v>
      </c>
      <c r="M42" s="12">
        <v>26.48103983037441</v>
      </c>
      <c r="N42" s="12">
        <v>26.48103983037441</v>
      </c>
      <c r="O42" s="43">
        <v>25</v>
      </c>
      <c r="P42" s="43">
        <f t="shared" si="18"/>
        <v>95</v>
      </c>
      <c r="Q42" s="43">
        <f t="shared" si="62"/>
        <v>50</v>
      </c>
      <c r="R42" s="43">
        <f t="shared" si="19"/>
        <v>50</v>
      </c>
      <c r="S42" s="43">
        <f t="shared" si="20"/>
        <v>95</v>
      </c>
      <c r="T42" s="33">
        <v>300</v>
      </c>
      <c r="U42" s="33">
        <f t="shared" si="7"/>
        <v>400</v>
      </c>
      <c r="V42" s="39">
        <f t="shared" si="8"/>
        <v>353033.87851180526</v>
      </c>
      <c r="W42" s="39">
        <f t="shared" si="2"/>
        <v>4.1465874809924794E-2</v>
      </c>
      <c r="X42" s="39">
        <f t="shared" si="63"/>
        <v>6.2507543954750389E-2</v>
      </c>
      <c r="Y42" s="39">
        <f t="shared" si="10"/>
        <v>353033.87851180526</v>
      </c>
      <c r="Z42" s="39">
        <f t="shared" si="3"/>
        <v>4.1465874809924794E-2</v>
      </c>
      <c r="AA42" s="39">
        <f t="shared" si="11"/>
        <v>353033.87851180526</v>
      </c>
      <c r="AB42" s="39">
        <f t="shared" si="4"/>
        <v>4.1465874809924794E-2</v>
      </c>
      <c r="AC42" s="39">
        <f t="shared" si="64"/>
        <v>0.40286360756054607</v>
      </c>
      <c r="AD42" s="38">
        <f t="shared" si="13"/>
        <v>1.0828467884629531</v>
      </c>
      <c r="AE42" s="38">
        <f t="shared" si="65"/>
        <v>0.10202077843584373</v>
      </c>
      <c r="AF42" s="38">
        <f t="shared" si="66"/>
        <v>0.65752797576804578</v>
      </c>
      <c r="AG42" s="38">
        <f t="shared" ca="1" si="5"/>
        <v>0</v>
      </c>
      <c r="AH42" s="38">
        <f t="shared" si="67"/>
        <v>1.8423955426668428</v>
      </c>
      <c r="AI42" s="38">
        <f t="shared" si="6"/>
        <v>5.6588424210451675</v>
      </c>
      <c r="AJ42" t="s">
        <v>329</v>
      </c>
    </row>
    <row r="43" spans="1:36" x14ac:dyDescent="0.3">
      <c r="A43" s="13"/>
      <c r="B43" s="22"/>
      <c r="C43" s="93">
        <v>6115075</v>
      </c>
      <c r="D43" s="12" t="s">
        <v>99</v>
      </c>
      <c r="E43" s="85" t="str">
        <f>VLOOKUP(C43,Sheet2!B:F,5,FALSE)</f>
        <v>Фланцевая</v>
      </c>
      <c r="F43" s="11" t="s">
        <v>116</v>
      </c>
      <c r="G43" s="47">
        <f t="shared" ref="G43:G74" si="68">IF(A43="",G42,A43)</f>
        <v>65</v>
      </c>
      <c r="H43" s="12">
        <v>32</v>
      </c>
      <c r="I43" s="12"/>
      <c r="J43" s="12"/>
      <c r="K43" s="74">
        <f t="shared" si="17"/>
        <v>1.5</v>
      </c>
      <c r="L43" s="74">
        <v>15</v>
      </c>
      <c r="M43" s="12">
        <v>33.398488467987242</v>
      </c>
      <c r="N43" s="12">
        <v>33.398488467987242</v>
      </c>
      <c r="O43" s="43">
        <v>32</v>
      </c>
      <c r="P43" s="43">
        <f t="shared" si="18"/>
        <v>65</v>
      </c>
      <c r="Q43" s="43">
        <f t="shared" si="62"/>
        <v>64</v>
      </c>
      <c r="R43" s="43">
        <f t="shared" si="19"/>
        <v>64</v>
      </c>
      <c r="S43" s="43">
        <f t="shared" si="20"/>
        <v>65</v>
      </c>
      <c r="T43" s="33">
        <v>256</v>
      </c>
      <c r="U43" s="33">
        <f t="shared" si="7"/>
        <v>384</v>
      </c>
      <c r="V43" s="39">
        <f t="shared" si="8"/>
        <v>275807.7175873479</v>
      </c>
      <c r="W43" s="39">
        <f t="shared" ref="W43:W74" si="69">0.11*((68/V43)+$V$5/H43)^0.25</f>
        <v>3.9043389274015572E-2</v>
      </c>
      <c r="X43" s="39">
        <f t="shared" si="63"/>
        <v>6.6631315960907253E-2</v>
      </c>
      <c r="Y43" s="39">
        <f t="shared" si="10"/>
        <v>275807.7175873479</v>
      </c>
      <c r="Z43" s="39">
        <f t="shared" ref="Z43:Z74" si="70">0.11*((68/Y43)+$V$5/H43)^0.25</f>
        <v>3.9043389274015572E-2</v>
      </c>
      <c r="AA43" s="39">
        <f t="shared" si="11"/>
        <v>275807.7175873479</v>
      </c>
      <c r="AB43" s="39">
        <f t="shared" ref="AB43:AB74" si="71">0.11*((68/AA43)+$V$5/H43)^0.25</f>
        <v>3.9043389274015572E-2</v>
      </c>
      <c r="AC43" s="39">
        <f t="shared" si="64"/>
        <v>0.42380757241321582</v>
      </c>
      <c r="AD43" s="38">
        <f t="shared" si="13"/>
        <v>0.28486892472150332</v>
      </c>
      <c r="AE43" s="38">
        <f t="shared" si="65"/>
        <v>4.0513028546582668E-2</v>
      </c>
      <c r="AF43" s="38">
        <f t="shared" si="66"/>
        <v>0.25768256309852916</v>
      </c>
      <c r="AG43" s="38">
        <f t="shared" ref="AG43:AG74" ca="1" si="72">(OFFSET($AY$2:$AY$10,MATCH(H43,$AY$2:$AY$10,0)-1,1,1,1)+OFFSET($AY$2:$AY$10,MATCH(H43,$AY$2:$AY$10,0)-1,2,1,1)*AI43+OFFSET($AY$2:$AY$10,MATCH(H43,$AY$2:$AY$10,0)-1,3,1,1)*AI43^2+OFFSET($AY$2:$AY$10,MATCH(H43,$AY$2:$AY$10,0)-1,4,1,1)*AI43^3)*10.0000371*IF(VLOOKUP(D43,$AU$2:$AV$16,2,FALSE)="L",1,0)</f>
        <v>0.34471237885471773</v>
      </c>
      <c r="AH43" s="38">
        <f t="shared" si="67"/>
        <v>0.58306451636661516</v>
      </c>
      <c r="AI43" s="38">
        <f t="shared" ref="AI43:AI74" si="73">(4*$V$4*1000/(3.6*PI()*H43^2))</f>
        <v>3.4538833136262008</v>
      </c>
      <c r="AJ43" t="s">
        <v>329</v>
      </c>
    </row>
    <row r="44" spans="1:36" x14ac:dyDescent="0.3">
      <c r="A44" s="13"/>
      <c r="B44" s="24"/>
      <c r="C44" s="93">
        <v>6115045</v>
      </c>
      <c r="D44" s="12" t="s">
        <v>100</v>
      </c>
      <c r="E44" s="85" t="str">
        <f>VLOOKUP(C44,Sheet2!B:F,5,FALSE)</f>
        <v>Фланцевая</v>
      </c>
      <c r="F44" s="11" t="s">
        <v>116</v>
      </c>
      <c r="G44" s="47">
        <f t="shared" si="68"/>
        <v>65</v>
      </c>
      <c r="H44" s="12">
        <v>32</v>
      </c>
      <c r="I44" s="12"/>
      <c r="J44" s="12"/>
      <c r="K44" s="74">
        <f t="shared" si="17"/>
        <v>3</v>
      </c>
      <c r="L44" s="74">
        <v>30</v>
      </c>
      <c r="M44" s="12">
        <v>33.398488467987242</v>
      </c>
      <c r="N44" s="12">
        <v>33.398488467987242</v>
      </c>
      <c r="O44" s="43">
        <v>32</v>
      </c>
      <c r="P44" s="43">
        <f t="shared" si="18"/>
        <v>65</v>
      </c>
      <c r="Q44" s="43">
        <f t="shared" si="62"/>
        <v>64</v>
      </c>
      <c r="R44" s="43">
        <f t="shared" si="19"/>
        <v>64</v>
      </c>
      <c r="S44" s="43">
        <f t="shared" si="20"/>
        <v>65</v>
      </c>
      <c r="T44" s="33">
        <v>256</v>
      </c>
      <c r="U44" s="33">
        <f t="shared" si="7"/>
        <v>384</v>
      </c>
      <c r="V44" s="39">
        <f t="shared" si="8"/>
        <v>275807.7175873479</v>
      </c>
      <c r="W44" s="39">
        <f t="shared" si="69"/>
        <v>3.9043389274015572E-2</v>
      </c>
      <c r="X44" s="39">
        <f t="shared" si="63"/>
        <v>6.6631315960907253E-2</v>
      </c>
      <c r="Y44" s="39">
        <f t="shared" si="10"/>
        <v>275807.7175873479</v>
      </c>
      <c r="Z44" s="39">
        <f t="shared" si="70"/>
        <v>3.9043389274015572E-2</v>
      </c>
      <c r="AA44" s="39">
        <f t="shared" si="11"/>
        <v>275807.7175873479</v>
      </c>
      <c r="AB44" s="39">
        <f t="shared" si="71"/>
        <v>3.9043389274015572E-2</v>
      </c>
      <c r="AC44" s="39">
        <f t="shared" si="64"/>
        <v>0.42380757241321582</v>
      </c>
      <c r="AD44" s="38">
        <f t="shared" si="13"/>
        <v>0.28486892472150332</v>
      </c>
      <c r="AE44" s="38">
        <f t="shared" si="65"/>
        <v>4.0513028546582668E-2</v>
      </c>
      <c r="AF44" s="38">
        <f t="shared" si="66"/>
        <v>0.25768256309852916</v>
      </c>
      <c r="AG44" s="38">
        <f t="shared" ca="1" si="72"/>
        <v>0</v>
      </c>
      <c r="AH44" s="38">
        <f t="shared" si="67"/>
        <v>0.58306451636661516</v>
      </c>
      <c r="AI44" s="38">
        <f t="shared" si="73"/>
        <v>3.4538833136262008</v>
      </c>
      <c r="AJ44" t="s">
        <v>329</v>
      </c>
    </row>
    <row r="45" spans="1:36" x14ac:dyDescent="0.3">
      <c r="A45" s="13"/>
      <c r="B45" s="24"/>
      <c r="C45" s="92">
        <v>6115337</v>
      </c>
      <c r="D45" s="18" t="s">
        <v>105</v>
      </c>
      <c r="E45" s="85" t="str">
        <f>VLOOKUP(C45,Sheet2!B:F,5,FALSE)</f>
        <v>Фланцевая</v>
      </c>
      <c r="F45" s="19" t="s">
        <v>117</v>
      </c>
      <c r="G45" s="49">
        <f t="shared" si="68"/>
        <v>65</v>
      </c>
      <c r="H45" s="18">
        <v>40</v>
      </c>
      <c r="I45" s="18"/>
      <c r="J45" s="18"/>
      <c r="K45" s="77">
        <f t="shared" si="17"/>
        <v>2.2000000000000002</v>
      </c>
      <c r="L45" s="77">
        <v>22</v>
      </c>
      <c r="M45" s="18">
        <v>20.249343310795634</v>
      </c>
      <c r="N45" s="18">
        <v>20.249343310795634</v>
      </c>
      <c r="O45" s="44">
        <v>40</v>
      </c>
      <c r="P45" s="44">
        <f t="shared" si="18"/>
        <v>80</v>
      </c>
      <c r="Q45" s="44">
        <f t="shared" si="62"/>
        <v>80</v>
      </c>
      <c r="R45" s="44">
        <f t="shared" si="19"/>
        <v>80</v>
      </c>
      <c r="S45" s="44">
        <f t="shared" si="20"/>
        <v>80</v>
      </c>
      <c r="T45" s="34">
        <v>360</v>
      </c>
      <c r="U45" s="34">
        <f t="shared" si="7"/>
        <v>520</v>
      </c>
      <c r="V45" s="51">
        <f t="shared" si="8"/>
        <v>220646.1740698783</v>
      </c>
      <c r="W45" s="51">
        <f t="shared" si="69"/>
        <v>3.7005356225573237E-2</v>
      </c>
      <c r="X45" s="51">
        <f t="shared" ref="X45:X48" si="74">(-0.0125*(H45/G45)^8+0.0224*(H45/G45)^6-0.00723*(H45/G45)^4+0.00444*(H45/G45)^2-0.00745)*((0.01745*M45)^3-2*PI()*(0.01745*M45)^2-10*0.01745*M45)+IF(M45=0,0,W45/(8*SIN(RADIANS(M45/2)))*(1-(H45/G45)^4))</f>
        <v>4.7524983714445974E-2</v>
      </c>
      <c r="Y45" s="51">
        <f t="shared" si="10"/>
        <v>220646.1740698783</v>
      </c>
      <c r="Z45" s="51">
        <f t="shared" si="70"/>
        <v>3.7005356225573237E-2</v>
      </c>
      <c r="AA45" s="51">
        <f t="shared" si="11"/>
        <v>220646.1740698783</v>
      </c>
      <c r="AB45" s="51">
        <f t="shared" si="71"/>
        <v>3.7005356225573237E-2</v>
      </c>
      <c r="AC45" s="51">
        <f t="shared" ref="AC45:AC48" si="75">IF(N45&gt;40,1,(3.2*(TAN(RADIANS(N45/2)))^1.25))*((1-(H45/G45)^2)^2)+IF(N45=0,0,AB45/(8*SIN(RADIANS(N45/2)))*(1-(H45/G45)^4))</f>
        <v>0.16593025062626721</v>
      </c>
      <c r="AD45" s="52">
        <f t="shared" si="13"/>
        <v>0.11980755599754377</v>
      </c>
      <c r="AE45" s="52">
        <f t="shared" ref="AE45:AE48" si="76">X45*((4*$V$4*1000/(3.6*PI()*H45^2))^2)/(2*9.81)</f>
        <v>1.1835817065846599E-2</v>
      </c>
      <c r="AF45" s="52">
        <f t="shared" ref="AF45:AF48" si="77">AC45*((4*$V$4*1000/(3.6*PI()*H45^2))^2)/(2*9.81)</f>
        <v>4.1323950869774036E-2</v>
      </c>
      <c r="AG45" s="52">
        <f t="shared" ca="1" si="72"/>
        <v>9.3821659915281186E-2</v>
      </c>
      <c r="AH45" s="52">
        <f t="shared" ref="AH45:AH48" si="78">SUM(AD45:AF45)</f>
        <v>0.17296732393316439</v>
      </c>
      <c r="AI45" s="52">
        <f t="shared" si="73"/>
        <v>2.2104853207207684</v>
      </c>
      <c r="AJ45" t="s">
        <v>329</v>
      </c>
    </row>
    <row r="46" spans="1:36" x14ac:dyDescent="0.3">
      <c r="A46" s="13"/>
      <c r="B46" s="24"/>
      <c r="C46" s="93">
        <v>6115367</v>
      </c>
      <c r="D46" s="18" t="s">
        <v>106</v>
      </c>
      <c r="E46" s="85" t="str">
        <f>VLOOKUP(C46,Sheet2!B:F,5,FALSE)</f>
        <v>Фланцевая</v>
      </c>
      <c r="F46" s="19" t="s">
        <v>117</v>
      </c>
      <c r="G46" s="49">
        <f t="shared" si="68"/>
        <v>65</v>
      </c>
      <c r="H46" s="18">
        <v>40</v>
      </c>
      <c r="I46" s="18"/>
      <c r="J46" s="18"/>
      <c r="K46" s="77">
        <f t="shared" si="17"/>
        <v>4.5</v>
      </c>
      <c r="L46" s="77">
        <v>45</v>
      </c>
      <c r="M46" s="18">
        <v>20.249343310795634</v>
      </c>
      <c r="N46" s="18">
        <v>20.249343310795634</v>
      </c>
      <c r="O46" s="44">
        <v>40</v>
      </c>
      <c r="P46" s="44">
        <f t="shared" si="18"/>
        <v>80</v>
      </c>
      <c r="Q46" s="44">
        <f t="shared" si="62"/>
        <v>80</v>
      </c>
      <c r="R46" s="44">
        <f t="shared" si="19"/>
        <v>80</v>
      </c>
      <c r="S46" s="44">
        <f t="shared" si="20"/>
        <v>80</v>
      </c>
      <c r="T46" s="34">
        <v>360</v>
      </c>
      <c r="U46" s="34">
        <f t="shared" si="7"/>
        <v>520</v>
      </c>
      <c r="V46" s="51">
        <f t="shared" si="8"/>
        <v>220646.1740698783</v>
      </c>
      <c r="W46" s="51">
        <f t="shared" si="69"/>
        <v>3.7005356225573237E-2</v>
      </c>
      <c r="X46" s="51">
        <f t="shared" si="74"/>
        <v>4.7524983714445974E-2</v>
      </c>
      <c r="Y46" s="51">
        <f t="shared" si="10"/>
        <v>220646.1740698783</v>
      </c>
      <c r="Z46" s="51">
        <f t="shared" si="70"/>
        <v>3.7005356225573237E-2</v>
      </c>
      <c r="AA46" s="51">
        <f t="shared" si="11"/>
        <v>220646.1740698783</v>
      </c>
      <c r="AB46" s="51">
        <f t="shared" si="71"/>
        <v>3.7005356225573237E-2</v>
      </c>
      <c r="AC46" s="51">
        <f t="shared" si="75"/>
        <v>0.16593025062626721</v>
      </c>
      <c r="AD46" s="52">
        <f t="shared" si="13"/>
        <v>0.11980755599754377</v>
      </c>
      <c r="AE46" s="52">
        <f t="shared" si="76"/>
        <v>1.1835817065846599E-2</v>
      </c>
      <c r="AF46" s="52">
        <f t="shared" si="77"/>
        <v>4.1323950869774036E-2</v>
      </c>
      <c r="AG46" s="52">
        <f t="shared" ca="1" si="72"/>
        <v>0</v>
      </c>
      <c r="AH46" s="52">
        <f t="shared" si="78"/>
        <v>0.17296732393316439</v>
      </c>
      <c r="AI46" s="52">
        <f t="shared" si="73"/>
        <v>2.2104853207207684</v>
      </c>
      <c r="AJ46" t="s">
        <v>329</v>
      </c>
    </row>
    <row r="47" spans="1:36" x14ac:dyDescent="0.3">
      <c r="A47" s="13"/>
      <c r="B47" s="24"/>
      <c r="C47" s="93">
        <v>6107383</v>
      </c>
      <c r="D47" s="12" t="s">
        <v>112</v>
      </c>
      <c r="E47" s="85" t="str">
        <f>VLOOKUP(C47,Sheet2!B:F,5,FALSE)</f>
        <v>Межфланцевая</v>
      </c>
      <c r="F47" s="11" t="s">
        <v>118</v>
      </c>
      <c r="G47" s="47">
        <f t="shared" si="68"/>
        <v>65</v>
      </c>
      <c r="H47" s="12">
        <v>50</v>
      </c>
      <c r="I47" s="12"/>
      <c r="J47" s="12"/>
      <c r="K47" s="74">
        <f t="shared" si="17"/>
        <v>3.6</v>
      </c>
      <c r="L47" s="74">
        <v>36</v>
      </c>
      <c r="M47" s="12">
        <v>12.231007132570813</v>
      </c>
      <c r="N47" s="12">
        <v>12.231007132570813</v>
      </c>
      <c r="O47" s="43">
        <v>50</v>
      </c>
      <c r="P47" s="43">
        <f t="shared" si="18"/>
        <v>80</v>
      </c>
      <c r="Q47" s="43">
        <f t="shared" si="62"/>
        <v>100</v>
      </c>
      <c r="R47" s="43">
        <f t="shared" si="19"/>
        <v>100</v>
      </c>
      <c r="S47" s="43">
        <f t="shared" si="20"/>
        <v>80</v>
      </c>
      <c r="T47" s="33">
        <v>353</v>
      </c>
      <c r="U47" s="33">
        <f t="shared" si="7"/>
        <v>553</v>
      </c>
      <c r="V47" s="39">
        <f t="shared" si="8"/>
        <v>176516.93925590263</v>
      </c>
      <c r="W47" s="39">
        <f t="shared" si="69"/>
        <v>3.5115328653073222E-2</v>
      </c>
      <c r="X47" s="39">
        <f t="shared" si="74"/>
        <v>3.701212844239208E-2</v>
      </c>
      <c r="Y47" s="39">
        <f t="shared" si="10"/>
        <v>176516.93925590263</v>
      </c>
      <c r="Z47" s="39">
        <f t="shared" si="70"/>
        <v>3.5115328653073222E-2</v>
      </c>
      <c r="AA47" s="39">
        <f t="shared" si="11"/>
        <v>176516.93925590263</v>
      </c>
      <c r="AB47" s="39">
        <f t="shared" si="71"/>
        <v>3.5115328653073222E-2</v>
      </c>
      <c r="AC47" s="39">
        <f t="shared" si="75"/>
        <v>5.9474839769665111E-2</v>
      </c>
      <c r="AD47" s="38">
        <f t="shared" si="13"/>
        <v>3.9617592423047285E-2</v>
      </c>
      <c r="AE47" s="38">
        <f t="shared" si="76"/>
        <v>3.7755504339541672E-3</v>
      </c>
      <c r="AF47" s="38">
        <f t="shared" si="77"/>
        <v>6.066937151458807E-3</v>
      </c>
      <c r="AG47" s="38">
        <f t="shared" ca="1" si="72"/>
        <v>4.3999541912574075E-2</v>
      </c>
      <c r="AH47" s="38">
        <f t="shared" si="78"/>
        <v>4.9460080008460257E-2</v>
      </c>
      <c r="AI47" s="38">
        <f t="shared" si="73"/>
        <v>1.4147106052612919</v>
      </c>
      <c r="AJ47" t="s">
        <v>329</v>
      </c>
    </row>
    <row r="48" spans="1:36" x14ac:dyDescent="0.3">
      <c r="A48" s="13"/>
      <c r="B48" s="24"/>
      <c r="C48" s="93">
        <v>6107443</v>
      </c>
      <c r="D48" s="12" t="s">
        <v>113</v>
      </c>
      <c r="E48" s="85" t="str">
        <f>VLOOKUP(C48,Sheet2!B:F,5,FALSE)</f>
        <v>Межфланцевая</v>
      </c>
      <c r="F48" s="11" t="s">
        <v>118</v>
      </c>
      <c r="G48" s="47">
        <f t="shared" si="68"/>
        <v>65</v>
      </c>
      <c r="H48" s="12">
        <v>50</v>
      </c>
      <c r="I48" s="12"/>
      <c r="J48" s="12"/>
      <c r="K48" s="74">
        <f t="shared" si="17"/>
        <v>7.2</v>
      </c>
      <c r="L48" s="74">
        <v>72</v>
      </c>
      <c r="M48" s="12">
        <v>12.231007132570813</v>
      </c>
      <c r="N48" s="12">
        <v>12.231007132570813</v>
      </c>
      <c r="O48" s="43">
        <v>50</v>
      </c>
      <c r="P48" s="43">
        <f t="shared" si="18"/>
        <v>80</v>
      </c>
      <c r="Q48" s="43">
        <f t="shared" si="62"/>
        <v>100</v>
      </c>
      <c r="R48" s="43">
        <f t="shared" si="19"/>
        <v>100</v>
      </c>
      <c r="S48" s="43">
        <f t="shared" si="20"/>
        <v>80</v>
      </c>
      <c r="T48" s="33">
        <v>353</v>
      </c>
      <c r="U48" s="33">
        <f t="shared" si="7"/>
        <v>553</v>
      </c>
      <c r="V48" s="39">
        <f t="shared" si="8"/>
        <v>176516.93925590263</v>
      </c>
      <c r="W48" s="39">
        <f t="shared" si="69"/>
        <v>3.5115328653073222E-2</v>
      </c>
      <c r="X48" s="39">
        <f t="shared" si="74"/>
        <v>3.701212844239208E-2</v>
      </c>
      <c r="Y48" s="39">
        <f t="shared" si="10"/>
        <v>176516.93925590263</v>
      </c>
      <c r="Z48" s="39">
        <f t="shared" si="70"/>
        <v>3.5115328653073222E-2</v>
      </c>
      <c r="AA48" s="39">
        <f t="shared" si="11"/>
        <v>176516.93925590263</v>
      </c>
      <c r="AB48" s="39">
        <f t="shared" si="71"/>
        <v>3.5115328653073222E-2</v>
      </c>
      <c r="AC48" s="39">
        <f t="shared" si="75"/>
        <v>5.9474839769665111E-2</v>
      </c>
      <c r="AD48" s="38">
        <f t="shared" si="13"/>
        <v>3.9617592423047285E-2</v>
      </c>
      <c r="AE48" s="38">
        <f t="shared" si="76"/>
        <v>3.7755504339541672E-3</v>
      </c>
      <c r="AF48" s="38">
        <f t="shared" si="77"/>
        <v>6.066937151458807E-3</v>
      </c>
      <c r="AG48" s="38">
        <f t="shared" ca="1" si="72"/>
        <v>0</v>
      </c>
      <c r="AH48" s="38">
        <f t="shared" si="78"/>
        <v>4.9460080008460257E-2</v>
      </c>
      <c r="AI48" s="38">
        <f t="shared" si="73"/>
        <v>1.4147106052612919</v>
      </c>
      <c r="AJ48" t="s">
        <v>329</v>
      </c>
    </row>
    <row r="49" spans="1:36" x14ac:dyDescent="0.3">
      <c r="A49" s="13"/>
      <c r="B49" s="24"/>
      <c r="C49" s="92">
        <v>6117175</v>
      </c>
      <c r="D49" s="18" t="s">
        <v>119</v>
      </c>
      <c r="E49" s="85" t="str">
        <f>VLOOKUP(C49,Sheet2!B:F,5,FALSE)</f>
        <v>Фланцевая</v>
      </c>
      <c r="F49" s="19" t="s">
        <v>140</v>
      </c>
      <c r="G49" s="49">
        <f t="shared" si="68"/>
        <v>65</v>
      </c>
      <c r="H49" s="18">
        <v>65</v>
      </c>
      <c r="I49" s="18"/>
      <c r="J49" s="18"/>
      <c r="K49" s="77">
        <f t="shared" si="17"/>
        <v>6</v>
      </c>
      <c r="L49" s="77">
        <v>60</v>
      </c>
      <c r="M49" s="18">
        <v>0</v>
      </c>
      <c r="N49" s="18">
        <v>0</v>
      </c>
      <c r="O49" s="44">
        <v>65</v>
      </c>
      <c r="P49" s="44">
        <f t="shared" si="18"/>
        <v>0</v>
      </c>
      <c r="Q49" s="44">
        <f t="shared" si="62"/>
        <v>130</v>
      </c>
      <c r="R49" s="44">
        <f t="shared" si="19"/>
        <v>130</v>
      </c>
      <c r="S49" s="44">
        <f t="shared" si="20"/>
        <v>0</v>
      </c>
      <c r="T49" s="34">
        <v>200</v>
      </c>
      <c r="U49" s="34">
        <f t="shared" si="7"/>
        <v>460</v>
      </c>
      <c r="V49" s="51">
        <f t="shared" si="8"/>
        <v>135782.26096607896</v>
      </c>
      <c r="W49" s="51">
        <f t="shared" si="69"/>
        <v>3.3094427663941522E-2</v>
      </c>
      <c r="X49" s="51">
        <f t="shared" ref="X49:X51" si="79">(-0.0125*(H49/G49)^8+0.0224*(H49/G49)^6-0.00723*(H49/G49)^4+0.00444*(H49/G49)^2-0.00745)*((0.01745*M49)^3-2*PI()*(0.01745*M49)^2-10*0.01745*M49)+IF(M49=0,0,W49/(8*SIN(RADIANS(M49/2)))*(1-(H49/G49)^4))</f>
        <v>0</v>
      </c>
      <c r="Y49" s="51">
        <f t="shared" si="10"/>
        <v>135782.26096607896</v>
      </c>
      <c r="Z49" s="51">
        <f t="shared" si="70"/>
        <v>3.3094427663941522E-2</v>
      </c>
      <c r="AA49" s="51">
        <f t="shared" si="11"/>
        <v>135782.26096607896</v>
      </c>
      <c r="AB49" s="51">
        <f t="shared" si="71"/>
        <v>3.3094427663941522E-2</v>
      </c>
      <c r="AC49" s="51">
        <f t="shared" ref="AC49:AC51" si="80">IF(N49&gt;40,1,(3.2*(TAN(RADIANS(N49/2)))^1.25))*((1-(H49/G49)^2)^2)+IF(N49=0,0,AB49/(8*SIN(RADIANS(N49/2)))*(1-(H49/G49)^4))</f>
        <v>0</v>
      </c>
      <c r="AD49" s="52">
        <f t="shared" si="13"/>
        <v>8.3649270130800122E-3</v>
      </c>
      <c r="AE49" s="52">
        <f t="shared" ref="AE49:AE51" si="81">X49*((4*$V$4*1000/(3.6*PI()*H49^2))^2)/(2*9.81)</f>
        <v>0</v>
      </c>
      <c r="AF49" s="52">
        <f t="shared" ref="AF49:AF51" si="82">AC49*((4*$V$4*1000/(3.6*PI()*H49^2))^2)/(2*9.81)</f>
        <v>0</v>
      </c>
      <c r="AG49" s="52">
        <f t="shared" ca="1" si="72"/>
        <v>1.6419080034723591E-2</v>
      </c>
      <c r="AH49" s="52">
        <f t="shared" ref="AH49:AH51" si="83">SUM(AD49:AF49)</f>
        <v>8.3649270130800122E-3</v>
      </c>
      <c r="AI49" s="52">
        <f t="shared" si="73"/>
        <v>0.83710686701851589</v>
      </c>
      <c r="AJ49" t="s">
        <v>329</v>
      </c>
    </row>
    <row r="50" spans="1:36" x14ac:dyDescent="0.3">
      <c r="A50" s="16">
        <v>80</v>
      </c>
      <c r="B50" s="88">
        <v>8</v>
      </c>
      <c r="C50" s="93">
        <v>6115075</v>
      </c>
      <c r="D50" s="12" t="s">
        <v>99</v>
      </c>
      <c r="E50" s="85" t="str">
        <f>VLOOKUP(C50,Sheet2!B:F,5,FALSE)</f>
        <v>Фланцевая</v>
      </c>
      <c r="F50" s="11" t="s">
        <v>120</v>
      </c>
      <c r="G50" s="47">
        <f t="shared" si="68"/>
        <v>80</v>
      </c>
      <c r="H50" s="12">
        <v>32</v>
      </c>
      <c r="I50" s="12"/>
      <c r="J50" s="12"/>
      <c r="K50" s="74">
        <f t="shared" si="17"/>
        <v>1.5</v>
      </c>
      <c r="L50" s="74">
        <v>15</v>
      </c>
      <c r="M50" s="12">
        <v>25.750003119224949</v>
      </c>
      <c r="N50" s="12">
        <v>25.750003119224949</v>
      </c>
      <c r="O50" s="43">
        <v>32</v>
      </c>
      <c r="P50" s="43">
        <f t="shared" si="18"/>
        <v>115</v>
      </c>
      <c r="Q50" s="43">
        <f t="shared" si="62"/>
        <v>64</v>
      </c>
      <c r="R50" s="43">
        <f t="shared" si="19"/>
        <v>64</v>
      </c>
      <c r="S50" s="43">
        <f t="shared" si="20"/>
        <v>115</v>
      </c>
      <c r="T50" s="33">
        <v>256</v>
      </c>
      <c r="U50" s="33">
        <f t="shared" si="7"/>
        <v>384</v>
      </c>
      <c r="V50" s="39">
        <f t="shared" si="8"/>
        <v>275807.7175873479</v>
      </c>
      <c r="W50" s="39">
        <f t="shared" si="69"/>
        <v>3.9043389274015572E-2</v>
      </c>
      <c r="X50" s="39">
        <f t="shared" si="79"/>
        <v>6.0139595548804541E-2</v>
      </c>
      <c r="Y50" s="39">
        <f t="shared" si="10"/>
        <v>275807.7175873479</v>
      </c>
      <c r="Z50" s="39">
        <f t="shared" si="70"/>
        <v>3.9043389274015572E-2</v>
      </c>
      <c r="AA50" s="39">
        <f t="shared" si="11"/>
        <v>275807.7175873479</v>
      </c>
      <c r="AB50" s="39">
        <f t="shared" si="71"/>
        <v>3.9043389274015572E-2</v>
      </c>
      <c r="AC50" s="39">
        <f t="shared" si="80"/>
        <v>0.37819203920308386</v>
      </c>
      <c r="AD50" s="38">
        <f t="shared" si="13"/>
        <v>0.28486892472150332</v>
      </c>
      <c r="AE50" s="38">
        <f t="shared" si="81"/>
        <v>3.6565946749094941E-2</v>
      </c>
      <c r="AF50" s="38">
        <f t="shared" si="82"/>
        <v>0.22994750530387437</v>
      </c>
      <c r="AG50" s="38">
        <f t="shared" ca="1" si="72"/>
        <v>0.34471237885471773</v>
      </c>
      <c r="AH50" s="38">
        <f t="shared" si="83"/>
        <v>0.55138237677447255</v>
      </c>
      <c r="AI50" s="38">
        <f t="shared" si="73"/>
        <v>3.4538833136262008</v>
      </c>
      <c r="AJ50" t="s">
        <v>329</v>
      </c>
    </row>
    <row r="51" spans="1:36" x14ac:dyDescent="0.3">
      <c r="A51" s="13"/>
      <c r="B51" s="24"/>
      <c r="C51" s="93">
        <v>6115045</v>
      </c>
      <c r="D51" s="12" t="s">
        <v>100</v>
      </c>
      <c r="E51" s="85" t="str">
        <f>VLOOKUP(C51,Sheet2!B:F,5,FALSE)</f>
        <v>Фланцевая</v>
      </c>
      <c r="F51" s="11" t="s">
        <v>120</v>
      </c>
      <c r="G51" s="47">
        <f t="shared" si="68"/>
        <v>80</v>
      </c>
      <c r="H51" s="12">
        <v>32</v>
      </c>
      <c r="I51" s="12"/>
      <c r="J51" s="12"/>
      <c r="K51" s="74">
        <f t="shared" si="17"/>
        <v>3</v>
      </c>
      <c r="L51" s="74">
        <v>30</v>
      </c>
      <c r="M51" s="12">
        <v>25.750003119224949</v>
      </c>
      <c r="N51" s="12">
        <v>25.750003119224949</v>
      </c>
      <c r="O51" s="43">
        <v>32</v>
      </c>
      <c r="P51" s="43">
        <f t="shared" si="18"/>
        <v>115</v>
      </c>
      <c r="Q51" s="43">
        <f t="shared" si="62"/>
        <v>64</v>
      </c>
      <c r="R51" s="43">
        <f t="shared" si="19"/>
        <v>64</v>
      </c>
      <c r="S51" s="43">
        <f t="shared" si="20"/>
        <v>115</v>
      </c>
      <c r="T51" s="33">
        <v>256</v>
      </c>
      <c r="U51" s="33">
        <f t="shared" si="7"/>
        <v>384</v>
      </c>
      <c r="V51" s="39">
        <f t="shared" si="8"/>
        <v>275807.7175873479</v>
      </c>
      <c r="W51" s="39">
        <f t="shared" si="69"/>
        <v>3.9043389274015572E-2</v>
      </c>
      <c r="X51" s="39">
        <f t="shared" si="79"/>
        <v>6.0139595548804541E-2</v>
      </c>
      <c r="Y51" s="39">
        <f t="shared" si="10"/>
        <v>275807.7175873479</v>
      </c>
      <c r="Z51" s="39">
        <f t="shared" si="70"/>
        <v>3.9043389274015572E-2</v>
      </c>
      <c r="AA51" s="39">
        <f t="shared" si="11"/>
        <v>275807.7175873479</v>
      </c>
      <c r="AB51" s="39">
        <f t="shared" si="71"/>
        <v>3.9043389274015572E-2</v>
      </c>
      <c r="AC51" s="39">
        <f t="shared" si="80"/>
        <v>0.37819203920308386</v>
      </c>
      <c r="AD51" s="38">
        <f t="shared" si="13"/>
        <v>0.28486892472150332</v>
      </c>
      <c r="AE51" s="38">
        <f t="shared" si="81"/>
        <v>3.6565946749094941E-2</v>
      </c>
      <c r="AF51" s="38">
        <f t="shared" si="82"/>
        <v>0.22994750530387437</v>
      </c>
      <c r="AG51" s="38">
        <f t="shared" ca="1" si="72"/>
        <v>0</v>
      </c>
      <c r="AH51" s="38">
        <f t="shared" si="83"/>
        <v>0.55138237677447255</v>
      </c>
      <c r="AI51" s="38">
        <f t="shared" si="73"/>
        <v>3.4538833136262008</v>
      </c>
      <c r="AJ51" t="s">
        <v>329</v>
      </c>
    </row>
    <row r="52" spans="1:36" x14ac:dyDescent="0.3">
      <c r="A52" s="13"/>
      <c r="B52" s="24"/>
      <c r="C52" s="92">
        <v>6115337</v>
      </c>
      <c r="D52" s="18" t="s">
        <v>105</v>
      </c>
      <c r="E52" s="85" t="str">
        <f>VLOOKUP(C52,Sheet2!B:F,5,FALSE)</f>
        <v>Фланцевая</v>
      </c>
      <c r="F52" s="19" t="s">
        <v>121</v>
      </c>
      <c r="G52" s="49">
        <f t="shared" si="68"/>
        <v>80</v>
      </c>
      <c r="H52" s="18">
        <v>40</v>
      </c>
      <c r="I52" s="18"/>
      <c r="J52" s="18"/>
      <c r="K52" s="77">
        <f t="shared" si="17"/>
        <v>2.2000000000000002</v>
      </c>
      <c r="L52" s="77">
        <v>22</v>
      </c>
      <c r="M52" s="18">
        <v>29.862834356275101</v>
      </c>
      <c r="N52" s="18">
        <v>29.862834356275101</v>
      </c>
      <c r="O52" s="44">
        <v>40</v>
      </c>
      <c r="P52" s="44">
        <f t="shared" si="18"/>
        <v>85</v>
      </c>
      <c r="Q52" s="44">
        <f t="shared" si="62"/>
        <v>80</v>
      </c>
      <c r="R52" s="44">
        <f t="shared" si="19"/>
        <v>80</v>
      </c>
      <c r="S52" s="44">
        <f t="shared" si="20"/>
        <v>85</v>
      </c>
      <c r="T52" s="34">
        <v>360</v>
      </c>
      <c r="U52" s="34">
        <f t="shared" si="7"/>
        <v>520</v>
      </c>
      <c r="V52" s="51">
        <f t="shared" si="8"/>
        <v>220646.1740698783</v>
      </c>
      <c r="W52" s="51">
        <f t="shared" si="69"/>
        <v>3.7005356225573237E-2</v>
      </c>
      <c r="X52" s="51">
        <f t="shared" ref="X52:X55" si="84">(-0.0125*(H52/G52)^8+0.0224*(H52/G52)^6-0.00723*(H52/G52)^4+0.00444*(H52/G52)^2-0.00745)*((0.01745*M52)^3-2*PI()*(0.01745*M52)^2-10*0.01745*M52)+IF(M52=0,0,W52/(8*SIN(RADIANS(M52/2)))*(1-(H52/G52)^4))</f>
        <v>6.080989932953608E-2</v>
      </c>
      <c r="Y52" s="51">
        <f t="shared" si="10"/>
        <v>220646.1740698783</v>
      </c>
      <c r="Z52" s="51">
        <f t="shared" si="70"/>
        <v>3.7005356225573237E-2</v>
      </c>
      <c r="AA52" s="51">
        <f t="shared" si="11"/>
        <v>220646.1740698783</v>
      </c>
      <c r="AB52" s="51">
        <f t="shared" si="71"/>
        <v>3.7005356225573237E-2</v>
      </c>
      <c r="AC52" s="51">
        <f t="shared" ref="AC52:AC55" si="85">IF(N52&gt;40,1,(3.2*(TAN(RADIANS(N52/2)))^1.25))*((1-(H52/G52)^2)^2)+IF(N52=0,0,AB52/(8*SIN(RADIANS(N52/2)))*(1-(H52/G52)^4))</f>
        <v>0.36176234635398863</v>
      </c>
      <c r="AD52" s="52">
        <f t="shared" si="13"/>
        <v>0.11980755599754377</v>
      </c>
      <c r="AE52" s="52">
        <f t="shared" ref="AE52:AE55" si="86">X52*((4*$V$4*1000/(3.6*PI()*H52^2))^2)/(2*9.81)</f>
        <v>1.5144346994024576E-2</v>
      </c>
      <c r="AF52" s="52">
        <f t="shared" ref="AF52:AF55" si="87">AC52*((4*$V$4*1000/(3.6*PI()*H52^2))^2)/(2*9.81)</f>
        <v>9.0094780010534545E-2</v>
      </c>
      <c r="AG52" s="52">
        <f t="shared" ca="1" si="72"/>
        <v>9.3821659915281186E-2</v>
      </c>
      <c r="AH52" s="52">
        <f t="shared" ref="AH52:AH55" si="88">SUM(AD52:AF52)</f>
        <v>0.2250466830021029</v>
      </c>
      <c r="AI52" s="52">
        <f t="shared" si="73"/>
        <v>2.2104853207207684</v>
      </c>
      <c r="AJ52" t="s">
        <v>329</v>
      </c>
    </row>
    <row r="53" spans="1:36" x14ac:dyDescent="0.3">
      <c r="A53" s="13"/>
      <c r="B53" s="24"/>
      <c r="C53" s="93">
        <v>6115367</v>
      </c>
      <c r="D53" s="18" t="s">
        <v>106</v>
      </c>
      <c r="E53" s="85" t="str">
        <f>VLOOKUP(C53,Sheet2!B:F,5,FALSE)</f>
        <v>Фланцевая</v>
      </c>
      <c r="F53" s="19" t="s">
        <v>121</v>
      </c>
      <c r="G53" s="49">
        <f t="shared" si="68"/>
        <v>80</v>
      </c>
      <c r="H53" s="18">
        <v>40</v>
      </c>
      <c r="I53" s="18"/>
      <c r="J53" s="18"/>
      <c r="K53" s="77">
        <f t="shared" si="17"/>
        <v>4.5</v>
      </c>
      <c r="L53" s="77">
        <v>45</v>
      </c>
      <c r="M53" s="18">
        <v>29.862834356275101</v>
      </c>
      <c r="N53" s="18">
        <v>29.862834356275101</v>
      </c>
      <c r="O53" s="44">
        <v>40</v>
      </c>
      <c r="P53" s="44">
        <f t="shared" si="18"/>
        <v>85</v>
      </c>
      <c r="Q53" s="44">
        <f t="shared" si="62"/>
        <v>80</v>
      </c>
      <c r="R53" s="44">
        <f t="shared" si="19"/>
        <v>80</v>
      </c>
      <c r="S53" s="44">
        <f t="shared" si="20"/>
        <v>85</v>
      </c>
      <c r="T53" s="34">
        <v>360</v>
      </c>
      <c r="U53" s="34">
        <f t="shared" si="7"/>
        <v>520</v>
      </c>
      <c r="V53" s="51">
        <f t="shared" si="8"/>
        <v>220646.1740698783</v>
      </c>
      <c r="W53" s="51">
        <f t="shared" si="69"/>
        <v>3.7005356225573237E-2</v>
      </c>
      <c r="X53" s="51">
        <f t="shared" si="84"/>
        <v>6.080989932953608E-2</v>
      </c>
      <c r="Y53" s="51">
        <f t="shared" si="10"/>
        <v>220646.1740698783</v>
      </c>
      <c r="Z53" s="51">
        <f t="shared" si="70"/>
        <v>3.7005356225573237E-2</v>
      </c>
      <c r="AA53" s="51">
        <f t="shared" si="11"/>
        <v>220646.1740698783</v>
      </c>
      <c r="AB53" s="51">
        <f t="shared" si="71"/>
        <v>3.7005356225573237E-2</v>
      </c>
      <c r="AC53" s="51">
        <f t="shared" si="85"/>
        <v>0.36176234635398863</v>
      </c>
      <c r="AD53" s="52">
        <f t="shared" si="13"/>
        <v>0.11980755599754377</v>
      </c>
      <c r="AE53" s="52">
        <f t="shared" si="86"/>
        <v>1.5144346994024576E-2</v>
      </c>
      <c r="AF53" s="52">
        <f t="shared" si="87"/>
        <v>9.0094780010534545E-2</v>
      </c>
      <c r="AG53" s="52">
        <f t="shared" ca="1" si="72"/>
        <v>0</v>
      </c>
      <c r="AH53" s="52">
        <f t="shared" si="88"/>
        <v>0.2250466830021029</v>
      </c>
      <c r="AI53" s="52">
        <f t="shared" si="73"/>
        <v>2.2104853207207684</v>
      </c>
      <c r="AJ53" t="s">
        <v>329</v>
      </c>
    </row>
    <row r="54" spans="1:36" x14ac:dyDescent="0.3">
      <c r="A54" s="13"/>
      <c r="B54" s="24"/>
      <c r="C54" s="93">
        <v>6107383</v>
      </c>
      <c r="D54" s="12" t="s">
        <v>112</v>
      </c>
      <c r="E54" s="85" t="str">
        <f>VLOOKUP(C54,Sheet2!B:F,5,FALSE)</f>
        <v>Межфланцевая</v>
      </c>
      <c r="F54" s="11" t="s">
        <v>122</v>
      </c>
      <c r="G54" s="47">
        <f t="shared" si="68"/>
        <v>80</v>
      </c>
      <c r="H54" s="12">
        <v>50</v>
      </c>
      <c r="I54" s="12"/>
      <c r="J54" s="12"/>
      <c r="K54" s="74">
        <f t="shared" si="17"/>
        <v>3.6</v>
      </c>
      <c r="L54" s="74">
        <v>36</v>
      </c>
      <c r="M54" s="12">
        <v>22.619864948040426</v>
      </c>
      <c r="N54" s="12">
        <v>22.619864948040426</v>
      </c>
      <c r="O54" s="43">
        <v>50</v>
      </c>
      <c r="P54" s="43">
        <f t="shared" si="18"/>
        <v>85</v>
      </c>
      <c r="Q54" s="43">
        <f t="shared" si="62"/>
        <v>100</v>
      </c>
      <c r="R54" s="43">
        <f t="shared" si="19"/>
        <v>100</v>
      </c>
      <c r="S54" s="43">
        <f t="shared" si="20"/>
        <v>85</v>
      </c>
      <c r="T54" s="33">
        <v>353</v>
      </c>
      <c r="U54" s="33">
        <f t="shared" si="7"/>
        <v>553</v>
      </c>
      <c r="V54" s="39">
        <f t="shared" si="8"/>
        <v>176516.93925590263</v>
      </c>
      <c r="W54" s="39">
        <f t="shared" si="69"/>
        <v>3.5115328653073222E-2</v>
      </c>
      <c r="X54" s="39">
        <f t="shared" si="84"/>
        <v>4.7058272397061673E-2</v>
      </c>
      <c r="Y54" s="39">
        <f t="shared" si="10"/>
        <v>176516.93925590263</v>
      </c>
      <c r="Z54" s="39">
        <f t="shared" si="70"/>
        <v>3.5115328653073222E-2</v>
      </c>
      <c r="AA54" s="39">
        <f t="shared" si="11"/>
        <v>176516.93925590263</v>
      </c>
      <c r="AB54" s="39">
        <f t="shared" si="71"/>
        <v>3.5115328653073222E-2</v>
      </c>
      <c r="AC54" s="39">
        <f t="shared" si="85"/>
        <v>0.17789685218121407</v>
      </c>
      <c r="AD54" s="38">
        <f t="shared" si="13"/>
        <v>3.9617592423047285E-2</v>
      </c>
      <c r="AE54" s="38">
        <f t="shared" si="86"/>
        <v>4.8003421647689719E-3</v>
      </c>
      <c r="AF54" s="38">
        <f t="shared" si="87"/>
        <v>1.8146984940281757E-2</v>
      </c>
      <c r="AG54" s="38">
        <f t="shared" ca="1" si="72"/>
        <v>4.3999541912574075E-2</v>
      </c>
      <c r="AH54" s="38">
        <f t="shared" si="88"/>
        <v>6.256491952809802E-2</v>
      </c>
      <c r="AI54" s="38">
        <f t="shared" si="73"/>
        <v>1.4147106052612919</v>
      </c>
      <c r="AJ54" t="s">
        <v>329</v>
      </c>
    </row>
    <row r="55" spans="1:36" x14ac:dyDescent="0.3">
      <c r="A55" s="13"/>
      <c r="B55" s="24"/>
      <c r="C55" s="93">
        <v>6107443</v>
      </c>
      <c r="D55" s="12" t="s">
        <v>113</v>
      </c>
      <c r="E55" s="85" t="str">
        <f>VLOOKUP(C55,Sheet2!B:F,5,FALSE)</f>
        <v>Межфланцевая</v>
      </c>
      <c r="F55" s="11" t="s">
        <v>122</v>
      </c>
      <c r="G55" s="47">
        <f t="shared" si="68"/>
        <v>80</v>
      </c>
      <c r="H55" s="12">
        <v>50</v>
      </c>
      <c r="I55" s="12"/>
      <c r="J55" s="12"/>
      <c r="K55" s="74">
        <f t="shared" si="17"/>
        <v>7.2</v>
      </c>
      <c r="L55" s="74">
        <v>72</v>
      </c>
      <c r="M55" s="12">
        <v>22.619864948040426</v>
      </c>
      <c r="N55" s="12">
        <v>22.619864948040426</v>
      </c>
      <c r="O55" s="43">
        <v>50</v>
      </c>
      <c r="P55" s="43">
        <f t="shared" si="18"/>
        <v>85</v>
      </c>
      <c r="Q55" s="43">
        <f t="shared" si="62"/>
        <v>100</v>
      </c>
      <c r="R55" s="43">
        <f t="shared" si="19"/>
        <v>100</v>
      </c>
      <c r="S55" s="43">
        <f t="shared" si="20"/>
        <v>85</v>
      </c>
      <c r="T55" s="33">
        <v>353</v>
      </c>
      <c r="U55" s="33">
        <f t="shared" si="7"/>
        <v>553</v>
      </c>
      <c r="V55" s="39">
        <f t="shared" si="8"/>
        <v>176516.93925590263</v>
      </c>
      <c r="W55" s="39">
        <f t="shared" si="69"/>
        <v>3.5115328653073222E-2</v>
      </c>
      <c r="X55" s="39">
        <f t="shared" si="84"/>
        <v>4.7058272397061673E-2</v>
      </c>
      <c r="Y55" s="39">
        <f t="shared" si="10"/>
        <v>176516.93925590263</v>
      </c>
      <c r="Z55" s="39">
        <f t="shared" si="70"/>
        <v>3.5115328653073222E-2</v>
      </c>
      <c r="AA55" s="39">
        <f t="shared" si="11"/>
        <v>176516.93925590263</v>
      </c>
      <c r="AB55" s="39">
        <f t="shared" si="71"/>
        <v>3.5115328653073222E-2</v>
      </c>
      <c r="AC55" s="39">
        <f t="shared" si="85"/>
        <v>0.17789685218121407</v>
      </c>
      <c r="AD55" s="38">
        <f t="shared" si="13"/>
        <v>3.9617592423047285E-2</v>
      </c>
      <c r="AE55" s="38">
        <f t="shared" si="86"/>
        <v>4.8003421647689719E-3</v>
      </c>
      <c r="AF55" s="38">
        <f t="shared" si="87"/>
        <v>1.8146984940281757E-2</v>
      </c>
      <c r="AG55" s="38">
        <f t="shared" ca="1" si="72"/>
        <v>0</v>
      </c>
      <c r="AH55" s="38">
        <f t="shared" si="88"/>
        <v>6.256491952809802E-2</v>
      </c>
      <c r="AI55" s="38">
        <f t="shared" si="73"/>
        <v>1.4147106052612919</v>
      </c>
      <c r="AJ55" t="s">
        <v>329</v>
      </c>
    </row>
    <row r="56" spans="1:36" x14ac:dyDescent="0.3">
      <c r="A56" s="13"/>
      <c r="B56" s="24"/>
      <c r="C56" s="92">
        <v>6117175</v>
      </c>
      <c r="D56" s="18" t="s">
        <v>119</v>
      </c>
      <c r="E56" s="85" t="str">
        <f>VLOOKUP(C56,Sheet2!B:F,5,FALSE)</f>
        <v>Фланцевая</v>
      </c>
      <c r="F56" s="19" t="s">
        <v>141</v>
      </c>
      <c r="G56" s="49">
        <f t="shared" si="68"/>
        <v>80</v>
      </c>
      <c r="H56" s="18">
        <v>65</v>
      </c>
      <c r="I56" s="18"/>
      <c r="J56" s="18"/>
      <c r="K56" s="77">
        <f t="shared" si="17"/>
        <v>6</v>
      </c>
      <c r="L56" s="77">
        <v>60</v>
      </c>
      <c r="M56" s="18">
        <v>11.421186274999286</v>
      </c>
      <c r="N56" s="18">
        <v>11.421186274999286</v>
      </c>
      <c r="O56" s="44">
        <v>65</v>
      </c>
      <c r="P56" s="44">
        <f t="shared" si="18"/>
        <v>85</v>
      </c>
      <c r="Q56" s="44">
        <f t="shared" si="62"/>
        <v>130</v>
      </c>
      <c r="R56" s="44">
        <f t="shared" si="19"/>
        <v>130</v>
      </c>
      <c r="S56" s="44">
        <f t="shared" si="20"/>
        <v>85</v>
      </c>
      <c r="T56" s="34">
        <v>440</v>
      </c>
      <c r="U56" s="34">
        <f t="shared" si="7"/>
        <v>700</v>
      </c>
      <c r="V56" s="51">
        <f t="shared" si="8"/>
        <v>135782.26096607896</v>
      </c>
      <c r="W56" s="51">
        <f t="shared" si="69"/>
        <v>3.3094427663941522E-2</v>
      </c>
      <c r="X56" s="51">
        <f t="shared" ref="X56:X57" si="89">(-0.0125*(H56/G56)^8+0.0224*(H56/G56)^6-0.00723*(H56/G56)^4+0.00444*(H56/G56)^2-0.00745)*((0.01745*M56)^3-2*PI()*(0.01745*M56)^2-10*0.01745*M56)+IF(M56=0,0,W56/(8*SIN(RADIANS(M56/2)))*(1-(H56/G56)^4))</f>
        <v>3.1499372544050053E-2</v>
      </c>
      <c r="Y56" s="51">
        <f t="shared" si="10"/>
        <v>135782.26096607896</v>
      </c>
      <c r="Z56" s="51">
        <f t="shared" si="70"/>
        <v>3.3094427663941522E-2</v>
      </c>
      <c r="AA56" s="51">
        <f t="shared" si="11"/>
        <v>135782.26096607896</v>
      </c>
      <c r="AB56" s="51">
        <f t="shared" si="71"/>
        <v>3.3094427663941522E-2</v>
      </c>
      <c r="AC56" s="51">
        <f t="shared" ref="AC56:AC57" si="90">IF(N56&gt;40,1,(3.2*(TAN(RADIANS(N56/2)))^1.25))*((1-(H56/G56)^2)^2)+IF(N56=0,0,AB56/(8*SIN(RADIANS(N56/2)))*(1-(H56/G56)^4))</f>
        <v>4.4239008272093511E-2</v>
      </c>
      <c r="AD56" s="52">
        <f t="shared" si="13"/>
        <v>1.2729236759034802E-2</v>
      </c>
      <c r="AE56" s="52">
        <f t="shared" ref="AE56:AE57" si="91">X56*((4*$V$4*1000/(3.6*PI()*H56^2))^2)/(2*9.81)</f>
        <v>1.1250315686063938E-3</v>
      </c>
      <c r="AF56" s="52">
        <f t="shared" ref="AF56:AF57" si="92">AC56*((4*$V$4*1000/(3.6*PI()*H56^2))^2)/(2*9.81)</f>
        <v>1.5800403897043896E-3</v>
      </c>
      <c r="AG56" s="52">
        <f t="shared" ca="1" si="72"/>
        <v>1.6419080034723591E-2</v>
      </c>
      <c r="AH56" s="52">
        <f t="shared" ref="AH56:AH57" si="93">SUM(AD56:AF56)</f>
        <v>1.5434308717345585E-2</v>
      </c>
      <c r="AI56" s="52">
        <f t="shared" si="73"/>
        <v>0.83710686701851589</v>
      </c>
      <c r="AJ56" t="s">
        <v>329</v>
      </c>
    </row>
    <row r="57" spans="1:36" x14ac:dyDescent="0.3">
      <c r="A57" s="20"/>
      <c r="B57" s="89"/>
      <c r="C57" s="92">
        <v>6117213</v>
      </c>
      <c r="D57" s="12" t="s">
        <v>123</v>
      </c>
      <c r="E57" s="85" t="str">
        <f>VLOOKUP(C57,Sheet2!B:F,5,FALSE)</f>
        <v>Фланцевая</v>
      </c>
      <c r="F57" s="11" t="s">
        <v>142</v>
      </c>
      <c r="G57" s="47">
        <f t="shared" si="68"/>
        <v>80</v>
      </c>
      <c r="H57" s="12">
        <v>80</v>
      </c>
      <c r="I57" s="12"/>
      <c r="J57" s="12"/>
      <c r="K57" s="74">
        <f t="shared" si="17"/>
        <v>9</v>
      </c>
      <c r="L57" s="74">
        <v>90</v>
      </c>
      <c r="M57" s="12">
        <v>0</v>
      </c>
      <c r="N57" s="12">
        <v>0</v>
      </c>
      <c r="O57" s="43">
        <v>80</v>
      </c>
      <c r="P57" s="43">
        <f t="shared" si="18"/>
        <v>0</v>
      </c>
      <c r="Q57" s="43">
        <f t="shared" si="62"/>
        <v>160</v>
      </c>
      <c r="R57" s="43">
        <f t="shared" si="19"/>
        <v>160</v>
      </c>
      <c r="S57" s="43">
        <f t="shared" si="20"/>
        <v>0</v>
      </c>
      <c r="T57" s="33">
        <v>200</v>
      </c>
      <c r="U57" s="33">
        <f t="shared" si="7"/>
        <v>520</v>
      </c>
      <c r="V57" s="39">
        <f t="shared" si="8"/>
        <v>110323.08703493915</v>
      </c>
      <c r="W57" s="39">
        <f t="shared" si="69"/>
        <v>3.1664636617036022E-2</v>
      </c>
      <c r="X57" s="39">
        <f t="shared" si="89"/>
        <v>0</v>
      </c>
      <c r="Y57" s="39">
        <f t="shared" si="10"/>
        <v>110323.08703493915</v>
      </c>
      <c r="Z57" s="39">
        <f t="shared" si="70"/>
        <v>3.1664636617036022E-2</v>
      </c>
      <c r="AA57" s="39">
        <f t="shared" si="11"/>
        <v>110323.08703493915</v>
      </c>
      <c r="AB57" s="39">
        <f t="shared" si="71"/>
        <v>3.1664636617036022E-2</v>
      </c>
      <c r="AC57" s="39">
        <f t="shared" si="90"/>
        <v>0</v>
      </c>
      <c r="AD57" s="38">
        <f t="shared" si="13"/>
        <v>3.2036432624040455E-3</v>
      </c>
      <c r="AE57" s="38">
        <f t="shared" si="91"/>
        <v>0</v>
      </c>
      <c r="AF57" s="38">
        <f t="shared" si="92"/>
        <v>0</v>
      </c>
      <c r="AG57" s="38">
        <f t="shared" ca="1" si="72"/>
        <v>7.9321239395176504E-3</v>
      </c>
      <c r="AH57" s="38">
        <f t="shared" si="93"/>
        <v>3.2036432624040455E-3</v>
      </c>
      <c r="AI57" s="38">
        <f t="shared" si="73"/>
        <v>0.55262133018019211</v>
      </c>
      <c r="AJ57" t="s">
        <v>329</v>
      </c>
    </row>
    <row r="58" spans="1:36" x14ac:dyDescent="0.3">
      <c r="A58" s="16">
        <v>100</v>
      </c>
      <c r="B58" s="88">
        <v>8</v>
      </c>
      <c r="C58" s="92">
        <v>6115337</v>
      </c>
      <c r="D58" s="18" t="s">
        <v>105</v>
      </c>
      <c r="E58" s="85" t="str">
        <f>VLOOKUP(C58,Sheet2!B:F,5,FALSE)</f>
        <v>Фланцевая</v>
      </c>
      <c r="F58" s="19" t="s">
        <v>124</v>
      </c>
      <c r="G58" s="49">
        <f t="shared" si="68"/>
        <v>100</v>
      </c>
      <c r="H58" s="18">
        <v>40</v>
      </c>
      <c r="I58" s="18"/>
      <c r="J58" s="18"/>
      <c r="K58" s="77">
        <f t="shared" si="17"/>
        <v>2.2000000000000002</v>
      </c>
      <c r="L58" s="77">
        <v>22</v>
      </c>
      <c r="M58" s="18">
        <v>41.112090439166927</v>
      </c>
      <c r="N58" s="18">
        <v>41.112090439166927</v>
      </c>
      <c r="O58" s="44">
        <v>40</v>
      </c>
      <c r="P58" s="44">
        <f t="shared" si="18"/>
        <v>90.000000000000014</v>
      </c>
      <c r="Q58" s="44">
        <f t="shared" si="62"/>
        <v>80</v>
      </c>
      <c r="R58" s="44">
        <f t="shared" si="19"/>
        <v>80</v>
      </c>
      <c r="S58" s="44">
        <f t="shared" si="20"/>
        <v>90.000000000000014</v>
      </c>
      <c r="T58" s="34">
        <v>360</v>
      </c>
      <c r="U58" s="34">
        <f t="shared" si="7"/>
        <v>520</v>
      </c>
      <c r="V58" s="51">
        <f t="shared" si="8"/>
        <v>220646.1740698783</v>
      </c>
      <c r="W58" s="51">
        <f t="shared" si="69"/>
        <v>3.7005356225573237E-2</v>
      </c>
      <c r="X58" s="51">
        <f t="shared" ref="X58:X61" si="94">(-0.0125*(H58/G58)^8+0.0224*(H58/G58)^6-0.00723*(H58/G58)^4+0.00444*(H58/G58)^2-0.00745)*((0.01745*M58)^3-2*PI()*(0.01745*M58)^2-10*0.01745*M58)+IF(M58=0,0,W58/(8*SIN(RADIANS(M58/2)))*(1-(H58/G58)^4))</f>
        <v>8.1512071051542817E-2</v>
      </c>
      <c r="Y58" s="51">
        <f t="shared" si="10"/>
        <v>220646.1740698783</v>
      </c>
      <c r="Z58" s="51">
        <f t="shared" si="70"/>
        <v>3.7005356225573237E-2</v>
      </c>
      <c r="AA58" s="51">
        <f t="shared" si="11"/>
        <v>220646.1740698783</v>
      </c>
      <c r="AB58" s="51">
        <f t="shared" si="71"/>
        <v>3.7005356225573237E-2</v>
      </c>
      <c r="AC58" s="51">
        <f t="shared" ref="AC58:AC61" si="95">IF(N58&gt;40,1,(3.2*(TAN(RADIANS(N58/2)))^1.25))*((1-(H58/G58)^2)^2)+IF(N58=0,0,AB58/(8*SIN(RADIANS(N58/2)))*(1-(H58/G58)^4))</f>
        <v>0.71843666042883703</v>
      </c>
      <c r="AD58" s="52">
        <f t="shared" si="13"/>
        <v>0.11980755599754377</v>
      </c>
      <c r="AE58" s="52">
        <f t="shared" ref="AE58:AE61" si="96">X58*((4*$V$4*1000/(3.6*PI()*H58^2))^2)/(2*9.81)</f>
        <v>2.03001008358283E-2</v>
      </c>
      <c r="AF58" s="52">
        <f t="shared" ref="AF58:AF61" si="97">AC58*((4*$V$4*1000/(3.6*PI()*H58^2))^2)/(2*9.81)</f>
        <v>0.1789224155725225</v>
      </c>
      <c r="AG58" s="52">
        <f t="shared" ca="1" si="72"/>
        <v>9.3821659915281186E-2</v>
      </c>
      <c r="AH58" s="52">
        <f t="shared" ref="AH58:AH61" si="98">SUM(AD58:AF58)</f>
        <v>0.31903007240589454</v>
      </c>
      <c r="AI58" s="52">
        <f t="shared" si="73"/>
        <v>2.2104853207207684</v>
      </c>
      <c r="AJ58" t="s">
        <v>329</v>
      </c>
    </row>
    <row r="59" spans="1:36" x14ac:dyDescent="0.3">
      <c r="A59" s="13"/>
      <c r="B59" s="24"/>
      <c r="C59" s="93">
        <v>6115367</v>
      </c>
      <c r="D59" s="18" t="s">
        <v>106</v>
      </c>
      <c r="E59" s="85" t="str">
        <f>VLOOKUP(C59,Sheet2!B:F,5,FALSE)</f>
        <v>Фланцевая</v>
      </c>
      <c r="F59" s="19" t="s">
        <v>124</v>
      </c>
      <c r="G59" s="49">
        <f t="shared" si="68"/>
        <v>100</v>
      </c>
      <c r="H59" s="18">
        <v>40</v>
      </c>
      <c r="I59" s="18"/>
      <c r="J59" s="18"/>
      <c r="K59" s="77">
        <f t="shared" si="17"/>
        <v>4.5</v>
      </c>
      <c r="L59" s="77">
        <v>45</v>
      </c>
      <c r="M59" s="18">
        <v>41.112090439166927</v>
      </c>
      <c r="N59" s="18">
        <v>41.112090439166927</v>
      </c>
      <c r="O59" s="44">
        <v>40</v>
      </c>
      <c r="P59" s="44">
        <f t="shared" si="18"/>
        <v>90.000000000000014</v>
      </c>
      <c r="Q59" s="44">
        <f t="shared" si="62"/>
        <v>80</v>
      </c>
      <c r="R59" s="44">
        <f t="shared" si="19"/>
        <v>80</v>
      </c>
      <c r="S59" s="44">
        <f t="shared" si="20"/>
        <v>90.000000000000014</v>
      </c>
      <c r="T59" s="34">
        <v>360</v>
      </c>
      <c r="U59" s="34">
        <f t="shared" si="7"/>
        <v>520</v>
      </c>
      <c r="V59" s="51">
        <f t="shared" si="8"/>
        <v>220646.1740698783</v>
      </c>
      <c r="W59" s="51">
        <f t="shared" si="69"/>
        <v>3.7005356225573237E-2</v>
      </c>
      <c r="X59" s="51">
        <f t="shared" si="94"/>
        <v>8.1512071051542817E-2</v>
      </c>
      <c r="Y59" s="51">
        <f t="shared" si="10"/>
        <v>220646.1740698783</v>
      </c>
      <c r="Z59" s="51">
        <f t="shared" si="70"/>
        <v>3.7005356225573237E-2</v>
      </c>
      <c r="AA59" s="51">
        <f t="shared" si="11"/>
        <v>220646.1740698783</v>
      </c>
      <c r="AB59" s="51">
        <f t="shared" si="71"/>
        <v>3.7005356225573237E-2</v>
      </c>
      <c r="AC59" s="51">
        <f t="shared" si="95"/>
        <v>0.71843666042883703</v>
      </c>
      <c r="AD59" s="52">
        <f t="shared" si="13"/>
        <v>0.11980755599754377</v>
      </c>
      <c r="AE59" s="52">
        <f t="shared" si="96"/>
        <v>2.03001008358283E-2</v>
      </c>
      <c r="AF59" s="52">
        <f t="shared" si="97"/>
        <v>0.1789224155725225</v>
      </c>
      <c r="AG59" s="52">
        <f t="shared" ca="1" si="72"/>
        <v>0</v>
      </c>
      <c r="AH59" s="52">
        <f t="shared" si="98"/>
        <v>0.31903007240589454</v>
      </c>
      <c r="AI59" s="52">
        <f t="shared" si="73"/>
        <v>2.2104853207207684</v>
      </c>
      <c r="AJ59" t="s">
        <v>329</v>
      </c>
    </row>
    <row r="60" spans="1:36" x14ac:dyDescent="0.3">
      <c r="A60" s="13"/>
      <c r="B60" s="24"/>
      <c r="C60" s="93">
        <v>6107383</v>
      </c>
      <c r="D60" s="12" t="s">
        <v>112</v>
      </c>
      <c r="E60" s="85" t="str">
        <f>VLOOKUP(C60,Sheet2!B:F,5,FALSE)</f>
        <v>Межфланцевая</v>
      </c>
      <c r="F60" s="11" t="s">
        <v>125</v>
      </c>
      <c r="G60" s="47">
        <f t="shared" si="68"/>
        <v>100</v>
      </c>
      <c r="H60" s="12">
        <v>50</v>
      </c>
      <c r="I60" s="12"/>
      <c r="J60" s="12"/>
      <c r="K60" s="74">
        <f t="shared" si="17"/>
        <v>3.6</v>
      </c>
      <c r="L60" s="74">
        <v>36</v>
      </c>
      <c r="M60" s="12">
        <v>34.708049272522651</v>
      </c>
      <c r="N60" s="12">
        <v>34.708049272522651</v>
      </c>
      <c r="O60" s="43">
        <v>50</v>
      </c>
      <c r="P60" s="43">
        <f t="shared" si="18"/>
        <v>89.999999999999986</v>
      </c>
      <c r="Q60" s="43">
        <f t="shared" si="62"/>
        <v>100</v>
      </c>
      <c r="R60" s="43">
        <f t="shared" si="19"/>
        <v>100</v>
      </c>
      <c r="S60" s="43">
        <f t="shared" si="20"/>
        <v>89.999999999999986</v>
      </c>
      <c r="T60" s="33">
        <v>353</v>
      </c>
      <c r="U60" s="33">
        <f t="shared" si="7"/>
        <v>553</v>
      </c>
      <c r="V60" s="39">
        <f t="shared" si="8"/>
        <v>176516.93925590263</v>
      </c>
      <c r="W60" s="39">
        <f t="shared" si="69"/>
        <v>3.5115328653073222E-2</v>
      </c>
      <c r="X60" s="39">
        <f t="shared" si="94"/>
        <v>6.662524071366864E-2</v>
      </c>
      <c r="Y60" s="39">
        <f t="shared" si="10"/>
        <v>176516.93925590263</v>
      </c>
      <c r="Z60" s="39">
        <f t="shared" si="70"/>
        <v>3.5115328653073222E-2</v>
      </c>
      <c r="AA60" s="39">
        <f t="shared" si="11"/>
        <v>176516.93925590263</v>
      </c>
      <c r="AB60" s="39">
        <f t="shared" si="71"/>
        <v>3.5115328653073222E-2</v>
      </c>
      <c r="AC60" s="39">
        <f t="shared" si="95"/>
        <v>0.43436309874991674</v>
      </c>
      <c r="AD60" s="38">
        <f t="shared" si="13"/>
        <v>3.9617592423047285E-2</v>
      </c>
      <c r="AE60" s="38">
        <f t="shared" si="96"/>
        <v>6.7963385807523992E-3</v>
      </c>
      <c r="AF60" s="38">
        <f t="shared" si="97"/>
        <v>4.4308713251426698E-2</v>
      </c>
      <c r="AG60" s="38">
        <f t="shared" ca="1" si="72"/>
        <v>4.3999541912574075E-2</v>
      </c>
      <c r="AH60" s="38">
        <f t="shared" si="98"/>
        <v>9.0722644255226387E-2</v>
      </c>
      <c r="AI60" s="38">
        <f t="shared" si="73"/>
        <v>1.4147106052612919</v>
      </c>
      <c r="AJ60" t="s">
        <v>329</v>
      </c>
    </row>
    <row r="61" spans="1:36" x14ac:dyDescent="0.3">
      <c r="A61" s="13"/>
      <c r="B61" s="24"/>
      <c r="C61" s="93">
        <v>6107443</v>
      </c>
      <c r="D61" s="12" t="s">
        <v>113</v>
      </c>
      <c r="E61" s="85" t="str">
        <f>VLOOKUP(C61,Sheet2!B:F,5,FALSE)</f>
        <v>Межфланцевая</v>
      </c>
      <c r="F61" s="11" t="s">
        <v>125</v>
      </c>
      <c r="G61" s="47">
        <f t="shared" si="68"/>
        <v>100</v>
      </c>
      <c r="H61" s="12">
        <v>50</v>
      </c>
      <c r="I61" s="12"/>
      <c r="J61" s="12"/>
      <c r="K61" s="74">
        <f t="shared" si="17"/>
        <v>7.2</v>
      </c>
      <c r="L61" s="74">
        <v>72</v>
      </c>
      <c r="M61" s="12">
        <v>34.708049272522651</v>
      </c>
      <c r="N61" s="12">
        <v>34.708049272522651</v>
      </c>
      <c r="O61" s="43">
        <v>50</v>
      </c>
      <c r="P61" s="43">
        <f t="shared" si="18"/>
        <v>89.999999999999986</v>
      </c>
      <c r="Q61" s="43">
        <f t="shared" si="62"/>
        <v>100</v>
      </c>
      <c r="R61" s="43">
        <f t="shared" si="19"/>
        <v>100</v>
      </c>
      <c r="S61" s="43">
        <f t="shared" si="20"/>
        <v>89.999999999999986</v>
      </c>
      <c r="T61" s="33">
        <v>353</v>
      </c>
      <c r="U61" s="33">
        <f t="shared" si="7"/>
        <v>553</v>
      </c>
      <c r="V61" s="39">
        <f t="shared" si="8"/>
        <v>176516.93925590263</v>
      </c>
      <c r="W61" s="39">
        <f t="shared" si="69"/>
        <v>3.5115328653073222E-2</v>
      </c>
      <c r="X61" s="39">
        <f t="shared" si="94"/>
        <v>6.662524071366864E-2</v>
      </c>
      <c r="Y61" s="39">
        <f t="shared" si="10"/>
        <v>176516.93925590263</v>
      </c>
      <c r="Z61" s="39">
        <f t="shared" si="70"/>
        <v>3.5115328653073222E-2</v>
      </c>
      <c r="AA61" s="39">
        <f t="shared" si="11"/>
        <v>176516.93925590263</v>
      </c>
      <c r="AB61" s="39">
        <f t="shared" si="71"/>
        <v>3.5115328653073222E-2</v>
      </c>
      <c r="AC61" s="39">
        <f t="shared" si="95"/>
        <v>0.43436309874991674</v>
      </c>
      <c r="AD61" s="38">
        <f t="shared" si="13"/>
        <v>3.9617592423047285E-2</v>
      </c>
      <c r="AE61" s="38">
        <f t="shared" si="96"/>
        <v>6.7963385807523992E-3</v>
      </c>
      <c r="AF61" s="38">
        <f t="shared" si="97"/>
        <v>4.4308713251426698E-2</v>
      </c>
      <c r="AG61" s="38">
        <f t="shared" ca="1" si="72"/>
        <v>0</v>
      </c>
      <c r="AH61" s="38">
        <f t="shared" si="98"/>
        <v>9.0722644255226387E-2</v>
      </c>
      <c r="AI61" s="38">
        <f t="shared" si="73"/>
        <v>1.4147106052612919</v>
      </c>
      <c r="AJ61" t="s">
        <v>329</v>
      </c>
    </row>
    <row r="62" spans="1:36" x14ac:dyDescent="0.3">
      <c r="A62" s="13"/>
      <c r="B62" s="24"/>
      <c r="C62" s="92">
        <v>6117175</v>
      </c>
      <c r="D62" s="18" t="s">
        <v>119</v>
      </c>
      <c r="E62" s="85" t="str">
        <f>VLOOKUP(C62,Sheet2!B:F,5,FALSE)</f>
        <v>Фланцевая</v>
      </c>
      <c r="F62" s="19" t="s">
        <v>143</v>
      </c>
      <c r="G62" s="49">
        <f t="shared" si="68"/>
        <v>100</v>
      </c>
      <c r="H62" s="18">
        <v>65</v>
      </c>
      <c r="I62" s="18"/>
      <c r="J62" s="18"/>
      <c r="K62" s="77">
        <f t="shared" si="17"/>
        <v>6</v>
      </c>
      <c r="L62" s="77">
        <v>60</v>
      </c>
      <c r="M62" s="18">
        <v>24.67817455665239</v>
      </c>
      <c r="N62" s="18">
        <v>24.67817455665239</v>
      </c>
      <c r="O62" s="44">
        <v>65</v>
      </c>
      <c r="P62" s="44">
        <f t="shared" si="18"/>
        <v>90</v>
      </c>
      <c r="Q62" s="44">
        <f t="shared" si="62"/>
        <v>130</v>
      </c>
      <c r="R62" s="44">
        <f t="shared" si="19"/>
        <v>130</v>
      </c>
      <c r="S62" s="44">
        <f t="shared" si="20"/>
        <v>90</v>
      </c>
      <c r="T62" s="34">
        <v>440</v>
      </c>
      <c r="U62" s="34">
        <f t="shared" si="7"/>
        <v>700</v>
      </c>
      <c r="V62" s="51">
        <f t="shared" si="8"/>
        <v>135782.26096607896</v>
      </c>
      <c r="W62" s="51">
        <f t="shared" si="69"/>
        <v>3.3094427663941522E-2</v>
      </c>
      <c r="X62" s="51">
        <f t="shared" ref="X62:X63" si="99">(-0.0125*(H62/G62)^8+0.0224*(H62/G62)^6-0.00723*(H62/G62)^4+0.00444*(H62/G62)^2-0.00745)*((0.01745*M62)^3-2*PI()*(0.01745*M62)^2-10*0.01745*M62)+IF(M62=0,0,W62/(8*SIN(RADIANS(M62/2)))*(1-(H62/G62)^4))</f>
        <v>4.5953852936526311E-2</v>
      </c>
      <c r="Y62" s="51">
        <f t="shared" si="10"/>
        <v>135782.26096607896</v>
      </c>
      <c r="Z62" s="51">
        <f t="shared" si="70"/>
        <v>3.3094427663941522E-2</v>
      </c>
      <c r="AA62" s="51">
        <f t="shared" si="11"/>
        <v>135782.26096607896</v>
      </c>
      <c r="AB62" s="51">
        <f t="shared" si="71"/>
        <v>3.3094427663941522E-2</v>
      </c>
      <c r="AC62" s="51">
        <f t="shared" ref="AC62:AC63" si="100">IF(N62&gt;40,1,(3.2*(TAN(RADIANS(N62/2)))^1.25))*((1-(H62/G62)^2)^2)+IF(N62=0,0,AB62/(8*SIN(RADIANS(N62/2)))*(1-(H62/G62)^4))</f>
        <v>0.17556009653786159</v>
      </c>
      <c r="AD62" s="52">
        <f t="shared" si="13"/>
        <v>1.2729236759034802E-2</v>
      </c>
      <c r="AE62" s="52">
        <f t="shared" ref="AE62:AE63" si="101">X62*((4*$V$4*1000/(3.6*PI()*H62^2))^2)/(2*9.81)</f>
        <v>1.6412877805863887E-3</v>
      </c>
      <c r="AF62" s="52">
        <f t="shared" ref="AF62:AF63" si="102">AC62*((4*$V$4*1000/(3.6*PI()*H62^2))^2)/(2*9.81)</f>
        <v>6.2703042899179386E-3</v>
      </c>
      <c r="AG62" s="52">
        <f t="shared" ca="1" si="72"/>
        <v>1.6419080034723591E-2</v>
      </c>
      <c r="AH62" s="52">
        <f t="shared" ref="AH62:AH63" si="103">SUM(AD62:AF62)</f>
        <v>2.0640828829539128E-2</v>
      </c>
      <c r="AI62" s="52">
        <f t="shared" si="73"/>
        <v>0.83710686701851589</v>
      </c>
      <c r="AJ62" t="s">
        <v>329</v>
      </c>
    </row>
    <row r="63" spans="1:36" x14ac:dyDescent="0.3">
      <c r="A63" s="13"/>
      <c r="B63" s="24"/>
      <c r="C63" s="92">
        <v>6117213</v>
      </c>
      <c r="D63" s="12" t="s">
        <v>123</v>
      </c>
      <c r="E63" s="85" t="str">
        <f>VLOOKUP(C63,Sheet2!B:F,5,FALSE)</f>
        <v>Фланцевая</v>
      </c>
      <c r="F63" s="11" t="s">
        <v>144</v>
      </c>
      <c r="G63" s="47">
        <f t="shared" si="68"/>
        <v>100</v>
      </c>
      <c r="H63" s="12">
        <v>80</v>
      </c>
      <c r="I63" s="12"/>
      <c r="J63" s="12"/>
      <c r="K63" s="74">
        <f t="shared" si="17"/>
        <v>9</v>
      </c>
      <c r="L63" s="74">
        <v>90</v>
      </c>
      <c r="M63" s="12">
        <v>14.250032697803595</v>
      </c>
      <c r="N63" s="12">
        <v>14.250032697803595</v>
      </c>
      <c r="O63" s="43">
        <v>80</v>
      </c>
      <c r="P63" s="43">
        <f t="shared" si="18"/>
        <v>90</v>
      </c>
      <c r="Q63" s="43">
        <f t="shared" si="62"/>
        <v>160</v>
      </c>
      <c r="R63" s="43">
        <f t="shared" si="19"/>
        <v>160</v>
      </c>
      <c r="S63" s="43">
        <f t="shared" si="20"/>
        <v>90</v>
      </c>
      <c r="T63" s="33">
        <v>520</v>
      </c>
      <c r="U63" s="33">
        <f t="shared" si="7"/>
        <v>840</v>
      </c>
      <c r="V63" s="39">
        <f t="shared" si="8"/>
        <v>110323.08703493915</v>
      </c>
      <c r="W63" s="39">
        <f t="shared" si="69"/>
        <v>3.1664636617036022E-2</v>
      </c>
      <c r="X63" s="39">
        <f t="shared" si="99"/>
        <v>2.9692910074447597E-2</v>
      </c>
      <c r="Y63" s="39">
        <f t="shared" si="10"/>
        <v>110323.08703493915</v>
      </c>
      <c r="Z63" s="39">
        <f t="shared" si="70"/>
        <v>3.1664636617036022E-2</v>
      </c>
      <c r="AA63" s="39">
        <f t="shared" si="11"/>
        <v>110323.08703493915</v>
      </c>
      <c r="AB63" s="39">
        <f t="shared" si="71"/>
        <v>3.1664636617036022E-2</v>
      </c>
      <c r="AC63" s="39">
        <f t="shared" si="100"/>
        <v>4.9664536910031948E-2</v>
      </c>
      <c r="AD63" s="38">
        <f t="shared" si="13"/>
        <v>5.1751160392680736E-3</v>
      </c>
      <c r="AE63" s="38">
        <f t="shared" si="101"/>
        <v>4.621777646277361E-4</v>
      </c>
      <c r="AF63" s="38">
        <f t="shared" si="102"/>
        <v>7.7304126112257758E-4</v>
      </c>
      <c r="AG63" s="38">
        <f t="shared" ca="1" si="72"/>
        <v>7.9321239395176504E-3</v>
      </c>
      <c r="AH63" s="38">
        <f t="shared" si="103"/>
        <v>6.4103350650183879E-3</v>
      </c>
      <c r="AI63" s="38">
        <f t="shared" si="73"/>
        <v>0.55262133018019211</v>
      </c>
      <c r="AJ63" t="s">
        <v>329</v>
      </c>
    </row>
    <row r="64" spans="1:36" x14ac:dyDescent="0.3">
      <c r="A64" s="13"/>
      <c r="B64" s="24"/>
      <c r="C64" s="92">
        <v>6120347</v>
      </c>
      <c r="D64" s="12" t="s">
        <v>126</v>
      </c>
      <c r="E64" s="85" t="str">
        <f>VLOOKUP(C64,Sheet2!B:F,5,FALSE)</f>
        <v>Фланцевая</v>
      </c>
      <c r="F64" s="11" t="s">
        <v>128</v>
      </c>
      <c r="G64" s="47">
        <f t="shared" si="68"/>
        <v>100</v>
      </c>
      <c r="H64" s="12">
        <v>100</v>
      </c>
      <c r="I64" s="12"/>
      <c r="J64" s="12"/>
      <c r="K64" s="74">
        <f t="shared" si="17"/>
        <v>14</v>
      </c>
      <c r="L64" s="74">
        <v>140</v>
      </c>
      <c r="M64" s="12">
        <v>0</v>
      </c>
      <c r="N64" s="12">
        <v>0</v>
      </c>
      <c r="O64" s="43">
        <v>100</v>
      </c>
      <c r="P64" s="43">
        <f t="shared" si="18"/>
        <v>0</v>
      </c>
      <c r="Q64" s="43">
        <f t="shared" si="62"/>
        <v>200</v>
      </c>
      <c r="R64" s="43">
        <f t="shared" si="19"/>
        <v>200</v>
      </c>
      <c r="S64" s="43">
        <f t="shared" si="20"/>
        <v>0</v>
      </c>
      <c r="T64" s="33">
        <v>250</v>
      </c>
      <c r="U64" s="33">
        <f t="shared" si="7"/>
        <v>650</v>
      </c>
      <c r="V64" s="39">
        <f t="shared" si="8"/>
        <v>88258.469627951315</v>
      </c>
      <c r="W64" s="39">
        <f t="shared" si="69"/>
        <v>3.0317638817869717E-2</v>
      </c>
      <c r="X64" s="39">
        <f t="shared" ref="X64:X67" si="104">(-0.0125*(H64/G64)^8+0.0224*(H64/G64)^6-0.00723*(H64/G64)^4+0.00444*(H64/G64)^2-0.00745)*((0.01745*M64)^3-2*PI()*(0.01745*M64)^2-10*0.01745*M64)+IF(M64=0,0,W64/(8*SIN(RADIANS(M64/2)))*(1-(H64/G64)^4))</f>
        <v>0</v>
      </c>
      <c r="Y64" s="39">
        <f t="shared" si="10"/>
        <v>88258.469627951315</v>
      </c>
      <c r="Z64" s="39">
        <f t="shared" si="70"/>
        <v>3.0317638817869717E-2</v>
      </c>
      <c r="AA64" s="39">
        <f t="shared" si="11"/>
        <v>88258.469627951315</v>
      </c>
      <c r="AB64" s="39">
        <f t="shared" si="71"/>
        <v>3.0317638817869717E-2</v>
      </c>
      <c r="AC64" s="39">
        <f t="shared" ref="AC64:AC67" si="105">IF(N64&gt;40,1,(3.2*(TAN(RADIANS(N64/2)))^1.25))*((1-(H64/G64)^2)^2)+IF(N64=0,0,AB64/(8*SIN(RADIANS(N64/2)))*(1-(H64/G64)^4))</f>
        <v>0</v>
      </c>
      <c r="AD64" s="38">
        <f t="shared" si="13"/>
        <v>1.2563914264065643E-3</v>
      </c>
      <c r="AE64" s="38">
        <f t="shared" ref="AE64:AE67" si="106">X64*((4*$V$4*1000/(3.6*PI()*H64^2))^2)/(2*9.81)</f>
        <v>0</v>
      </c>
      <c r="AF64" s="38">
        <f t="shared" ref="AF64:AF67" si="107">AC64*((4*$V$4*1000/(3.6*PI()*H64^2))^2)/(2*9.81)</f>
        <v>0</v>
      </c>
      <c r="AG64" s="38">
        <f t="shared" ca="1" si="72"/>
        <v>3.1323325600219913E-3</v>
      </c>
      <c r="AH64" s="38">
        <f t="shared" ref="AH64:AH67" si="108">SUM(AD64:AF64)</f>
        <v>1.2563914264065643E-3</v>
      </c>
      <c r="AI64" s="38">
        <f t="shared" si="73"/>
        <v>0.35367765131532297</v>
      </c>
      <c r="AJ64" t="s">
        <v>329</v>
      </c>
    </row>
    <row r="65" spans="1:36" x14ac:dyDescent="0.3">
      <c r="A65" s="20"/>
      <c r="B65" s="24"/>
      <c r="C65" s="92">
        <v>6121260</v>
      </c>
      <c r="D65" s="12" t="s">
        <v>127</v>
      </c>
      <c r="E65" s="85" t="str">
        <f>VLOOKUP(C65,Sheet2!B:F,5,FALSE)</f>
        <v>Фланцевая</v>
      </c>
      <c r="F65" s="11" t="s">
        <v>128</v>
      </c>
      <c r="G65" s="47">
        <f t="shared" si="68"/>
        <v>100</v>
      </c>
      <c r="H65" s="12">
        <v>100</v>
      </c>
      <c r="I65" s="12"/>
      <c r="J65" s="12"/>
      <c r="K65" s="74">
        <f t="shared" si="17"/>
        <v>28</v>
      </c>
      <c r="L65" s="74">
        <v>280</v>
      </c>
      <c r="M65" s="12">
        <v>0</v>
      </c>
      <c r="N65" s="12">
        <v>0</v>
      </c>
      <c r="O65" s="43">
        <v>100</v>
      </c>
      <c r="P65" s="43">
        <f t="shared" si="18"/>
        <v>0</v>
      </c>
      <c r="Q65" s="43">
        <f t="shared" si="62"/>
        <v>200</v>
      </c>
      <c r="R65" s="43">
        <f t="shared" si="19"/>
        <v>200</v>
      </c>
      <c r="S65" s="43">
        <f t="shared" si="20"/>
        <v>0</v>
      </c>
      <c r="T65" s="33">
        <v>250</v>
      </c>
      <c r="U65" s="33">
        <f t="shared" si="7"/>
        <v>650</v>
      </c>
      <c r="V65" s="39">
        <f t="shared" si="8"/>
        <v>88258.469627951315</v>
      </c>
      <c r="W65" s="39">
        <f t="shared" si="69"/>
        <v>3.0317638817869717E-2</v>
      </c>
      <c r="X65" s="39">
        <f t="shared" si="104"/>
        <v>0</v>
      </c>
      <c r="Y65" s="39">
        <f t="shared" si="10"/>
        <v>88258.469627951315</v>
      </c>
      <c r="Z65" s="39">
        <f t="shared" si="70"/>
        <v>3.0317638817869717E-2</v>
      </c>
      <c r="AA65" s="39">
        <f t="shared" si="11"/>
        <v>88258.469627951315</v>
      </c>
      <c r="AB65" s="39">
        <f t="shared" si="71"/>
        <v>3.0317638817869717E-2</v>
      </c>
      <c r="AC65" s="39">
        <f t="shared" si="105"/>
        <v>0</v>
      </c>
      <c r="AD65" s="38">
        <f t="shared" si="13"/>
        <v>1.2563914264065643E-3</v>
      </c>
      <c r="AE65" s="38">
        <f t="shared" si="106"/>
        <v>0</v>
      </c>
      <c r="AF65" s="38">
        <f t="shared" si="107"/>
        <v>0</v>
      </c>
      <c r="AG65" s="38">
        <f t="shared" ca="1" si="72"/>
        <v>0</v>
      </c>
      <c r="AH65" s="38">
        <f t="shared" si="108"/>
        <v>1.2563914264065643E-3</v>
      </c>
      <c r="AI65" s="38">
        <f t="shared" si="73"/>
        <v>0.35367765131532297</v>
      </c>
      <c r="AJ65" t="s">
        <v>329</v>
      </c>
    </row>
    <row r="66" spans="1:36" x14ac:dyDescent="0.3">
      <c r="A66" s="16">
        <v>125</v>
      </c>
      <c r="B66" s="88">
        <v>6</v>
      </c>
      <c r="C66" s="93">
        <v>6107383</v>
      </c>
      <c r="D66" s="12" t="s">
        <v>112</v>
      </c>
      <c r="E66" s="85" t="str">
        <f>VLOOKUP(C66,Sheet2!B:F,5,FALSE)</f>
        <v>Межфланцевая</v>
      </c>
      <c r="F66" s="11" t="s">
        <v>129</v>
      </c>
      <c r="G66" s="47">
        <f t="shared" si="68"/>
        <v>125</v>
      </c>
      <c r="H66" s="12">
        <v>50</v>
      </c>
      <c r="I66" s="12"/>
      <c r="J66" s="12"/>
      <c r="K66" s="74">
        <f t="shared" si="17"/>
        <v>3.6</v>
      </c>
      <c r="L66" s="74">
        <v>36</v>
      </c>
      <c r="M66" s="12">
        <v>41.112090439166927</v>
      </c>
      <c r="N66" s="12">
        <v>41.112090439166927</v>
      </c>
      <c r="O66" s="43">
        <v>50</v>
      </c>
      <c r="P66" s="43">
        <f t="shared" si="18"/>
        <v>110.00000000000001</v>
      </c>
      <c r="Q66" s="43">
        <f t="shared" si="62"/>
        <v>100</v>
      </c>
      <c r="R66" s="43">
        <f t="shared" si="19"/>
        <v>100</v>
      </c>
      <c r="S66" s="43">
        <f t="shared" si="20"/>
        <v>110.00000000000001</v>
      </c>
      <c r="T66" s="33">
        <v>353</v>
      </c>
      <c r="U66" s="33">
        <f t="shared" si="7"/>
        <v>553</v>
      </c>
      <c r="V66" s="39">
        <f t="shared" si="8"/>
        <v>176516.93925590263</v>
      </c>
      <c r="W66" s="39">
        <f t="shared" si="69"/>
        <v>3.5115328653073222E-2</v>
      </c>
      <c r="X66" s="39">
        <f t="shared" si="104"/>
        <v>8.0856445903620164E-2</v>
      </c>
      <c r="Y66" s="39">
        <f t="shared" si="10"/>
        <v>176516.93925590263</v>
      </c>
      <c r="Z66" s="39">
        <f t="shared" si="70"/>
        <v>3.5115328653073222E-2</v>
      </c>
      <c r="AA66" s="39">
        <f t="shared" si="11"/>
        <v>176516.93925590263</v>
      </c>
      <c r="AB66" s="39">
        <f t="shared" si="71"/>
        <v>3.5115328653073222E-2</v>
      </c>
      <c r="AC66" s="39">
        <f t="shared" si="105"/>
        <v>0.71778103528091441</v>
      </c>
      <c r="AD66" s="38">
        <f t="shared" si="13"/>
        <v>3.9617592423047285E-2</v>
      </c>
      <c r="AE66" s="38">
        <f t="shared" si="106"/>
        <v>8.2480419869545556E-3</v>
      </c>
      <c r="AF66" s="38">
        <f t="shared" si="107"/>
        <v>7.3219742103104529E-2</v>
      </c>
      <c r="AG66" s="38">
        <f t="shared" ca="1" si="72"/>
        <v>4.3999541912574075E-2</v>
      </c>
      <c r="AH66" s="38">
        <f t="shared" si="108"/>
        <v>0.12108537651310637</v>
      </c>
      <c r="AI66" s="38">
        <f t="shared" si="73"/>
        <v>1.4147106052612919</v>
      </c>
      <c r="AJ66" t="s">
        <v>329</v>
      </c>
    </row>
    <row r="67" spans="1:36" x14ac:dyDescent="0.3">
      <c r="A67" s="13"/>
      <c r="B67" s="24"/>
      <c r="C67" s="93">
        <v>6107443</v>
      </c>
      <c r="D67" s="12" t="s">
        <v>113</v>
      </c>
      <c r="E67" s="85" t="str">
        <f>VLOOKUP(C67,Sheet2!B:F,5,FALSE)</f>
        <v>Межфланцевая</v>
      </c>
      <c r="F67" s="11" t="s">
        <v>129</v>
      </c>
      <c r="G67" s="47">
        <f t="shared" si="68"/>
        <v>125</v>
      </c>
      <c r="H67" s="12">
        <v>50</v>
      </c>
      <c r="I67" s="12"/>
      <c r="J67" s="12"/>
      <c r="K67" s="74">
        <f t="shared" si="17"/>
        <v>7.2</v>
      </c>
      <c r="L67" s="74">
        <v>72</v>
      </c>
      <c r="M67" s="12">
        <v>41.112090439166927</v>
      </c>
      <c r="N67" s="12">
        <v>41.112090439166927</v>
      </c>
      <c r="O67" s="43">
        <v>50</v>
      </c>
      <c r="P67" s="43">
        <f t="shared" si="18"/>
        <v>110.00000000000001</v>
      </c>
      <c r="Q67" s="43">
        <f t="shared" si="62"/>
        <v>100</v>
      </c>
      <c r="R67" s="43">
        <f t="shared" si="19"/>
        <v>100</v>
      </c>
      <c r="S67" s="43">
        <f t="shared" si="20"/>
        <v>110.00000000000001</v>
      </c>
      <c r="T67" s="33">
        <v>353</v>
      </c>
      <c r="U67" s="33">
        <f t="shared" si="7"/>
        <v>553</v>
      </c>
      <c r="V67" s="39">
        <f t="shared" si="8"/>
        <v>176516.93925590263</v>
      </c>
      <c r="W67" s="39">
        <f t="shared" si="69"/>
        <v>3.5115328653073222E-2</v>
      </c>
      <c r="X67" s="39">
        <f t="shared" si="104"/>
        <v>8.0856445903620164E-2</v>
      </c>
      <c r="Y67" s="39">
        <f t="shared" si="10"/>
        <v>176516.93925590263</v>
      </c>
      <c r="Z67" s="39">
        <f t="shared" si="70"/>
        <v>3.5115328653073222E-2</v>
      </c>
      <c r="AA67" s="39">
        <f t="shared" si="11"/>
        <v>176516.93925590263</v>
      </c>
      <c r="AB67" s="39">
        <f t="shared" si="71"/>
        <v>3.5115328653073222E-2</v>
      </c>
      <c r="AC67" s="39">
        <f t="shared" si="105"/>
        <v>0.71778103528091441</v>
      </c>
      <c r="AD67" s="38">
        <f t="shared" si="13"/>
        <v>3.9617592423047285E-2</v>
      </c>
      <c r="AE67" s="38">
        <f t="shared" si="106"/>
        <v>8.2480419869545556E-3</v>
      </c>
      <c r="AF67" s="38">
        <f t="shared" si="107"/>
        <v>7.3219742103104529E-2</v>
      </c>
      <c r="AG67" s="38">
        <f t="shared" ca="1" si="72"/>
        <v>0</v>
      </c>
      <c r="AH67" s="38">
        <f t="shared" si="108"/>
        <v>0.12108537651310637</v>
      </c>
      <c r="AI67" s="38">
        <f t="shared" si="73"/>
        <v>1.4147106052612919</v>
      </c>
      <c r="AJ67" t="s">
        <v>329</v>
      </c>
    </row>
    <row r="68" spans="1:36" x14ac:dyDescent="0.3">
      <c r="A68" s="13"/>
      <c r="B68" s="24"/>
      <c r="C68" s="92">
        <v>6117175</v>
      </c>
      <c r="D68" s="18" t="s">
        <v>119</v>
      </c>
      <c r="E68" s="85" t="str">
        <f>VLOOKUP(C68,Sheet2!B:F,5,FALSE)</f>
        <v>Фланцевая</v>
      </c>
      <c r="F68" s="19" t="s">
        <v>145</v>
      </c>
      <c r="G68" s="49">
        <f t="shared" si="68"/>
        <v>125</v>
      </c>
      <c r="H68" s="18">
        <v>65</v>
      </c>
      <c r="I68" s="18"/>
      <c r="J68" s="18"/>
      <c r="K68" s="77">
        <f t="shared" si="17"/>
        <v>6</v>
      </c>
      <c r="L68" s="77">
        <v>60</v>
      </c>
      <c r="M68" s="18">
        <v>33.398488467987242</v>
      </c>
      <c r="N68" s="18">
        <v>33.398488467987242</v>
      </c>
      <c r="O68" s="44">
        <v>65</v>
      </c>
      <c r="P68" s="44">
        <f t="shared" si="18"/>
        <v>110</v>
      </c>
      <c r="Q68" s="44">
        <f t="shared" si="62"/>
        <v>130</v>
      </c>
      <c r="R68" s="44">
        <f t="shared" si="19"/>
        <v>130</v>
      </c>
      <c r="S68" s="44">
        <f t="shared" si="20"/>
        <v>110</v>
      </c>
      <c r="T68" s="34">
        <v>440</v>
      </c>
      <c r="U68" s="34">
        <f t="shared" si="7"/>
        <v>700</v>
      </c>
      <c r="V68" s="51">
        <f t="shared" si="8"/>
        <v>135782.26096607896</v>
      </c>
      <c r="W68" s="51">
        <f t="shared" si="69"/>
        <v>3.3094427663941522E-2</v>
      </c>
      <c r="X68" s="51">
        <f t="shared" ref="X68:X69" si="109">(-0.0125*(H68/G68)^8+0.0224*(H68/G68)^6-0.00723*(H68/G68)^4+0.00444*(H68/G68)^2-0.00745)*((0.01745*M68)^3-2*PI()*(0.01745*M68)^2-10*0.01745*M68)+IF(M68=0,0,W68/(8*SIN(RADIANS(M68/2)))*(1-(H68/G68)^4))</f>
        <v>6.3050601965619554E-2</v>
      </c>
      <c r="Y68" s="51">
        <f t="shared" si="10"/>
        <v>135782.26096607896</v>
      </c>
      <c r="Z68" s="51">
        <f t="shared" si="70"/>
        <v>3.3094427663941522E-2</v>
      </c>
      <c r="AA68" s="51">
        <f t="shared" si="11"/>
        <v>135782.26096607896</v>
      </c>
      <c r="AB68" s="51">
        <f t="shared" si="71"/>
        <v>3.3094427663941522E-2</v>
      </c>
      <c r="AC68" s="51">
        <f t="shared" ref="AC68:AC69" si="110">IF(N68&gt;40,1,(3.2*(TAN(RADIANS(N68/2)))^1.25))*((1-(H68/G68)^2)^2)+IF(N68=0,0,AB68/(8*SIN(RADIANS(N68/2)))*(1-(H68/G68)^4))</f>
        <v>0.39154359709448816</v>
      </c>
      <c r="AD68" s="52">
        <f t="shared" si="13"/>
        <v>1.2729236759034802E-2</v>
      </c>
      <c r="AE68" s="52">
        <f t="shared" ref="AE68:AE69" si="111">X68*((4*$V$4*1000/(3.6*PI()*H68^2))^2)/(2*9.81)</f>
        <v>2.2519152574154095E-3</v>
      </c>
      <c r="AF68" s="52">
        <f t="shared" ref="AF68:AF69" si="112">AC68*((4*$V$4*1000/(3.6*PI()*H68^2))^2)/(2*9.81)</f>
        <v>1.39843708505936E-2</v>
      </c>
      <c r="AG68" s="52">
        <f t="shared" ca="1" si="72"/>
        <v>1.6419080034723591E-2</v>
      </c>
      <c r="AH68" s="52">
        <f t="shared" ref="AH68:AH69" si="113">SUM(AD68:AF68)</f>
        <v>2.8965522867043812E-2</v>
      </c>
      <c r="AI68" s="52">
        <f t="shared" si="73"/>
        <v>0.83710686701851589</v>
      </c>
      <c r="AJ68" t="s">
        <v>329</v>
      </c>
    </row>
    <row r="69" spans="1:36" x14ac:dyDescent="0.3">
      <c r="A69" s="13"/>
      <c r="B69" s="24"/>
      <c r="C69" s="92">
        <v>6117213</v>
      </c>
      <c r="D69" s="12" t="s">
        <v>123</v>
      </c>
      <c r="E69" s="85" t="str">
        <f>VLOOKUP(C69,Sheet2!B:F,5,FALSE)</f>
        <v>Фланцевая</v>
      </c>
      <c r="F69" s="11" t="s">
        <v>146</v>
      </c>
      <c r="G69" s="47">
        <f t="shared" si="68"/>
        <v>125</v>
      </c>
      <c r="H69" s="12">
        <v>80</v>
      </c>
      <c r="I69" s="12"/>
      <c r="J69" s="12"/>
      <c r="K69" s="74">
        <f t="shared" si="17"/>
        <v>9</v>
      </c>
      <c r="L69" s="74">
        <v>90</v>
      </c>
      <c r="M69" s="12">
        <v>25.117673881895147</v>
      </c>
      <c r="N69" s="12">
        <v>25.117673881895147</v>
      </c>
      <c r="O69" s="43">
        <v>80</v>
      </c>
      <c r="P69" s="43">
        <f t="shared" si="18"/>
        <v>111</v>
      </c>
      <c r="Q69" s="43">
        <f t="shared" si="62"/>
        <v>160</v>
      </c>
      <c r="R69" s="43">
        <f t="shared" si="19"/>
        <v>160</v>
      </c>
      <c r="S69" s="43">
        <f t="shared" si="20"/>
        <v>111</v>
      </c>
      <c r="T69" s="33">
        <v>520</v>
      </c>
      <c r="U69" s="33">
        <f t="shared" si="7"/>
        <v>840</v>
      </c>
      <c r="V69" s="39">
        <f t="shared" si="8"/>
        <v>110323.08703493915</v>
      </c>
      <c r="W69" s="39">
        <f t="shared" si="69"/>
        <v>3.1664636617036022E-2</v>
      </c>
      <c r="X69" s="39">
        <f t="shared" si="109"/>
        <v>4.629524241311208E-2</v>
      </c>
      <c r="Y69" s="39">
        <f t="shared" si="10"/>
        <v>110323.08703493915</v>
      </c>
      <c r="Z69" s="39">
        <f t="shared" si="70"/>
        <v>3.1664636617036022E-2</v>
      </c>
      <c r="AA69" s="39">
        <f t="shared" si="11"/>
        <v>110323.08703493915</v>
      </c>
      <c r="AB69" s="39">
        <f t="shared" si="71"/>
        <v>3.1664636617036022E-2</v>
      </c>
      <c r="AC69" s="39">
        <f t="shared" si="110"/>
        <v>0.18586296120728249</v>
      </c>
      <c r="AD69" s="38">
        <f t="shared" si="13"/>
        <v>5.1751160392680736E-3</v>
      </c>
      <c r="AE69" s="38">
        <f t="shared" si="111"/>
        <v>7.2059732770363572E-4</v>
      </c>
      <c r="AF69" s="38">
        <f t="shared" si="112"/>
        <v>2.8930046843672853E-3</v>
      </c>
      <c r="AG69" s="38">
        <f t="shared" ca="1" si="72"/>
        <v>7.9321239395176504E-3</v>
      </c>
      <c r="AH69" s="38">
        <f t="shared" si="113"/>
        <v>8.7887180513389947E-3</v>
      </c>
      <c r="AI69" s="38">
        <f t="shared" si="73"/>
        <v>0.55262133018019211</v>
      </c>
      <c r="AJ69" t="s">
        <v>329</v>
      </c>
    </row>
    <row r="70" spans="1:36" x14ac:dyDescent="0.3">
      <c r="A70" s="13"/>
      <c r="B70" s="24"/>
      <c r="C70" s="92">
        <v>6120347</v>
      </c>
      <c r="D70" s="12" t="s">
        <v>126</v>
      </c>
      <c r="E70" s="85" t="str">
        <f>VLOOKUP(C70,Sheet2!B:F,5,FALSE)</f>
        <v>Фланцевая</v>
      </c>
      <c r="F70" s="23" t="s">
        <v>130</v>
      </c>
      <c r="G70" s="47">
        <f t="shared" si="68"/>
        <v>125</v>
      </c>
      <c r="H70" s="12">
        <v>100</v>
      </c>
      <c r="I70" s="12"/>
      <c r="J70" s="12"/>
      <c r="K70" s="74">
        <f t="shared" si="17"/>
        <v>14</v>
      </c>
      <c r="L70" s="74">
        <v>140</v>
      </c>
      <c r="M70" s="12">
        <v>14.250032697803595</v>
      </c>
      <c r="N70" s="12">
        <v>14.250032697803595</v>
      </c>
      <c r="O70" s="43">
        <v>100</v>
      </c>
      <c r="P70" s="43">
        <f t="shared" si="18"/>
        <v>110</v>
      </c>
      <c r="Q70" s="43">
        <f t="shared" si="62"/>
        <v>200</v>
      </c>
      <c r="R70" s="43">
        <f t="shared" si="19"/>
        <v>200</v>
      </c>
      <c r="S70" s="43">
        <f t="shared" si="20"/>
        <v>110</v>
      </c>
      <c r="T70" s="33">
        <v>650</v>
      </c>
      <c r="U70" s="33">
        <f t="shared" si="7"/>
        <v>1050</v>
      </c>
      <c r="V70" s="39">
        <f t="shared" si="8"/>
        <v>88258.469627951315</v>
      </c>
      <c r="W70" s="39">
        <f t="shared" si="69"/>
        <v>3.0317638817869717E-2</v>
      </c>
      <c r="X70" s="39">
        <f t="shared" ref="X70:X71" si="114">(-0.0125*(H70/G70)^8+0.0224*(H70/G70)^6-0.00723*(H70/G70)^4+0.00444*(H70/G70)^2-0.00745)*((0.01745*M70)^3-2*PI()*(0.01745*M70)^2-10*0.01745*M70)+IF(M70=0,0,W70/(8*SIN(RADIANS(M70/2)))*(1-(H70/G70)^4))</f>
        <v>2.8891453628334295E-2</v>
      </c>
      <c r="Y70" s="39">
        <f t="shared" si="10"/>
        <v>88258.469627951315</v>
      </c>
      <c r="Z70" s="39">
        <f t="shared" si="70"/>
        <v>3.0317638817869717E-2</v>
      </c>
      <c r="AA70" s="39">
        <f t="shared" si="11"/>
        <v>88258.469627951315</v>
      </c>
      <c r="AB70" s="39">
        <f t="shared" si="71"/>
        <v>3.0317638817869717E-2</v>
      </c>
      <c r="AC70" s="39">
        <f t="shared" ref="AC70:AC71" si="115">IF(N70&gt;40,1,(3.2*(TAN(RADIANS(N70/2)))^1.25))*((1-(H70/G70)^2)^2)+IF(N70=0,0,AB70/(8*SIN(RADIANS(N70/2)))*(1-(H70/G70)^4))</f>
        <v>4.886308046391865E-2</v>
      </c>
      <c r="AD70" s="38">
        <f t="shared" si="13"/>
        <v>2.0295553811182959E-3</v>
      </c>
      <c r="AE70" s="38">
        <f t="shared" ref="AE70:AE71" si="116">X70*((4*$V$4*1000/(3.6*PI()*H70^2))^2)/(2*9.81)</f>
        <v>1.8419830349294277E-4</v>
      </c>
      <c r="AF70" s="38">
        <f t="shared" ref="AF70:AF71" si="117">AC70*((4*$V$4*1000/(3.6*PI()*H70^2))^2)/(2*9.81)</f>
        <v>3.1152799165722988E-4</v>
      </c>
      <c r="AG70" s="38">
        <f t="shared" ca="1" si="72"/>
        <v>3.1323325600219913E-3</v>
      </c>
      <c r="AH70" s="38">
        <f t="shared" ref="AH70:AH71" si="118">SUM(AD70:AF70)</f>
        <v>2.5252816762684682E-3</v>
      </c>
      <c r="AI70" s="38">
        <f t="shared" si="73"/>
        <v>0.35367765131532297</v>
      </c>
      <c r="AJ70" t="s">
        <v>329</v>
      </c>
    </row>
    <row r="71" spans="1:36" x14ac:dyDescent="0.3">
      <c r="A71" s="13"/>
      <c r="B71" s="89"/>
      <c r="C71" s="92">
        <v>6121260</v>
      </c>
      <c r="D71" s="12" t="s">
        <v>127</v>
      </c>
      <c r="E71" s="85" t="str">
        <f>VLOOKUP(C71,Sheet2!B:F,5,FALSE)</f>
        <v>Фланцевая</v>
      </c>
      <c r="F71" s="23" t="s">
        <v>130</v>
      </c>
      <c r="G71" s="47">
        <f t="shared" si="68"/>
        <v>125</v>
      </c>
      <c r="H71" s="12">
        <v>100</v>
      </c>
      <c r="I71" s="12"/>
      <c r="J71" s="12"/>
      <c r="K71" s="74">
        <f t="shared" si="17"/>
        <v>28</v>
      </c>
      <c r="L71" s="74">
        <v>280</v>
      </c>
      <c r="M71" s="12">
        <v>14.250032697803595</v>
      </c>
      <c r="N71" s="12">
        <v>14.250032697803595</v>
      </c>
      <c r="O71" s="43">
        <v>100</v>
      </c>
      <c r="P71" s="43">
        <f t="shared" si="18"/>
        <v>110</v>
      </c>
      <c r="Q71" s="43">
        <f t="shared" si="62"/>
        <v>200</v>
      </c>
      <c r="R71" s="43">
        <f t="shared" si="19"/>
        <v>200</v>
      </c>
      <c r="S71" s="43">
        <f t="shared" si="20"/>
        <v>110</v>
      </c>
      <c r="T71" s="33">
        <v>650</v>
      </c>
      <c r="U71" s="33">
        <f t="shared" si="7"/>
        <v>1050</v>
      </c>
      <c r="V71" s="39">
        <f t="shared" si="8"/>
        <v>88258.469627951315</v>
      </c>
      <c r="W71" s="39">
        <f t="shared" si="69"/>
        <v>3.0317638817869717E-2</v>
      </c>
      <c r="X71" s="39">
        <f t="shared" si="114"/>
        <v>2.8891453628334295E-2</v>
      </c>
      <c r="Y71" s="39">
        <f t="shared" si="10"/>
        <v>88258.469627951315</v>
      </c>
      <c r="Z71" s="39">
        <f t="shared" si="70"/>
        <v>3.0317638817869717E-2</v>
      </c>
      <c r="AA71" s="39">
        <f t="shared" si="11"/>
        <v>88258.469627951315</v>
      </c>
      <c r="AB71" s="39">
        <f t="shared" si="71"/>
        <v>3.0317638817869717E-2</v>
      </c>
      <c r="AC71" s="39">
        <f t="shared" si="115"/>
        <v>4.886308046391865E-2</v>
      </c>
      <c r="AD71" s="38">
        <f t="shared" si="13"/>
        <v>2.0295553811182959E-3</v>
      </c>
      <c r="AE71" s="38">
        <f t="shared" si="116"/>
        <v>1.8419830349294277E-4</v>
      </c>
      <c r="AF71" s="38">
        <f t="shared" si="117"/>
        <v>3.1152799165722988E-4</v>
      </c>
      <c r="AG71" s="38">
        <f t="shared" ca="1" si="72"/>
        <v>0</v>
      </c>
      <c r="AH71" s="38">
        <f t="shared" si="118"/>
        <v>2.5252816762684682E-3</v>
      </c>
      <c r="AI71" s="38">
        <f t="shared" si="73"/>
        <v>0.35367765131532297</v>
      </c>
      <c r="AJ71" t="s">
        <v>329</v>
      </c>
    </row>
    <row r="72" spans="1:36" x14ac:dyDescent="0.3">
      <c r="A72" s="16">
        <v>150</v>
      </c>
      <c r="B72" s="88">
        <v>5</v>
      </c>
      <c r="C72" s="92">
        <v>6117175</v>
      </c>
      <c r="D72" s="18" t="s">
        <v>119</v>
      </c>
      <c r="E72" s="85" t="str">
        <f>VLOOKUP(C72,Sheet2!B:F,5,FALSE)</f>
        <v>Фланцевая</v>
      </c>
      <c r="F72" s="19" t="s">
        <v>147</v>
      </c>
      <c r="G72" s="49">
        <f t="shared" si="68"/>
        <v>150</v>
      </c>
      <c r="H72" s="18">
        <v>65</v>
      </c>
      <c r="I72" s="18"/>
      <c r="J72" s="18"/>
      <c r="K72" s="77">
        <f t="shared" si="17"/>
        <v>6</v>
      </c>
      <c r="L72" s="77">
        <v>60</v>
      </c>
      <c r="M72" s="18">
        <v>59.077564519116194</v>
      </c>
      <c r="N72" s="18">
        <v>59.077564519116194</v>
      </c>
      <c r="O72" s="44">
        <v>65</v>
      </c>
      <c r="P72" s="44">
        <f t="shared" si="18"/>
        <v>85</v>
      </c>
      <c r="Q72" s="44">
        <f t="shared" si="62"/>
        <v>130</v>
      </c>
      <c r="R72" s="44">
        <f t="shared" si="19"/>
        <v>130</v>
      </c>
      <c r="S72" s="44">
        <f t="shared" si="20"/>
        <v>85</v>
      </c>
      <c r="T72" s="34">
        <v>440</v>
      </c>
      <c r="U72" s="34">
        <f t="shared" si="7"/>
        <v>700</v>
      </c>
      <c r="V72" s="51">
        <f t="shared" si="8"/>
        <v>135782.26096607896</v>
      </c>
      <c r="W72" s="51">
        <f t="shared" si="69"/>
        <v>3.3094427663941522E-2</v>
      </c>
      <c r="X72" s="51">
        <f t="shared" ref="X72:X73" si="119">(-0.0125*(H72/G72)^8+0.0224*(H72/G72)^6-0.00723*(H72/G72)^4+0.00444*(H72/G72)^2-0.00745)*((0.01745*M72)^3-2*PI()*(0.01745*M72)^2-10*0.01745*M72)+IF(M72=0,0,W72/(8*SIN(RADIANS(M72/2)))*(1-(H72/G72)^4))</f>
        <v>0.11517509381511067</v>
      </c>
      <c r="Y72" s="51">
        <f t="shared" si="10"/>
        <v>135782.26096607896</v>
      </c>
      <c r="Z72" s="51">
        <f t="shared" si="70"/>
        <v>3.3094427663941522E-2</v>
      </c>
      <c r="AA72" s="51">
        <f t="shared" si="11"/>
        <v>135782.26096607896</v>
      </c>
      <c r="AB72" s="51">
        <f t="shared" si="71"/>
        <v>3.3094427663941522E-2</v>
      </c>
      <c r="AC72" s="51">
        <f t="shared" ref="AC72:AC73" si="120">IF(N72&gt;40,1,(3.2*(TAN(RADIANS(N72/2)))^1.25))*((1-(H72/G72)^2)^2)+IF(N72=0,0,AB72/(8*SIN(RADIANS(N72/2)))*(1-(H72/G72)^4))</f>
        <v>0.66779994020870093</v>
      </c>
      <c r="AD72" s="52">
        <f t="shared" si="13"/>
        <v>1.2729236759034802E-2</v>
      </c>
      <c r="AE72" s="52">
        <f t="shared" ref="AE72:AE73" si="121">X72*((4*$V$4*1000/(3.6*PI()*H72^2))^2)/(2*9.81)</f>
        <v>4.1135935732687532E-3</v>
      </c>
      <c r="AF72" s="52">
        <f t="shared" ref="AF72:AF73" si="122">AC72*((4*$V$4*1000/(3.6*PI()*H72^2))^2)/(2*9.81)</f>
        <v>2.3851142215534825E-2</v>
      </c>
      <c r="AG72" s="52">
        <f t="shared" ca="1" si="72"/>
        <v>1.6419080034723591E-2</v>
      </c>
      <c r="AH72" s="52">
        <f t="shared" ref="AH72:AH73" si="123">SUM(AD72:AF72)</f>
        <v>4.0693972547838381E-2</v>
      </c>
      <c r="AI72" s="52">
        <f t="shared" si="73"/>
        <v>0.83710686701851589</v>
      </c>
      <c r="AJ72" t="s">
        <v>329</v>
      </c>
    </row>
    <row r="73" spans="1:36" x14ac:dyDescent="0.3">
      <c r="A73" s="13"/>
      <c r="B73" s="24"/>
      <c r="C73" s="92">
        <v>6117213</v>
      </c>
      <c r="D73" s="12" t="s">
        <v>123</v>
      </c>
      <c r="E73" s="85" t="str">
        <f>VLOOKUP(C73,Sheet2!B:F,5,FALSE)</f>
        <v>Фланцевая</v>
      </c>
      <c r="F73" s="11" t="s">
        <v>148</v>
      </c>
      <c r="G73" s="47">
        <f t="shared" si="68"/>
        <v>150</v>
      </c>
      <c r="H73" s="12">
        <v>80</v>
      </c>
      <c r="I73" s="12"/>
      <c r="J73" s="12"/>
      <c r="K73" s="74">
        <f t="shared" si="17"/>
        <v>9</v>
      </c>
      <c r="L73" s="74">
        <v>90</v>
      </c>
      <c r="M73" s="12">
        <v>30.136976318984416</v>
      </c>
      <c r="N73" s="12">
        <v>30.136976318984416</v>
      </c>
      <c r="O73" s="43">
        <v>80</v>
      </c>
      <c r="P73" s="43">
        <f t="shared" si="18"/>
        <v>140</v>
      </c>
      <c r="Q73" s="43">
        <f t="shared" si="62"/>
        <v>160</v>
      </c>
      <c r="R73" s="43">
        <f t="shared" si="19"/>
        <v>160</v>
      </c>
      <c r="S73" s="43">
        <f t="shared" si="20"/>
        <v>140</v>
      </c>
      <c r="T73" s="33">
        <v>520</v>
      </c>
      <c r="U73" s="33">
        <f t="shared" si="7"/>
        <v>840</v>
      </c>
      <c r="V73" s="39">
        <f t="shared" si="8"/>
        <v>110323.08703493915</v>
      </c>
      <c r="W73" s="39">
        <f t="shared" si="69"/>
        <v>3.1664636617036022E-2</v>
      </c>
      <c r="X73" s="39">
        <f t="shared" si="119"/>
        <v>5.7418048617356471E-2</v>
      </c>
      <c r="Y73" s="39">
        <f t="shared" si="10"/>
        <v>110323.08703493915</v>
      </c>
      <c r="Z73" s="39">
        <f t="shared" si="70"/>
        <v>3.1664636617036022E-2</v>
      </c>
      <c r="AA73" s="39">
        <f t="shared" si="11"/>
        <v>110323.08703493915</v>
      </c>
      <c r="AB73" s="39">
        <f t="shared" si="71"/>
        <v>3.1664636617036022E-2</v>
      </c>
      <c r="AC73" s="39">
        <f t="shared" si="120"/>
        <v>0.33174822895285755</v>
      </c>
      <c r="AD73" s="38">
        <f t="shared" si="13"/>
        <v>5.1751160392680736E-3</v>
      </c>
      <c r="AE73" s="38">
        <f t="shared" si="121"/>
        <v>8.9372666042906166E-4</v>
      </c>
      <c r="AF73" s="38">
        <f t="shared" si="122"/>
        <v>5.163746311567765E-3</v>
      </c>
      <c r="AG73" s="38">
        <f t="shared" ca="1" si="72"/>
        <v>7.9321239395176504E-3</v>
      </c>
      <c r="AH73" s="38">
        <f t="shared" si="123"/>
        <v>1.12325890112649E-2</v>
      </c>
      <c r="AI73" s="38">
        <f t="shared" si="73"/>
        <v>0.55262133018019211</v>
      </c>
      <c r="AJ73" t="s">
        <v>329</v>
      </c>
    </row>
    <row r="74" spans="1:36" x14ac:dyDescent="0.3">
      <c r="A74" s="13"/>
      <c r="B74" s="25"/>
      <c r="C74" s="92">
        <v>6120347</v>
      </c>
      <c r="D74" s="12" t="s">
        <v>126</v>
      </c>
      <c r="E74" s="85" t="str">
        <f>VLOOKUP(C74,Sheet2!B:F,5,FALSE)</f>
        <v>Фланцевая</v>
      </c>
      <c r="F74" s="11" t="s">
        <v>131</v>
      </c>
      <c r="G74" s="47">
        <f t="shared" si="68"/>
        <v>150</v>
      </c>
      <c r="H74" s="12">
        <v>100</v>
      </c>
      <c r="I74" s="12"/>
      <c r="J74" s="12"/>
      <c r="K74" s="74">
        <f t="shared" si="17"/>
        <v>14</v>
      </c>
      <c r="L74" s="74">
        <v>140</v>
      </c>
      <c r="M74" s="12">
        <v>21.771054109317475</v>
      </c>
      <c r="N74" s="12">
        <v>21.771054109317475</v>
      </c>
      <c r="O74" s="43">
        <v>100</v>
      </c>
      <c r="P74" s="43">
        <f t="shared" si="18"/>
        <v>140</v>
      </c>
      <c r="Q74" s="43">
        <f t="shared" si="62"/>
        <v>200</v>
      </c>
      <c r="R74" s="43">
        <f t="shared" si="19"/>
        <v>200</v>
      </c>
      <c r="S74" s="43">
        <f t="shared" si="20"/>
        <v>140</v>
      </c>
      <c r="T74" s="33">
        <v>650</v>
      </c>
      <c r="U74" s="33">
        <f t="shared" si="7"/>
        <v>1050</v>
      </c>
      <c r="V74" s="39">
        <f t="shared" si="8"/>
        <v>88258.469627951315</v>
      </c>
      <c r="W74" s="39">
        <f t="shared" si="69"/>
        <v>3.0317638817869717E-2</v>
      </c>
      <c r="X74" s="39">
        <f t="shared" ref="X74:X85" si="124">(-0.0125*(H74/G74)^8+0.0224*(H74/G74)^6-0.00723*(H74/G74)^4+0.00444*(H74/G74)^2-0.00745)*((0.01745*M74)^3-2*PI()*(0.01745*M74)^2-10*0.01745*M74)+IF(M74=0,0,W74/(8*SIN(RADIANS(M74/2)))*(1-(H74/G74)^4))</f>
        <v>4.1340294498805205E-2</v>
      </c>
      <c r="Y74" s="39">
        <f t="shared" si="10"/>
        <v>88258.469627951315</v>
      </c>
      <c r="Z74" s="39">
        <f t="shared" si="70"/>
        <v>3.0317638817869717E-2</v>
      </c>
      <c r="AA74" s="39">
        <f t="shared" si="11"/>
        <v>88258.469627951315</v>
      </c>
      <c r="AB74" s="39">
        <f t="shared" si="71"/>
        <v>3.0317638817869717E-2</v>
      </c>
      <c r="AC74" s="39">
        <f t="shared" ref="AC74:AC85" si="125">IF(N74&gt;40,1,(3.2*(TAN(RADIANS(N74/2)))^1.25))*((1-(H74/G74)^2)^2)+IF(N74=0,0,AB74/(8*SIN(RADIANS(N74/2)))*(1-(H74/G74)^4))</f>
        <v>0.1418804625656982</v>
      </c>
      <c r="AD74" s="38">
        <f t="shared" si="13"/>
        <v>2.0295553811182959E-3</v>
      </c>
      <c r="AE74" s="38">
        <f t="shared" ref="AE74:AE85" si="126">X74*((4*$V$4*1000/(3.6*PI()*H74^2))^2)/(2*9.81)</f>
        <v>2.6356625078603139E-4</v>
      </c>
      <c r="AF74" s="38">
        <f t="shared" ref="AF74:AF85" si="127">AC74*((4*$V$4*1000/(3.6*PI()*H74^2))^2)/(2*9.81)</f>
        <v>9.0456301851719314E-4</v>
      </c>
      <c r="AG74" s="38">
        <f t="shared" ca="1" si="72"/>
        <v>3.1323325600219913E-3</v>
      </c>
      <c r="AH74" s="38">
        <f t="shared" ref="AH74:AH85" si="128">SUM(AD74:AF74)</f>
        <v>3.1976846504215206E-3</v>
      </c>
      <c r="AI74" s="38">
        <f t="shared" si="73"/>
        <v>0.35367765131532297</v>
      </c>
      <c r="AJ74" t="s">
        <v>329</v>
      </c>
    </row>
    <row r="75" spans="1:36" x14ac:dyDescent="0.3">
      <c r="A75" s="26"/>
      <c r="B75" s="25"/>
      <c r="C75" s="92">
        <v>6121260</v>
      </c>
      <c r="D75" s="12" t="s">
        <v>127</v>
      </c>
      <c r="E75" s="85" t="str">
        <f>VLOOKUP(C75,Sheet2!B:F,5,FALSE)</f>
        <v>Фланцевая</v>
      </c>
      <c r="F75" s="11" t="s">
        <v>131</v>
      </c>
      <c r="G75" s="47">
        <f t="shared" ref="G75:G85" si="129">IF(A75="",G74,A75)</f>
        <v>150</v>
      </c>
      <c r="H75" s="12">
        <v>100</v>
      </c>
      <c r="I75" s="12"/>
      <c r="J75" s="12"/>
      <c r="K75" s="74">
        <f t="shared" si="17"/>
        <v>28</v>
      </c>
      <c r="L75" s="74">
        <v>280</v>
      </c>
      <c r="M75" s="12">
        <v>21.771054109317475</v>
      </c>
      <c r="N75" s="12">
        <v>21.771054109317475</v>
      </c>
      <c r="O75" s="43">
        <v>100</v>
      </c>
      <c r="P75" s="43">
        <f t="shared" si="18"/>
        <v>140</v>
      </c>
      <c r="Q75" s="43">
        <f t="shared" si="62"/>
        <v>200</v>
      </c>
      <c r="R75" s="43">
        <f t="shared" si="19"/>
        <v>200</v>
      </c>
      <c r="S75" s="43">
        <f t="shared" si="20"/>
        <v>140</v>
      </c>
      <c r="T75" s="33">
        <v>650</v>
      </c>
      <c r="U75" s="33">
        <f t="shared" si="7"/>
        <v>1050</v>
      </c>
      <c r="V75" s="39">
        <f t="shared" si="8"/>
        <v>88258.469627951315</v>
      </c>
      <c r="W75" s="39">
        <f t="shared" ref="W75:W85" si="130">0.11*((68/V75)+$V$5/H75)^0.25</f>
        <v>3.0317638817869717E-2</v>
      </c>
      <c r="X75" s="39">
        <f t="shared" si="124"/>
        <v>4.1340294498805205E-2</v>
      </c>
      <c r="Y75" s="39">
        <f t="shared" si="10"/>
        <v>88258.469627951315</v>
      </c>
      <c r="Z75" s="39">
        <f t="shared" ref="Z75:Z85" si="131">0.11*((68/Y75)+$V$5/H75)^0.25</f>
        <v>3.0317638817869717E-2</v>
      </c>
      <c r="AA75" s="39">
        <f t="shared" si="11"/>
        <v>88258.469627951315</v>
      </c>
      <c r="AB75" s="39">
        <f t="shared" ref="AB75:AB85" si="132">0.11*((68/AA75)+$V$5/H75)^0.25</f>
        <v>3.0317638817869717E-2</v>
      </c>
      <c r="AC75" s="39">
        <f t="shared" si="125"/>
        <v>0.1418804625656982</v>
      </c>
      <c r="AD75" s="38">
        <f t="shared" si="13"/>
        <v>2.0295553811182959E-3</v>
      </c>
      <c r="AE75" s="38">
        <f t="shared" si="126"/>
        <v>2.6356625078603139E-4</v>
      </c>
      <c r="AF75" s="38">
        <f t="shared" si="127"/>
        <v>9.0456301851719314E-4</v>
      </c>
      <c r="AG75" s="38">
        <f t="shared" ref="AG75:AG85" ca="1" si="133">(OFFSET($AY$2:$AY$10,MATCH(H75,$AY$2:$AY$10,0)-1,1,1,1)+OFFSET($AY$2:$AY$10,MATCH(H75,$AY$2:$AY$10,0)-1,2,1,1)*AI75+OFFSET($AY$2:$AY$10,MATCH(H75,$AY$2:$AY$10,0)-1,3,1,1)*AI75^2+OFFSET($AY$2:$AY$10,MATCH(H75,$AY$2:$AY$10,0)-1,4,1,1)*AI75^3)*10.0000371*IF(VLOOKUP(D75,$AU$2:$AV$16,2,FALSE)="L",1,0)</f>
        <v>0</v>
      </c>
      <c r="AH75" s="38">
        <f t="shared" si="128"/>
        <v>3.1976846504215206E-3</v>
      </c>
      <c r="AI75" s="38">
        <f t="shared" ref="AI75:AI85" si="134">(4*$V$4*1000/(3.6*PI()*H75^2))</f>
        <v>0.35367765131532297</v>
      </c>
      <c r="AJ75" t="s">
        <v>329</v>
      </c>
    </row>
    <row r="76" spans="1:36" x14ac:dyDescent="0.3">
      <c r="A76" s="20"/>
      <c r="B76" s="89"/>
      <c r="C76" s="92">
        <v>6106404</v>
      </c>
      <c r="D76" s="12" t="s">
        <v>132</v>
      </c>
      <c r="E76" s="85" t="str">
        <f>VLOOKUP(C76,Sheet2!B:F,5,FALSE)</f>
        <v>Фланцевая</v>
      </c>
      <c r="F76" s="11" t="s">
        <v>133</v>
      </c>
      <c r="G76" s="47">
        <f t="shared" si="129"/>
        <v>150</v>
      </c>
      <c r="H76" s="12">
        <v>150</v>
      </c>
      <c r="I76" s="12"/>
      <c r="J76" s="12"/>
      <c r="K76" s="74">
        <f t="shared" si="17"/>
        <v>63</v>
      </c>
      <c r="L76" s="74">
        <v>630</v>
      </c>
      <c r="M76" s="12">
        <v>0</v>
      </c>
      <c r="N76" s="12">
        <v>0</v>
      </c>
      <c r="O76" s="43">
        <v>150</v>
      </c>
      <c r="P76" s="43">
        <f t="shared" si="18"/>
        <v>0</v>
      </c>
      <c r="Q76" s="43">
        <f t="shared" si="62"/>
        <v>300</v>
      </c>
      <c r="R76" s="43">
        <f t="shared" si="19"/>
        <v>300</v>
      </c>
      <c r="S76" s="43">
        <f t="shared" si="20"/>
        <v>0</v>
      </c>
      <c r="T76" s="33">
        <v>320</v>
      </c>
      <c r="U76" s="33">
        <f t="shared" ref="U76:U84" si="135">T76+Q76+R76</f>
        <v>920</v>
      </c>
      <c r="V76" s="39">
        <f t="shared" ref="V76:V85" si="136">4*$V$4/(3.6*PI()*H76*$F$8)</f>
        <v>58838.979751967549</v>
      </c>
      <c r="W76" s="39">
        <f t="shared" si="130"/>
        <v>2.8472841258889204E-2</v>
      </c>
      <c r="X76" s="39">
        <f t="shared" si="124"/>
        <v>0</v>
      </c>
      <c r="Y76" s="39">
        <f t="shared" ref="Y76:Y85" si="137">4*$V$4/(3.6*PI()*H76*$F$8)</f>
        <v>58838.979751967549</v>
      </c>
      <c r="Z76" s="39">
        <f t="shared" si="131"/>
        <v>2.8472841258889204E-2</v>
      </c>
      <c r="AA76" s="39">
        <f t="shared" ref="AA76:AA85" si="138">4*$V$4/(3.6*PI()*H76*$F$8)</f>
        <v>58838.979751967549</v>
      </c>
      <c r="AB76" s="39">
        <f t="shared" si="132"/>
        <v>2.8472841258889204E-2</v>
      </c>
      <c r="AC76" s="39">
        <f t="shared" si="125"/>
        <v>0</v>
      </c>
      <c r="AD76" s="38">
        <f t="shared" ref="AD76:AD85" si="139">Z76*(((U76)/H76)*(4*$V$4*1000/(3.6*PI()*H76^2))^2)/(2*9.81)</f>
        <v>2.1992701089186428E-4</v>
      </c>
      <c r="AE76" s="38">
        <f t="shared" si="126"/>
        <v>0</v>
      </c>
      <c r="AF76" s="38">
        <f t="shared" si="127"/>
        <v>0</v>
      </c>
      <c r="AG76" s="38">
        <f t="shared" ca="1" si="133"/>
        <v>0</v>
      </c>
      <c r="AH76" s="38">
        <f t="shared" si="128"/>
        <v>2.1992701089186428E-4</v>
      </c>
      <c r="AI76" s="38">
        <f t="shared" si="134"/>
        <v>0.15719006725125464</v>
      </c>
      <c r="AJ76" t="s">
        <v>329</v>
      </c>
    </row>
    <row r="77" spans="1:36" x14ac:dyDescent="0.3">
      <c r="A77" s="16">
        <v>200</v>
      </c>
      <c r="B77" s="88">
        <v>4</v>
      </c>
      <c r="C77" s="92">
        <v>6117213</v>
      </c>
      <c r="D77" s="12" t="s">
        <v>123</v>
      </c>
      <c r="E77" s="85" t="str">
        <f>VLOOKUP(C77,Sheet2!B:F,5,FALSE)</f>
        <v>Фланцевая</v>
      </c>
      <c r="F77" s="47" t="s">
        <v>149</v>
      </c>
      <c r="G77" s="47">
        <f t="shared" si="129"/>
        <v>200</v>
      </c>
      <c r="H77" s="12">
        <v>80</v>
      </c>
      <c r="I77" s="12"/>
      <c r="J77" s="12"/>
      <c r="K77" s="74">
        <f t="shared" ref="K77:K85" si="140">L77*0.1</f>
        <v>9</v>
      </c>
      <c r="L77" s="74">
        <v>90</v>
      </c>
      <c r="M77" s="12">
        <v>64.551288629155266</v>
      </c>
      <c r="N77" s="12">
        <v>64.551288629155266</v>
      </c>
      <c r="O77" s="43">
        <v>80</v>
      </c>
      <c r="P77" s="43">
        <f t="shared" ref="P77:P85" si="141">IF(M77=0,0,(G77-O77)/(2*TAN(RADIANS(M77)/2))+10)</f>
        <v>105</v>
      </c>
      <c r="Q77" s="43">
        <f t="shared" si="62"/>
        <v>160</v>
      </c>
      <c r="R77" s="43">
        <f t="shared" ref="R77:R85" si="142">2*O77</f>
        <v>160</v>
      </c>
      <c r="S77" s="43">
        <f t="shared" ref="S77:S85" si="143">IF(N77=0,0,(G77-O77)/(2*TAN(RADIANS(N77)/2))+10)</f>
        <v>105</v>
      </c>
      <c r="T77" s="33">
        <v>520</v>
      </c>
      <c r="U77" s="33">
        <f t="shared" si="135"/>
        <v>840</v>
      </c>
      <c r="V77" s="39">
        <f t="shared" si="136"/>
        <v>110323.08703493915</v>
      </c>
      <c r="W77" s="39">
        <f t="shared" si="130"/>
        <v>3.1664636617036022E-2</v>
      </c>
      <c r="X77" s="39">
        <f t="shared" si="124"/>
        <v>0.12904395807498387</v>
      </c>
      <c r="Y77" s="39">
        <f t="shared" si="137"/>
        <v>110323.08703493915</v>
      </c>
      <c r="Z77" s="39">
        <f t="shared" si="131"/>
        <v>3.1664636617036022E-2</v>
      </c>
      <c r="AA77" s="39">
        <f t="shared" si="138"/>
        <v>110323.08703493915</v>
      </c>
      <c r="AB77" s="39">
        <f t="shared" si="132"/>
        <v>3.1664636617036022E-2</v>
      </c>
      <c r="AC77" s="39">
        <f t="shared" si="125"/>
        <v>0.7128224782013155</v>
      </c>
      <c r="AD77" s="38">
        <f t="shared" si="139"/>
        <v>5.1751160392680736E-3</v>
      </c>
      <c r="AE77" s="38">
        <f t="shared" si="126"/>
        <v>2.0086023206306058E-3</v>
      </c>
      <c r="AF77" s="38">
        <f t="shared" si="127"/>
        <v>1.109526478628977E-2</v>
      </c>
      <c r="AG77" s="38">
        <f t="shared" ca="1" si="133"/>
        <v>7.9321239395176504E-3</v>
      </c>
      <c r="AH77" s="38">
        <f t="shared" si="128"/>
        <v>1.8278983146188449E-2</v>
      </c>
      <c r="AI77" s="38">
        <f t="shared" si="134"/>
        <v>0.55262133018019211</v>
      </c>
      <c r="AJ77" t="s">
        <v>329</v>
      </c>
    </row>
    <row r="78" spans="1:36" x14ac:dyDescent="0.3">
      <c r="A78" s="13"/>
      <c r="B78" s="24"/>
      <c r="C78" s="92">
        <v>6120347</v>
      </c>
      <c r="D78" s="12" t="s">
        <v>126</v>
      </c>
      <c r="E78" s="85" t="str">
        <f>VLOOKUP(C78,Sheet2!B:F,5,FALSE)</f>
        <v>Фланцевая</v>
      </c>
      <c r="F78" s="47" t="s">
        <v>134</v>
      </c>
      <c r="G78" s="47">
        <f t="shared" si="129"/>
        <v>200</v>
      </c>
      <c r="H78" s="12">
        <v>100</v>
      </c>
      <c r="I78" s="12"/>
      <c r="J78" s="12"/>
      <c r="K78" s="74">
        <f t="shared" si="140"/>
        <v>14</v>
      </c>
      <c r="L78" s="74">
        <v>140</v>
      </c>
      <c r="M78" s="12">
        <v>55.517081202120053</v>
      </c>
      <c r="N78" s="12">
        <v>55.517081202120053</v>
      </c>
      <c r="O78" s="43">
        <v>100</v>
      </c>
      <c r="P78" s="43">
        <f t="shared" si="141"/>
        <v>104.99999999999999</v>
      </c>
      <c r="Q78" s="43">
        <f t="shared" si="62"/>
        <v>200</v>
      </c>
      <c r="R78" s="43">
        <f t="shared" si="142"/>
        <v>200</v>
      </c>
      <c r="S78" s="43">
        <f t="shared" si="143"/>
        <v>104.99999999999999</v>
      </c>
      <c r="T78" s="33">
        <v>650</v>
      </c>
      <c r="U78" s="33">
        <f t="shared" si="135"/>
        <v>1050</v>
      </c>
      <c r="V78" s="39">
        <f t="shared" si="136"/>
        <v>88258.469627951315</v>
      </c>
      <c r="W78" s="39">
        <f t="shared" si="130"/>
        <v>3.0317638817869717E-2</v>
      </c>
      <c r="X78" s="39">
        <f t="shared" si="124"/>
        <v>0.10288208012101636</v>
      </c>
      <c r="Y78" s="39">
        <f t="shared" si="137"/>
        <v>88258.469627951315</v>
      </c>
      <c r="Z78" s="39">
        <f t="shared" si="131"/>
        <v>3.0317638817869717E-2</v>
      </c>
      <c r="AA78" s="39">
        <f t="shared" si="138"/>
        <v>88258.469627951315</v>
      </c>
      <c r="AB78" s="39">
        <f t="shared" si="132"/>
        <v>3.0317638817869717E-2</v>
      </c>
      <c r="AC78" s="39">
        <f t="shared" si="125"/>
        <v>0.57012828880376187</v>
      </c>
      <c r="AD78" s="38">
        <f t="shared" si="139"/>
        <v>2.0295553811182959E-3</v>
      </c>
      <c r="AE78" s="38">
        <f t="shared" si="126"/>
        <v>6.5592769619355457E-4</v>
      </c>
      <c r="AF78" s="38">
        <f t="shared" si="127"/>
        <v>3.6348694988470914E-3</v>
      </c>
      <c r="AG78" s="38">
        <f t="shared" ca="1" si="133"/>
        <v>3.1323325600219913E-3</v>
      </c>
      <c r="AH78" s="38">
        <f t="shared" si="128"/>
        <v>6.3203525761589413E-3</v>
      </c>
      <c r="AI78" s="38">
        <f t="shared" si="134"/>
        <v>0.35367765131532297</v>
      </c>
      <c r="AJ78" t="s">
        <v>329</v>
      </c>
    </row>
    <row r="79" spans="1:36" x14ac:dyDescent="0.3">
      <c r="A79" s="26"/>
      <c r="B79" s="25"/>
      <c r="C79" s="92">
        <v>6121260</v>
      </c>
      <c r="D79" s="12" t="s">
        <v>127</v>
      </c>
      <c r="E79" s="85" t="str">
        <f>VLOOKUP(C79,Sheet2!B:F,5,FALSE)</f>
        <v>Фланцевая</v>
      </c>
      <c r="F79" s="47" t="s">
        <v>134</v>
      </c>
      <c r="G79" s="47">
        <f t="shared" si="129"/>
        <v>200</v>
      </c>
      <c r="H79" s="12">
        <v>100</v>
      </c>
      <c r="I79" s="12"/>
      <c r="J79" s="12"/>
      <c r="K79" s="74">
        <f t="shared" si="140"/>
        <v>28</v>
      </c>
      <c r="L79" s="74">
        <v>280</v>
      </c>
      <c r="M79" s="12">
        <v>55.517081202120053</v>
      </c>
      <c r="N79" s="12">
        <v>55.517081202120053</v>
      </c>
      <c r="O79" s="43">
        <v>100</v>
      </c>
      <c r="P79" s="43">
        <f t="shared" si="141"/>
        <v>104.99999999999999</v>
      </c>
      <c r="Q79" s="43">
        <f t="shared" si="62"/>
        <v>200</v>
      </c>
      <c r="R79" s="43">
        <f t="shared" si="142"/>
        <v>200</v>
      </c>
      <c r="S79" s="43">
        <f t="shared" si="143"/>
        <v>104.99999999999999</v>
      </c>
      <c r="T79" s="33">
        <v>650</v>
      </c>
      <c r="U79" s="33">
        <f t="shared" si="135"/>
        <v>1050</v>
      </c>
      <c r="V79" s="39">
        <f t="shared" si="136"/>
        <v>88258.469627951315</v>
      </c>
      <c r="W79" s="39">
        <f t="shared" si="130"/>
        <v>3.0317638817869717E-2</v>
      </c>
      <c r="X79" s="39">
        <f t="shared" si="124"/>
        <v>0.10288208012101636</v>
      </c>
      <c r="Y79" s="39">
        <f t="shared" si="137"/>
        <v>88258.469627951315</v>
      </c>
      <c r="Z79" s="39">
        <f t="shared" si="131"/>
        <v>3.0317638817869717E-2</v>
      </c>
      <c r="AA79" s="39">
        <f t="shared" si="138"/>
        <v>88258.469627951315</v>
      </c>
      <c r="AB79" s="39">
        <f t="shared" si="132"/>
        <v>3.0317638817869717E-2</v>
      </c>
      <c r="AC79" s="39">
        <f t="shared" si="125"/>
        <v>0.57012828880376187</v>
      </c>
      <c r="AD79" s="38">
        <f t="shared" si="139"/>
        <v>2.0295553811182959E-3</v>
      </c>
      <c r="AE79" s="38">
        <f t="shared" si="126"/>
        <v>6.5592769619355457E-4</v>
      </c>
      <c r="AF79" s="38">
        <f t="shared" si="127"/>
        <v>3.6348694988470914E-3</v>
      </c>
      <c r="AG79" s="38">
        <f t="shared" ca="1" si="133"/>
        <v>0</v>
      </c>
      <c r="AH79" s="38">
        <f t="shared" si="128"/>
        <v>6.3203525761589413E-3</v>
      </c>
      <c r="AI79" s="38">
        <f t="shared" si="134"/>
        <v>0.35367765131532297</v>
      </c>
      <c r="AJ79" t="s">
        <v>329</v>
      </c>
    </row>
    <row r="80" spans="1:36" x14ac:dyDescent="0.3">
      <c r="A80" s="20"/>
      <c r="B80" s="90"/>
      <c r="C80" s="92">
        <v>6106404</v>
      </c>
      <c r="D80" s="12" t="s">
        <v>132</v>
      </c>
      <c r="E80" s="85" t="str">
        <f>VLOOKUP(C80,Sheet2!B:F,5,FALSE)</f>
        <v>Фланцевая</v>
      </c>
      <c r="F80" s="47" t="s">
        <v>135</v>
      </c>
      <c r="G80" s="47">
        <f t="shared" si="129"/>
        <v>200</v>
      </c>
      <c r="H80" s="12">
        <v>150</v>
      </c>
      <c r="I80" s="12"/>
      <c r="J80" s="12"/>
      <c r="K80" s="74">
        <f t="shared" si="140"/>
        <v>63</v>
      </c>
      <c r="L80" s="74">
        <v>630</v>
      </c>
      <c r="M80" s="12">
        <v>20.249343310795634</v>
      </c>
      <c r="N80" s="12">
        <v>20.249343310795634</v>
      </c>
      <c r="O80" s="43">
        <v>150</v>
      </c>
      <c r="P80" s="43">
        <f t="shared" si="141"/>
        <v>150</v>
      </c>
      <c r="Q80" s="43">
        <f t="shared" si="62"/>
        <v>300</v>
      </c>
      <c r="R80" s="43">
        <f t="shared" si="142"/>
        <v>300</v>
      </c>
      <c r="S80" s="43">
        <f t="shared" si="143"/>
        <v>150</v>
      </c>
      <c r="T80" s="33">
        <v>920</v>
      </c>
      <c r="U80" s="33">
        <f t="shared" si="135"/>
        <v>1520</v>
      </c>
      <c r="V80" s="39">
        <f t="shared" si="136"/>
        <v>58838.979751967549</v>
      </c>
      <c r="W80" s="39">
        <f t="shared" si="130"/>
        <v>2.8472841258889204E-2</v>
      </c>
      <c r="X80" s="39">
        <f t="shared" si="124"/>
        <v>3.3093293820690067E-2</v>
      </c>
      <c r="Y80" s="39">
        <f t="shared" si="137"/>
        <v>58838.979751967549</v>
      </c>
      <c r="Z80" s="39">
        <f t="shared" si="131"/>
        <v>2.8472841258889204E-2</v>
      </c>
      <c r="AA80" s="39">
        <f t="shared" si="138"/>
        <v>58838.979751967549</v>
      </c>
      <c r="AB80" s="39">
        <f t="shared" si="132"/>
        <v>2.8472841258889204E-2</v>
      </c>
      <c r="AC80" s="39">
        <f t="shared" si="125"/>
        <v>8.4940464078866476E-2</v>
      </c>
      <c r="AD80" s="38">
        <f t="shared" si="139"/>
        <v>3.6335767016916693E-4</v>
      </c>
      <c r="AE80" s="38">
        <f t="shared" si="126"/>
        <v>4.1676495394336371E-5</v>
      </c>
      <c r="AF80" s="38">
        <f t="shared" si="127"/>
        <v>1.0697094339284042E-4</v>
      </c>
      <c r="AG80" s="38">
        <f t="shared" ca="1" si="133"/>
        <v>0</v>
      </c>
      <c r="AH80" s="38">
        <f t="shared" si="128"/>
        <v>5.1200510895634379E-4</v>
      </c>
      <c r="AI80" s="38">
        <f t="shared" si="134"/>
        <v>0.15719006725125464</v>
      </c>
      <c r="AJ80" t="s">
        <v>329</v>
      </c>
    </row>
    <row r="81" spans="1:36" x14ac:dyDescent="0.3">
      <c r="A81" s="16">
        <v>250</v>
      </c>
      <c r="B81" s="88">
        <v>3</v>
      </c>
      <c r="C81" s="92">
        <v>6120347</v>
      </c>
      <c r="D81" s="12" t="s">
        <v>126</v>
      </c>
      <c r="E81" s="85" t="str">
        <f>VLOOKUP(C81,Sheet2!B:F,5,FALSE)</f>
        <v>Фланцевая</v>
      </c>
      <c r="F81" s="72" t="s">
        <v>136</v>
      </c>
      <c r="G81" s="47">
        <f t="shared" si="129"/>
        <v>250</v>
      </c>
      <c r="H81" s="27">
        <v>100</v>
      </c>
      <c r="I81" s="27"/>
      <c r="J81" s="27"/>
      <c r="K81" s="78">
        <f t="shared" si="140"/>
        <v>14</v>
      </c>
      <c r="L81" s="78">
        <v>140</v>
      </c>
      <c r="M81" s="27">
        <v>56.357180219918348</v>
      </c>
      <c r="N81" s="27">
        <v>56.357180219918348</v>
      </c>
      <c r="O81" s="43">
        <v>100</v>
      </c>
      <c r="P81" s="43">
        <f t="shared" si="141"/>
        <v>150</v>
      </c>
      <c r="Q81" s="43">
        <f t="shared" si="62"/>
        <v>200</v>
      </c>
      <c r="R81" s="43">
        <f t="shared" si="142"/>
        <v>200</v>
      </c>
      <c r="S81" s="43">
        <f t="shared" si="143"/>
        <v>150</v>
      </c>
      <c r="T81" s="35">
        <v>650</v>
      </c>
      <c r="U81" s="33">
        <f t="shared" si="135"/>
        <v>1050</v>
      </c>
      <c r="V81" s="39">
        <f t="shared" si="136"/>
        <v>88258.469627951315</v>
      </c>
      <c r="W81" s="39">
        <f t="shared" si="130"/>
        <v>3.0317638817869717E-2</v>
      </c>
      <c r="X81" s="39">
        <f t="shared" si="124"/>
        <v>0.11016265039617268</v>
      </c>
      <c r="Y81" s="39">
        <f t="shared" si="137"/>
        <v>88258.469627951315</v>
      </c>
      <c r="Z81" s="39">
        <f t="shared" si="131"/>
        <v>3.0317638817869717E-2</v>
      </c>
      <c r="AA81" s="39">
        <f t="shared" si="138"/>
        <v>88258.469627951315</v>
      </c>
      <c r="AB81" s="39">
        <f t="shared" si="132"/>
        <v>3.0317638817869717E-2</v>
      </c>
      <c r="AC81" s="39">
        <f t="shared" si="125"/>
        <v>0.71341982415483096</v>
      </c>
      <c r="AD81" s="38">
        <f t="shared" si="139"/>
        <v>2.0295553811182959E-3</v>
      </c>
      <c r="AE81" s="38">
        <f t="shared" si="126"/>
        <v>7.0234518388374596E-4</v>
      </c>
      <c r="AF81" s="38">
        <f t="shared" si="127"/>
        <v>4.5484288529766773E-3</v>
      </c>
      <c r="AG81" s="38">
        <f t="shared" ca="1" si="133"/>
        <v>3.1323325600219913E-3</v>
      </c>
      <c r="AH81" s="38">
        <f t="shared" si="128"/>
        <v>7.2803294179787197E-3</v>
      </c>
      <c r="AI81" s="38">
        <f t="shared" si="134"/>
        <v>0.35367765131532297</v>
      </c>
      <c r="AJ81" t="s">
        <v>329</v>
      </c>
    </row>
    <row r="82" spans="1:36" x14ac:dyDescent="0.3">
      <c r="A82" s="13"/>
      <c r="B82" s="25"/>
      <c r="C82" s="92">
        <v>6121260</v>
      </c>
      <c r="D82" s="12" t="s">
        <v>127</v>
      </c>
      <c r="E82" s="85" t="str">
        <f>VLOOKUP(C82,Sheet2!B:F,5,FALSE)</f>
        <v>Фланцевая</v>
      </c>
      <c r="F82" s="72" t="s">
        <v>136</v>
      </c>
      <c r="G82" s="47">
        <f t="shared" si="129"/>
        <v>250</v>
      </c>
      <c r="H82" s="27">
        <v>100</v>
      </c>
      <c r="I82" s="27"/>
      <c r="J82" s="27"/>
      <c r="K82" s="78">
        <f t="shared" si="140"/>
        <v>28</v>
      </c>
      <c r="L82" s="78">
        <v>280</v>
      </c>
      <c r="M82" s="27">
        <v>56.357180219918348</v>
      </c>
      <c r="N82" s="27">
        <v>56.357180219918348</v>
      </c>
      <c r="O82" s="43">
        <v>100</v>
      </c>
      <c r="P82" s="43">
        <f t="shared" si="141"/>
        <v>150</v>
      </c>
      <c r="Q82" s="43">
        <f t="shared" si="62"/>
        <v>200</v>
      </c>
      <c r="R82" s="43">
        <f t="shared" si="142"/>
        <v>200</v>
      </c>
      <c r="S82" s="43">
        <f t="shared" si="143"/>
        <v>150</v>
      </c>
      <c r="T82" s="35">
        <v>650</v>
      </c>
      <c r="U82" s="33">
        <f t="shared" si="135"/>
        <v>1050</v>
      </c>
      <c r="V82" s="39">
        <f t="shared" si="136"/>
        <v>88258.469627951315</v>
      </c>
      <c r="W82" s="39">
        <f t="shared" si="130"/>
        <v>3.0317638817869717E-2</v>
      </c>
      <c r="X82" s="39">
        <f t="shared" si="124"/>
        <v>0.11016265039617268</v>
      </c>
      <c r="Y82" s="39">
        <f t="shared" si="137"/>
        <v>88258.469627951315</v>
      </c>
      <c r="Z82" s="39">
        <f t="shared" si="131"/>
        <v>3.0317638817869717E-2</v>
      </c>
      <c r="AA82" s="39">
        <f t="shared" si="138"/>
        <v>88258.469627951315</v>
      </c>
      <c r="AB82" s="39">
        <f t="shared" si="132"/>
        <v>3.0317638817869717E-2</v>
      </c>
      <c r="AC82" s="39">
        <f t="shared" si="125"/>
        <v>0.71341982415483096</v>
      </c>
      <c r="AD82" s="38">
        <f t="shared" si="139"/>
        <v>2.0295553811182959E-3</v>
      </c>
      <c r="AE82" s="38">
        <f t="shared" si="126"/>
        <v>7.0234518388374596E-4</v>
      </c>
      <c r="AF82" s="38">
        <f t="shared" si="127"/>
        <v>4.5484288529766773E-3</v>
      </c>
      <c r="AG82" s="38">
        <f t="shared" ca="1" si="133"/>
        <v>0</v>
      </c>
      <c r="AH82" s="38">
        <f t="shared" si="128"/>
        <v>7.2803294179787197E-3</v>
      </c>
      <c r="AI82" s="38">
        <f t="shared" si="134"/>
        <v>0.35367765131532297</v>
      </c>
      <c r="AJ82" t="s">
        <v>329</v>
      </c>
    </row>
    <row r="83" spans="1:36" x14ac:dyDescent="0.3">
      <c r="A83" s="13"/>
      <c r="B83" s="25"/>
      <c r="C83" s="92">
        <v>6106404</v>
      </c>
      <c r="D83" s="12" t="s">
        <v>132</v>
      </c>
      <c r="E83" s="85" t="str">
        <f>VLOOKUP(C83,Sheet2!B:F,5,FALSE)</f>
        <v>Фланцевая</v>
      </c>
      <c r="F83" s="72" t="s">
        <v>137</v>
      </c>
      <c r="G83" s="47">
        <f t="shared" si="129"/>
        <v>250</v>
      </c>
      <c r="H83" s="27">
        <v>150</v>
      </c>
      <c r="I83" s="27"/>
      <c r="J83" s="27"/>
      <c r="K83" s="78">
        <f t="shared" si="140"/>
        <v>63</v>
      </c>
      <c r="L83" s="78">
        <v>630</v>
      </c>
      <c r="M83" s="27">
        <v>31.048221993508513</v>
      </c>
      <c r="N83" s="27">
        <v>31.048221993508513</v>
      </c>
      <c r="O83" s="43">
        <v>150</v>
      </c>
      <c r="P83" s="43">
        <f t="shared" si="141"/>
        <v>190</v>
      </c>
      <c r="Q83" s="43">
        <f t="shared" si="62"/>
        <v>300</v>
      </c>
      <c r="R83" s="43">
        <f t="shared" si="142"/>
        <v>300</v>
      </c>
      <c r="S83" s="43">
        <f t="shared" si="143"/>
        <v>190</v>
      </c>
      <c r="T83" s="35">
        <v>920</v>
      </c>
      <c r="U83" s="33">
        <f t="shared" si="135"/>
        <v>1520</v>
      </c>
      <c r="V83" s="39">
        <f t="shared" si="136"/>
        <v>58838.979751967549</v>
      </c>
      <c r="W83" s="39">
        <f t="shared" si="130"/>
        <v>2.8472841258889204E-2</v>
      </c>
      <c r="X83" s="39">
        <f t="shared" si="124"/>
        <v>5.3863351989481861E-2</v>
      </c>
      <c r="Y83" s="39">
        <f t="shared" si="137"/>
        <v>58838.979751967549</v>
      </c>
      <c r="Z83" s="39">
        <f t="shared" si="131"/>
        <v>2.8472841258889204E-2</v>
      </c>
      <c r="AA83" s="39">
        <f t="shared" si="138"/>
        <v>58838.979751967549</v>
      </c>
      <c r="AB83" s="39">
        <f t="shared" si="132"/>
        <v>2.8472841258889204E-2</v>
      </c>
      <c r="AC83" s="39">
        <f t="shared" si="125"/>
        <v>0.27589558469833164</v>
      </c>
      <c r="AD83" s="38">
        <f t="shared" si="139"/>
        <v>3.6335767016916693E-4</v>
      </c>
      <c r="AE83" s="38">
        <f t="shared" si="126"/>
        <v>6.7833554232358669E-5</v>
      </c>
      <c r="AF83" s="38">
        <f t="shared" si="127"/>
        <v>3.4745290472745072E-4</v>
      </c>
      <c r="AG83" s="38">
        <f t="shared" ca="1" si="133"/>
        <v>0</v>
      </c>
      <c r="AH83" s="38">
        <f t="shared" si="128"/>
        <v>7.7864412912897639E-4</v>
      </c>
      <c r="AI83" s="38">
        <f t="shared" si="134"/>
        <v>0.15719006725125464</v>
      </c>
      <c r="AJ83" t="s">
        <v>329</v>
      </c>
    </row>
    <row r="84" spans="1:36" x14ac:dyDescent="0.3">
      <c r="A84" s="16">
        <v>300</v>
      </c>
      <c r="B84" s="88">
        <v>1</v>
      </c>
      <c r="C84" s="92">
        <v>6106404</v>
      </c>
      <c r="D84" s="12" t="s">
        <v>132</v>
      </c>
      <c r="E84" s="85" t="str">
        <f>VLOOKUP(C84,Sheet2!B:F,5,FALSE)</f>
        <v>Фланцевая</v>
      </c>
      <c r="F84" s="11" t="s">
        <v>138</v>
      </c>
      <c r="G84" s="47">
        <f t="shared" si="129"/>
        <v>300</v>
      </c>
      <c r="H84" s="12">
        <v>150</v>
      </c>
      <c r="I84" s="12"/>
      <c r="J84" s="12"/>
      <c r="K84" s="74">
        <f t="shared" si="140"/>
        <v>63</v>
      </c>
      <c r="L84" s="74">
        <v>630</v>
      </c>
      <c r="M84" s="12">
        <v>56.357180219918348</v>
      </c>
      <c r="N84" s="12">
        <v>56.357180219918348</v>
      </c>
      <c r="O84" s="43">
        <v>150</v>
      </c>
      <c r="P84" s="43">
        <f t="shared" si="141"/>
        <v>150</v>
      </c>
      <c r="Q84" s="43">
        <f t="shared" si="62"/>
        <v>300</v>
      </c>
      <c r="R84" s="43">
        <f t="shared" si="142"/>
        <v>300</v>
      </c>
      <c r="S84" s="43">
        <f t="shared" si="143"/>
        <v>150</v>
      </c>
      <c r="T84" s="33">
        <v>920</v>
      </c>
      <c r="U84" s="33">
        <f t="shared" si="135"/>
        <v>1520</v>
      </c>
      <c r="V84" s="39">
        <f t="shared" si="136"/>
        <v>58838.979751967549</v>
      </c>
      <c r="W84" s="39">
        <f t="shared" si="130"/>
        <v>2.8472841258889204E-2</v>
      </c>
      <c r="X84" s="39">
        <f t="shared" si="124"/>
        <v>0.10416635303093706</v>
      </c>
      <c r="Y84" s="39">
        <f t="shared" si="137"/>
        <v>58838.979751967549</v>
      </c>
      <c r="Z84" s="39">
        <f t="shared" si="131"/>
        <v>2.8472841258889204E-2</v>
      </c>
      <c r="AA84" s="39">
        <f t="shared" si="138"/>
        <v>58838.979751967549</v>
      </c>
      <c r="AB84" s="39">
        <f t="shared" si="132"/>
        <v>2.8472841258889204E-2</v>
      </c>
      <c r="AC84" s="39">
        <f t="shared" si="125"/>
        <v>0.56956588264867625</v>
      </c>
      <c r="AD84" s="38">
        <f t="shared" si="139"/>
        <v>3.6335767016916693E-4</v>
      </c>
      <c r="AE84" s="38">
        <f t="shared" si="126"/>
        <v>1.3118333145866772E-4</v>
      </c>
      <c r="AF84" s="38">
        <f t="shared" si="127"/>
        <v>7.1729063941462052E-4</v>
      </c>
      <c r="AG84" s="38">
        <f t="shared" ca="1" si="133"/>
        <v>0</v>
      </c>
      <c r="AH84" s="38">
        <f t="shared" si="128"/>
        <v>1.2118316410424552E-3</v>
      </c>
      <c r="AI84" s="38">
        <f t="shared" si="134"/>
        <v>0.15719006725125464</v>
      </c>
      <c r="AJ84" t="s">
        <v>329</v>
      </c>
    </row>
    <row r="85" spans="1:36" ht="16.5" thickBot="1" x14ac:dyDescent="0.35">
      <c r="A85" s="28">
        <v>350</v>
      </c>
      <c r="B85" s="91">
        <v>1</v>
      </c>
      <c r="C85" s="92">
        <v>6106404</v>
      </c>
      <c r="D85" s="29" t="s">
        <v>132</v>
      </c>
      <c r="E85" s="85" t="str">
        <f>VLOOKUP(C85,Sheet2!B:F,5,FALSE)</f>
        <v>Фланцевая</v>
      </c>
      <c r="F85" s="30" t="s">
        <v>139</v>
      </c>
      <c r="G85" s="48">
        <f t="shared" si="129"/>
        <v>350</v>
      </c>
      <c r="H85" s="31">
        <v>150</v>
      </c>
      <c r="I85" s="31"/>
      <c r="J85" s="31"/>
      <c r="K85" s="79">
        <f t="shared" si="140"/>
        <v>63</v>
      </c>
      <c r="L85" s="79">
        <v>630</v>
      </c>
      <c r="M85" s="31">
        <v>48.887909560833073</v>
      </c>
      <c r="N85" s="31">
        <v>48.887909560833073</v>
      </c>
      <c r="O85" s="45">
        <v>150</v>
      </c>
      <c r="P85" s="31">
        <f t="shared" si="141"/>
        <v>230</v>
      </c>
      <c r="Q85" s="31">
        <f t="shared" si="62"/>
        <v>300</v>
      </c>
      <c r="R85" s="31">
        <f t="shared" si="142"/>
        <v>300</v>
      </c>
      <c r="S85" s="31">
        <f t="shared" si="143"/>
        <v>230</v>
      </c>
      <c r="T85" s="36">
        <v>920</v>
      </c>
      <c r="U85" s="36">
        <f>T85+Q85+R85</f>
        <v>1520</v>
      </c>
      <c r="V85" s="39">
        <f t="shared" si="136"/>
        <v>58838.979751967549</v>
      </c>
      <c r="W85" s="39">
        <f t="shared" si="130"/>
        <v>2.8472841258889204E-2</v>
      </c>
      <c r="X85" s="39">
        <f t="shared" si="124"/>
        <v>9.2617449140968144E-2</v>
      </c>
      <c r="Y85" s="39">
        <f t="shared" si="137"/>
        <v>58838.979751967549</v>
      </c>
      <c r="Z85" s="39">
        <f t="shared" si="131"/>
        <v>2.8472841258889204E-2</v>
      </c>
      <c r="AA85" s="39">
        <f t="shared" si="138"/>
        <v>58838.979751967549</v>
      </c>
      <c r="AB85" s="39">
        <f t="shared" si="132"/>
        <v>2.8472841258889204E-2</v>
      </c>
      <c r="AC85" s="39">
        <f t="shared" si="125"/>
        <v>0.674699809119509</v>
      </c>
      <c r="AD85" s="38">
        <f t="shared" si="139"/>
        <v>3.6335767016916693E-4</v>
      </c>
      <c r="AE85" s="38">
        <f t="shared" si="126"/>
        <v>1.1663906027224984E-4</v>
      </c>
      <c r="AF85" s="38">
        <f t="shared" si="127"/>
        <v>8.4969249781200839E-4</v>
      </c>
      <c r="AG85" s="38">
        <f t="shared" ca="1" si="133"/>
        <v>0</v>
      </c>
      <c r="AH85" s="38">
        <f t="shared" si="128"/>
        <v>1.3296892282534251E-3</v>
      </c>
      <c r="AI85" s="38">
        <f t="shared" si="134"/>
        <v>0.15719006725125464</v>
      </c>
      <c r="AJ85" t="s">
        <v>329</v>
      </c>
    </row>
    <row r="86" spans="1:36" ht="23.25" thickBot="1" x14ac:dyDescent="0.35">
      <c r="F86" s="40" t="s">
        <v>222</v>
      </c>
    </row>
    <row r="87" spans="1:36" ht="77.25" thickBot="1" x14ac:dyDescent="0.35">
      <c r="A87" s="2" t="s">
        <v>84</v>
      </c>
      <c r="B87" s="3" t="s">
        <v>85</v>
      </c>
      <c r="C87" s="3" t="s">
        <v>226</v>
      </c>
      <c r="D87" s="61" t="s">
        <v>86</v>
      </c>
      <c r="E87" s="3" t="s">
        <v>243</v>
      </c>
      <c r="F87" s="3" t="s">
        <v>87</v>
      </c>
      <c r="G87" s="2" t="s">
        <v>84</v>
      </c>
      <c r="H87" s="3" t="s">
        <v>88</v>
      </c>
      <c r="I87" s="3" t="s">
        <v>224</v>
      </c>
      <c r="J87" s="3" t="s">
        <v>225</v>
      </c>
      <c r="K87" s="3" t="s">
        <v>80</v>
      </c>
      <c r="L87" s="3" t="s">
        <v>81</v>
      </c>
      <c r="M87" s="4" t="s">
        <v>169</v>
      </c>
      <c r="N87" s="4" t="s">
        <v>170</v>
      </c>
      <c r="O87" s="3" t="s">
        <v>164</v>
      </c>
      <c r="P87" s="3" t="s">
        <v>162</v>
      </c>
      <c r="Q87" s="3" t="s">
        <v>191</v>
      </c>
      <c r="R87" s="3" t="s">
        <v>192</v>
      </c>
      <c r="S87" s="3" t="s">
        <v>163</v>
      </c>
      <c r="T87" s="3" t="s">
        <v>190</v>
      </c>
      <c r="U87" s="3" t="s">
        <v>89</v>
      </c>
      <c r="V87" s="37" t="s">
        <v>172</v>
      </c>
      <c r="W87" s="37" t="s">
        <v>174</v>
      </c>
      <c r="X87" s="37" t="s">
        <v>168</v>
      </c>
      <c r="Y87" s="37" t="s">
        <v>165</v>
      </c>
      <c r="Z87" s="37" t="s">
        <v>176</v>
      </c>
      <c r="AA87" s="37" t="s">
        <v>173</v>
      </c>
      <c r="AB87" s="37" t="s">
        <v>175</v>
      </c>
      <c r="AC87" s="37" t="s">
        <v>177</v>
      </c>
      <c r="AD87" s="37" t="s">
        <v>150</v>
      </c>
      <c r="AE87" s="37" t="s">
        <v>151</v>
      </c>
      <c r="AF87" s="37" t="s">
        <v>152</v>
      </c>
      <c r="AG87" s="37"/>
      <c r="AH87" s="37" t="s">
        <v>153</v>
      </c>
      <c r="AI87" s="37" t="s">
        <v>178</v>
      </c>
      <c r="AJ87" s="120" t="s">
        <v>328</v>
      </c>
    </row>
    <row r="88" spans="1:36" ht="16.5" thickBot="1" x14ac:dyDescent="0.35">
      <c r="A88" s="5">
        <v>15</v>
      </c>
      <c r="B88" s="6">
        <v>2</v>
      </c>
      <c r="C88" s="24" t="s">
        <v>230</v>
      </c>
      <c r="D88" s="58" t="str">
        <f>VLOOKUP(C88,Sheet2!B:C,2,FALSE)</f>
        <v>SonoSensor 30 DN15, G3/4, 110 мм Qp 0,6</v>
      </c>
      <c r="E88" s="85" t="str">
        <f>VLOOKUP(C88,Sheet2!B:F,5,FALSE)</f>
        <v xml:space="preserve">резьбовое </v>
      </c>
      <c r="F88" s="62" t="str">
        <f>_xlfn.CONCAT(H88,"-",G88)</f>
        <v>15-15</v>
      </c>
      <c r="G88" s="8">
        <f t="shared" ref="G88:G150" si="144">IF(A88="",G87,A88)</f>
        <v>15</v>
      </c>
      <c r="H88" s="8">
        <f>VLOOKUP(C88,Sheet2!B:G,6,FALSE)</f>
        <v>15</v>
      </c>
      <c r="I88" s="15">
        <f>VLOOKUP(C88,Sheet2!B:O,14,FALSE)</f>
        <v>45.8</v>
      </c>
      <c r="J88" s="15">
        <f>VLOOKUP(C88,Sheet2!B:P,15,FALSE)</f>
        <v>252.99999999999997</v>
      </c>
      <c r="K88" s="74">
        <f>VLOOKUP(C88,Sheet2!B:D,3,FALSE)</f>
        <v>1.2E-2</v>
      </c>
      <c r="L88" s="74">
        <f>VLOOKUP(C88,Sheet2!B:E,4,FALSE)</f>
        <v>1.2</v>
      </c>
      <c r="M88" s="68">
        <f>DEGREES(2*ATAN((G88-H88)/(2*(P88-10))))</f>
        <v>0</v>
      </c>
      <c r="N88" s="68">
        <f>DEGREES(2*ATAN((G88-H88)/(2*(S88-10))))</f>
        <v>0</v>
      </c>
      <c r="O88" s="42">
        <f>H88</f>
        <v>15</v>
      </c>
      <c r="P88" s="69">
        <v>0</v>
      </c>
      <c r="Q88" s="69">
        <f>VLOOKUP(D88,Sheet2!$C$26:$L$38,7,FALSE)</f>
        <v>0</v>
      </c>
      <c r="R88" s="69">
        <f>VLOOKUP(D88,Sheet2!$C$26:$L$38,8,FALSE)</f>
        <v>0</v>
      </c>
      <c r="S88" s="42">
        <f>P88</f>
        <v>0</v>
      </c>
      <c r="T88" s="70">
        <f>VLOOKUP(D88,Sheet2!$C$26:$L$38,10,FALSE)</f>
        <v>110</v>
      </c>
      <c r="U88" s="70">
        <f>T88+Q88+R88</f>
        <v>110</v>
      </c>
      <c r="V88" s="39">
        <f>4*$V$4/(3.6*PI()*H88*$F$8)</f>
        <v>588389.79751967546</v>
      </c>
      <c r="W88" s="39">
        <f t="shared" ref="W88" si="145">0.11*((68/V88)+$V$5/H88)^0.25</f>
        <v>4.7042257503732421E-2</v>
      </c>
      <c r="X88" s="39">
        <f>(-0.0125*(H88/G88)^8+0.0224*(H88/G88)^6-0.00723*(H88/G88)^4+0.00444*(H88/G88)^2-0.00745)*((0.01745*M88)^3-2*PI()*(0.01745*M88)^2-10*0.01745*M88)+IF(M88=0,0,W88/(8*SIN(RADIANS(M88/2)))*(1-(H88/G88)^4))</f>
        <v>0</v>
      </c>
      <c r="Y88" s="39">
        <f>4*$V$4/(3.6*PI()*H88*$F$8)</f>
        <v>588389.79751967546</v>
      </c>
      <c r="Z88" s="39">
        <f t="shared" ref="Z88" si="146">0.11*((68/Y88)+$V$5/H88)^0.25</f>
        <v>4.7042257503732421E-2</v>
      </c>
      <c r="AA88" s="39">
        <f>4*$V$4/(3.6*PI()*H88*$F$8)</f>
        <v>588389.79751967546</v>
      </c>
      <c r="AB88" s="39">
        <f t="shared" ref="AB88" si="147">0.11*((68/AA88)+$V$5/H88)^0.25</f>
        <v>4.7042257503732421E-2</v>
      </c>
      <c r="AC88" s="39">
        <f>IF(N88&gt;40,1,(3.2*(TAN(RADIANS(N88/2)))^1.25))*((1-(H88/G88)^2)^2)+IF(N88=0,0,AB88/(8*SIN(RADIANS(N88/2)))*(1-(H88/G88)^4))</f>
        <v>0</v>
      </c>
      <c r="AD88" s="38">
        <f>Z88*(((U88)/H88)*(4*$V$4*1000/(3.6*PI()*H88^2))^2)/(2*9.81)</f>
        <v>4.3445097622054911</v>
      </c>
      <c r="AE88" s="38">
        <f>X88*((4*$V$4*1000/(3.6*PI()*H88^2))^2)/(2*9.81)</f>
        <v>0</v>
      </c>
      <c r="AF88" s="38">
        <f>AC88*((4*$V$4*1000/(3.6*PI()*H88^2))^2)/(2*9.81)</f>
        <v>0</v>
      </c>
      <c r="AG88" s="38"/>
      <c r="AH88" s="38">
        <f>SUM(AD88:AG88)</f>
        <v>4.3445097622054911</v>
      </c>
      <c r="AI88" s="38">
        <f t="shared" ref="AI88" si="148">(4*$V$4*1000/(3.6*PI()*H88^2))</f>
        <v>15.719006725125467</v>
      </c>
      <c r="AJ88" t="s">
        <v>330</v>
      </c>
    </row>
    <row r="89" spans="1:36" ht="16.5" thickBot="1" x14ac:dyDescent="0.35">
      <c r="A89" s="13"/>
      <c r="B89" s="14"/>
      <c r="C89" s="24" t="s">
        <v>231</v>
      </c>
      <c r="D89" s="58" t="str">
        <f>VLOOKUP(C89,Sheet2!B:C,2,FALSE)</f>
        <v>SonoSensor 30 DN15, G3/4, 110 мм Qp 1,5</v>
      </c>
      <c r="E89" s="85" t="str">
        <f>VLOOKUP(C89,Sheet2!B:F,5,FALSE)</f>
        <v xml:space="preserve">резьбовое </v>
      </c>
      <c r="F89" s="57" t="str">
        <f t="shared" ref="F89" si="149">_xlfn.CONCAT(H89,"-",G89)</f>
        <v>15-15</v>
      </c>
      <c r="G89" s="8">
        <f t="shared" si="144"/>
        <v>15</v>
      </c>
      <c r="H89" s="8">
        <f>VLOOKUP(C89,Sheet2!B:G,6,FALSE)</f>
        <v>15</v>
      </c>
      <c r="I89" s="15">
        <f>VLOOKUP(C89,Sheet2!B:O,14,FALSE)</f>
        <v>45.8</v>
      </c>
      <c r="J89" s="15">
        <f>VLOOKUP(C89,Sheet2!B:P,15,FALSE)</f>
        <v>252.99999999999997</v>
      </c>
      <c r="K89" s="74">
        <f>VLOOKUP(C89,Sheet2!B:D,3,FALSE)</f>
        <v>1.4999999999999999E-2</v>
      </c>
      <c r="L89" s="74">
        <f>VLOOKUP(C89,Sheet2!B:E,4,FALSE)</f>
        <v>3</v>
      </c>
      <c r="M89" s="12">
        <f>DEGREES(2*ATAN((G89-H89)/(2*(P89-10))))</f>
        <v>0</v>
      </c>
      <c r="N89" s="12">
        <f>DEGREES(2*ATAN((G89-H89)/(2*(S89-10))))</f>
        <v>0</v>
      </c>
      <c r="O89" s="67">
        <f>H89</f>
        <v>15</v>
      </c>
      <c r="P89" s="12">
        <v>0</v>
      </c>
      <c r="Q89" s="12">
        <f>VLOOKUP(D89,Sheet2!$C$26:$L$38,7,FALSE)</f>
        <v>0</v>
      </c>
      <c r="R89" s="12">
        <f>VLOOKUP(D89,Sheet2!$C$26:$L$38,8,FALSE)</f>
        <v>0</v>
      </c>
      <c r="S89" s="56">
        <f>P89</f>
        <v>0</v>
      </c>
      <c r="T89" s="71">
        <f>VLOOKUP(D89,Sheet2!$C$26:$L$38,10,FALSE)</f>
        <v>110</v>
      </c>
      <c r="U89" s="71">
        <f t="shared" ref="U89:U92" si="150">T89+Q89+R89</f>
        <v>110</v>
      </c>
      <c r="V89" s="39">
        <f t="shared" ref="V89:V92" si="151">4*$V$4/(3.6*PI()*H89*$F$8)</f>
        <v>588389.79751967546</v>
      </c>
      <c r="W89" s="39">
        <f t="shared" ref="W89:W92" si="152">0.11*((68/V89)+$V$5/H89)^0.25</f>
        <v>4.7042257503732421E-2</v>
      </c>
      <c r="X89" s="39">
        <f t="shared" ref="X89:X92" si="153">(-0.0125*(H89/G89)^8+0.0224*(H89/G89)^6-0.00723*(H89/G89)^4+0.00444*(H89/G89)^2-0.00745)*((0.01745*M89)^3-2*PI()*(0.01745*M89)^2-10*0.01745*M89)+IF(M89=0,0,W89/(8*SIN(RADIANS(M89/2)))*(1-(H89/G89)^4))</f>
        <v>0</v>
      </c>
      <c r="Y89" s="39">
        <f t="shared" ref="Y89:Y92" si="154">4*$V$4/(3.6*PI()*H89*$F$8)</f>
        <v>588389.79751967546</v>
      </c>
      <c r="Z89" s="39">
        <f t="shared" ref="Z89:Z92" si="155">0.11*((68/Y89)+$V$5/H89)^0.25</f>
        <v>4.7042257503732421E-2</v>
      </c>
      <c r="AA89" s="39">
        <f t="shared" ref="AA89:AA92" si="156">4*$V$4/(3.6*PI()*H89*$F$8)</f>
        <v>588389.79751967546</v>
      </c>
      <c r="AB89" s="39">
        <f t="shared" ref="AB89:AB92" si="157">0.11*((68/AA89)+$V$5/H89)^0.25</f>
        <v>4.7042257503732421E-2</v>
      </c>
      <c r="AC89" s="39">
        <f t="shared" ref="AC89:AC92" si="158">IF(N89&gt;40,1,(3.2*(TAN(RADIANS(N89/2)))^1.25))*((1-(H89/G89)^2)^2)+IF(N89=0,0,AB89/(8*SIN(RADIANS(N89/2)))*(1-(H89/G89)^4))</f>
        <v>0</v>
      </c>
      <c r="AD89" s="38">
        <f t="shared" ref="AD89:AD92" si="159">Z89*(((U89)/H89)*(4*$V$4*1000/(3.6*PI()*H89^2))^2)/(2*9.81)</f>
        <v>4.3445097622054911</v>
      </c>
      <c r="AE89" s="38">
        <f t="shared" ref="AE89:AE92" si="160">X89*((4*$V$4*1000/(3.6*PI()*H89^2))^2)/(2*9.81)</f>
        <v>0</v>
      </c>
      <c r="AF89" s="38">
        <f t="shared" ref="AF89:AF92" si="161">AC89*((4*$V$4*1000/(3.6*PI()*H89^2))^2)/(2*9.81)</f>
        <v>0</v>
      </c>
      <c r="AG89" s="38"/>
      <c r="AH89" s="38">
        <f t="shared" ref="AH89:AH92" si="162">SUM(AD89:AG89)</f>
        <v>4.3445097622054911</v>
      </c>
      <c r="AI89" s="38">
        <f t="shared" ref="AI89:AI92" si="163">(4*$V$4*1000/(3.6*PI()*H89^2))</f>
        <v>15.719006725125467</v>
      </c>
      <c r="AJ89" t="s">
        <v>330</v>
      </c>
    </row>
    <row r="90" spans="1:36" ht="16.5" thickBot="1" x14ac:dyDescent="0.35">
      <c r="A90" s="59">
        <v>20</v>
      </c>
      <c r="B90" s="17">
        <v>3</v>
      </c>
      <c r="C90" s="24" t="s">
        <v>230</v>
      </c>
      <c r="D90" s="58" t="str">
        <f>VLOOKUP(C90,Sheet2!B:C,2,FALSE)</f>
        <v>SonoSensor 30 DN15, G3/4, 110 мм Qp 0,6</v>
      </c>
      <c r="E90" s="85" t="str">
        <f>VLOOKUP(C90,Sheet2!B:F,5,FALSE)</f>
        <v xml:space="preserve">резьбовое </v>
      </c>
      <c r="F90" s="57" t="str">
        <f t="shared" ref="F90:F130" si="164">_xlfn.CONCAT(H90,"-",G90)</f>
        <v>15-20</v>
      </c>
      <c r="G90" s="8">
        <f t="shared" si="144"/>
        <v>20</v>
      </c>
      <c r="H90" s="8">
        <f>VLOOKUP(C90,Sheet2!B:G,6,FALSE)</f>
        <v>15</v>
      </c>
      <c r="I90" s="15">
        <f>VLOOKUP(C90,Sheet2!B:O,14,FALSE)</f>
        <v>45.8</v>
      </c>
      <c r="J90" s="15">
        <f>VLOOKUP(C90,Sheet2!B:P,15,FALSE)</f>
        <v>252.99999999999997</v>
      </c>
      <c r="K90" s="74">
        <f>VLOOKUP(C90,Sheet2!B:D,3,FALSE)</f>
        <v>1.2E-2</v>
      </c>
      <c r="L90" s="74">
        <f>VLOOKUP(C90,Sheet2!B:E,4,FALSE)</f>
        <v>1.2</v>
      </c>
      <c r="M90" s="12">
        <f t="shared" ref="M90:M130" si="165">DEGREES(2*ATAN((G90-H90)/(2*(P90-10))))</f>
        <v>5.6127405035764992</v>
      </c>
      <c r="N90" s="12">
        <f t="shared" ref="N90:N130" si="166">DEGREES(2*ATAN((G90-H90)/(2*(S90-10))))</f>
        <v>5.6127405035764992</v>
      </c>
      <c r="O90" s="56">
        <f t="shared" ref="O90:O130" si="167">H90</f>
        <v>15</v>
      </c>
      <c r="P90" s="74">
        <v>61</v>
      </c>
      <c r="Q90" s="74">
        <f>VLOOKUP(D90,Sheet2!$C$26:$L$38,7,FALSE)</f>
        <v>0</v>
      </c>
      <c r="R90" s="74">
        <f>VLOOKUP(D90,Sheet2!$C$26:$L$38,8,FALSE)</f>
        <v>0</v>
      </c>
      <c r="S90" s="73">
        <f t="shared" ref="S90:S130" si="168">P90</f>
        <v>61</v>
      </c>
      <c r="T90" s="71">
        <f>VLOOKUP(D90,Sheet2!$C$26:$L$38,10,FALSE)</f>
        <v>110</v>
      </c>
      <c r="U90" s="71">
        <f t="shared" si="150"/>
        <v>110</v>
      </c>
      <c r="V90" s="39">
        <f t="shared" si="151"/>
        <v>588389.79751967546</v>
      </c>
      <c r="W90" s="39">
        <f t="shared" si="152"/>
        <v>4.7042257503732421E-2</v>
      </c>
      <c r="X90" s="39">
        <f t="shared" si="153"/>
        <v>8.6780236272049033E-2</v>
      </c>
      <c r="Y90" s="39">
        <f t="shared" si="154"/>
        <v>588389.79751967546</v>
      </c>
      <c r="Z90" s="39">
        <f t="shared" si="155"/>
        <v>4.7042257503732421E-2</v>
      </c>
      <c r="AA90" s="39">
        <f t="shared" si="156"/>
        <v>588389.79751967546</v>
      </c>
      <c r="AB90" s="39">
        <f t="shared" si="157"/>
        <v>4.7042257503732421E-2</v>
      </c>
      <c r="AC90" s="39">
        <f t="shared" si="158"/>
        <v>9.6228436030273978E-2</v>
      </c>
      <c r="AD90" s="38">
        <f t="shared" si="159"/>
        <v>4.3445097622054911</v>
      </c>
      <c r="AE90" s="38">
        <f t="shared" si="160"/>
        <v>1.0928788584502585</v>
      </c>
      <c r="AF90" s="38">
        <f t="shared" si="161"/>
        <v>1.2118660634840006</v>
      </c>
      <c r="AG90" s="38"/>
      <c r="AH90" s="38">
        <f t="shared" si="162"/>
        <v>6.6492546841397502</v>
      </c>
      <c r="AI90" s="38">
        <f t="shared" si="163"/>
        <v>15.719006725125467</v>
      </c>
      <c r="AJ90" t="s">
        <v>330</v>
      </c>
    </row>
    <row r="91" spans="1:36" ht="16.5" thickBot="1" x14ac:dyDescent="0.35">
      <c r="A91" s="60"/>
      <c r="B91" s="14"/>
      <c r="C91" s="24" t="s">
        <v>231</v>
      </c>
      <c r="D91" s="58" t="str">
        <f>VLOOKUP(C91,Sheet2!B:C,2,FALSE)</f>
        <v>SonoSensor 30 DN15, G3/4, 110 мм Qp 1,5</v>
      </c>
      <c r="E91" s="85" t="str">
        <f>VLOOKUP(C91,Sheet2!B:F,5,FALSE)</f>
        <v xml:space="preserve">резьбовое </v>
      </c>
      <c r="F91" s="57" t="str">
        <f t="shared" si="164"/>
        <v>15-20</v>
      </c>
      <c r="G91" s="8">
        <f t="shared" si="144"/>
        <v>20</v>
      </c>
      <c r="H91" s="8">
        <f>VLOOKUP(C91,Sheet2!B:G,6,FALSE)</f>
        <v>15</v>
      </c>
      <c r="I91" s="15">
        <f>VLOOKUP(C91,Sheet2!B:O,14,FALSE)</f>
        <v>45.8</v>
      </c>
      <c r="J91" s="15">
        <f>VLOOKUP(C91,Sheet2!B:P,15,FALSE)</f>
        <v>252.99999999999997</v>
      </c>
      <c r="K91" s="74">
        <f>VLOOKUP(C91,Sheet2!B:D,3,FALSE)</f>
        <v>1.4999999999999999E-2</v>
      </c>
      <c r="L91" s="74">
        <f>VLOOKUP(C91,Sheet2!B:E,4,FALSE)</f>
        <v>3</v>
      </c>
      <c r="M91" s="12">
        <f t="shared" si="165"/>
        <v>5.6127405035764992</v>
      </c>
      <c r="N91" s="12">
        <f t="shared" si="166"/>
        <v>5.6127405035764992</v>
      </c>
      <c r="O91" s="56">
        <f t="shared" si="167"/>
        <v>15</v>
      </c>
      <c r="P91" s="74">
        <v>61</v>
      </c>
      <c r="Q91" s="74">
        <f>VLOOKUP(D91,Sheet2!$C$26:$L$38,7,FALSE)</f>
        <v>0</v>
      </c>
      <c r="R91" s="74">
        <f>VLOOKUP(D91,Sheet2!$C$26:$L$38,8,FALSE)</f>
        <v>0</v>
      </c>
      <c r="S91" s="73">
        <f t="shared" si="168"/>
        <v>61</v>
      </c>
      <c r="T91" s="71">
        <f>VLOOKUP(D91,Sheet2!$C$26:$L$38,10,FALSE)</f>
        <v>110</v>
      </c>
      <c r="U91" s="71">
        <f t="shared" si="150"/>
        <v>110</v>
      </c>
      <c r="V91" s="39">
        <f t="shared" si="151"/>
        <v>588389.79751967546</v>
      </c>
      <c r="W91" s="39">
        <f t="shared" si="152"/>
        <v>4.7042257503732421E-2</v>
      </c>
      <c r="X91" s="39">
        <f t="shared" si="153"/>
        <v>8.6780236272049033E-2</v>
      </c>
      <c r="Y91" s="39">
        <f t="shared" si="154"/>
        <v>588389.79751967546</v>
      </c>
      <c r="Z91" s="39">
        <f t="shared" si="155"/>
        <v>4.7042257503732421E-2</v>
      </c>
      <c r="AA91" s="39">
        <f t="shared" si="156"/>
        <v>588389.79751967546</v>
      </c>
      <c r="AB91" s="39">
        <f t="shared" si="157"/>
        <v>4.7042257503732421E-2</v>
      </c>
      <c r="AC91" s="39">
        <f t="shared" si="158"/>
        <v>9.6228436030273978E-2</v>
      </c>
      <c r="AD91" s="38">
        <f t="shared" si="159"/>
        <v>4.3445097622054911</v>
      </c>
      <c r="AE91" s="38">
        <f t="shared" si="160"/>
        <v>1.0928788584502585</v>
      </c>
      <c r="AF91" s="38">
        <f t="shared" si="161"/>
        <v>1.2118660634840006</v>
      </c>
      <c r="AG91" s="38"/>
      <c r="AH91" s="38">
        <f t="shared" si="162"/>
        <v>6.6492546841397502</v>
      </c>
      <c r="AI91" s="38">
        <f t="shared" si="163"/>
        <v>15.719006725125467</v>
      </c>
      <c r="AJ91" t="s">
        <v>330</v>
      </c>
    </row>
    <row r="92" spans="1:36" ht="16.5" thickBot="1" x14ac:dyDescent="0.35">
      <c r="A92" s="94"/>
      <c r="B92" s="21"/>
      <c r="C92" s="14" t="s">
        <v>232</v>
      </c>
      <c r="D92" s="58" t="str">
        <f>VLOOKUP(C92,Sheet2!B:C,2,FALSE)</f>
        <v>SonoSensor 30 DN20, G1, 130 мм Qp 2,5</v>
      </c>
      <c r="E92" s="85" t="str">
        <f>VLOOKUP(C92,Sheet2!B:F,5,FALSE)</f>
        <v xml:space="preserve">резьбовое </v>
      </c>
      <c r="F92" s="57" t="str">
        <f t="shared" si="164"/>
        <v>20-20</v>
      </c>
      <c r="G92" s="8">
        <f t="shared" si="144"/>
        <v>20</v>
      </c>
      <c r="H92" s="8">
        <f>VLOOKUP(C92,Sheet2!B:G,6,FALSE)</f>
        <v>20</v>
      </c>
      <c r="I92" s="15">
        <f>VLOOKUP(C92,Sheet2!B:O,14,FALSE)</f>
        <v>57.42</v>
      </c>
      <c r="J92" s="15">
        <f>VLOOKUP(C92,Sheet2!B:P,15,FALSE)</f>
        <v>255.29999999999998</v>
      </c>
      <c r="K92" s="74">
        <f>VLOOKUP(C92,Sheet2!B:D,3,FALSE)</f>
        <v>2.5000000000000001E-2</v>
      </c>
      <c r="L92" s="74">
        <f>VLOOKUP(C92,Sheet2!B:E,4,FALSE)</f>
        <v>5</v>
      </c>
      <c r="M92" s="12">
        <f t="shared" si="165"/>
        <v>0</v>
      </c>
      <c r="N92" s="12">
        <f t="shared" si="166"/>
        <v>0</v>
      </c>
      <c r="O92" s="56">
        <f t="shared" si="167"/>
        <v>20</v>
      </c>
      <c r="P92" s="12">
        <v>0</v>
      </c>
      <c r="Q92" s="12">
        <f>VLOOKUP(D92,Sheet2!$C$26:$L$38,7,FALSE)</f>
        <v>0</v>
      </c>
      <c r="R92" s="12">
        <f>VLOOKUP(D92,Sheet2!$C$26:$L$38,8,FALSE)</f>
        <v>0</v>
      </c>
      <c r="S92" s="56">
        <f t="shared" si="168"/>
        <v>0</v>
      </c>
      <c r="T92" s="71">
        <f>VLOOKUP(D92,Sheet2!$C$26:$L$38,10,FALSE)</f>
        <v>130</v>
      </c>
      <c r="U92" s="71">
        <f t="shared" si="150"/>
        <v>130</v>
      </c>
      <c r="V92" s="39">
        <f t="shared" si="151"/>
        <v>441292.34813975659</v>
      </c>
      <c r="W92" s="39">
        <f t="shared" si="152"/>
        <v>4.3807134899537192E-2</v>
      </c>
      <c r="X92" s="39">
        <f t="shared" si="153"/>
        <v>0</v>
      </c>
      <c r="Y92" s="39">
        <f t="shared" si="154"/>
        <v>441292.34813975659</v>
      </c>
      <c r="Z92" s="39">
        <f t="shared" si="155"/>
        <v>4.3807134899537192E-2</v>
      </c>
      <c r="AA92" s="39">
        <f t="shared" si="156"/>
        <v>441292.34813975659</v>
      </c>
      <c r="AB92" s="39">
        <f t="shared" si="157"/>
        <v>4.3807134899537192E-2</v>
      </c>
      <c r="AC92" s="39">
        <f t="shared" si="158"/>
        <v>0</v>
      </c>
      <c r="AD92" s="38">
        <f t="shared" si="159"/>
        <v>1.1346305082054546</v>
      </c>
      <c r="AE92" s="38">
        <f t="shared" si="160"/>
        <v>0</v>
      </c>
      <c r="AF92" s="38">
        <f t="shared" si="161"/>
        <v>0</v>
      </c>
      <c r="AG92" s="38"/>
      <c r="AH92" s="38">
        <f t="shared" si="162"/>
        <v>1.1346305082054546</v>
      </c>
      <c r="AI92" s="38">
        <f t="shared" si="163"/>
        <v>8.8419412828830737</v>
      </c>
      <c r="AJ92" t="s">
        <v>330</v>
      </c>
    </row>
    <row r="93" spans="1:36" ht="16.5" thickBot="1" x14ac:dyDescent="0.35">
      <c r="A93" s="13">
        <v>25</v>
      </c>
      <c r="B93" s="14">
        <v>6</v>
      </c>
      <c r="C93" s="24" t="s">
        <v>230</v>
      </c>
      <c r="D93" s="58" t="str">
        <f>VLOOKUP(C93,Sheet2!B:C,2,FALSE)</f>
        <v>SonoSensor 30 DN15, G3/4, 110 мм Qp 0,6</v>
      </c>
      <c r="E93" s="85" t="str">
        <f>VLOOKUP(C93,Sheet2!B:F,5,FALSE)</f>
        <v xml:space="preserve">резьбовое </v>
      </c>
      <c r="F93" s="57" t="str">
        <f t="shared" si="164"/>
        <v>15-25</v>
      </c>
      <c r="G93" s="8">
        <f t="shared" si="144"/>
        <v>25</v>
      </c>
      <c r="H93" s="8">
        <f>VLOOKUP(C93,Sheet2!B:G,6,FALSE)</f>
        <v>15</v>
      </c>
      <c r="I93" s="15">
        <f>VLOOKUP(C93,Sheet2!B:O,14,FALSE)</f>
        <v>45.8</v>
      </c>
      <c r="J93" s="15">
        <f>VLOOKUP(C93,Sheet2!B:P,15,FALSE)</f>
        <v>252.99999999999997</v>
      </c>
      <c r="K93" s="74">
        <f>VLOOKUP(C93,Sheet2!B:D,3,FALSE)</f>
        <v>1.2E-2</v>
      </c>
      <c r="L93" s="74">
        <f>VLOOKUP(C93,Sheet2!B:E,4,FALSE)</f>
        <v>1.2</v>
      </c>
      <c r="M93" s="12">
        <f t="shared" si="165"/>
        <v>11.19867867304114</v>
      </c>
      <c r="N93" s="12">
        <f t="shared" si="166"/>
        <v>11.19867867304114</v>
      </c>
      <c r="O93" s="56">
        <f t="shared" si="167"/>
        <v>15</v>
      </c>
      <c r="P93" s="74">
        <v>61</v>
      </c>
      <c r="Q93" s="12">
        <f>VLOOKUP(D93,Sheet2!$C$26:$L$38,7,FALSE)</f>
        <v>0</v>
      </c>
      <c r="R93" s="12">
        <f>VLOOKUP(D93,Sheet2!$C$26:$L$38,8,FALSE)</f>
        <v>0</v>
      </c>
      <c r="S93" s="73">
        <f t="shared" si="168"/>
        <v>61</v>
      </c>
      <c r="T93" s="71">
        <f>VLOOKUP(D93,Sheet2!$C$26:$L$38,10,FALSE)</f>
        <v>110</v>
      </c>
      <c r="U93" s="71">
        <f t="shared" ref="U93:U132" si="169">T93+Q93+R93</f>
        <v>110</v>
      </c>
      <c r="V93" s="39">
        <f t="shared" ref="V93:V132" si="170">4*$V$4/(3.6*PI()*H93*$F$8)</f>
        <v>588389.79751967546</v>
      </c>
      <c r="W93" s="39">
        <f t="shared" ref="W93:W132" si="171">0.11*((68/V93)+$V$5/H93)^0.25</f>
        <v>4.7042257503732421E-2</v>
      </c>
      <c r="X93" s="39">
        <f t="shared" ref="X93:X132" si="172">(-0.0125*(H93/G93)^8+0.0224*(H93/G93)^6-0.00723*(H93/G93)^4+0.00444*(H93/G93)^2-0.00745)*((0.01745*M93)^3-2*PI()*(0.01745*M93)^2-10*0.01745*M93)+IF(M93=0,0,W93/(8*SIN(RADIANS(M93/2)))*(1-(H93/G93)^4))</f>
        <v>6.5474040171407427E-2</v>
      </c>
      <c r="Y93" s="39">
        <f t="shared" ref="Y93:Y132" si="173">4*$V$4/(3.6*PI()*H93*$F$8)</f>
        <v>588389.79751967546</v>
      </c>
      <c r="Z93" s="39">
        <f t="shared" ref="Z93:Z132" si="174">0.11*((68/Y93)+$V$5/H93)^0.25</f>
        <v>4.7042257503732421E-2</v>
      </c>
      <c r="AA93" s="39">
        <f t="shared" ref="AA93:AA132" si="175">4*$V$4/(3.6*PI()*H93*$F$8)</f>
        <v>588389.79751967546</v>
      </c>
      <c r="AB93" s="39">
        <f t="shared" ref="AB93:AB132" si="176">0.11*((68/AA93)+$V$5/H93)^0.25</f>
        <v>4.7042257503732421E-2</v>
      </c>
      <c r="AC93" s="39">
        <f t="shared" ref="AC93:AC132" si="177">IF(N93&gt;40,1,(3.2*(TAN(RADIANS(N93/2)))^1.25))*((1-(H93/G93)^2)^2)+IF(N93=0,0,AB93/(8*SIN(RADIANS(N93/2)))*(1-(H93/G93)^4))</f>
        <v>0.12436101054538987</v>
      </c>
      <c r="AD93" s="38">
        <f t="shared" ref="AD93:AD132" si="178">Z93*(((U93)/H93)*(4*$V$4*1000/(3.6*PI()*H93^2))^2)/(2*9.81)</f>
        <v>4.3445097622054911</v>
      </c>
      <c r="AE93" s="38">
        <f t="shared" ref="AE93:AE132" si="179">X93*((4*$V$4*1000/(3.6*PI()*H93^2))^2)/(2*9.81)</f>
        <v>0.82455634317858228</v>
      </c>
      <c r="AF93" s="38">
        <f t="shared" ref="AF93:AF132" si="180">AC93*((4*$V$4*1000/(3.6*PI()*H93^2))^2)/(2*9.81)</f>
        <v>1.5661575155718015</v>
      </c>
      <c r="AG93" s="38"/>
      <c r="AH93" s="38">
        <f t="shared" ref="AH93:AH132" si="181">SUM(AD93:AG93)</f>
        <v>6.7352236209558756</v>
      </c>
      <c r="AI93" s="38">
        <f t="shared" ref="AI93:AI132" si="182">(4*$V$4*1000/(3.6*PI()*H93^2))</f>
        <v>15.719006725125467</v>
      </c>
      <c r="AJ93" t="s">
        <v>330</v>
      </c>
    </row>
    <row r="94" spans="1:36" ht="16.5" thickBot="1" x14ac:dyDescent="0.35">
      <c r="A94" s="13"/>
      <c r="B94" s="14"/>
      <c r="C94" s="24" t="s">
        <v>231</v>
      </c>
      <c r="D94" s="58" t="str">
        <f>VLOOKUP(C94,Sheet2!B:C,2,FALSE)</f>
        <v>SonoSensor 30 DN15, G3/4, 110 мм Qp 1,5</v>
      </c>
      <c r="E94" s="85" t="str">
        <f>VLOOKUP(C94,Sheet2!B:F,5,FALSE)</f>
        <v xml:space="preserve">резьбовое </v>
      </c>
      <c r="F94" s="57" t="str">
        <f t="shared" si="164"/>
        <v>15-25</v>
      </c>
      <c r="G94" s="8">
        <f t="shared" si="144"/>
        <v>25</v>
      </c>
      <c r="H94" s="8">
        <f>VLOOKUP(C94,Sheet2!B:G,6,FALSE)</f>
        <v>15</v>
      </c>
      <c r="I94" s="15">
        <f>VLOOKUP(C94,Sheet2!B:O,14,FALSE)</f>
        <v>45.8</v>
      </c>
      <c r="J94" s="15">
        <f>VLOOKUP(C94,Sheet2!B:P,15,FALSE)</f>
        <v>252.99999999999997</v>
      </c>
      <c r="K94" s="74">
        <f>VLOOKUP(C94,Sheet2!B:D,3,FALSE)</f>
        <v>1.4999999999999999E-2</v>
      </c>
      <c r="L94" s="74">
        <f>VLOOKUP(C94,Sheet2!B:E,4,FALSE)</f>
        <v>3</v>
      </c>
      <c r="M94" s="12">
        <f t="shared" si="165"/>
        <v>11.19867867304114</v>
      </c>
      <c r="N94" s="12">
        <f t="shared" si="166"/>
        <v>11.19867867304114</v>
      </c>
      <c r="O94" s="56">
        <f t="shared" si="167"/>
        <v>15</v>
      </c>
      <c r="P94" s="74">
        <v>61</v>
      </c>
      <c r="Q94" s="12">
        <f>VLOOKUP(D94,Sheet2!$C$26:$L$38,7,FALSE)</f>
        <v>0</v>
      </c>
      <c r="R94" s="12">
        <f>VLOOKUP(D94,Sheet2!$C$26:$L$38,8,FALSE)</f>
        <v>0</v>
      </c>
      <c r="S94" s="73">
        <f t="shared" si="168"/>
        <v>61</v>
      </c>
      <c r="T94" s="71">
        <f>VLOOKUP(D94,Sheet2!$C$26:$L$38,10,FALSE)</f>
        <v>110</v>
      </c>
      <c r="U94" s="71">
        <f t="shared" si="169"/>
        <v>110</v>
      </c>
      <c r="V94" s="39">
        <f t="shared" si="170"/>
        <v>588389.79751967546</v>
      </c>
      <c r="W94" s="39">
        <f t="shared" si="171"/>
        <v>4.7042257503732421E-2</v>
      </c>
      <c r="X94" s="39">
        <f t="shared" si="172"/>
        <v>6.5474040171407427E-2</v>
      </c>
      <c r="Y94" s="39">
        <f t="shared" si="173"/>
        <v>588389.79751967546</v>
      </c>
      <c r="Z94" s="39">
        <f t="shared" si="174"/>
        <v>4.7042257503732421E-2</v>
      </c>
      <c r="AA94" s="39">
        <f t="shared" si="175"/>
        <v>588389.79751967546</v>
      </c>
      <c r="AB94" s="39">
        <f t="shared" si="176"/>
        <v>4.7042257503732421E-2</v>
      </c>
      <c r="AC94" s="39">
        <f t="shared" si="177"/>
        <v>0.12436101054538987</v>
      </c>
      <c r="AD94" s="38">
        <f t="shared" si="178"/>
        <v>4.3445097622054911</v>
      </c>
      <c r="AE94" s="38">
        <f t="shared" si="179"/>
        <v>0.82455634317858228</v>
      </c>
      <c r="AF94" s="38">
        <f t="shared" si="180"/>
        <v>1.5661575155718015</v>
      </c>
      <c r="AG94" s="38"/>
      <c r="AH94" s="38">
        <f t="shared" si="181"/>
        <v>6.7352236209558756</v>
      </c>
      <c r="AI94" s="38">
        <f t="shared" si="182"/>
        <v>15.719006725125467</v>
      </c>
      <c r="AJ94" t="s">
        <v>330</v>
      </c>
    </row>
    <row r="95" spans="1:36" ht="16.5" thickBot="1" x14ac:dyDescent="0.35">
      <c r="A95" s="13"/>
      <c r="B95" s="14"/>
      <c r="C95" s="14" t="s">
        <v>232</v>
      </c>
      <c r="D95" s="58" t="str">
        <f>VLOOKUP(C95,Sheet2!B:C,2,FALSE)</f>
        <v>SonoSensor 30 DN20, G1, 130 мм Qp 2,5</v>
      </c>
      <c r="E95" s="85" t="str">
        <f>VLOOKUP(C95,Sheet2!B:F,5,FALSE)</f>
        <v xml:space="preserve">резьбовое </v>
      </c>
      <c r="F95" s="57" t="str">
        <f t="shared" si="164"/>
        <v>20-25</v>
      </c>
      <c r="G95" s="8">
        <f t="shared" si="144"/>
        <v>25</v>
      </c>
      <c r="H95" s="8">
        <f>VLOOKUP(C95,Sheet2!B:G,6,FALSE)</f>
        <v>20</v>
      </c>
      <c r="I95" s="15">
        <f>VLOOKUP(C95,Sheet2!B:O,14,FALSE)</f>
        <v>57.42</v>
      </c>
      <c r="J95" s="15">
        <f>VLOOKUP(C95,Sheet2!B:P,15,FALSE)</f>
        <v>255.29999999999998</v>
      </c>
      <c r="K95" s="74">
        <f>VLOOKUP(C95,Sheet2!B:D,3,FALSE)</f>
        <v>2.5000000000000001E-2</v>
      </c>
      <c r="L95" s="74">
        <f>VLOOKUP(C95,Sheet2!B:E,4,FALSE)</f>
        <v>5</v>
      </c>
      <c r="M95" s="12">
        <f t="shared" si="165"/>
        <v>5.6127405035765001</v>
      </c>
      <c r="N95" s="12">
        <f t="shared" si="166"/>
        <v>5.6127405035765001</v>
      </c>
      <c r="O95" s="56">
        <f t="shared" si="167"/>
        <v>20</v>
      </c>
      <c r="P95" s="12">
        <v>60.999999999999993</v>
      </c>
      <c r="Q95" s="12">
        <f>VLOOKUP(D95,Sheet2!$C$26:$L$38,7,FALSE)</f>
        <v>0</v>
      </c>
      <c r="R95" s="12">
        <f>VLOOKUP(D95,Sheet2!$C$26:$L$38,8,FALSE)</f>
        <v>0</v>
      </c>
      <c r="S95" s="56">
        <f t="shared" si="168"/>
        <v>60.999999999999993</v>
      </c>
      <c r="T95" s="71">
        <f>VLOOKUP(D95,Sheet2!$C$26:$L$38,10,FALSE)</f>
        <v>130</v>
      </c>
      <c r="U95" s="71">
        <f t="shared" si="169"/>
        <v>130</v>
      </c>
      <c r="V95" s="39">
        <f t="shared" si="170"/>
        <v>441292.34813975659</v>
      </c>
      <c r="W95" s="39">
        <f t="shared" si="171"/>
        <v>4.3807134899537192E-2</v>
      </c>
      <c r="X95" s="39">
        <f t="shared" si="172"/>
        <v>6.9973721917263171E-2</v>
      </c>
      <c r="Y95" s="39">
        <f t="shared" si="173"/>
        <v>441292.34813975659</v>
      </c>
      <c r="Z95" s="39">
        <f t="shared" si="174"/>
        <v>4.3807134899537192E-2</v>
      </c>
      <c r="AA95" s="39">
        <f t="shared" si="175"/>
        <v>441292.34813975659</v>
      </c>
      <c r="AB95" s="39">
        <f t="shared" si="176"/>
        <v>4.3807134899537192E-2</v>
      </c>
      <c r="AC95" s="39">
        <f t="shared" si="177"/>
        <v>7.5597420891373168E-2</v>
      </c>
      <c r="AD95" s="38">
        <f t="shared" si="178"/>
        <v>1.1346305082054546</v>
      </c>
      <c r="AE95" s="38">
        <f t="shared" si="179"/>
        <v>0.27882468791753562</v>
      </c>
      <c r="AF95" s="38">
        <f t="shared" si="180"/>
        <v>0.301233473222002</v>
      </c>
      <c r="AG95" s="38"/>
      <c r="AH95" s="38">
        <f t="shared" si="181"/>
        <v>1.7146886693449921</v>
      </c>
      <c r="AI95" s="38">
        <f t="shared" si="182"/>
        <v>8.8419412828830737</v>
      </c>
      <c r="AJ95" t="s">
        <v>330</v>
      </c>
    </row>
    <row r="96" spans="1:36" ht="16.5" thickBot="1" x14ac:dyDescent="0.35">
      <c r="A96" s="13"/>
      <c r="B96" s="14"/>
      <c r="C96" s="24" t="s">
        <v>233</v>
      </c>
      <c r="D96" s="58" t="str">
        <f>VLOOKUP(C96,Sheet2!B:C,2,FALSE)</f>
        <v>SonoSensor 30 DN25, G5/4, 260 мм Qp 3,5</v>
      </c>
      <c r="E96" s="85" t="str">
        <f>VLOOKUP(C96,Sheet2!B:F,5,FALSE)</f>
        <v xml:space="preserve">резьбовое </v>
      </c>
      <c r="F96" s="57" t="str">
        <f t="shared" si="164"/>
        <v>25-25</v>
      </c>
      <c r="G96" s="8">
        <f t="shared" si="144"/>
        <v>25</v>
      </c>
      <c r="H96" s="8">
        <f>VLOOKUP(C96,Sheet2!B:G,6,FALSE)</f>
        <v>25</v>
      </c>
      <c r="I96" s="15">
        <f>VLOOKUP(C96,Sheet2!B:O,14,FALSE)</f>
        <v>118.96</v>
      </c>
      <c r="J96" s="15">
        <f>VLOOKUP(C96,Sheet2!B:P,15,FALSE)</f>
        <v>272.55</v>
      </c>
      <c r="K96" s="74">
        <f>VLOOKUP(C96,Sheet2!B:D,3,FALSE)</f>
        <v>3.5000000000000003E-2</v>
      </c>
      <c r="L96" s="74">
        <f>VLOOKUP(C96,Sheet2!B:E,4,FALSE)</f>
        <v>7</v>
      </c>
      <c r="M96" s="12">
        <f t="shared" si="165"/>
        <v>0</v>
      </c>
      <c r="N96" s="12">
        <f t="shared" si="166"/>
        <v>0</v>
      </c>
      <c r="O96" s="56">
        <f t="shared" si="167"/>
        <v>25</v>
      </c>
      <c r="P96" s="12">
        <v>0</v>
      </c>
      <c r="Q96" s="12">
        <f>VLOOKUP(D96,Sheet2!$C$26:$L$38,7,FALSE)</f>
        <v>0</v>
      </c>
      <c r="R96" s="12">
        <f>VLOOKUP(D96,Sheet2!$C$26:$L$38,8,FALSE)</f>
        <v>0</v>
      </c>
      <c r="S96" s="56">
        <f t="shared" si="168"/>
        <v>0</v>
      </c>
      <c r="T96" s="71">
        <f>VLOOKUP(D96,Sheet2!$C$26:$L$38,10,FALSE)</f>
        <v>260</v>
      </c>
      <c r="U96" s="71">
        <f t="shared" si="169"/>
        <v>260</v>
      </c>
      <c r="V96" s="39">
        <f t="shared" si="170"/>
        <v>353033.87851180526</v>
      </c>
      <c r="W96" s="39">
        <f t="shared" si="171"/>
        <v>4.1465874809924794E-2</v>
      </c>
      <c r="X96" s="39">
        <f t="shared" si="172"/>
        <v>0</v>
      </c>
      <c r="Y96" s="39">
        <f t="shared" si="173"/>
        <v>353033.87851180526</v>
      </c>
      <c r="Z96" s="39">
        <f t="shared" si="174"/>
        <v>4.1465874809924794E-2</v>
      </c>
      <c r="AA96" s="39">
        <f t="shared" si="175"/>
        <v>353033.87851180526</v>
      </c>
      <c r="AB96" s="39">
        <f t="shared" si="176"/>
        <v>4.1465874809924794E-2</v>
      </c>
      <c r="AC96" s="39">
        <f t="shared" si="177"/>
        <v>0</v>
      </c>
      <c r="AD96" s="38">
        <f t="shared" si="178"/>
        <v>0.70385041250091951</v>
      </c>
      <c r="AE96" s="38">
        <f t="shared" si="179"/>
        <v>0</v>
      </c>
      <c r="AF96" s="38">
        <f t="shared" si="180"/>
        <v>0</v>
      </c>
      <c r="AG96" s="38"/>
      <c r="AH96" s="38">
        <f t="shared" si="181"/>
        <v>0.70385041250091951</v>
      </c>
      <c r="AI96" s="38">
        <f t="shared" si="182"/>
        <v>5.6588424210451675</v>
      </c>
      <c r="AJ96" t="s">
        <v>330</v>
      </c>
    </row>
    <row r="97" spans="1:36" ht="16.5" thickBot="1" x14ac:dyDescent="0.35">
      <c r="A97" s="13"/>
      <c r="B97" s="14"/>
      <c r="C97" s="24" t="s">
        <v>234</v>
      </c>
      <c r="D97" s="58" t="str">
        <f>VLOOKUP(C97,Sheet2!B:C,2,FALSE)</f>
        <v>SonoSensor 30 DN25, FL 260 мм Qp 3,5</v>
      </c>
      <c r="E97" s="85" t="str">
        <f>VLOOKUP(C97,Sheet2!B:F,5,FALSE)</f>
        <v xml:space="preserve">фланцевое </v>
      </c>
      <c r="F97" s="57" t="str">
        <f t="shared" si="164"/>
        <v>25-25</v>
      </c>
      <c r="G97" s="8">
        <f t="shared" si="144"/>
        <v>25</v>
      </c>
      <c r="H97" s="8">
        <f>VLOOKUP(C97,Sheet2!B:G,6,FALSE)</f>
        <v>25</v>
      </c>
      <c r="I97" s="15">
        <f>VLOOKUP(C97,Sheet2!B:O,14,FALSE)</f>
        <v>151.13999999999999</v>
      </c>
      <c r="J97" s="15">
        <f>VLOOKUP(C97,Sheet2!B:P,15,FALSE)</f>
        <v>350.75</v>
      </c>
      <c r="K97" s="74">
        <f>VLOOKUP(C97,Sheet2!B:D,3,FALSE)</f>
        <v>3.5000000000000003E-2</v>
      </c>
      <c r="L97" s="74">
        <f>VLOOKUP(C97,Sheet2!B:E,4,FALSE)</f>
        <v>7</v>
      </c>
      <c r="M97" s="12">
        <f t="shared" si="165"/>
        <v>0</v>
      </c>
      <c r="N97" s="12">
        <f t="shared" si="166"/>
        <v>0</v>
      </c>
      <c r="O97" s="56">
        <f t="shared" si="167"/>
        <v>25</v>
      </c>
      <c r="P97" s="12">
        <v>0</v>
      </c>
      <c r="Q97" s="12">
        <f>VLOOKUP(D97,Sheet2!$C$26:$L$38,7,FALSE)</f>
        <v>0</v>
      </c>
      <c r="R97" s="12">
        <f>VLOOKUP(D97,Sheet2!$C$26:$L$38,8,FALSE)</f>
        <v>0</v>
      </c>
      <c r="S97" s="56">
        <f t="shared" si="168"/>
        <v>0</v>
      </c>
      <c r="T97" s="71">
        <f>VLOOKUP(D97,Sheet2!$C$26:$L$38,10,FALSE)</f>
        <v>260</v>
      </c>
      <c r="U97" s="71">
        <f t="shared" si="169"/>
        <v>260</v>
      </c>
      <c r="V97" s="39">
        <f t="shared" si="170"/>
        <v>353033.87851180526</v>
      </c>
      <c r="W97" s="39">
        <f t="shared" si="171"/>
        <v>4.1465874809924794E-2</v>
      </c>
      <c r="X97" s="39">
        <f t="shared" si="172"/>
        <v>0</v>
      </c>
      <c r="Y97" s="39">
        <f t="shared" si="173"/>
        <v>353033.87851180526</v>
      </c>
      <c r="Z97" s="39">
        <f t="shared" si="174"/>
        <v>4.1465874809924794E-2</v>
      </c>
      <c r="AA97" s="39">
        <f t="shared" si="175"/>
        <v>353033.87851180526</v>
      </c>
      <c r="AB97" s="39">
        <f t="shared" si="176"/>
        <v>4.1465874809924794E-2</v>
      </c>
      <c r="AC97" s="39">
        <f t="shared" si="177"/>
        <v>0</v>
      </c>
      <c r="AD97" s="38">
        <f t="shared" si="178"/>
        <v>0.70385041250091951</v>
      </c>
      <c r="AE97" s="38">
        <f t="shared" si="179"/>
        <v>0</v>
      </c>
      <c r="AF97" s="38">
        <f t="shared" si="180"/>
        <v>0</v>
      </c>
      <c r="AG97" s="38"/>
      <c r="AH97" s="38">
        <f t="shared" si="181"/>
        <v>0.70385041250091951</v>
      </c>
      <c r="AI97" s="38">
        <f t="shared" si="182"/>
        <v>5.6588424210451675</v>
      </c>
      <c r="AJ97" t="s">
        <v>330</v>
      </c>
    </row>
    <row r="98" spans="1:36" ht="16.5" thickBot="1" x14ac:dyDescent="0.35">
      <c r="A98" s="13"/>
      <c r="B98" s="14"/>
      <c r="C98" s="24" t="s">
        <v>235</v>
      </c>
      <c r="D98" s="58" t="str">
        <f>VLOOKUP(C98,Sheet2!B:C,2,FALSE)</f>
        <v>SonoSensor 30 DN25, G5/4, 260 мм Qp 6</v>
      </c>
      <c r="E98" s="85" t="str">
        <f>VLOOKUP(C98,Sheet2!B:F,5,FALSE)</f>
        <v xml:space="preserve">резьбовое </v>
      </c>
      <c r="F98" s="57" t="str">
        <f t="shared" si="164"/>
        <v>25-25</v>
      </c>
      <c r="G98" s="8">
        <f t="shared" si="144"/>
        <v>25</v>
      </c>
      <c r="H98" s="8">
        <f>VLOOKUP(C98,Sheet2!B:G,6,FALSE)</f>
        <v>25</v>
      </c>
      <c r="I98" s="15">
        <f>VLOOKUP(C98,Sheet2!B:O,14,FALSE)</f>
        <v>123.21</v>
      </c>
      <c r="J98" s="15">
        <f>VLOOKUP(C98,Sheet2!B:P,15,FALSE)</f>
        <v>292</v>
      </c>
      <c r="K98" s="74">
        <f>VLOOKUP(C98,Sheet2!B:D,3,FALSE)</f>
        <v>0.06</v>
      </c>
      <c r="L98" s="74">
        <f>VLOOKUP(C98,Sheet2!B:E,4,FALSE)</f>
        <v>12</v>
      </c>
      <c r="M98" s="12">
        <f t="shared" si="165"/>
        <v>0</v>
      </c>
      <c r="N98" s="12">
        <f t="shared" si="166"/>
        <v>0</v>
      </c>
      <c r="O98" s="56">
        <f t="shared" si="167"/>
        <v>25</v>
      </c>
      <c r="P98" s="12">
        <v>0</v>
      </c>
      <c r="Q98" s="12">
        <f>VLOOKUP(D98,Sheet2!$C$26:$L$38,7,FALSE)</f>
        <v>0</v>
      </c>
      <c r="R98" s="12">
        <f>VLOOKUP(D98,Sheet2!$C$26:$L$38,8,FALSE)</f>
        <v>0</v>
      </c>
      <c r="S98" s="56">
        <f t="shared" si="168"/>
        <v>0</v>
      </c>
      <c r="T98" s="71">
        <f>VLOOKUP(D98,Sheet2!$C$26:$L$38,10,FALSE)</f>
        <v>260</v>
      </c>
      <c r="U98" s="71">
        <f t="shared" si="169"/>
        <v>260</v>
      </c>
      <c r="V98" s="39">
        <f t="shared" si="170"/>
        <v>353033.87851180526</v>
      </c>
      <c r="W98" s="39">
        <f t="shared" si="171"/>
        <v>4.1465874809924794E-2</v>
      </c>
      <c r="X98" s="39">
        <f t="shared" si="172"/>
        <v>0</v>
      </c>
      <c r="Y98" s="39">
        <f t="shared" si="173"/>
        <v>353033.87851180526</v>
      </c>
      <c r="Z98" s="39">
        <f t="shared" si="174"/>
        <v>4.1465874809924794E-2</v>
      </c>
      <c r="AA98" s="39">
        <f t="shared" si="175"/>
        <v>353033.87851180526</v>
      </c>
      <c r="AB98" s="39">
        <f t="shared" si="176"/>
        <v>4.1465874809924794E-2</v>
      </c>
      <c r="AC98" s="39">
        <f t="shared" si="177"/>
        <v>0</v>
      </c>
      <c r="AD98" s="38">
        <f t="shared" si="178"/>
        <v>0.70385041250091951</v>
      </c>
      <c r="AE98" s="38">
        <f t="shared" si="179"/>
        <v>0</v>
      </c>
      <c r="AF98" s="38">
        <f t="shared" si="180"/>
        <v>0</v>
      </c>
      <c r="AG98" s="38"/>
      <c r="AH98" s="38">
        <f t="shared" si="181"/>
        <v>0.70385041250091951</v>
      </c>
      <c r="AI98" s="38">
        <f t="shared" si="182"/>
        <v>5.6588424210451675</v>
      </c>
      <c r="AJ98" t="s">
        <v>330</v>
      </c>
    </row>
    <row r="99" spans="1:36" ht="16.5" thickBot="1" x14ac:dyDescent="0.35">
      <c r="A99" s="16">
        <v>32</v>
      </c>
      <c r="B99" s="17">
        <v>7</v>
      </c>
      <c r="C99" s="24" t="s">
        <v>230</v>
      </c>
      <c r="D99" s="58" t="str">
        <f>VLOOKUP(C99,Sheet2!B:C,2,FALSE)</f>
        <v>SonoSensor 30 DN15, G3/4, 110 мм Qp 0,6</v>
      </c>
      <c r="E99" s="85" t="str">
        <f>VLOOKUP(C99,Sheet2!B:F,5,FALSE)</f>
        <v xml:space="preserve">резьбовое </v>
      </c>
      <c r="F99" s="57" t="str">
        <f t="shared" si="164"/>
        <v>15-32</v>
      </c>
      <c r="G99" s="8">
        <f t="shared" si="144"/>
        <v>32</v>
      </c>
      <c r="H99" s="8">
        <f>VLOOKUP(C99,Sheet2!B:G,6,FALSE)</f>
        <v>15</v>
      </c>
      <c r="I99" s="15">
        <f>VLOOKUP(C99,Sheet2!B:O,14,FALSE)</f>
        <v>45.8</v>
      </c>
      <c r="J99" s="15">
        <f>VLOOKUP(C99,Sheet2!B:P,15,FALSE)</f>
        <v>252.99999999999997</v>
      </c>
      <c r="K99" s="74">
        <f>VLOOKUP(C99,Sheet2!B:D,3,FALSE)</f>
        <v>1.2E-2</v>
      </c>
      <c r="L99" s="74">
        <f>VLOOKUP(C99,Sheet2!B:E,4,FALSE)</f>
        <v>1.2</v>
      </c>
      <c r="M99" s="12">
        <f t="shared" si="165"/>
        <v>18.924644416051233</v>
      </c>
      <c r="N99" s="12">
        <f t="shared" si="166"/>
        <v>18.924644416051233</v>
      </c>
      <c r="O99" s="56">
        <f t="shared" si="167"/>
        <v>15</v>
      </c>
      <c r="P99" s="74">
        <v>61</v>
      </c>
      <c r="Q99" s="12">
        <f>VLOOKUP(D99,Sheet2!$C$26:$L$38,7,FALSE)</f>
        <v>0</v>
      </c>
      <c r="R99" s="12">
        <f>VLOOKUP(D99,Sheet2!$C$26:$L$38,8,FALSE)</f>
        <v>0</v>
      </c>
      <c r="S99" s="73">
        <f t="shared" si="168"/>
        <v>61</v>
      </c>
      <c r="T99" s="71">
        <f>VLOOKUP(D99,Sheet2!$C$26:$L$38,10,FALSE)</f>
        <v>110</v>
      </c>
      <c r="U99" s="71">
        <f t="shared" si="169"/>
        <v>110</v>
      </c>
      <c r="V99" s="39">
        <f t="shared" si="170"/>
        <v>588389.79751967546</v>
      </c>
      <c r="W99" s="39">
        <f t="shared" si="171"/>
        <v>4.7042257503732421E-2</v>
      </c>
      <c r="X99" s="39">
        <f t="shared" si="172"/>
        <v>6.0180925657209582E-2</v>
      </c>
      <c r="Y99" s="39">
        <f t="shared" si="173"/>
        <v>588389.79751967546</v>
      </c>
      <c r="Z99" s="39">
        <f t="shared" si="174"/>
        <v>4.7042257503732421E-2</v>
      </c>
      <c r="AA99" s="39">
        <f t="shared" si="175"/>
        <v>588389.79751967546</v>
      </c>
      <c r="AB99" s="39">
        <f t="shared" si="176"/>
        <v>4.7042257503732421E-2</v>
      </c>
      <c r="AC99" s="39">
        <f t="shared" si="177"/>
        <v>0.2415111157360082</v>
      </c>
      <c r="AD99" s="38">
        <f t="shared" si="178"/>
        <v>4.3445097622054911</v>
      </c>
      <c r="AE99" s="38">
        <f t="shared" si="179"/>
        <v>0.75789677647968134</v>
      </c>
      <c r="AF99" s="38">
        <f t="shared" si="180"/>
        <v>3.0415035013407756</v>
      </c>
      <c r="AG99" s="38"/>
      <c r="AH99" s="38">
        <f t="shared" si="181"/>
        <v>8.143910040025947</v>
      </c>
      <c r="AI99" s="38">
        <f t="shared" si="182"/>
        <v>15.719006725125467</v>
      </c>
      <c r="AJ99" t="s">
        <v>330</v>
      </c>
    </row>
    <row r="100" spans="1:36" ht="16.5" thickBot="1" x14ac:dyDescent="0.35">
      <c r="A100" s="13"/>
      <c r="B100" s="14"/>
      <c r="C100" s="24" t="s">
        <v>231</v>
      </c>
      <c r="D100" s="58" t="str">
        <f>VLOOKUP(C100,Sheet2!B:C,2,FALSE)</f>
        <v>SonoSensor 30 DN15, G3/4, 110 мм Qp 1,5</v>
      </c>
      <c r="E100" s="85" t="str">
        <f>VLOOKUP(C100,Sheet2!B:F,5,FALSE)</f>
        <v xml:space="preserve">резьбовое </v>
      </c>
      <c r="F100" s="57" t="str">
        <f t="shared" si="164"/>
        <v>15-32</v>
      </c>
      <c r="G100" s="8">
        <f t="shared" si="144"/>
        <v>32</v>
      </c>
      <c r="H100" s="8">
        <f>VLOOKUP(C100,Sheet2!B:G,6,FALSE)</f>
        <v>15</v>
      </c>
      <c r="I100" s="15">
        <f>VLOOKUP(C100,Sheet2!B:O,14,FALSE)</f>
        <v>45.8</v>
      </c>
      <c r="J100" s="15">
        <f>VLOOKUP(C100,Sheet2!B:P,15,FALSE)</f>
        <v>252.99999999999997</v>
      </c>
      <c r="K100" s="74">
        <f>VLOOKUP(C100,Sheet2!B:D,3,FALSE)</f>
        <v>1.4999999999999999E-2</v>
      </c>
      <c r="L100" s="74">
        <f>VLOOKUP(C100,Sheet2!B:E,4,FALSE)</f>
        <v>3</v>
      </c>
      <c r="M100" s="12">
        <f t="shared" si="165"/>
        <v>18.924644416051233</v>
      </c>
      <c r="N100" s="12">
        <f t="shared" si="166"/>
        <v>18.924644416051233</v>
      </c>
      <c r="O100" s="56">
        <f t="shared" si="167"/>
        <v>15</v>
      </c>
      <c r="P100" s="74">
        <v>61</v>
      </c>
      <c r="Q100" s="12">
        <f>VLOOKUP(D100,Sheet2!$C$26:$L$38,7,FALSE)</f>
        <v>0</v>
      </c>
      <c r="R100" s="12">
        <f>VLOOKUP(D100,Sheet2!$C$26:$L$38,8,FALSE)</f>
        <v>0</v>
      </c>
      <c r="S100" s="73">
        <f t="shared" si="168"/>
        <v>61</v>
      </c>
      <c r="T100" s="71">
        <f>VLOOKUP(D100,Sheet2!$C$26:$L$38,10,FALSE)</f>
        <v>110</v>
      </c>
      <c r="U100" s="71">
        <f t="shared" si="169"/>
        <v>110</v>
      </c>
      <c r="V100" s="39">
        <f t="shared" si="170"/>
        <v>588389.79751967546</v>
      </c>
      <c r="W100" s="39">
        <f t="shared" si="171"/>
        <v>4.7042257503732421E-2</v>
      </c>
      <c r="X100" s="39">
        <f t="shared" si="172"/>
        <v>6.0180925657209582E-2</v>
      </c>
      <c r="Y100" s="39">
        <f t="shared" si="173"/>
        <v>588389.79751967546</v>
      </c>
      <c r="Z100" s="39">
        <f t="shared" si="174"/>
        <v>4.7042257503732421E-2</v>
      </c>
      <c r="AA100" s="39">
        <f t="shared" si="175"/>
        <v>588389.79751967546</v>
      </c>
      <c r="AB100" s="39">
        <f t="shared" si="176"/>
        <v>4.7042257503732421E-2</v>
      </c>
      <c r="AC100" s="39">
        <f t="shared" si="177"/>
        <v>0.2415111157360082</v>
      </c>
      <c r="AD100" s="38">
        <f t="shared" si="178"/>
        <v>4.3445097622054911</v>
      </c>
      <c r="AE100" s="38">
        <f t="shared" si="179"/>
        <v>0.75789677647968134</v>
      </c>
      <c r="AF100" s="38">
        <f t="shared" si="180"/>
        <v>3.0415035013407756</v>
      </c>
      <c r="AG100" s="38"/>
      <c r="AH100" s="38">
        <f t="shared" si="181"/>
        <v>8.143910040025947</v>
      </c>
      <c r="AI100" s="38">
        <f t="shared" si="182"/>
        <v>15.719006725125467</v>
      </c>
      <c r="AJ100" t="s">
        <v>330</v>
      </c>
    </row>
    <row r="101" spans="1:36" ht="16.5" thickBot="1" x14ac:dyDescent="0.35">
      <c r="A101" s="13"/>
      <c r="B101" s="14"/>
      <c r="C101" s="14" t="s">
        <v>232</v>
      </c>
      <c r="D101" s="58" t="str">
        <f>VLOOKUP(C101,Sheet2!B:C,2,FALSE)</f>
        <v>SonoSensor 30 DN20, G1, 130 мм Qp 2,5</v>
      </c>
      <c r="E101" s="85" t="str">
        <f>VLOOKUP(C101,Sheet2!B:F,5,FALSE)</f>
        <v xml:space="preserve">резьбовое </v>
      </c>
      <c r="F101" s="57" t="str">
        <f t="shared" si="164"/>
        <v>20-32</v>
      </c>
      <c r="G101" s="8">
        <f t="shared" si="144"/>
        <v>32</v>
      </c>
      <c r="H101" s="8">
        <f>VLOOKUP(C101,Sheet2!B:G,6,FALSE)</f>
        <v>20</v>
      </c>
      <c r="I101" s="15">
        <f>VLOOKUP(C101,Sheet2!B:O,14,FALSE)</f>
        <v>57.42</v>
      </c>
      <c r="J101" s="15">
        <f>VLOOKUP(C101,Sheet2!B:P,15,FALSE)</f>
        <v>255.29999999999998</v>
      </c>
      <c r="K101" s="74">
        <f>VLOOKUP(C101,Sheet2!B:D,3,FALSE)</f>
        <v>2.5000000000000001E-2</v>
      </c>
      <c r="L101" s="74">
        <f>VLOOKUP(C101,Sheet2!B:E,4,FALSE)</f>
        <v>5</v>
      </c>
      <c r="M101" s="12">
        <f t="shared" si="165"/>
        <v>22.61986494804043</v>
      </c>
      <c r="N101" s="12">
        <f t="shared" si="166"/>
        <v>22.61986494804043</v>
      </c>
      <c r="O101" s="56">
        <f t="shared" si="167"/>
        <v>20</v>
      </c>
      <c r="P101" s="12">
        <v>40</v>
      </c>
      <c r="Q101" s="12">
        <f>VLOOKUP(D101,Sheet2!$C$26:$L$38,7,FALSE)</f>
        <v>0</v>
      </c>
      <c r="R101" s="12">
        <f>VLOOKUP(D101,Sheet2!$C$26:$L$38,8,FALSE)</f>
        <v>0</v>
      </c>
      <c r="S101" s="56">
        <f t="shared" si="168"/>
        <v>40</v>
      </c>
      <c r="T101" s="71">
        <f>VLOOKUP(D101,Sheet2!$C$26:$L$38,10,FALSE)</f>
        <v>130</v>
      </c>
      <c r="U101" s="71">
        <f t="shared" si="169"/>
        <v>130</v>
      </c>
      <c r="V101" s="39">
        <f t="shared" si="170"/>
        <v>441292.34813975659</v>
      </c>
      <c r="W101" s="39">
        <f t="shared" si="171"/>
        <v>4.3807134899537192E-2</v>
      </c>
      <c r="X101" s="39">
        <f t="shared" si="172"/>
        <v>5.1752902609668264E-2</v>
      </c>
      <c r="Y101" s="39">
        <f t="shared" si="173"/>
        <v>441292.34813975659</v>
      </c>
      <c r="Z101" s="39">
        <f t="shared" si="174"/>
        <v>4.3807134899537192E-2</v>
      </c>
      <c r="AA101" s="39">
        <f t="shared" si="175"/>
        <v>441292.34813975659</v>
      </c>
      <c r="AB101" s="39">
        <f t="shared" si="176"/>
        <v>4.3807134899537192E-2</v>
      </c>
      <c r="AC101" s="39">
        <f t="shared" si="177"/>
        <v>0.18259148239382064</v>
      </c>
      <c r="AD101" s="38">
        <f t="shared" si="178"/>
        <v>1.1346305082054546</v>
      </c>
      <c r="AE101" s="38">
        <f t="shared" si="179"/>
        <v>0.20622008553481497</v>
      </c>
      <c r="AF101" s="38">
        <f t="shared" si="180"/>
        <v>0.72757331895328292</v>
      </c>
      <c r="AG101" s="38"/>
      <c r="AH101" s="38">
        <f t="shared" si="181"/>
        <v>2.0684239126935524</v>
      </c>
      <c r="AI101" s="38">
        <f t="shared" si="182"/>
        <v>8.8419412828830737</v>
      </c>
      <c r="AJ101" t="s">
        <v>330</v>
      </c>
    </row>
    <row r="102" spans="1:36" ht="16.5" thickBot="1" x14ac:dyDescent="0.35">
      <c r="A102" s="13"/>
      <c r="B102" s="14"/>
      <c r="C102" s="24" t="s">
        <v>233</v>
      </c>
      <c r="D102" s="58" t="str">
        <f>VLOOKUP(C102,Sheet2!B:C,2,FALSE)</f>
        <v>SonoSensor 30 DN25, G5/4, 260 мм Qp 3,5</v>
      </c>
      <c r="E102" s="85" t="str">
        <f>VLOOKUP(C102,Sheet2!B:F,5,FALSE)</f>
        <v xml:space="preserve">резьбовое </v>
      </c>
      <c r="F102" s="57" t="str">
        <f t="shared" si="164"/>
        <v>25-32</v>
      </c>
      <c r="G102" s="8">
        <f t="shared" si="144"/>
        <v>32</v>
      </c>
      <c r="H102" s="8">
        <f>VLOOKUP(C102,Sheet2!B:G,6,FALSE)</f>
        <v>25</v>
      </c>
      <c r="I102" s="15">
        <f>VLOOKUP(C102,Sheet2!B:O,14,FALSE)</f>
        <v>118.96</v>
      </c>
      <c r="J102" s="15">
        <f>VLOOKUP(C102,Sheet2!B:P,15,FALSE)</f>
        <v>272.55</v>
      </c>
      <c r="K102" s="74">
        <f>VLOOKUP(C102,Sheet2!B:D,3,FALSE)</f>
        <v>3.5000000000000003E-2</v>
      </c>
      <c r="L102" s="74">
        <f>VLOOKUP(C102,Sheet2!B:E,4,FALSE)</f>
        <v>7</v>
      </c>
      <c r="M102" s="12">
        <f t="shared" si="165"/>
        <v>7.8518154073679698</v>
      </c>
      <c r="N102" s="12">
        <f t="shared" si="166"/>
        <v>7.8518154073679698</v>
      </c>
      <c r="O102" s="56">
        <f t="shared" si="167"/>
        <v>25</v>
      </c>
      <c r="P102" s="12">
        <v>60.999999999999964</v>
      </c>
      <c r="Q102" s="12">
        <f>VLOOKUP(D102,Sheet2!$C$26:$L$38,7,FALSE)</f>
        <v>0</v>
      </c>
      <c r="R102" s="12">
        <f>VLOOKUP(D102,Sheet2!$C$26:$L$38,8,FALSE)</f>
        <v>0</v>
      </c>
      <c r="S102" s="56">
        <f t="shared" si="168"/>
        <v>60.999999999999964</v>
      </c>
      <c r="T102" s="71">
        <f>VLOOKUP(D102,Sheet2!$C$26:$L$38,10,FALSE)</f>
        <v>260</v>
      </c>
      <c r="U102" s="71">
        <f t="shared" si="169"/>
        <v>260</v>
      </c>
      <c r="V102" s="39">
        <f t="shared" si="170"/>
        <v>353033.87851180526</v>
      </c>
      <c r="W102" s="39">
        <f t="shared" si="171"/>
        <v>4.1465874809924794E-2</v>
      </c>
      <c r="X102" s="39">
        <f t="shared" si="172"/>
        <v>5.3556022240061917E-2</v>
      </c>
      <c r="Y102" s="39">
        <f t="shared" si="173"/>
        <v>353033.87851180526</v>
      </c>
      <c r="Z102" s="39">
        <f t="shared" si="174"/>
        <v>4.1465874809924794E-2</v>
      </c>
      <c r="AA102" s="39">
        <f t="shared" si="175"/>
        <v>353033.87851180526</v>
      </c>
      <c r="AB102" s="39">
        <f t="shared" si="176"/>
        <v>4.1465874809924794E-2</v>
      </c>
      <c r="AC102" s="39">
        <f t="shared" si="177"/>
        <v>6.4568016981465748E-2</v>
      </c>
      <c r="AD102" s="38">
        <f t="shared" si="178"/>
        <v>0.70385041250091951</v>
      </c>
      <c r="AE102" s="38">
        <f t="shared" si="179"/>
        <v>8.7410682505999204E-2</v>
      </c>
      <c r="AF102" s="38">
        <f t="shared" si="180"/>
        <v>0.10538374950832315</v>
      </c>
      <c r="AG102" s="38"/>
      <c r="AH102" s="38">
        <f t="shared" si="181"/>
        <v>0.89664484451524196</v>
      </c>
      <c r="AI102" s="38">
        <f t="shared" si="182"/>
        <v>5.6588424210451675</v>
      </c>
      <c r="AJ102" t="s">
        <v>330</v>
      </c>
    </row>
    <row r="103" spans="1:36" ht="16.5" thickBot="1" x14ac:dyDescent="0.35">
      <c r="A103" s="13"/>
      <c r="B103" s="14"/>
      <c r="C103" s="24" t="s">
        <v>234</v>
      </c>
      <c r="D103" s="58" t="str">
        <f>VLOOKUP(C103,Sheet2!B:C,2,FALSE)</f>
        <v>SonoSensor 30 DN25, FL 260 мм Qp 3,5</v>
      </c>
      <c r="E103" s="85" t="str">
        <f>VLOOKUP(C103,Sheet2!B:F,5,FALSE)</f>
        <v xml:space="preserve">фланцевое </v>
      </c>
      <c r="F103" s="57" t="str">
        <f t="shared" si="164"/>
        <v>25-32</v>
      </c>
      <c r="G103" s="8">
        <f t="shared" si="144"/>
        <v>32</v>
      </c>
      <c r="H103" s="8">
        <f>VLOOKUP(C103,Sheet2!B:G,6,FALSE)</f>
        <v>25</v>
      </c>
      <c r="I103" s="15">
        <f>VLOOKUP(C103,Sheet2!B:O,14,FALSE)</f>
        <v>151.13999999999999</v>
      </c>
      <c r="J103" s="15">
        <f>VLOOKUP(C103,Sheet2!B:P,15,FALSE)</f>
        <v>350.75</v>
      </c>
      <c r="K103" s="74">
        <f>VLOOKUP(C103,Sheet2!B:D,3,FALSE)</f>
        <v>3.5000000000000003E-2</v>
      </c>
      <c r="L103" s="74">
        <f>VLOOKUP(C103,Sheet2!B:E,4,FALSE)</f>
        <v>7</v>
      </c>
      <c r="M103" s="12">
        <f t="shared" si="165"/>
        <v>7.8518154073679698</v>
      </c>
      <c r="N103" s="12">
        <f t="shared" si="166"/>
        <v>7.8518154073679698</v>
      </c>
      <c r="O103" s="56">
        <f t="shared" si="167"/>
        <v>25</v>
      </c>
      <c r="P103" s="12">
        <v>60.999999999999964</v>
      </c>
      <c r="Q103" s="12">
        <f>VLOOKUP(D103,Sheet2!$C$26:$L$38,7,FALSE)</f>
        <v>0</v>
      </c>
      <c r="R103" s="12">
        <f>VLOOKUP(D103,Sheet2!$C$26:$L$38,8,FALSE)</f>
        <v>0</v>
      </c>
      <c r="S103" s="56">
        <f t="shared" si="168"/>
        <v>60.999999999999964</v>
      </c>
      <c r="T103" s="71">
        <f>VLOOKUP(D103,Sheet2!$C$26:$L$38,10,FALSE)</f>
        <v>260</v>
      </c>
      <c r="U103" s="71">
        <f t="shared" si="169"/>
        <v>260</v>
      </c>
      <c r="V103" s="39">
        <f t="shared" si="170"/>
        <v>353033.87851180526</v>
      </c>
      <c r="W103" s="39">
        <f t="shared" si="171"/>
        <v>4.1465874809924794E-2</v>
      </c>
      <c r="X103" s="39">
        <f t="shared" si="172"/>
        <v>5.3556022240061917E-2</v>
      </c>
      <c r="Y103" s="39">
        <f t="shared" si="173"/>
        <v>353033.87851180526</v>
      </c>
      <c r="Z103" s="39">
        <f t="shared" si="174"/>
        <v>4.1465874809924794E-2</v>
      </c>
      <c r="AA103" s="39">
        <f t="shared" si="175"/>
        <v>353033.87851180526</v>
      </c>
      <c r="AB103" s="39">
        <f t="shared" si="176"/>
        <v>4.1465874809924794E-2</v>
      </c>
      <c r="AC103" s="39">
        <f t="shared" si="177"/>
        <v>6.4568016981465748E-2</v>
      </c>
      <c r="AD103" s="38">
        <f t="shared" si="178"/>
        <v>0.70385041250091951</v>
      </c>
      <c r="AE103" s="38">
        <f t="shared" si="179"/>
        <v>8.7410682505999204E-2</v>
      </c>
      <c r="AF103" s="38">
        <f t="shared" si="180"/>
        <v>0.10538374950832315</v>
      </c>
      <c r="AG103" s="38"/>
      <c r="AH103" s="38">
        <f t="shared" si="181"/>
        <v>0.89664484451524196</v>
      </c>
      <c r="AI103" s="38">
        <f t="shared" si="182"/>
        <v>5.6588424210451675</v>
      </c>
      <c r="AJ103" t="s">
        <v>330</v>
      </c>
    </row>
    <row r="104" spans="1:36" ht="16.5" thickBot="1" x14ac:dyDescent="0.35">
      <c r="A104" s="13"/>
      <c r="B104" s="14"/>
      <c r="C104" s="24" t="s">
        <v>235</v>
      </c>
      <c r="D104" s="58" t="str">
        <f>VLOOKUP(C104,Sheet2!B:C,2,FALSE)</f>
        <v>SonoSensor 30 DN25, G5/4, 260 мм Qp 6</v>
      </c>
      <c r="E104" s="85" t="str">
        <f>VLOOKUP(C104,Sheet2!B:F,5,FALSE)</f>
        <v xml:space="preserve">резьбовое </v>
      </c>
      <c r="F104" s="57" t="str">
        <f t="shared" si="164"/>
        <v>25-32</v>
      </c>
      <c r="G104" s="8">
        <f t="shared" si="144"/>
        <v>32</v>
      </c>
      <c r="H104" s="8">
        <f>VLOOKUP(C104,Sheet2!B:G,6,FALSE)</f>
        <v>25</v>
      </c>
      <c r="I104" s="15">
        <f>VLOOKUP(C104,Sheet2!B:O,14,FALSE)</f>
        <v>123.21</v>
      </c>
      <c r="J104" s="15">
        <f>VLOOKUP(C104,Sheet2!B:P,15,FALSE)</f>
        <v>292</v>
      </c>
      <c r="K104" s="74">
        <f>VLOOKUP(C104,Sheet2!B:D,3,FALSE)</f>
        <v>0.06</v>
      </c>
      <c r="L104" s="74">
        <f>VLOOKUP(C104,Sheet2!B:E,4,FALSE)</f>
        <v>12</v>
      </c>
      <c r="M104" s="12">
        <f t="shared" si="165"/>
        <v>7.8518154073679698</v>
      </c>
      <c r="N104" s="12">
        <f t="shared" si="166"/>
        <v>7.8518154073679698</v>
      </c>
      <c r="O104" s="56">
        <f t="shared" si="167"/>
        <v>25</v>
      </c>
      <c r="P104" s="12">
        <v>60.999999999999964</v>
      </c>
      <c r="Q104" s="12">
        <f>VLOOKUP(D104,Sheet2!$C$26:$L$38,7,FALSE)</f>
        <v>0</v>
      </c>
      <c r="R104" s="12">
        <f>VLOOKUP(D104,Sheet2!$C$26:$L$38,8,FALSE)</f>
        <v>0</v>
      </c>
      <c r="S104" s="56">
        <f t="shared" si="168"/>
        <v>60.999999999999964</v>
      </c>
      <c r="T104" s="71">
        <f>VLOOKUP(D104,Sheet2!$C$26:$L$38,10,FALSE)</f>
        <v>260</v>
      </c>
      <c r="U104" s="71">
        <f t="shared" si="169"/>
        <v>260</v>
      </c>
      <c r="V104" s="39">
        <f t="shared" si="170"/>
        <v>353033.87851180526</v>
      </c>
      <c r="W104" s="39">
        <f t="shared" si="171"/>
        <v>4.1465874809924794E-2</v>
      </c>
      <c r="X104" s="39">
        <f t="shared" si="172"/>
        <v>5.3556022240061917E-2</v>
      </c>
      <c r="Y104" s="39">
        <f t="shared" si="173"/>
        <v>353033.87851180526</v>
      </c>
      <c r="Z104" s="39">
        <f t="shared" si="174"/>
        <v>4.1465874809924794E-2</v>
      </c>
      <c r="AA104" s="39">
        <f t="shared" si="175"/>
        <v>353033.87851180526</v>
      </c>
      <c r="AB104" s="39">
        <f t="shared" si="176"/>
        <v>4.1465874809924794E-2</v>
      </c>
      <c r="AC104" s="39">
        <f t="shared" si="177"/>
        <v>6.4568016981465748E-2</v>
      </c>
      <c r="AD104" s="38">
        <f t="shared" si="178"/>
        <v>0.70385041250091951</v>
      </c>
      <c r="AE104" s="38">
        <f t="shared" si="179"/>
        <v>8.7410682505999204E-2</v>
      </c>
      <c r="AF104" s="38">
        <f t="shared" si="180"/>
        <v>0.10538374950832315</v>
      </c>
      <c r="AG104" s="38"/>
      <c r="AH104" s="38">
        <f t="shared" si="181"/>
        <v>0.89664484451524196</v>
      </c>
      <c r="AI104" s="38">
        <f t="shared" si="182"/>
        <v>5.6588424210451675</v>
      </c>
      <c r="AJ104" t="s">
        <v>330</v>
      </c>
    </row>
    <row r="105" spans="1:36" ht="16.5" thickBot="1" x14ac:dyDescent="0.35">
      <c r="A105" s="13"/>
      <c r="B105" s="14"/>
      <c r="C105" s="24" t="s">
        <v>236</v>
      </c>
      <c r="D105" s="58" t="str">
        <f>VLOOKUP(C105,Sheet2!B:C,2,FALSE)</f>
        <v>SonoSensor 30 DN32, FL 260 мм Qp 6</v>
      </c>
      <c r="E105" s="85" t="str">
        <f>VLOOKUP(C105,Sheet2!B:F,5,FALSE)</f>
        <v xml:space="preserve">фланцевое </v>
      </c>
      <c r="F105" s="57" t="str">
        <f t="shared" si="164"/>
        <v>32-32</v>
      </c>
      <c r="G105" s="8">
        <f t="shared" si="144"/>
        <v>32</v>
      </c>
      <c r="H105" s="8">
        <f>VLOOKUP(C105,Sheet2!B:G,6,FALSE)</f>
        <v>32</v>
      </c>
      <c r="I105" s="15">
        <f>VLOOKUP(C105,Sheet2!B:O,14,FALSE)</f>
        <v>155.38999999999999</v>
      </c>
      <c r="J105" s="15">
        <f>VLOOKUP(C105,Sheet2!B:P,15,FALSE)</f>
        <v>364</v>
      </c>
      <c r="K105" s="74">
        <f>VLOOKUP(C105,Sheet2!B:D,3,FALSE)</f>
        <v>0.06</v>
      </c>
      <c r="L105" s="74">
        <f>VLOOKUP(C105,Sheet2!B:E,4,FALSE)</f>
        <v>12</v>
      </c>
      <c r="M105" s="12">
        <f>DEGREES(2*ATAN((G105-H105)/(2*(P105-10))))</f>
        <v>0</v>
      </c>
      <c r="N105" s="12">
        <f t="shared" si="166"/>
        <v>0</v>
      </c>
      <c r="O105" s="56">
        <f t="shared" si="167"/>
        <v>32</v>
      </c>
      <c r="P105" s="12">
        <v>0</v>
      </c>
      <c r="Q105" s="12">
        <f>VLOOKUP(D105,Sheet2!$C$26:$L$38,7,FALSE)</f>
        <v>0</v>
      </c>
      <c r="R105" s="12">
        <f>VLOOKUP(D105,Sheet2!$C$26:$L$38,8,FALSE)</f>
        <v>0</v>
      </c>
      <c r="S105" s="56">
        <f t="shared" si="168"/>
        <v>0</v>
      </c>
      <c r="T105" s="71">
        <f>VLOOKUP(D105,Sheet2!$C$26:$L$38,10,FALSE)</f>
        <v>260</v>
      </c>
      <c r="U105" s="71">
        <f t="shared" si="169"/>
        <v>260</v>
      </c>
      <c r="V105" s="39">
        <f t="shared" si="170"/>
        <v>275807.7175873479</v>
      </c>
      <c r="W105" s="39">
        <f t="shared" si="171"/>
        <v>3.9043389274015572E-2</v>
      </c>
      <c r="X105" s="39">
        <f t="shared" si="172"/>
        <v>0</v>
      </c>
      <c r="Y105" s="39">
        <f t="shared" si="173"/>
        <v>275807.7175873479</v>
      </c>
      <c r="Z105" s="39">
        <f t="shared" si="174"/>
        <v>3.9043389274015572E-2</v>
      </c>
      <c r="AA105" s="39">
        <f t="shared" si="175"/>
        <v>275807.7175873479</v>
      </c>
      <c r="AB105" s="39">
        <f t="shared" si="176"/>
        <v>3.9043389274015572E-2</v>
      </c>
      <c r="AC105" s="39">
        <f t="shared" si="177"/>
        <v>0</v>
      </c>
      <c r="AD105" s="38">
        <f t="shared" si="178"/>
        <v>0.19288000111351786</v>
      </c>
      <c r="AE105" s="38">
        <f t="shared" si="179"/>
        <v>0</v>
      </c>
      <c r="AF105" s="38">
        <f t="shared" si="180"/>
        <v>0</v>
      </c>
      <c r="AG105" s="38"/>
      <c r="AH105" s="38">
        <f t="shared" si="181"/>
        <v>0.19288000111351786</v>
      </c>
      <c r="AI105" s="38">
        <f t="shared" si="182"/>
        <v>3.4538833136262008</v>
      </c>
      <c r="AJ105" t="s">
        <v>330</v>
      </c>
    </row>
    <row r="106" spans="1:36" ht="16.5" thickBot="1" x14ac:dyDescent="0.35">
      <c r="A106" s="16">
        <v>40</v>
      </c>
      <c r="B106" s="17">
        <v>7</v>
      </c>
      <c r="C106" s="14" t="s">
        <v>232</v>
      </c>
      <c r="D106" s="58" t="str">
        <f>VLOOKUP(C106,Sheet2!B:C,2,FALSE)</f>
        <v>SonoSensor 30 DN20, G1, 130 мм Qp 2,5</v>
      </c>
      <c r="E106" s="85" t="str">
        <f>VLOOKUP(C106,Sheet2!B:F,5,FALSE)</f>
        <v xml:space="preserve">резьбовое </v>
      </c>
      <c r="F106" s="57" t="str">
        <f t="shared" si="164"/>
        <v>20-40</v>
      </c>
      <c r="G106" s="8">
        <f t="shared" si="144"/>
        <v>40</v>
      </c>
      <c r="H106" s="8">
        <f>VLOOKUP(C106,Sheet2!B:G,6,FALSE)</f>
        <v>20</v>
      </c>
      <c r="I106" s="15">
        <f>VLOOKUP(C106,Sheet2!B:O,14,FALSE)</f>
        <v>57.42</v>
      </c>
      <c r="J106" s="15">
        <f>VLOOKUP(C106,Sheet2!B:P,15,FALSE)</f>
        <v>255.29999999999998</v>
      </c>
      <c r="K106" s="74">
        <f>VLOOKUP(C106,Sheet2!B:D,3,FALSE)</f>
        <v>2.5000000000000001E-2</v>
      </c>
      <c r="L106" s="74">
        <f>VLOOKUP(C106,Sheet2!B:E,4,FALSE)</f>
        <v>5</v>
      </c>
      <c r="M106" s="12">
        <f t="shared" si="165"/>
        <v>36.86989764584402</v>
      </c>
      <c r="N106" s="12">
        <f t="shared" si="166"/>
        <v>36.86989764584402</v>
      </c>
      <c r="O106" s="56">
        <f t="shared" si="167"/>
        <v>20</v>
      </c>
      <c r="P106" s="12">
        <v>40</v>
      </c>
      <c r="Q106" s="12">
        <f>VLOOKUP(D106,Sheet2!$C$26:$L$38,7,FALSE)</f>
        <v>0</v>
      </c>
      <c r="R106" s="12">
        <f>VLOOKUP(D106,Sheet2!$C$26:$L$38,8,FALSE)</f>
        <v>0</v>
      </c>
      <c r="S106" s="56">
        <f t="shared" si="168"/>
        <v>40</v>
      </c>
      <c r="T106" s="71">
        <f>VLOOKUP(D106,Sheet2!$C$26:$L$38,10,FALSE)</f>
        <v>130</v>
      </c>
      <c r="U106" s="71">
        <f t="shared" si="169"/>
        <v>130</v>
      </c>
      <c r="V106" s="39">
        <f t="shared" si="170"/>
        <v>441292.34813975659</v>
      </c>
      <c r="W106" s="39">
        <f t="shared" si="171"/>
        <v>4.3807134899537192E-2</v>
      </c>
      <c r="X106" s="39">
        <f t="shared" si="172"/>
        <v>7.3146609820675459E-2</v>
      </c>
      <c r="Y106" s="39">
        <f t="shared" si="173"/>
        <v>441292.34813975659</v>
      </c>
      <c r="Z106" s="39">
        <f t="shared" si="174"/>
        <v>4.3807134899537192E-2</v>
      </c>
      <c r="AA106" s="39">
        <f t="shared" si="175"/>
        <v>441292.34813975659</v>
      </c>
      <c r="AB106" s="39">
        <f t="shared" si="176"/>
        <v>4.3807134899537192E-2</v>
      </c>
      <c r="AC106" s="39">
        <f t="shared" si="177"/>
        <v>0.47213543374042299</v>
      </c>
      <c r="AD106" s="38">
        <f t="shared" si="178"/>
        <v>1.1346305082054546</v>
      </c>
      <c r="AE106" s="38">
        <f t="shared" si="179"/>
        <v>0.29146771240195996</v>
      </c>
      <c r="AF106" s="38">
        <f t="shared" si="180"/>
        <v>1.8813207495685063</v>
      </c>
      <c r="AG106" s="38"/>
      <c r="AH106" s="38">
        <f t="shared" si="181"/>
        <v>3.3074189701759211</v>
      </c>
      <c r="AI106" s="38">
        <f t="shared" si="182"/>
        <v>8.8419412828830737</v>
      </c>
      <c r="AJ106" t="s">
        <v>330</v>
      </c>
    </row>
    <row r="107" spans="1:36" ht="16.5" thickBot="1" x14ac:dyDescent="0.35">
      <c r="A107" s="13"/>
      <c r="B107" s="14"/>
      <c r="C107" s="24" t="s">
        <v>233</v>
      </c>
      <c r="D107" s="58" t="str">
        <f>VLOOKUP(C107,Sheet2!B:C,2,FALSE)</f>
        <v>SonoSensor 30 DN25, G5/4, 260 мм Qp 3,5</v>
      </c>
      <c r="E107" s="85" t="str">
        <f>VLOOKUP(C107,Sheet2!B:F,5,FALSE)</f>
        <v xml:space="preserve">резьбовое </v>
      </c>
      <c r="F107" s="57" t="str">
        <f t="shared" si="164"/>
        <v>25-40</v>
      </c>
      <c r="G107" s="8">
        <f t="shared" si="144"/>
        <v>40</v>
      </c>
      <c r="H107" s="8">
        <f>VLOOKUP(C107,Sheet2!B:G,6,FALSE)</f>
        <v>25</v>
      </c>
      <c r="I107" s="15">
        <f>VLOOKUP(C107,Sheet2!B:O,14,FALSE)</f>
        <v>118.96</v>
      </c>
      <c r="J107" s="15">
        <f>VLOOKUP(C107,Sheet2!B:P,15,FALSE)</f>
        <v>272.55</v>
      </c>
      <c r="K107" s="74">
        <f>VLOOKUP(C107,Sheet2!B:D,3,FALSE)</f>
        <v>3.5000000000000003E-2</v>
      </c>
      <c r="L107" s="74">
        <f>VLOOKUP(C107,Sheet2!B:E,4,FALSE)</f>
        <v>7</v>
      </c>
      <c r="M107" s="12">
        <f t="shared" si="165"/>
        <v>13.367728216068237</v>
      </c>
      <c r="N107" s="12">
        <f t="shared" si="166"/>
        <v>13.367728216068237</v>
      </c>
      <c r="O107" s="56">
        <f t="shared" si="167"/>
        <v>25</v>
      </c>
      <c r="P107" s="12">
        <v>74</v>
      </c>
      <c r="Q107" s="12">
        <f>VLOOKUP(D107,Sheet2!$C$26:$L$38,7,FALSE)</f>
        <v>0</v>
      </c>
      <c r="R107" s="12">
        <f>VLOOKUP(D107,Sheet2!$C$26:$L$38,8,FALSE)</f>
        <v>0</v>
      </c>
      <c r="S107" s="56">
        <f t="shared" si="168"/>
        <v>74</v>
      </c>
      <c r="T107" s="71">
        <f>VLOOKUP(D107,Sheet2!$C$26:$L$38,10,FALSE)</f>
        <v>260</v>
      </c>
      <c r="U107" s="71">
        <f t="shared" si="169"/>
        <v>260</v>
      </c>
      <c r="V107" s="39">
        <f t="shared" si="170"/>
        <v>353033.87851180526</v>
      </c>
      <c r="W107" s="39">
        <f t="shared" si="171"/>
        <v>4.1465874809924794E-2</v>
      </c>
      <c r="X107" s="39">
        <f t="shared" si="172"/>
        <v>5.31093022695803E-2</v>
      </c>
      <c r="Y107" s="39">
        <f t="shared" si="173"/>
        <v>353033.87851180526</v>
      </c>
      <c r="Z107" s="39">
        <f t="shared" si="174"/>
        <v>4.1465874809924794E-2</v>
      </c>
      <c r="AA107" s="39">
        <f t="shared" si="175"/>
        <v>353033.87851180526</v>
      </c>
      <c r="AB107" s="39">
        <f t="shared" si="176"/>
        <v>4.1465874809924794E-2</v>
      </c>
      <c r="AC107" s="39">
        <f t="shared" si="177"/>
        <v>0.11921209020031609</v>
      </c>
      <c r="AD107" s="38">
        <f t="shared" si="178"/>
        <v>0.70385041250091951</v>
      </c>
      <c r="AE107" s="38">
        <f t="shared" si="179"/>
        <v>8.6681575005561118E-2</v>
      </c>
      <c r="AF107" s="38">
        <f t="shared" si="180"/>
        <v>0.19457027858916509</v>
      </c>
      <c r="AG107" s="38"/>
      <c r="AH107" s="38">
        <f t="shared" si="181"/>
        <v>0.98510226609564577</v>
      </c>
      <c r="AI107" s="38">
        <f t="shared" si="182"/>
        <v>5.6588424210451675</v>
      </c>
      <c r="AJ107" t="s">
        <v>330</v>
      </c>
    </row>
    <row r="108" spans="1:36" ht="16.5" thickBot="1" x14ac:dyDescent="0.35">
      <c r="A108" s="13"/>
      <c r="B108" s="14"/>
      <c r="C108" s="24" t="s">
        <v>234</v>
      </c>
      <c r="D108" s="58" t="str">
        <f>VLOOKUP(C108,Sheet2!B:C,2,FALSE)</f>
        <v>SonoSensor 30 DN25, FL 260 мм Qp 3,5</v>
      </c>
      <c r="E108" s="85" t="str">
        <f>VLOOKUP(C108,Sheet2!B:F,5,FALSE)</f>
        <v xml:space="preserve">фланцевое </v>
      </c>
      <c r="F108" s="57" t="str">
        <f t="shared" si="164"/>
        <v>25-40</v>
      </c>
      <c r="G108" s="8">
        <f t="shared" si="144"/>
        <v>40</v>
      </c>
      <c r="H108" s="8">
        <f>VLOOKUP(C108,Sheet2!B:G,6,FALSE)</f>
        <v>25</v>
      </c>
      <c r="I108" s="15">
        <f>VLOOKUP(C108,Sheet2!B:O,14,FALSE)</f>
        <v>151.13999999999999</v>
      </c>
      <c r="J108" s="15">
        <f>VLOOKUP(C108,Sheet2!B:P,15,FALSE)</f>
        <v>350.75</v>
      </c>
      <c r="K108" s="74">
        <f>VLOOKUP(C108,Sheet2!B:D,3,FALSE)</f>
        <v>3.5000000000000003E-2</v>
      </c>
      <c r="L108" s="74">
        <f>VLOOKUP(C108,Sheet2!B:E,4,FALSE)</f>
        <v>7</v>
      </c>
      <c r="M108" s="12">
        <f t="shared" si="165"/>
        <v>13.367728216068237</v>
      </c>
      <c r="N108" s="12">
        <f t="shared" si="166"/>
        <v>13.367728216068237</v>
      </c>
      <c r="O108" s="56">
        <f t="shared" si="167"/>
        <v>25</v>
      </c>
      <c r="P108" s="12">
        <v>74</v>
      </c>
      <c r="Q108" s="12">
        <f>VLOOKUP(D108,Sheet2!$C$26:$L$38,7,FALSE)</f>
        <v>0</v>
      </c>
      <c r="R108" s="12">
        <f>VLOOKUP(D108,Sheet2!$C$26:$L$38,8,FALSE)</f>
        <v>0</v>
      </c>
      <c r="S108" s="56">
        <f t="shared" si="168"/>
        <v>74</v>
      </c>
      <c r="T108" s="71">
        <f>VLOOKUP(D108,Sheet2!$C$26:$L$38,10,FALSE)</f>
        <v>260</v>
      </c>
      <c r="U108" s="71">
        <f t="shared" si="169"/>
        <v>260</v>
      </c>
      <c r="V108" s="39">
        <f t="shared" si="170"/>
        <v>353033.87851180526</v>
      </c>
      <c r="W108" s="39">
        <f t="shared" si="171"/>
        <v>4.1465874809924794E-2</v>
      </c>
      <c r="X108" s="39">
        <f t="shared" si="172"/>
        <v>5.31093022695803E-2</v>
      </c>
      <c r="Y108" s="39">
        <f t="shared" si="173"/>
        <v>353033.87851180526</v>
      </c>
      <c r="Z108" s="39">
        <f t="shared" si="174"/>
        <v>4.1465874809924794E-2</v>
      </c>
      <c r="AA108" s="39">
        <f t="shared" si="175"/>
        <v>353033.87851180526</v>
      </c>
      <c r="AB108" s="39">
        <f t="shared" si="176"/>
        <v>4.1465874809924794E-2</v>
      </c>
      <c r="AC108" s="39">
        <f t="shared" si="177"/>
        <v>0.11921209020031609</v>
      </c>
      <c r="AD108" s="38">
        <f t="shared" si="178"/>
        <v>0.70385041250091951</v>
      </c>
      <c r="AE108" s="38">
        <f t="shared" si="179"/>
        <v>8.6681575005561118E-2</v>
      </c>
      <c r="AF108" s="38">
        <f t="shared" si="180"/>
        <v>0.19457027858916509</v>
      </c>
      <c r="AG108" s="38"/>
      <c r="AH108" s="38">
        <f t="shared" si="181"/>
        <v>0.98510226609564577</v>
      </c>
      <c r="AI108" s="38">
        <f t="shared" si="182"/>
        <v>5.6588424210451675</v>
      </c>
      <c r="AJ108" t="s">
        <v>330</v>
      </c>
    </row>
    <row r="109" spans="1:36" ht="16.5" thickBot="1" x14ac:dyDescent="0.35">
      <c r="A109" s="13"/>
      <c r="B109" s="14"/>
      <c r="C109" s="24" t="s">
        <v>235</v>
      </c>
      <c r="D109" s="58" t="str">
        <f>VLOOKUP(C109,Sheet2!B:C,2,FALSE)</f>
        <v>SonoSensor 30 DN25, G5/4, 260 мм Qp 6</v>
      </c>
      <c r="E109" s="85" t="str">
        <f>VLOOKUP(C109,Sheet2!B:F,5,FALSE)</f>
        <v xml:space="preserve">резьбовое </v>
      </c>
      <c r="F109" s="57" t="str">
        <f t="shared" si="164"/>
        <v>25-40</v>
      </c>
      <c r="G109" s="8">
        <f t="shared" si="144"/>
        <v>40</v>
      </c>
      <c r="H109" s="8">
        <f>VLOOKUP(C109,Sheet2!B:G,6,FALSE)</f>
        <v>25</v>
      </c>
      <c r="I109" s="15">
        <f>VLOOKUP(C109,Sheet2!B:O,14,FALSE)</f>
        <v>123.21</v>
      </c>
      <c r="J109" s="15">
        <f>VLOOKUP(C109,Sheet2!B:P,15,FALSE)</f>
        <v>292</v>
      </c>
      <c r="K109" s="74">
        <f>VLOOKUP(C109,Sheet2!B:D,3,FALSE)</f>
        <v>0.06</v>
      </c>
      <c r="L109" s="74">
        <f>VLOOKUP(C109,Sheet2!B:E,4,FALSE)</f>
        <v>12</v>
      </c>
      <c r="M109" s="12">
        <f t="shared" si="165"/>
        <v>13.367728216068237</v>
      </c>
      <c r="N109" s="12">
        <f t="shared" si="166"/>
        <v>13.367728216068237</v>
      </c>
      <c r="O109" s="56">
        <f t="shared" si="167"/>
        <v>25</v>
      </c>
      <c r="P109" s="12">
        <v>74</v>
      </c>
      <c r="Q109" s="12">
        <f>VLOOKUP(D109,Sheet2!$C$26:$L$38,7,FALSE)</f>
        <v>0</v>
      </c>
      <c r="R109" s="12">
        <f>VLOOKUP(D109,Sheet2!$C$26:$L$38,8,FALSE)</f>
        <v>0</v>
      </c>
      <c r="S109" s="56">
        <f t="shared" si="168"/>
        <v>74</v>
      </c>
      <c r="T109" s="71">
        <f>VLOOKUP(D109,Sheet2!$C$26:$L$38,10,FALSE)</f>
        <v>260</v>
      </c>
      <c r="U109" s="71">
        <f t="shared" si="169"/>
        <v>260</v>
      </c>
      <c r="V109" s="39">
        <f t="shared" si="170"/>
        <v>353033.87851180526</v>
      </c>
      <c r="W109" s="39">
        <f t="shared" si="171"/>
        <v>4.1465874809924794E-2</v>
      </c>
      <c r="X109" s="39">
        <f t="shared" si="172"/>
        <v>5.31093022695803E-2</v>
      </c>
      <c r="Y109" s="39">
        <f t="shared" si="173"/>
        <v>353033.87851180526</v>
      </c>
      <c r="Z109" s="39">
        <f t="shared" si="174"/>
        <v>4.1465874809924794E-2</v>
      </c>
      <c r="AA109" s="39">
        <f t="shared" si="175"/>
        <v>353033.87851180526</v>
      </c>
      <c r="AB109" s="39">
        <f t="shared" si="176"/>
        <v>4.1465874809924794E-2</v>
      </c>
      <c r="AC109" s="39">
        <f t="shared" si="177"/>
        <v>0.11921209020031609</v>
      </c>
      <c r="AD109" s="38">
        <f t="shared" si="178"/>
        <v>0.70385041250091951</v>
      </c>
      <c r="AE109" s="38">
        <f t="shared" si="179"/>
        <v>8.6681575005561118E-2</v>
      </c>
      <c r="AF109" s="38">
        <f t="shared" si="180"/>
        <v>0.19457027858916509</v>
      </c>
      <c r="AG109" s="38"/>
      <c r="AH109" s="38">
        <f t="shared" si="181"/>
        <v>0.98510226609564577</v>
      </c>
      <c r="AI109" s="38">
        <f t="shared" si="182"/>
        <v>5.6588424210451675</v>
      </c>
      <c r="AJ109" t="s">
        <v>330</v>
      </c>
    </row>
    <row r="110" spans="1:36" ht="16.5" thickBot="1" x14ac:dyDescent="0.35">
      <c r="A110" s="13"/>
      <c r="B110" s="14"/>
      <c r="C110" s="24" t="s">
        <v>236</v>
      </c>
      <c r="D110" s="58" t="str">
        <f>VLOOKUP(C110,Sheet2!B:C,2,FALSE)</f>
        <v>SonoSensor 30 DN32, FL 260 мм Qp 6</v>
      </c>
      <c r="E110" s="85" t="str">
        <f>VLOOKUP(C110,Sheet2!B:F,5,FALSE)</f>
        <v xml:space="preserve">фланцевое </v>
      </c>
      <c r="F110" s="57" t="str">
        <f t="shared" si="164"/>
        <v>32-40</v>
      </c>
      <c r="G110" s="8">
        <f t="shared" si="144"/>
        <v>40</v>
      </c>
      <c r="H110" s="8">
        <f>VLOOKUP(C110,Sheet2!B:G,6,FALSE)</f>
        <v>32</v>
      </c>
      <c r="I110" s="15">
        <f>VLOOKUP(C110,Sheet2!B:O,14,FALSE)</f>
        <v>155.38999999999999</v>
      </c>
      <c r="J110" s="15">
        <f>VLOOKUP(C110,Sheet2!B:P,15,FALSE)</f>
        <v>364</v>
      </c>
      <c r="K110" s="74">
        <f>VLOOKUP(C110,Sheet2!B:D,3,FALSE)</f>
        <v>0.06</v>
      </c>
      <c r="L110" s="74">
        <f>VLOOKUP(C110,Sheet2!B:E,4,FALSE)</f>
        <v>12</v>
      </c>
      <c r="M110" s="12">
        <f t="shared" si="165"/>
        <v>15.189286737182897</v>
      </c>
      <c r="N110" s="12">
        <f t="shared" si="166"/>
        <v>15.189286737182897</v>
      </c>
      <c r="O110" s="56">
        <f t="shared" si="167"/>
        <v>32</v>
      </c>
      <c r="P110" s="12">
        <v>39.999999999999986</v>
      </c>
      <c r="Q110" s="12">
        <f>VLOOKUP(D110,Sheet2!$C$26:$L$38,7,FALSE)</f>
        <v>0</v>
      </c>
      <c r="R110" s="12">
        <f>VLOOKUP(D110,Sheet2!$C$26:$L$38,8,FALSE)</f>
        <v>0</v>
      </c>
      <c r="S110" s="56">
        <f t="shared" si="168"/>
        <v>39.999999999999986</v>
      </c>
      <c r="T110" s="71">
        <f>VLOOKUP(D110,Sheet2!$C$26:$L$38,10,FALSE)</f>
        <v>260</v>
      </c>
      <c r="U110" s="71">
        <f t="shared" si="169"/>
        <v>260</v>
      </c>
      <c r="V110" s="39">
        <f t="shared" si="170"/>
        <v>275807.7175873479</v>
      </c>
      <c r="W110" s="39">
        <f t="shared" si="171"/>
        <v>3.9043389274015572E-2</v>
      </c>
      <c r="X110" s="39">
        <f t="shared" si="172"/>
        <v>3.3464822788690077E-2</v>
      </c>
      <c r="Y110" s="39">
        <f t="shared" si="173"/>
        <v>275807.7175873479</v>
      </c>
      <c r="Z110" s="39">
        <f t="shared" si="174"/>
        <v>3.9043389274015572E-2</v>
      </c>
      <c r="AA110" s="39">
        <f t="shared" si="175"/>
        <v>275807.7175873479</v>
      </c>
      <c r="AB110" s="39">
        <f t="shared" si="176"/>
        <v>3.9043389274015572E-2</v>
      </c>
      <c r="AC110" s="39">
        <f t="shared" si="177"/>
        <v>5.5215757989657638E-2</v>
      </c>
      <c r="AD110" s="38">
        <f t="shared" si="178"/>
        <v>0.19288000111351786</v>
      </c>
      <c r="AE110" s="38">
        <f t="shared" si="179"/>
        <v>2.0347209137216493E-2</v>
      </c>
      <c r="AF110" s="38">
        <f t="shared" si="180"/>
        <v>3.3572165691108789E-2</v>
      </c>
      <c r="AG110" s="38"/>
      <c r="AH110" s="38">
        <f t="shared" si="181"/>
        <v>0.24679937594184315</v>
      </c>
      <c r="AI110" s="38">
        <f t="shared" si="182"/>
        <v>3.4538833136262008</v>
      </c>
      <c r="AJ110" t="s">
        <v>330</v>
      </c>
    </row>
    <row r="111" spans="1:36" ht="16.5" thickBot="1" x14ac:dyDescent="0.35">
      <c r="A111" s="13"/>
      <c r="B111" s="14"/>
      <c r="C111" s="24" t="s">
        <v>237</v>
      </c>
      <c r="D111" s="58" t="str">
        <f>VLOOKUP(C111,Sheet2!B:C,2,FALSE)</f>
        <v>SonoSensor 30 DN40, G2, 300 мм Qp 10</v>
      </c>
      <c r="E111" s="85" t="str">
        <f>VLOOKUP(C111,Sheet2!B:F,5,FALSE)</f>
        <v xml:space="preserve">резьбовое </v>
      </c>
      <c r="F111" s="57" t="str">
        <f t="shared" si="164"/>
        <v>40-40</v>
      </c>
      <c r="G111" s="8">
        <f t="shared" si="144"/>
        <v>40</v>
      </c>
      <c r="H111" s="8">
        <f>VLOOKUP(C111,Sheet2!B:G,6,FALSE)</f>
        <v>40</v>
      </c>
      <c r="I111" s="15">
        <f>VLOOKUP(C111,Sheet2!B:O,14,FALSE)</f>
        <v>152.34</v>
      </c>
      <c r="J111" s="15">
        <f>VLOOKUP(C111,Sheet2!B:P,15,FALSE)</f>
        <v>354</v>
      </c>
      <c r="K111" s="74">
        <f>VLOOKUP(C111,Sheet2!B:D,3,FALSE)</f>
        <v>0.1</v>
      </c>
      <c r="L111" s="74">
        <f>VLOOKUP(C111,Sheet2!B:E,4,FALSE)</f>
        <v>20</v>
      </c>
      <c r="M111" s="12">
        <f t="shared" si="165"/>
        <v>0</v>
      </c>
      <c r="N111" s="12">
        <f t="shared" si="166"/>
        <v>0</v>
      </c>
      <c r="O111" s="56">
        <f t="shared" si="167"/>
        <v>40</v>
      </c>
      <c r="P111" s="12">
        <v>0</v>
      </c>
      <c r="Q111" s="12">
        <f>VLOOKUP(D111,Sheet2!$C$26:$L$38,7,FALSE)</f>
        <v>0</v>
      </c>
      <c r="R111" s="12">
        <f>VLOOKUP(D111,Sheet2!$C$26:$L$38,8,FALSE)</f>
        <v>0</v>
      </c>
      <c r="S111" s="56">
        <f t="shared" si="168"/>
        <v>0</v>
      </c>
      <c r="T111" s="71">
        <f>VLOOKUP(D111,Sheet2!$C$26:$L$38,10,FALSE)</f>
        <v>300</v>
      </c>
      <c r="U111" s="71">
        <f t="shared" si="169"/>
        <v>300</v>
      </c>
      <c r="V111" s="39">
        <f t="shared" si="170"/>
        <v>220646.1740698783</v>
      </c>
      <c r="W111" s="39">
        <f t="shared" si="171"/>
        <v>3.7005356225573237E-2</v>
      </c>
      <c r="X111" s="39">
        <f t="shared" si="172"/>
        <v>0</v>
      </c>
      <c r="Y111" s="39">
        <f t="shared" si="173"/>
        <v>220646.1740698783</v>
      </c>
      <c r="Z111" s="39">
        <f t="shared" si="174"/>
        <v>3.7005356225573237E-2</v>
      </c>
      <c r="AA111" s="39">
        <f t="shared" si="175"/>
        <v>220646.1740698783</v>
      </c>
      <c r="AB111" s="39">
        <f t="shared" si="176"/>
        <v>3.7005356225573237E-2</v>
      </c>
      <c r="AC111" s="39">
        <f t="shared" si="177"/>
        <v>0</v>
      </c>
      <c r="AD111" s="38">
        <f t="shared" si="178"/>
        <v>6.9119743844736792E-2</v>
      </c>
      <c r="AE111" s="38">
        <f t="shared" si="179"/>
        <v>0</v>
      </c>
      <c r="AF111" s="38">
        <f t="shared" si="180"/>
        <v>0</v>
      </c>
      <c r="AG111" s="38"/>
      <c r="AH111" s="38">
        <f t="shared" si="181"/>
        <v>6.9119743844736792E-2</v>
      </c>
      <c r="AI111" s="38">
        <f t="shared" si="182"/>
        <v>2.2104853207207684</v>
      </c>
      <c r="AJ111" t="s">
        <v>330</v>
      </c>
    </row>
    <row r="112" spans="1:36" ht="16.5" thickBot="1" x14ac:dyDescent="0.35">
      <c r="A112" s="13"/>
      <c r="B112" s="14"/>
      <c r="C112" s="24" t="s">
        <v>238</v>
      </c>
      <c r="D112" s="58" t="str">
        <f>VLOOKUP(C112,Sheet2!B:C,2,FALSE)</f>
        <v>SonoSensor 30 DN40, FL 300 мм Qp 10</v>
      </c>
      <c r="E112" s="85" t="str">
        <f>VLOOKUP(C112,Sheet2!B:F,5,FALSE)</f>
        <v xml:space="preserve">фланцевое </v>
      </c>
      <c r="F112" s="57" t="str">
        <f t="shared" si="164"/>
        <v>40-40</v>
      </c>
      <c r="G112" s="8">
        <f t="shared" si="144"/>
        <v>40</v>
      </c>
      <c r="H112" s="8">
        <f>VLOOKUP(C112,Sheet2!B:G,6,FALSE)</f>
        <v>40</v>
      </c>
      <c r="I112" s="15">
        <f>VLOOKUP(C112,Sheet2!B:O,14,FALSE)</f>
        <v>178.57</v>
      </c>
      <c r="J112" s="15">
        <f>VLOOKUP(C112,Sheet2!B:P,15,FALSE)</f>
        <v>372.6</v>
      </c>
      <c r="K112" s="74">
        <f>VLOOKUP(C112,Sheet2!B:D,3,FALSE)</f>
        <v>0.1</v>
      </c>
      <c r="L112" s="74">
        <f>VLOOKUP(C112,Sheet2!B:E,4,FALSE)</f>
        <v>20</v>
      </c>
      <c r="M112" s="12">
        <f t="shared" si="165"/>
        <v>0</v>
      </c>
      <c r="N112" s="12">
        <f t="shared" si="166"/>
        <v>0</v>
      </c>
      <c r="O112" s="56">
        <f t="shared" si="167"/>
        <v>40</v>
      </c>
      <c r="P112" s="12">
        <v>0</v>
      </c>
      <c r="Q112" s="12">
        <f>VLOOKUP(D112,Sheet2!$C$26:$L$38,7,FALSE)</f>
        <v>0</v>
      </c>
      <c r="R112" s="12">
        <f>VLOOKUP(D112,Sheet2!$C$26:$L$38,8,FALSE)</f>
        <v>0</v>
      </c>
      <c r="S112" s="56">
        <f t="shared" si="168"/>
        <v>0</v>
      </c>
      <c r="T112" s="71">
        <f>VLOOKUP(D112,Sheet2!$C$26:$L$38,10,FALSE)</f>
        <v>300</v>
      </c>
      <c r="U112" s="71">
        <f t="shared" si="169"/>
        <v>300</v>
      </c>
      <c r="V112" s="39">
        <f t="shared" si="170"/>
        <v>220646.1740698783</v>
      </c>
      <c r="W112" s="39">
        <f t="shared" si="171"/>
        <v>3.7005356225573237E-2</v>
      </c>
      <c r="X112" s="39">
        <f t="shared" si="172"/>
        <v>0</v>
      </c>
      <c r="Y112" s="39">
        <f t="shared" si="173"/>
        <v>220646.1740698783</v>
      </c>
      <c r="Z112" s="39">
        <f t="shared" si="174"/>
        <v>3.7005356225573237E-2</v>
      </c>
      <c r="AA112" s="39">
        <f t="shared" si="175"/>
        <v>220646.1740698783</v>
      </c>
      <c r="AB112" s="39">
        <f t="shared" si="176"/>
        <v>3.7005356225573237E-2</v>
      </c>
      <c r="AC112" s="39">
        <f t="shared" si="177"/>
        <v>0</v>
      </c>
      <c r="AD112" s="38">
        <f t="shared" si="178"/>
        <v>6.9119743844736792E-2</v>
      </c>
      <c r="AE112" s="38">
        <f t="shared" si="179"/>
        <v>0</v>
      </c>
      <c r="AF112" s="38">
        <f t="shared" si="180"/>
        <v>0</v>
      </c>
      <c r="AG112" s="38"/>
      <c r="AH112" s="38">
        <f t="shared" si="181"/>
        <v>6.9119743844736792E-2</v>
      </c>
      <c r="AI112" s="38">
        <f t="shared" si="182"/>
        <v>2.2104853207207684</v>
      </c>
      <c r="AJ112" t="s">
        <v>330</v>
      </c>
    </row>
    <row r="113" spans="1:36" ht="16.5" thickBot="1" x14ac:dyDescent="0.35">
      <c r="A113" s="16">
        <v>50</v>
      </c>
      <c r="B113" s="17">
        <v>8</v>
      </c>
      <c r="C113" s="24" t="s">
        <v>232</v>
      </c>
      <c r="D113" s="58" t="str">
        <f>VLOOKUP(C113,Sheet2!B:C,2,FALSE)</f>
        <v>SonoSensor 30 DN20, G1, 130 мм Qp 2,5</v>
      </c>
      <c r="E113" s="85" t="str">
        <f>VLOOKUP(C113,Sheet2!B:F,5,FALSE)</f>
        <v xml:space="preserve">резьбовое </v>
      </c>
      <c r="F113" s="57" t="str">
        <f t="shared" si="164"/>
        <v>20-50</v>
      </c>
      <c r="G113" s="8">
        <f t="shared" si="144"/>
        <v>50</v>
      </c>
      <c r="H113" s="8">
        <f>VLOOKUP(C113,Sheet2!B:G,6,FALSE)</f>
        <v>20</v>
      </c>
      <c r="I113" s="15">
        <f>VLOOKUP(C113,Sheet2!B:O,14,FALSE)</f>
        <v>57.42</v>
      </c>
      <c r="J113" s="15">
        <f>VLOOKUP(C113,Sheet2!B:P,15,FALSE)</f>
        <v>255.29999999999998</v>
      </c>
      <c r="K113" s="74">
        <f>VLOOKUP(C113,Sheet2!B:D,3,FALSE)</f>
        <v>2.5000000000000001E-2</v>
      </c>
      <c r="L113" s="74">
        <f>VLOOKUP(C113,Sheet2!B:E,4,FALSE)</f>
        <v>5</v>
      </c>
      <c r="M113" s="12">
        <f t="shared" si="165"/>
        <v>36.86989764584402</v>
      </c>
      <c r="N113" s="12">
        <f t="shared" si="166"/>
        <v>36.86989764584402</v>
      </c>
      <c r="O113" s="56">
        <f t="shared" si="167"/>
        <v>20</v>
      </c>
      <c r="P113" s="12">
        <v>55</v>
      </c>
      <c r="Q113" s="12">
        <f>VLOOKUP(D113,Sheet2!$C$26:$L$38,7,FALSE)</f>
        <v>0</v>
      </c>
      <c r="R113" s="12">
        <f>VLOOKUP(D113,Sheet2!$C$26:$L$38,8,FALSE)</f>
        <v>0</v>
      </c>
      <c r="S113" s="56">
        <f t="shared" si="168"/>
        <v>55</v>
      </c>
      <c r="T113" s="71">
        <f>VLOOKUP(D113,Sheet2!$C$26:$L$38,10,FALSE)</f>
        <v>130</v>
      </c>
      <c r="U113" s="71">
        <f t="shared" si="169"/>
        <v>130</v>
      </c>
      <c r="V113" s="39">
        <f t="shared" si="170"/>
        <v>441292.34813975659</v>
      </c>
      <c r="W113" s="39">
        <f t="shared" si="171"/>
        <v>4.3807134899537192E-2</v>
      </c>
      <c r="X113" s="39">
        <f t="shared" si="172"/>
        <v>7.6858233783437438E-2</v>
      </c>
      <c r="Y113" s="39">
        <f t="shared" si="173"/>
        <v>441292.34813975659</v>
      </c>
      <c r="Z113" s="39">
        <f t="shared" si="174"/>
        <v>4.3807134899537192E-2</v>
      </c>
      <c r="AA113" s="39">
        <f t="shared" si="175"/>
        <v>441292.34813975659</v>
      </c>
      <c r="AB113" s="39">
        <f t="shared" si="176"/>
        <v>4.3807134899537192E-2</v>
      </c>
      <c r="AC113" s="39">
        <f t="shared" si="177"/>
        <v>0.58875572391795705</v>
      </c>
      <c r="AD113" s="38">
        <f t="shared" si="178"/>
        <v>1.1346305082054546</v>
      </c>
      <c r="AE113" s="38">
        <f t="shared" si="179"/>
        <v>0.30625744152781681</v>
      </c>
      <c r="AF113" s="38">
        <f t="shared" si="180"/>
        <v>2.3460182834806083</v>
      </c>
      <c r="AG113" s="38"/>
      <c r="AH113" s="38">
        <f t="shared" si="181"/>
        <v>3.7869062332138794</v>
      </c>
      <c r="AI113" s="38">
        <f t="shared" si="182"/>
        <v>8.8419412828830737</v>
      </c>
      <c r="AJ113" t="s">
        <v>330</v>
      </c>
    </row>
    <row r="114" spans="1:36" ht="16.5" thickBot="1" x14ac:dyDescent="0.35">
      <c r="A114" s="13"/>
      <c r="B114" s="14"/>
      <c r="C114" s="24" t="s">
        <v>233</v>
      </c>
      <c r="D114" s="58" t="str">
        <f>VLOOKUP(C114,Sheet2!B:C,2,FALSE)</f>
        <v>SonoSensor 30 DN25, G5/4, 260 мм Qp 3,5</v>
      </c>
      <c r="E114" s="85" t="str">
        <f>VLOOKUP(C114,Sheet2!B:F,5,FALSE)</f>
        <v xml:space="preserve">резьбовое </v>
      </c>
      <c r="F114" s="57" t="str">
        <f t="shared" si="164"/>
        <v>25-50</v>
      </c>
      <c r="G114" s="8">
        <f t="shared" si="144"/>
        <v>50</v>
      </c>
      <c r="H114" s="8">
        <f>VLOOKUP(C114,Sheet2!B:G,6,FALSE)</f>
        <v>25</v>
      </c>
      <c r="I114" s="15">
        <f>VLOOKUP(C114,Sheet2!B:O,14,FALSE)</f>
        <v>118.96</v>
      </c>
      <c r="J114" s="15">
        <f>VLOOKUP(C114,Sheet2!B:P,15,FALSE)</f>
        <v>272.55</v>
      </c>
      <c r="K114" s="74">
        <f>VLOOKUP(C114,Sheet2!B:D,3,FALSE)</f>
        <v>3.5000000000000003E-2</v>
      </c>
      <c r="L114" s="74">
        <f>VLOOKUP(C114,Sheet2!B:E,4,FALSE)</f>
        <v>7</v>
      </c>
      <c r="M114" s="12">
        <f t="shared" si="165"/>
        <v>18.680052345610633</v>
      </c>
      <c r="N114" s="12">
        <f t="shared" si="166"/>
        <v>18.680052345610633</v>
      </c>
      <c r="O114" s="56">
        <f t="shared" si="167"/>
        <v>25</v>
      </c>
      <c r="P114" s="12">
        <v>85.999999999999986</v>
      </c>
      <c r="Q114" s="12">
        <f>VLOOKUP(D114,Sheet2!$C$26:$L$38,7,FALSE)</f>
        <v>0</v>
      </c>
      <c r="R114" s="12">
        <f>VLOOKUP(D114,Sheet2!$C$26:$L$38,8,FALSE)</f>
        <v>0</v>
      </c>
      <c r="S114" s="56">
        <f t="shared" si="168"/>
        <v>85.999999999999986</v>
      </c>
      <c r="T114" s="71">
        <f>VLOOKUP(D114,Sheet2!$C$26:$L$38,10,FALSE)</f>
        <v>260</v>
      </c>
      <c r="U114" s="71">
        <f t="shared" si="169"/>
        <v>260</v>
      </c>
      <c r="V114" s="39">
        <f t="shared" si="170"/>
        <v>353033.87851180526</v>
      </c>
      <c r="W114" s="39">
        <f t="shared" si="171"/>
        <v>4.1465874809924794E-2</v>
      </c>
      <c r="X114" s="39">
        <f t="shared" si="172"/>
        <v>5.5207416569290367E-2</v>
      </c>
      <c r="Y114" s="39">
        <f t="shared" si="173"/>
        <v>353033.87851180526</v>
      </c>
      <c r="Z114" s="39">
        <f t="shared" si="174"/>
        <v>4.1465874809924794E-2</v>
      </c>
      <c r="AA114" s="39">
        <f t="shared" si="175"/>
        <v>353033.87851180526</v>
      </c>
      <c r="AB114" s="39">
        <f t="shared" si="176"/>
        <v>4.1465874809924794E-2</v>
      </c>
      <c r="AC114" s="39">
        <f t="shared" si="177"/>
        <v>0.21847683520510955</v>
      </c>
      <c r="AD114" s="38">
        <f t="shared" si="178"/>
        <v>0.70385041250091951</v>
      </c>
      <c r="AE114" s="38">
        <f t="shared" si="179"/>
        <v>9.0105981734111343E-2</v>
      </c>
      <c r="AF114" s="38">
        <f t="shared" si="180"/>
        <v>0.35658378793382289</v>
      </c>
      <c r="AG114" s="38"/>
      <c r="AH114" s="38">
        <f t="shared" si="181"/>
        <v>1.1505401821688537</v>
      </c>
      <c r="AI114" s="38">
        <f t="shared" si="182"/>
        <v>5.6588424210451675</v>
      </c>
      <c r="AJ114" t="s">
        <v>330</v>
      </c>
    </row>
    <row r="115" spans="1:36" ht="16.5" thickBot="1" x14ac:dyDescent="0.35">
      <c r="A115" s="13"/>
      <c r="B115" s="14"/>
      <c r="C115" s="24" t="s">
        <v>234</v>
      </c>
      <c r="D115" s="58" t="str">
        <f>VLOOKUP(C115,Sheet2!B:C,2,FALSE)</f>
        <v>SonoSensor 30 DN25, FL 260 мм Qp 3,5</v>
      </c>
      <c r="E115" s="85" t="str">
        <f>VLOOKUP(C115,Sheet2!B:F,5,FALSE)</f>
        <v xml:space="preserve">фланцевое </v>
      </c>
      <c r="F115" s="57" t="str">
        <f t="shared" si="164"/>
        <v>25-50</v>
      </c>
      <c r="G115" s="8">
        <f t="shared" si="144"/>
        <v>50</v>
      </c>
      <c r="H115" s="8">
        <f>VLOOKUP(C115,Sheet2!B:G,6,FALSE)</f>
        <v>25</v>
      </c>
      <c r="I115" s="15">
        <f>VLOOKUP(C115,Sheet2!B:O,14,FALSE)</f>
        <v>151.13999999999999</v>
      </c>
      <c r="J115" s="15">
        <f>VLOOKUP(C115,Sheet2!B:P,15,FALSE)</f>
        <v>350.75</v>
      </c>
      <c r="K115" s="74">
        <f>VLOOKUP(C115,Sheet2!B:D,3,FALSE)</f>
        <v>3.5000000000000003E-2</v>
      </c>
      <c r="L115" s="74">
        <f>VLOOKUP(C115,Sheet2!B:E,4,FALSE)</f>
        <v>7</v>
      </c>
      <c r="M115" s="12">
        <f t="shared" si="165"/>
        <v>18.680052345610633</v>
      </c>
      <c r="N115" s="12">
        <f t="shared" si="166"/>
        <v>18.680052345610633</v>
      </c>
      <c r="O115" s="56">
        <f t="shared" si="167"/>
        <v>25</v>
      </c>
      <c r="P115" s="12">
        <v>85.999999999999986</v>
      </c>
      <c r="Q115" s="12">
        <f>VLOOKUP(D115,Sheet2!$C$26:$L$38,7,FALSE)</f>
        <v>0</v>
      </c>
      <c r="R115" s="12">
        <f>VLOOKUP(D115,Sheet2!$C$26:$L$38,8,FALSE)</f>
        <v>0</v>
      </c>
      <c r="S115" s="56">
        <f t="shared" si="168"/>
        <v>85.999999999999986</v>
      </c>
      <c r="T115" s="71">
        <f>VLOOKUP(D115,Sheet2!$C$26:$L$38,10,FALSE)</f>
        <v>260</v>
      </c>
      <c r="U115" s="71">
        <f t="shared" si="169"/>
        <v>260</v>
      </c>
      <c r="V115" s="39">
        <f t="shared" si="170"/>
        <v>353033.87851180526</v>
      </c>
      <c r="W115" s="39">
        <f t="shared" si="171"/>
        <v>4.1465874809924794E-2</v>
      </c>
      <c r="X115" s="39">
        <f t="shared" si="172"/>
        <v>5.5207416569290367E-2</v>
      </c>
      <c r="Y115" s="39">
        <f t="shared" si="173"/>
        <v>353033.87851180526</v>
      </c>
      <c r="Z115" s="39">
        <f t="shared" si="174"/>
        <v>4.1465874809924794E-2</v>
      </c>
      <c r="AA115" s="39">
        <f t="shared" si="175"/>
        <v>353033.87851180526</v>
      </c>
      <c r="AB115" s="39">
        <f t="shared" si="176"/>
        <v>4.1465874809924794E-2</v>
      </c>
      <c r="AC115" s="39">
        <f t="shared" si="177"/>
        <v>0.21847683520510955</v>
      </c>
      <c r="AD115" s="38">
        <f t="shared" si="178"/>
        <v>0.70385041250091951</v>
      </c>
      <c r="AE115" s="38">
        <f t="shared" si="179"/>
        <v>9.0105981734111343E-2</v>
      </c>
      <c r="AF115" s="38">
        <f t="shared" si="180"/>
        <v>0.35658378793382289</v>
      </c>
      <c r="AG115" s="38"/>
      <c r="AH115" s="38">
        <f t="shared" si="181"/>
        <v>1.1505401821688537</v>
      </c>
      <c r="AI115" s="38">
        <f t="shared" si="182"/>
        <v>5.6588424210451675</v>
      </c>
      <c r="AJ115" t="s">
        <v>330</v>
      </c>
    </row>
    <row r="116" spans="1:36" ht="16.5" thickBot="1" x14ac:dyDescent="0.35">
      <c r="A116" s="13"/>
      <c r="B116" s="14"/>
      <c r="C116" s="24" t="s">
        <v>235</v>
      </c>
      <c r="D116" s="58" t="str">
        <f>VLOOKUP(C116,Sheet2!B:C,2,FALSE)</f>
        <v>SonoSensor 30 DN25, G5/4, 260 мм Qp 6</v>
      </c>
      <c r="E116" s="85" t="str">
        <f>VLOOKUP(C116,Sheet2!B:F,5,FALSE)</f>
        <v xml:space="preserve">резьбовое </v>
      </c>
      <c r="F116" s="57" t="str">
        <f t="shared" si="164"/>
        <v>25-50</v>
      </c>
      <c r="G116" s="8">
        <f t="shared" si="144"/>
        <v>50</v>
      </c>
      <c r="H116" s="8">
        <f>VLOOKUP(C116,Sheet2!B:G,6,FALSE)</f>
        <v>25</v>
      </c>
      <c r="I116" s="15">
        <f>VLOOKUP(C116,Sheet2!B:O,14,FALSE)</f>
        <v>123.21</v>
      </c>
      <c r="J116" s="15">
        <f>VLOOKUP(C116,Sheet2!B:P,15,FALSE)</f>
        <v>292</v>
      </c>
      <c r="K116" s="74">
        <f>VLOOKUP(C116,Sheet2!B:D,3,FALSE)</f>
        <v>0.06</v>
      </c>
      <c r="L116" s="74">
        <f>VLOOKUP(C116,Sheet2!B:E,4,FALSE)</f>
        <v>12</v>
      </c>
      <c r="M116" s="12">
        <f t="shared" si="165"/>
        <v>18.680052345610633</v>
      </c>
      <c r="N116" s="12">
        <f t="shared" si="166"/>
        <v>18.680052345610633</v>
      </c>
      <c r="O116" s="56">
        <f t="shared" si="167"/>
        <v>25</v>
      </c>
      <c r="P116" s="12">
        <v>85.999999999999986</v>
      </c>
      <c r="Q116" s="12">
        <f>VLOOKUP(D116,Sheet2!$C$26:$L$38,7,FALSE)</f>
        <v>0</v>
      </c>
      <c r="R116" s="12">
        <f>VLOOKUP(D116,Sheet2!$C$26:$L$38,8,FALSE)</f>
        <v>0</v>
      </c>
      <c r="S116" s="56">
        <f t="shared" si="168"/>
        <v>85.999999999999986</v>
      </c>
      <c r="T116" s="71">
        <f>VLOOKUP(D116,Sheet2!$C$26:$L$38,10,FALSE)</f>
        <v>260</v>
      </c>
      <c r="U116" s="71">
        <f t="shared" si="169"/>
        <v>260</v>
      </c>
      <c r="V116" s="39">
        <f t="shared" si="170"/>
        <v>353033.87851180526</v>
      </c>
      <c r="W116" s="39">
        <f t="shared" si="171"/>
        <v>4.1465874809924794E-2</v>
      </c>
      <c r="X116" s="39">
        <f t="shared" si="172"/>
        <v>5.5207416569290367E-2</v>
      </c>
      <c r="Y116" s="39">
        <f t="shared" si="173"/>
        <v>353033.87851180526</v>
      </c>
      <c r="Z116" s="39">
        <f t="shared" si="174"/>
        <v>4.1465874809924794E-2</v>
      </c>
      <c r="AA116" s="39">
        <f t="shared" si="175"/>
        <v>353033.87851180526</v>
      </c>
      <c r="AB116" s="39">
        <f t="shared" si="176"/>
        <v>4.1465874809924794E-2</v>
      </c>
      <c r="AC116" s="39">
        <f t="shared" si="177"/>
        <v>0.21847683520510955</v>
      </c>
      <c r="AD116" s="38">
        <f t="shared" si="178"/>
        <v>0.70385041250091951</v>
      </c>
      <c r="AE116" s="38">
        <f t="shared" si="179"/>
        <v>9.0105981734111343E-2</v>
      </c>
      <c r="AF116" s="38">
        <f t="shared" si="180"/>
        <v>0.35658378793382289</v>
      </c>
      <c r="AG116" s="38"/>
      <c r="AH116" s="38">
        <f t="shared" si="181"/>
        <v>1.1505401821688537</v>
      </c>
      <c r="AI116" s="38">
        <f t="shared" si="182"/>
        <v>5.6588424210451675</v>
      </c>
      <c r="AJ116" t="s">
        <v>330</v>
      </c>
    </row>
    <row r="117" spans="1:36" ht="16.5" thickBot="1" x14ac:dyDescent="0.35">
      <c r="A117" s="13"/>
      <c r="B117" s="14"/>
      <c r="C117" s="24" t="s">
        <v>236</v>
      </c>
      <c r="D117" s="58" t="str">
        <f>VLOOKUP(C117,Sheet2!B:C,2,FALSE)</f>
        <v>SonoSensor 30 DN32, FL 260 мм Qp 6</v>
      </c>
      <c r="E117" s="85" t="str">
        <f>VLOOKUP(C117,Sheet2!B:F,5,FALSE)</f>
        <v xml:space="preserve">фланцевое </v>
      </c>
      <c r="F117" s="57" t="str">
        <f t="shared" si="164"/>
        <v>32-50</v>
      </c>
      <c r="G117" s="8">
        <f t="shared" si="144"/>
        <v>50</v>
      </c>
      <c r="H117" s="8">
        <f>VLOOKUP(C117,Sheet2!B:G,6,FALSE)</f>
        <v>32</v>
      </c>
      <c r="I117" s="15">
        <f>VLOOKUP(C117,Sheet2!B:O,14,FALSE)</f>
        <v>155.38999999999999</v>
      </c>
      <c r="J117" s="15">
        <f>VLOOKUP(C117,Sheet2!B:P,15,FALSE)</f>
        <v>364</v>
      </c>
      <c r="K117" s="74">
        <f>VLOOKUP(C117,Sheet2!B:D,3,FALSE)</f>
        <v>0.06</v>
      </c>
      <c r="L117" s="74">
        <f>VLOOKUP(C117,Sheet2!B:E,4,FALSE)</f>
        <v>12</v>
      </c>
      <c r="M117" s="12">
        <f t="shared" si="165"/>
        <v>22.619864948040423</v>
      </c>
      <c r="N117" s="12">
        <f t="shared" si="166"/>
        <v>22.619864948040423</v>
      </c>
      <c r="O117" s="56">
        <f t="shared" si="167"/>
        <v>32</v>
      </c>
      <c r="P117" s="12">
        <v>55.000000000000007</v>
      </c>
      <c r="Q117" s="12">
        <f>VLOOKUP(D117,Sheet2!$C$26:$L$38,7,FALSE)</f>
        <v>0</v>
      </c>
      <c r="R117" s="12">
        <f>VLOOKUP(D117,Sheet2!$C$26:$L$38,8,FALSE)</f>
        <v>0</v>
      </c>
      <c r="S117" s="56">
        <f t="shared" si="168"/>
        <v>55.000000000000007</v>
      </c>
      <c r="T117" s="71">
        <f>VLOOKUP(D117,Sheet2!$C$26:$L$38,10,FALSE)</f>
        <v>260</v>
      </c>
      <c r="U117" s="71">
        <f t="shared" si="169"/>
        <v>260</v>
      </c>
      <c r="V117" s="39">
        <f t="shared" si="170"/>
        <v>275807.7175873479</v>
      </c>
      <c r="W117" s="39">
        <f t="shared" si="171"/>
        <v>3.9043389274015572E-2</v>
      </c>
      <c r="X117" s="39">
        <f t="shared" si="172"/>
        <v>4.8228822844288401E-2</v>
      </c>
      <c r="Y117" s="39">
        <f t="shared" si="173"/>
        <v>275807.7175873479</v>
      </c>
      <c r="Z117" s="39">
        <f t="shared" si="174"/>
        <v>3.9043389274015572E-2</v>
      </c>
      <c r="AA117" s="39">
        <f t="shared" si="175"/>
        <v>275807.7175873479</v>
      </c>
      <c r="AB117" s="39">
        <f t="shared" si="176"/>
        <v>3.9043389274015572E-2</v>
      </c>
      <c r="AC117" s="39">
        <f t="shared" si="177"/>
        <v>0.16989702393179001</v>
      </c>
      <c r="AD117" s="38">
        <f t="shared" si="178"/>
        <v>0.19288000111351786</v>
      </c>
      <c r="AE117" s="38">
        <f t="shared" si="179"/>
        <v>2.9323984503098952E-2</v>
      </c>
      <c r="AF117" s="38">
        <f t="shared" si="180"/>
        <v>0.10330042084965491</v>
      </c>
      <c r="AG117" s="38"/>
      <c r="AH117" s="38">
        <f t="shared" si="181"/>
        <v>0.32550440646627171</v>
      </c>
      <c r="AI117" s="38">
        <f t="shared" si="182"/>
        <v>3.4538833136262008</v>
      </c>
      <c r="AJ117" t="s">
        <v>330</v>
      </c>
    </row>
    <row r="118" spans="1:36" ht="16.5" thickBot="1" x14ac:dyDescent="0.35">
      <c r="A118" s="13"/>
      <c r="B118" s="14"/>
      <c r="C118" s="24" t="s">
        <v>237</v>
      </c>
      <c r="D118" s="58" t="str">
        <f>VLOOKUP(C118,Sheet2!B:C,2,FALSE)</f>
        <v>SonoSensor 30 DN40, G2, 300 мм Qp 10</v>
      </c>
      <c r="E118" s="85" t="str">
        <f>VLOOKUP(C118,Sheet2!B:F,5,FALSE)</f>
        <v xml:space="preserve">резьбовое </v>
      </c>
      <c r="F118" s="57" t="str">
        <f t="shared" si="164"/>
        <v>40-50</v>
      </c>
      <c r="G118" s="8">
        <f t="shared" si="144"/>
        <v>50</v>
      </c>
      <c r="H118" s="8">
        <f>VLOOKUP(C118,Sheet2!B:G,6,FALSE)</f>
        <v>40</v>
      </c>
      <c r="I118" s="15">
        <f>VLOOKUP(C118,Sheet2!B:O,14,FALSE)</f>
        <v>152.34</v>
      </c>
      <c r="J118" s="15">
        <f>VLOOKUP(C118,Sheet2!B:P,15,FALSE)</f>
        <v>354</v>
      </c>
      <c r="K118" s="74">
        <f>VLOOKUP(C118,Sheet2!B:D,3,FALSE)</f>
        <v>0.1</v>
      </c>
      <c r="L118" s="74">
        <f>VLOOKUP(C118,Sheet2!B:E,4,FALSE)</f>
        <v>20</v>
      </c>
      <c r="M118" s="12">
        <f t="shared" si="165"/>
        <v>9.5272833814523548</v>
      </c>
      <c r="N118" s="12">
        <f t="shared" si="166"/>
        <v>9.5272833814523548</v>
      </c>
      <c r="O118" s="56">
        <f t="shared" si="167"/>
        <v>40</v>
      </c>
      <c r="P118" s="12">
        <v>70</v>
      </c>
      <c r="Q118" s="12">
        <f>VLOOKUP(D118,Sheet2!$C$26:$L$38,7,FALSE)</f>
        <v>0</v>
      </c>
      <c r="R118" s="12">
        <f>VLOOKUP(D118,Sheet2!$C$26:$L$38,8,FALSE)</f>
        <v>0</v>
      </c>
      <c r="S118" s="56">
        <f t="shared" si="168"/>
        <v>70</v>
      </c>
      <c r="T118" s="71">
        <f>VLOOKUP(D118,Sheet2!$C$26:$L$38,10,FALSE)</f>
        <v>300</v>
      </c>
      <c r="U118" s="71">
        <f t="shared" si="169"/>
        <v>300</v>
      </c>
      <c r="V118" s="39">
        <f t="shared" si="170"/>
        <v>220646.1740698783</v>
      </c>
      <c r="W118" s="39">
        <f t="shared" si="171"/>
        <v>3.7005356225573237E-2</v>
      </c>
      <c r="X118" s="39">
        <f t="shared" si="172"/>
        <v>3.9836262138869663E-2</v>
      </c>
      <c r="Y118" s="39">
        <f t="shared" si="173"/>
        <v>220646.1740698783</v>
      </c>
      <c r="Z118" s="39">
        <f t="shared" si="174"/>
        <v>3.7005356225573237E-2</v>
      </c>
      <c r="AA118" s="39">
        <f t="shared" si="175"/>
        <v>220646.1740698783</v>
      </c>
      <c r="AB118" s="39">
        <f t="shared" si="176"/>
        <v>3.7005356225573237E-2</v>
      </c>
      <c r="AC118" s="39">
        <f t="shared" si="177"/>
        <v>5.145410649402675E-2</v>
      </c>
      <c r="AD118" s="38">
        <f t="shared" si="178"/>
        <v>6.9119743844736792E-2</v>
      </c>
      <c r="AE118" s="38">
        <f t="shared" si="179"/>
        <v>9.9209862773599229E-3</v>
      </c>
      <c r="AF118" s="38">
        <f t="shared" si="180"/>
        <v>1.2814341934530205E-2</v>
      </c>
      <c r="AG118" s="38"/>
      <c r="AH118" s="38">
        <f t="shared" si="181"/>
        <v>9.1855072056626921E-2</v>
      </c>
      <c r="AI118" s="38">
        <f t="shared" si="182"/>
        <v>2.2104853207207684</v>
      </c>
      <c r="AJ118" t="s">
        <v>330</v>
      </c>
    </row>
    <row r="119" spans="1:36" ht="16.5" thickBot="1" x14ac:dyDescent="0.35">
      <c r="A119" s="13"/>
      <c r="B119" s="14"/>
      <c r="C119" s="24" t="s">
        <v>238</v>
      </c>
      <c r="D119" s="58" t="str">
        <f>VLOOKUP(C119,Sheet2!B:C,2,FALSE)</f>
        <v>SonoSensor 30 DN40, FL 300 мм Qp 10</v>
      </c>
      <c r="E119" s="85" t="str">
        <f>VLOOKUP(C119,Sheet2!B:F,5,FALSE)</f>
        <v xml:space="preserve">фланцевое </v>
      </c>
      <c r="F119" s="57" t="str">
        <f t="shared" si="164"/>
        <v>40-50</v>
      </c>
      <c r="G119" s="8">
        <f t="shared" si="144"/>
        <v>50</v>
      </c>
      <c r="H119" s="8">
        <f>VLOOKUP(C119,Sheet2!B:G,6,FALSE)</f>
        <v>40</v>
      </c>
      <c r="I119" s="15">
        <f>VLOOKUP(C119,Sheet2!B:O,14,FALSE)</f>
        <v>178.57</v>
      </c>
      <c r="J119" s="15">
        <f>VLOOKUP(C119,Sheet2!B:P,15,FALSE)</f>
        <v>372.6</v>
      </c>
      <c r="K119" s="74">
        <f>VLOOKUP(C119,Sheet2!B:D,3,FALSE)</f>
        <v>0.1</v>
      </c>
      <c r="L119" s="74">
        <f>VLOOKUP(C119,Sheet2!B:E,4,FALSE)</f>
        <v>20</v>
      </c>
      <c r="M119" s="12">
        <f t="shared" si="165"/>
        <v>9.5272833814523548</v>
      </c>
      <c r="N119" s="12">
        <f t="shared" si="166"/>
        <v>9.5272833814523548</v>
      </c>
      <c r="O119" s="56">
        <f t="shared" si="167"/>
        <v>40</v>
      </c>
      <c r="P119" s="12">
        <v>70</v>
      </c>
      <c r="Q119" s="12">
        <f>VLOOKUP(D119,Sheet2!$C$26:$L$38,7,FALSE)</f>
        <v>0</v>
      </c>
      <c r="R119" s="12">
        <f>VLOOKUP(D119,Sheet2!$C$26:$L$38,8,FALSE)</f>
        <v>0</v>
      </c>
      <c r="S119" s="56">
        <f t="shared" si="168"/>
        <v>70</v>
      </c>
      <c r="T119" s="71">
        <f>VLOOKUP(D119,Sheet2!$C$26:$L$38,10,FALSE)</f>
        <v>300</v>
      </c>
      <c r="U119" s="71">
        <f t="shared" si="169"/>
        <v>300</v>
      </c>
      <c r="V119" s="39">
        <f t="shared" si="170"/>
        <v>220646.1740698783</v>
      </c>
      <c r="W119" s="39">
        <f t="shared" si="171"/>
        <v>3.7005356225573237E-2</v>
      </c>
      <c r="X119" s="39">
        <f t="shared" si="172"/>
        <v>3.9836262138869663E-2</v>
      </c>
      <c r="Y119" s="39">
        <f t="shared" si="173"/>
        <v>220646.1740698783</v>
      </c>
      <c r="Z119" s="39">
        <f t="shared" si="174"/>
        <v>3.7005356225573237E-2</v>
      </c>
      <c r="AA119" s="39">
        <f t="shared" si="175"/>
        <v>220646.1740698783</v>
      </c>
      <c r="AB119" s="39">
        <f t="shared" si="176"/>
        <v>3.7005356225573237E-2</v>
      </c>
      <c r="AC119" s="39">
        <f t="shared" si="177"/>
        <v>5.145410649402675E-2</v>
      </c>
      <c r="AD119" s="38">
        <f t="shared" si="178"/>
        <v>6.9119743844736792E-2</v>
      </c>
      <c r="AE119" s="38">
        <f t="shared" si="179"/>
        <v>9.9209862773599229E-3</v>
      </c>
      <c r="AF119" s="38">
        <f t="shared" si="180"/>
        <v>1.2814341934530205E-2</v>
      </c>
      <c r="AG119" s="38"/>
      <c r="AH119" s="38">
        <f t="shared" si="181"/>
        <v>9.1855072056626921E-2</v>
      </c>
      <c r="AI119" s="38">
        <f t="shared" si="182"/>
        <v>2.2104853207207684</v>
      </c>
      <c r="AJ119" t="s">
        <v>330</v>
      </c>
    </row>
    <row r="120" spans="1:36" ht="16.5" thickBot="1" x14ac:dyDescent="0.35">
      <c r="A120" s="13"/>
      <c r="B120" s="14"/>
      <c r="C120" s="24" t="s">
        <v>239</v>
      </c>
      <c r="D120" s="58" t="str">
        <f>VLOOKUP(C120,Sheet2!B:C,2,FALSE)</f>
        <v>SonoSensor 30 DN50, FL 270 мм Qp 15</v>
      </c>
      <c r="E120" s="85" t="str">
        <f>VLOOKUP(C120,Sheet2!B:F,5,FALSE)</f>
        <v xml:space="preserve">фланцевое </v>
      </c>
      <c r="F120" s="57" t="str">
        <f t="shared" si="164"/>
        <v>50-50</v>
      </c>
      <c r="G120" s="8">
        <f t="shared" si="144"/>
        <v>50</v>
      </c>
      <c r="H120" s="8">
        <f>VLOOKUP(C120,Sheet2!B:G,6,FALSE)</f>
        <v>50</v>
      </c>
      <c r="I120" s="15">
        <f>VLOOKUP(C120,Sheet2!B:O,14,FALSE)</f>
        <v>196.54</v>
      </c>
      <c r="J120" s="15">
        <f>VLOOKUP(C120,Sheet2!B:P,15,FALSE)</f>
        <v>399</v>
      </c>
      <c r="K120" s="74">
        <f>VLOOKUP(C120,Sheet2!B:D,3,FALSE)</f>
        <v>0.15</v>
      </c>
      <c r="L120" s="74">
        <f>VLOOKUP(C120,Sheet2!B:E,4,FALSE)</f>
        <v>30</v>
      </c>
      <c r="M120" s="12">
        <f t="shared" si="165"/>
        <v>0</v>
      </c>
      <c r="N120" s="12">
        <f t="shared" si="166"/>
        <v>0</v>
      </c>
      <c r="O120" s="56">
        <f t="shared" si="167"/>
        <v>50</v>
      </c>
      <c r="P120" s="12">
        <v>0</v>
      </c>
      <c r="Q120" s="12">
        <f>VLOOKUP(D120,Sheet2!$C$26:$L$38,7,FALSE)</f>
        <v>0</v>
      </c>
      <c r="R120" s="12">
        <f>VLOOKUP(D120,Sheet2!$C$26:$L$38,8,FALSE)</f>
        <v>0</v>
      </c>
      <c r="S120" s="56">
        <f t="shared" si="168"/>
        <v>0</v>
      </c>
      <c r="T120" s="71">
        <f>VLOOKUP(D120,Sheet2!$C$26:$L$38,10,FALSE)</f>
        <v>270</v>
      </c>
      <c r="U120" s="71">
        <f t="shared" si="169"/>
        <v>270</v>
      </c>
      <c r="V120" s="39">
        <f t="shared" si="170"/>
        <v>176516.93925590263</v>
      </c>
      <c r="W120" s="39">
        <f t="shared" si="171"/>
        <v>3.5115328653073222E-2</v>
      </c>
      <c r="X120" s="39">
        <f t="shared" si="172"/>
        <v>0</v>
      </c>
      <c r="Y120" s="39">
        <f t="shared" si="173"/>
        <v>176516.93925590263</v>
      </c>
      <c r="Z120" s="39">
        <f t="shared" si="174"/>
        <v>3.5115328653073222E-2</v>
      </c>
      <c r="AA120" s="39">
        <f t="shared" si="175"/>
        <v>176516.93925590263</v>
      </c>
      <c r="AB120" s="39">
        <f t="shared" si="176"/>
        <v>3.5115328653073222E-2</v>
      </c>
      <c r="AC120" s="39">
        <f t="shared" si="177"/>
        <v>0</v>
      </c>
      <c r="AD120" s="38">
        <f t="shared" si="178"/>
        <v>1.9343128307816936E-2</v>
      </c>
      <c r="AE120" s="38">
        <f t="shared" si="179"/>
        <v>0</v>
      </c>
      <c r="AF120" s="38">
        <f t="shared" si="180"/>
        <v>0</v>
      </c>
      <c r="AG120" s="38"/>
      <c r="AH120" s="38">
        <f t="shared" si="181"/>
        <v>1.9343128307816936E-2</v>
      </c>
      <c r="AI120" s="38">
        <f t="shared" si="182"/>
        <v>1.4147106052612919</v>
      </c>
      <c r="AJ120" t="s">
        <v>330</v>
      </c>
    </row>
    <row r="121" spans="1:36" ht="16.5" thickBot="1" x14ac:dyDescent="0.35">
      <c r="A121" s="16">
        <v>65</v>
      </c>
      <c r="B121" s="17">
        <v>8</v>
      </c>
      <c r="C121" s="24" t="s">
        <v>233</v>
      </c>
      <c r="D121" s="58" t="str">
        <f>VLOOKUP(C121,Sheet2!B:C,2,FALSE)</f>
        <v>SonoSensor 30 DN25, G5/4, 260 мм Qp 3,5</v>
      </c>
      <c r="E121" s="85" t="str">
        <f>VLOOKUP(C121,Sheet2!B:F,5,FALSE)</f>
        <v xml:space="preserve">резьбовое </v>
      </c>
      <c r="F121" s="57" t="str">
        <f t="shared" si="164"/>
        <v>25-65</v>
      </c>
      <c r="G121" s="8">
        <f t="shared" si="144"/>
        <v>65</v>
      </c>
      <c r="H121" s="8">
        <f>VLOOKUP(C121,Sheet2!B:G,6,FALSE)</f>
        <v>25</v>
      </c>
      <c r="I121" s="15">
        <f>VLOOKUP(C121,Sheet2!B:O,14,FALSE)</f>
        <v>118.96</v>
      </c>
      <c r="J121" s="15">
        <f>VLOOKUP(C121,Sheet2!B:P,15,FALSE)</f>
        <v>272.55</v>
      </c>
      <c r="K121" s="74">
        <f>VLOOKUP(C121,Sheet2!B:D,3,FALSE)</f>
        <v>3.5000000000000003E-2</v>
      </c>
      <c r="L121" s="74">
        <f>VLOOKUP(C121,Sheet2!B:E,4,FALSE)</f>
        <v>7</v>
      </c>
      <c r="M121" s="12">
        <f t="shared" si="165"/>
        <v>26.48103983037441</v>
      </c>
      <c r="N121" s="12">
        <f t="shared" si="166"/>
        <v>26.48103983037441</v>
      </c>
      <c r="O121" s="56">
        <f t="shared" si="167"/>
        <v>25</v>
      </c>
      <c r="P121" s="12">
        <v>95</v>
      </c>
      <c r="Q121" s="12">
        <f>VLOOKUP(D121,Sheet2!$C$26:$L$38,7,FALSE)</f>
        <v>0</v>
      </c>
      <c r="R121" s="12">
        <f>VLOOKUP(D121,Sheet2!$C$26:$L$38,8,FALSE)</f>
        <v>0</v>
      </c>
      <c r="S121" s="56">
        <f t="shared" si="168"/>
        <v>95</v>
      </c>
      <c r="T121" s="71">
        <f>VLOOKUP(D121,Sheet2!$C$26:$L$38,10,FALSE)</f>
        <v>260</v>
      </c>
      <c r="U121" s="71">
        <f t="shared" si="169"/>
        <v>260</v>
      </c>
      <c r="V121" s="39">
        <f t="shared" si="170"/>
        <v>353033.87851180526</v>
      </c>
      <c r="W121" s="39">
        <f t="shared" si="171"/>
        <v>4.1465874809924794E-2</v>
      </c>
      <c r="X121" s="39">
        <f t="shared" si="172"/>
        <v>6.2507543954750389E-2</v>
      </c>
      <c r="Y121" s="39">
        <f t="shared" si="173"/>
        <v>353033.87851180526</v>
      </c>
      <c r="Z121" s="39">
        <f t="shared" si="174"/>
        <v>4.1465874809924794E-2</v>
      </c>
      <c r="AA121" s="39">
        <f t="shared" si="175"/>
        <v>353033.87851180526</v>
      </c>
      <c r="AB121" s="39">
        <f t="shared" si="176"/>
        <v>4.1465874809924794E-2</v>
      </c>
      <c r="AC121" s="39">
        <f t="shared" si="177"/>
        <v>0.40286360756054607</v>
      </c>
      <c r="AD121" s="38">
        <f t="shared" si="178"/>
        <v>0.70385041250091951</v>
      </c>
      <c r="AE121" s="38">
        <f t="shared" si="179"/>
        <v>0.10202077843584373</v>
      </c>
      <c r="AF121" s="38">
        <f t="shared" si="180"/>
        <v>0.65752797576804578</v>
      </c>
      <c r="AG121" s="38"/>
      <c r="AH121" s="38">
        <f t="shared" si="181"/>
        <v>1.463399166704809</v>
      </c>
      <c r="AI121" s="38">
        <f t="shared" si="182"/>
        <v>5.6588424210451675</v>
      </c>
      <c r="AJ121" t="s">
        <v>330</v>
      </c>
    </row>
    <row r="122" spans="1:36" ht="16.5" thickBot="1" x14ac:dyDescent="0.35">
      <c r="A122" s="13"/>
      <c r="B122" s="14"/>
      <c r="C122" s="24" t="s">
        <v>234</v>
      </c>
      <c r="D122" s="58" t="str">
        <f>VLOOKUP(C122,Sheet2!B:C,2,FALSE)</f>
        <v>SonoSensor 30 DN25, FL 260 мм Qp 3,5</v>
      </c>
      <c r="E122" s="85" t="str">
        <f>VLOOKUP(C122,Sheet2!B:F,5,FALSE)</f>
        <v xml:space="preserve">фланцевое </v>
      </c>
      <c r="F122" s="57" t="str">
        <f t="shared" si="164"/>
        <v>25-65</v>
      </c>
      <c r="G122" s="8">
        <f t="shared" si="144"/>
        <v>65</v>
      </c>
      <c r="H122" s="8">
        <f>VLOOKUP(C122,Sheet2!B:G,6,FALSE)</f>
        <v>25</v>
      </c>
      <c r="I122" s="15">
        <f>VLOOKUP(C122,Sheet2!B:O,14,FALSE)</f>
        <v>151.13999999999999</v>
      </c>
      <c r="J122" s="15">
        <f>VLOOKUP(C122,Sheet2!B:P,15,FALSE)</f>
        <v>350.75</v>
      </c>
      <c r="K122" s="74">
        <f>VLOOKUP(C122,Sheet2!B:D,3,FALSE)</f>
        <v>3.5000000000000003E-2</v>
      </c>
      <c r="L122" s="74">
        <f>VLOOKUP(C122,Sheet2!B:E,4,FALSE)</f>
        <v>7</v>
      </c>
      <c r="M122" s="12">
        <f t="shared" si="165"/>
        <v>26.48103983037441</v>
      </c>
      <c r="N122" s="12">
        <f t="shared" si="166"/>
        <v>26.48103983037441</v>
      </c>
      <c r="O122" s="56">
        <f t="shared" si="167"/>
        <v>25</v>
      </c>
      <c r="P122" s="12">
        <v>95</v>
      </c>
      <c r="Q122" s="12">
        <f>VLOOKUP(D122,Sheet2!$C$26:$L$38,7,FALSE)</f>
        <v>0</v>
      </c>
      <c r="R122" s="12">
        <f>VLOOKUP(D122,Sheet2!$C$26:$L$38,8,FALSE)</f>
        <v>0</v>
      </c>
      <c r="S122" s="56">
        <f t="shared" si="168"/>
        <v>95</v>
      </c>
      <c r="T122" s="71">
        <f>VLOOKUP(D122,Sheet2!$C$26:$L$38,10,FALSE)</f>
        <v>260</v>
      </c>
      <c r="U122" s="71">
        <f t="shared" si="169"/>
        <v>260</v>
      </c>
      <c r="V122" s="39">
        <f t="shared" si="170"/>
        <v>353033.87851180526</v>
      </c>
      <c r="W122" s="39">
        <f t="shared" si="171"/>
        <v>4.1465874809924794E-2</v>
      </c>
      <c r="X122" s="39">
        <f t="shared" si="172"/>
        <v>6.2507543954750389E-2</v>
      </c>
      <c r="Y122" s="39">
        <f t="shared" si="173"/>
        <v>353033.87851180526</v>
      </c>
      <c r="Z122" s="39">
        <f t="shared" si="174"/>
        <v>4.1465874809924794E-2</v>
      </c>
      <c r="AA122" s="39">
        <f t="shared" si="175"/>
        <v>353033.87851180526</v>
      </c>
      <c r="AB122" s="39">
        <f t="shared" si="176"/>
        <v>4.1465874809924794E-2</v>
      </c>
      <c r="AC122" s="39">
        <f t="shared" si="177"/>
        <v>0.40286360756054607</v>
      </c>
      <c r="AD122" s="38">
        <f t="shared" si="178"/>
        <v>0.70385041250091951</v>
      </c>
      <c r="AE122" s="38">
        <f t="shared" si="179"/>
        <v>0.10202077843584373</v>
      </c>
      <c r="AF122" s="38">
        <f t="shared" si="180"/>
        <v>0.65752797576804578</v>
      </c>
      <c r="AG122" s="38"/>
      <c r="AH122" s="38">
        <f t="shared" si="181"/>
        <v>1.463399166704809</v>
      </c>
      <c r="AI122" s="38">
        <f t="shared" si="182"/>
        <v>5.6588424210451675</v>
      </c>
      <c r="AJ122" t="s">
        <v>330</v>
      </c>
    </row>
    <row r="123" spans="1:36" ht="16.5" thickBot="1" x14ac:dyDescent="0.35">
      <c r="A123" s="13"/>
      <c r="B123" s="14"/>
      <c r="C123" s="24" t="s">
        <v>235</v>
      </c>
      <c r="D123" s="58" t="str">
        <f>VLOOKUP(C123,Sheet2!B:C,2,FALSE)</f>
        <v>SonoSensor 30 DN25, G5/4, 260 мм Qp 6</v>
      </c>
      <c r="E123" s="85" t="str">
        <f>VLOOKUP(C123,Sheet2!B:F,5,FALSE)</f>
        <v xml:space="preserve">резьбовое </v>
      </c>
      <c r="F123" s="57" t="str">
        <f t="shared" si="164"/>
        <v>25-65</v>
      </c>
      <c r="G123" s="8">
        <f t="shared" si="144"/>
        <v>65</v>
      </c>
      <c r="H123" s="8">
        <f>VLOOKUP(C123,Sheet2!B:G,6,FALSE)</f>
        <v>25</v>
      </c>
      <c r="I123" s="15">
        <f>VLOOKUP(C123,Sheet2!B:O,14,FALSE)</f>
        <v>123.21</v>
      </c>
      <c r="J123" s="15">
        <f>VLOOKUP(C123,Sheet2!B:P,15,FALSE)</f>
        <v>292</v>
      </c>
      <c r="K123" s="74">
        <f>VLOOKUP(C123,Sheet2!B:D,3,FALSE)</f>
        <v>0.06</v>
      </c>
      <c r="L123" s="74">
        <f>VLOOKUP(C123,Sheet2!B:E,4,FALSE)</f>
        <v>12</v>
      </c>
      <c r="M123" s="12">
        <f t="shared" si="165"/>
        <v>26.48103983037441</v>
      </c>
      <c r="N123" s="12">
        <f t="shared" si="166"/>
        <v>26.48103983037441</v>
      </c>
      <c r="O123" s="56">
        <f t="shared" si="167"/>
        <v>25</v>
      </c>
      <c r="P123" s="12">
        <v>95</v>
      </c>
      <c r="Q123" s="12">
        <f>VLOOKUP(D123,Sheet2!$C$26:$L$38,7,FALSE)</f>
        <v>0</v>
      </c>
      <c r="R123" s="12">
        <f>VLOOKUP(D123,Sheet2!$C$26:$L$38,8,FALSE)</f>
        <v>0</v>
      </c>
      <c r="S123" s="56">
        <f t="shared" si="168"/>
        <v>95</v>
      </c>
      <c r="T123" s="71">
        <f>VLOOKUP(D123,Sheet2!$C$26:$L$38,10,FALSE)</f>
        <v>260</v>
      </c>
      <c r="U123" s="71">
        <f t="shared" si="169"/>
        <v>260</v>
      </c>
      <c r="V123" s="39">
        <f t="shared" si="170"/>
        <v>353033.87851180526</v>
      </c>
      <c r="W123" s="39">
        <f t="shared" si="171"/>
        <v>4.1465874809924794E-2</v>
      </c>
      <c r="X123" s="39">
        <f t="shared" si="172"/>
        <v>6.2507543954750389E-2</v>
      </c>
      <c r="Y123" s="39">
        <f t="shared" si="173"/>
        <v>353033.87851180526</v>
      </c>
      <c r="Z123" s="39">
        <f t="shared" si="174"/>
        <v>4.1465874809924794E-2</v>
      </c>
      <c r="AA123" s="39">
        <f t="shared" si="175"/>
        <v>353033.87851180526</v>
      </c>
      <c r="AB123" s="39">
        <f t="shared" si="176"/>
        <v>4.1465874809924794E-2</v>
      </c>
      <c r="AC123" s="39">
        <f t="shared" si="177"/>
        <v>0.40286360756054607</v>
      </c>
      <c r="AD123" s="38">
        <f t="shared" si="178"/>
        <v>0.70385041250091951</v>
      </c>
      <c r="AE123" s="38">
        <f t="shared" si="179"/>
        <v>0.10202077843584373</v>
      </c>
      <c r="AF123" s="38">
        <f t="shared" si="180"/>
        <v>0.65752797576804578</v>
      </c>
      <c r="AG123" s="38"/>
      <c r="AH123" s="38">
        <f t="shared" si="181"/>
        <v>1.463399166704809</v>
      </c>
      <c r="AI123" s="38">
        <f t="shared" si="182"/>
        <v>5.6588424210451675</v>
      </c>
      <c r="AJ123" t="s">
        <v>330</v>
      </c>
    </row>
    <row r="124" spans="1:36" ht="16.5" thickBot="1" x14ac:dyDescent="0.35">
      <c r="A124" s="13"/>
      <c r="B124" s="14"/>
      <c r="C124" s="24" t="s">
        <v>236</v>
      </c>
      <c r="D124" s="58" t="str">
        <f>VLOOKUP(C124,Sheet2!B:C,2,FALSE)</f>
        <v>SonoSensor 30 DN32, FL 260 мм Qp 6</v>
      </c>
      <c r="E124" s="85" t="str">
        <f>VLOOKUP(C124,Sheet2!B:F,5,FALSE)</f>
        <v xml:space="preserve">фланцевое </v>
      </c>
      <c r="F124" s="57" t="str">
        <f t="shared" si="164"/>
        <v>32-65</v>
      </c>
      <c r="G124" s="8">
        <f t="shared" si="144"/>
        <v>65</v>
      </c>
      <c r="H124" s="8">
        <f>VLOOKUP(C124,Sheet2!B:G,6,FALSE)</f>
        <v>32</v>
      </c>
      <c r="I124" s="15">
        <f>VLOOKUP(C124,Sheet2!B:O,14,FALSE)</f>
        <v>155.38999999999999</v>
      </c>
      <c r="J124" s="15">
        <f>VLOOKUP(C124,Sheet2!B:P,15,FALSE)</f>
        <v>364</v>
      </c>
      <c r="K124" s="74">
        <f>VLOOKUP(C124,Sheet2!B:D,3,FALSE)</f>
        <v>0.06</v>
      </c>
      <c r="L124" s="74">
        <f>VLOOKUP(C124,Sheet2!B:E,4,FALSE)</f>
        <v>12</v>
      </c>
      <c r="M124" s="12">
        <f t="shared" si="165"/>
        <v>33.398488467987242</v>
      </c>
      <c r="N124" s="12">
        <f t="shared" si="166"/>
        <v>33.398488467987242</v>
      </c>
      <c r="O124" s="56">
        <f t="shared" si="167"/>
        <v>32</v>
      </c>
      <c r="P124" s="12">
        <v>65</v>
      </c>
      <c r="Q124" s="12">
        <f>VLOOKUP(D124,Sheet2!$C$26:$L$38,7,FALSE)</f>
        <v>0</v>
      </c>
      <c r="R124" s="12">
        <f>VLOOKUP(D124,Sheet2!$C$26:$L$38,8,FALSE)</f>
        <v>0</v>
      </c>
      <c r="S124" s="56">
        <f t="shared" si="168"/>
        <v>65</v>
      </c>
      <c r="T124" s="71">
        <f>VLOOKUP(D124,Sheet2!$C$26:$L$38,10,FALSE)</f>
        <v>260</v>
      </c>
      <c r="U124" s="71">
        <f t="shared" si="169"/>
        <v>260</v>
      </c>
      <c r="V124" s="39">
        <f t="shared" si="170"/>
        <v>275807.7175873479</v>
      </c>
      <c r="W124" s="39">
        <f t="shared" si="171"/>
        <v>3.9043389274015572E-2</v>
      </c>
      <c r="X124" s="39">
        <f t="shared" si="172"/>
        <v>6.6631315960907253E-2</v>
      </c>
      <c r="Y124" s="39">
        <f t="shared" si="173"/>
        <v>275807.7175873479</v>
      </c>
      <c r="Z124" s="39">
        <f t="shared" si="174"/>
        <v>3.9043389274015572E-2</v>
      </c>
      <c r="AA124" s="39">
        <f t="shared" si="175"/>
        <v>275807.7175873479</v>
      </c>
      <c r="AB124" s="39">
        <f t="shared" si="176"/>
        <v>3.9043389274015572E-2</v>
      </c>
      <c r="AC124" s="39">
        <f t="shared" si="177"/>
        <v>0.42380757241321582</v>
      </c>
      <c r="AD124" s="38">
        <f t="shared" si="178"/>
        <v>0.19288000111351786</v>
      </c>
      <c r="AE124" s="38">
        <f t="shared" si="179"/>
        <v>4.0513028546582668E-2</v>
      </c>
      <c r="AF124" s="38">
        <f t="shared" si="180"/>
        <v>0.25768256309852916</v>
      </c>
      <c r="AG124" s="38"/>
      <c r="AH124" s="38">
        <f t="shared" si="181"/>
        <v>0.49107559275862966</v>
      </c>
      <c r="AI124" s="38">
        <f t="shared" si="182"/>
        <v>3.4538833136262008</v>
      </c>
      <c r="AJ124" t="s">
        <v>330</v>
      </c>
    </row>
    <row r="125" spans="1:36" ht="16.5" thickBot="1" x14ac:dyDescent="0.35">
      <c r="A125" s="13"/>
      <c r="B125" s="14"/>
      <c r="C125" s="24" t="s">
        <v>237</v>
      </c>
      <c r="D125" s="58" t="str">
        <f>VLOOKUP(C125,Sheet2!B:C,2,FALSE)</f>
        <v>SonoSensor 30 DN40, G2, 300 мм Qp 10</v>
      </c>
      <c r="E125" s="85" t="str">
        <f>VLOOKUP(C125,Sheet2!B:F,5,FALSE)</f>
        <v xml:space="preserve">резьбовое </v>
      </c>
      <c r="F125" s="57" t="str">
        <f t="shared" si="164"/>
        <v>40-65</v>
      </c>
      <c r="G125" s="8">
        <f t="shared" si="144"/>
        <v>65</v>
      </c>
      <c r="H125" s="8">
        <f>VLOOKUP(C125,Sheet2!B:G,6,FALSE)</f>
        <v>40</v>
      </c>
      <c r="I125" s="15">
        <f>VLOOKUP(C125,Sheet2!B:O,14,FALSE)</f>
        <v>152.34</v>
      </c>
      <c r="J125" s="15">
        <f>VLOOKUP(C125,Sheet2!B:P,15,FALSE)</f>
        <v>354</v>
      </c>
      <c r="K125" s="74">
        <f>VLOOKUP(C125,Sheet2!B:D,3,FALSE)</f>
        <v>0.1</v>
      </c>
      <c r="L125" s="74">
        <f>VLOOKUP(C125,Sheet2!B:E,4,FALSE)</f>
        <v>20</v>
      </c>
      <c r="M125" s="12">
        <f t="shared" si="165"/>
        <v>20.249343310795634</v>
      </c>
      <c r="N125" s="12">
        <f t="shared" si="166"/>
        <v>20.249343310795634</v>
      </c>
      <c r="O125" s="56">
        <f t="shared" si="167"/>
        <v>40</v>
      </c>
      <c r="P125" s="12">
        <v>80</v>
      </c>
      <c r="Q125" s="12">
        <f>VLOOKUP(D125,Sheet2!$C$26:$L$38,7,FALSE)</f>
        <v>0</v>
      </c>
      <c r="R125" s="12">
        <f>VLOOKUP(D125,Sheet2!$C$26:$L$38,8,FALSE)</f>
        <v>0</v>
      </c>
      <c r="S125" s="56">
        <f t="shared" si="168"/>
        <v>80</v>
      </c>
      <c r="T125" s="71">
        <f>VLOOKUP(D125,Sheet2!$C$26:$L$38,10,FALSE)</f>
        <v>300</v>
      </c>
      <c r="U125" s="71">
        <f t="shared" si="169"/>
        <v>300</v>
      </c>
      <c r="V125" s="39">
        <f t="shared" si="170"/>
        <v>220646.1740698783</v>
      </c>
      <c r="W125" s="39">
        <f t="shared" si="171"/>
        <v>3.7005356225573237E-2</v>
      </c>
      <c r="X125" s="39">
        <f t="shared" si="172"/>
        <v>4.7524983714445974E-2</v>
      </c>
      <c r="Y125" s="39">
        <f t="shared" si="173"/>
        <v>220646.1740698783</v>
      </c>
      <c r="Z125" s="39">
        <f t="shared" si="174"/>
        <v>3.7005356225573237E-2</v>
      </c>
      <c r="AA125" s="39">
        <f t="shared" si="175"/>
        <v>220646.1740698783</v>
      </c>
      <c r="AB125" s="39">
        <f t="shared" si="176"/>
        <v>3.7005356225573237E-2</v>
      </c>
      <c r="AC125" s="39">
        <f t="shared" si="177"/>
        <v>0.16593025062626721</v>
      </c>
      <c r="AD125" s="38">
        <f t="shared" si="178"/>
        <v>6.9119743844736792E-2</v>
      </c>
      <c r="AE125" s="38">
        <f t="shared" si="179"/>
        <v>1.1835817065846599E-2</v>
      </c>
      <c r="AF125" s="38">
        <f t="shared" si="180"/>
        <v>4.1323950869774036E-2</v>
      </c>
      <c r="AG125" s="38"/>
      <c r="AH125" s="38">
        <f t="shared" si="181"/>
        <v>0.12227951178035742</v>
      </c>
      <c r="AI125" s="38">
        <f t="shared" si="182"/>
        <v>2.2104853207207684</v>
      </c>
      <c r="AJ125" t="s">
        <v>330</v>
      </c>
    </row>
    <row r="126" spans="1:36" ht="16.5" thickBot="1" x14ac:dyDescent="0.35">
      <c r="A126" s="13"/>
      <c r="B126" s="14"/>
      <c r="C126" s="24" t="s">
        <v>238</v>
      </c>
      <c r="D126" s="58" t="str">
        <f>VLOOKUP(C126,Sheet2!B:C,2,FALSE)</f>
        <v>SonoSensor 30 DN40, FL 300 мм Qp 10</v>
      </c>
      <c r="E126" s="85" t="str">
        <f>VLOOKUP(C126,Sheet2!B:F,5,FALSE)</f>
        <v xml:space="preserve">фланцевое </v>
      </c>
      <c r="F126" s="57" t="str">
        <f t="shared" si="164"/>
        <v>40-65</v>
      </c>
      <c r="G126" s="8">
        <f t="shared" si="144"/>
        <v>65</v>
      </c>
      <c r="H126" s="8">
        <f>VLOOKUP(C126,Sheet2!B:G,6,FALSE)</f>
        <v>40</v>
      </c>
      <c r="I126" s="15">
        <f>VLOOKUP(C126,Sheet2!B:O,14,FALSE)</f>
        <v>178.57</v>
      </c>
      <c r="J126" s="15">
        <f>VLOOKUP(C126,Sheet2!B:P,15,FALSE)</f>
        <v>372.6</v>
      </c>
      <c r="K126" s="74">
        <f>VLOOKUP(C126,Sheet2!B:D,3,FALSE)</f>
        <v>0.1</v>
      </c>
      <c r="L126" s="74">
        <f>VLOOKUP(C126,Sheet2!B:E,4,FALSE)</f>
        <v>20</v>
      </c>
      <c r="M126" s="12">
        <f t="shared" si="165"/>
        <v>20.249343310795634</v>
      </c>
      <c r="N126" s="12">
        <f t="shared" si="166"/>
        <v>20.249343310795634</v>
      </c>
      <c r="O126" s="56">
        <f t="shared" si="167"/>
        <v>40</v>
      </c>
      <c r="P126" s="12">
        <v>80</v>
      </c>
      <c r="Q126" s="12">
        <f>VLOOKUP(D126,Sheet2!$C$26:$L$38,7,FALSE)</f>
        <v>0</v>
      </c>
      <c r="R126" s="12">
        <f>VLOOKUP(D126,Sheet2!$C$26:$L$38,8,FALSE)</f>
        <v>0</v>
      </c>
      <c r="S126" s="56">
        <f t="shared" si="168"/>
        <v>80</v>
      </c>
      <c r="T126" s="71">
        <f>VLOOKUP(D126,Sheet2!$C$26:$L$38,10,FALSE)</f>
        <v>300</v>
      </c>
      <c r="U126" s="71">
        <f t="shared" si="169"/>
        <v>300</v>
      </c>
      <c r="V126" s="39">
        <f t="shared" si="170"/>
        <v>220646.1740698783</v>
      </c>
      <c r="W126" s="39">
        <f t="shared" si="171"/>
        <v>3.7005356225573237E-2</v>
      </c>
      <c r="X126" s="39">
        <f t="shared" si="172"/>
        <v>4.7524983714445974E-2</v>
      </c>
      <c r="Y126" s="39">
        <f t="shared" si="173"/>
        <v>220646.1740698783</v>
      </c>
      <c r="Z126" s="39">
        <f t="shared" si="174"/>
        <v>3.7005356225573237E-2</v>
      </c>
      <c r="AA126" s="39">
        <f t="shared" si="175"/>
        <v>220646.1740698783</v>
      </c>
      <c r="AB126" s="39">
        <f t="shared" si="176"/>
        <v>3.7005356225573237E-2</v>
      </c>
      <c r="AC126" s="39">
        <f t="shared" si="177"/>
        <v>0.16593025062626721</v>
      </c>
      <c r="AD126" s="38">
        <f t="shared" si="178"/>
        <v>6.9119743844736792E-2</v>
      </c>
      <c r="AE126" s="38">
        <f t="shared" si="179"/>
        <v>1.1835817065846599E-2</v>
      </c>
      <c r="AF126" s="38">
        <f t="shared" si="180"/>
        <v>4.1323950869774036E-2</v>
      </c>
      <c r="AG126" s="38"/>
      <c r="AH126" s="38">
        <f t="shared" si="181"/>
        <v>0.12227951178035742</v>
      </c>
      <c r="AI126" s="38">
        <f t="shared" si="182"/>
        <v>2.2104853207207684</v>
      </c>
      <c r="AJ126" t="s">
        <v>330</v>
      </c>
    </row>
    <row r="127" spans="1:36" ht="16.5" thickBot="1" x14ac:dyDescent="0.35">
      <c r="A127" s="13"/>
      <c r="B127" s="14"/>
      <c r="C127" s="24" t="s">
        <v>239</v>
      </c>
      <c r="D127" s="58" t="str">
        <f>VLOOKUP(C127,Sheet2!B:C,2,FALSE)</f>
        <v>SonoSensor 30 DN50, FL 270 мм Qp 15</v>
      </c>
      <c r="E127" s="85" t="str">
        <f>VLOOKUP(C127,Sheet2!B:F,5,FALSE)</f>
        <v xml:space="preserve">фланцевое </v>
      </c>
      <c r="F127" s="57" t="str">
        <f t="shared" si="164"/>
        <v>50-65</v>
      </c>
      <c r="G127" s="8">
        <f t="shared" si="144"/>
        <v>65</v>
      </c>
      <c r="H127" s="8">
        <f>VLOOKUP(C127,Sheet2!B:G,6,FALSE)</f>
        <v>50</v>
      </c>
      <c r="I127" s="15">
        <f>VLOOKUP(C127,Sheet2!B:O,14,FALSE)</f>
        <v>196.54</v>
      </c>
      <c r="J127" s="15">
        <f>VLOOKUP(C127,Sheet2!B:P,15,FALSE)</f>
        <v>399</v>
      </c>
      <c r="K127" s="74">
        <f>VLOOKUP(C127,Sheet2!B:D,3,FALSE)</f>
        <v>0.15</v>
      </c>
      <c r="L127" s="74">
        <f>VLOOKUP(C127,Sheet2!B:E,4,FALSE)</f>
        <v>30</v>
      </c>
      <c r="M127" s="12">
        <f t="shared" si="165"/>
        <v>12.231007132570813</v>
      </c>
      <c r="N127" s="12">
        <f t="shared" si="166"/>
        <v>12.231007132570813</v>
      </c>
      <c r="O127" s="56">
        <f t="shared" si="167"/>
        <v>50</v>
      </c>
      <c r="P127" s="12">
        <v>80</v>
      </c>
      <c r="Q127" s="12">
        <f>VLOOKUP(D127,Sheet2!$C$26:$L$38,7,FALSE)</f>
        <v>0</v>
      </c>
      <c r="R127" s="12">
        <f>VLOOKUP(D127,Sheet2!$C$26:$L$38,8,FALSE)</f>
        <v>0</v>
      </c>
      <c r="S127" s="56">
        <f t="shared" si="168"/>
        <v>80</v>
      </c>
      <c r="T127" s="71">
        <f>VLOOKUP(D127,Sheet2!$C$26:$L$38,10,FALSE)</f>
        <v>270</v>
      </c>
      <c r="U127" s="71">
        <f t="shared" si="169"/>
        <v>270</v>
      </c>
      <c r="V127" s="39">
        <f t="shared" si="170"/>
        <v>176516.93925590263</v>
      </c>
      <c r="W127" s="39">
        <f t="shared" si="171"/>
        <v>3.5115328653073222E-2</v>
      </c>
      <c r="X127" s="39">
        <f t="shared" si="172"/>
        <v>3.701212844239208E-2</v>
      </c>
      <c r="Y127" s="39">
        <f t="shared" si="173"/>
        <v>176516.93925590263</v>
      </c>
      <c r="Z127" s="39">
        <f t="shared" si="174"/>
        <v>3.5115328653073222E-2</v>
      </c>
      <c r="AA127" s="39">
        <f t="shared" si="175"/>
        <v>176516.93925590263</v>
      </c>
      <c r="AB127" s="39">
        <f t="shared" si="176"/>
        <v>3.5115328653073222E-2</v>
      </c>
      <c r="AC127" s="39">
        <f t="shared" si="177"/>
        <v>5.9474839769665111E-2</v>
      </c>
      <c r="AD127" s="38">
        <f t="shared" si="178"/>
        <v>1.9343128307816936E-2</v>
      </c>
      <c r="AE127" s="38">
        <f t="shared" si="179"/>
        <v>3.7755504339541672E-3</v>
      </c>
      <c r="AF127" s="38">
        <f t="shared" si="180"/>
        <v>6.066937151458807E-3</v>
      </c>
      <c r="AG127" s="38"/>
      <c r="AH127" s="38">
        <f t="shared" si="181"/>
        <v>2.9185615893229912E-2</v>
      </c>
      <c r="AI127" s="38">
        <f t="shared" si="182"/>
        <v>1.4147106052612919</v>
      </c>
      <c r="AJ127" t="s">
        <v>330</v>
      </c>
    </row>
    <row r="128" spans="1:36" ht="16.5" thickBot="1" x14ac:dyDescent="0.35">
      <c r="A128" s="13"/>
      <c r="B128" s="14"/>
      <c r="C128" s="24" t="s">
        <v>240</v>
      </c>
      <c r="D128" s="58" t="str">
        <f>VLOOKUP(C128,Sheet2!B:C,2,FALSE)</f>
        <v>SonoSensor 30 DN65, FL 300 мм Qp 25</v>
      </c>
      <c r="E128" s="85" t="str">
        <f>VLOOKUP(C128,Sheet2!B:F,5,FALSE)</f>
        <v xml:space="preserve">фланцевое </v>
      </c>
      <c r="F128" s="57" t="str">
        <f t="shared" si="164"/>
        <v>65-65</v>
      </c>
      <c r="G128" s="8">
        <f t="shared" si="144"/>
        <v>65</v>
      </c>
      <c r="H128" s="8">
        <f>VLOOKUP(C128,Sheet2!B:G,6,FALSE)</f>
        <v>65</v>
      </c>
      <c r="I128" s="15">
        <f>VLOOKUP(C128,Sheet2!B:O,14,FALSE)</f>
        <v>361.28</v>
      </c>
      <c r="J128" s="15">
        <f>VLOOKUP(C128,Sheet2!B:P,15,FALSE)</f>
        <v>655</v>
      </c>
      <c r="K128" s="74">
        <f>VLOOKUP(C128,Sheet2!B:D,3,FALSE)</f>
        <v>0.25</v>
      </c>
      <c r="L128" s="74">
        <f>VLOOKUP(C128,Sheet2!B:E,4,FALSE)</f>
        <v>50</v>
      </c>
      <c r="M128" s="12">
        <f t="shared" si="165"/>
        <v>0</v>
      </c>
      <c r="N128" s="12">
        <f t="shared" si="166"/>
        <v>0</v>
      </c>
      <c r="O128" s="56">
        <f t="shared" si="167"/>
        <v>65</v>
      </c>
      <c r="P128" s="12">
        <v>0</v>
      </c>
      <c r="Q128" s="12">
        <f>VLOOKUP(D128,Sheet2!$C$26:$L$38,7,FALSE)</f>
        <v>325</v>
      </c>
      <c r="R128" s="12">
        <f>VLOOKUP(D128,Sheet2!$C$26:$L$38,8,FALSE)</f>
        <v>195</v>
      </c>
      <c r="S128" s="56">
        <f t="shared" si="168"/>
        <v>0</v>
      </c>
      <c r="T128" s="71">
        <f>VLOOKUP(D128,Sheet2!$C$26:$L$38,10,FALSE)</f>
        <v>820</v>
      </c>
      <c r="U128" s="71">
        <f t="shared" si="169"/>
        <v>1340</v>
      </c>
      <c r="V128" s="39">
        <f t="shared" si="170"/>
        <v>135782.26096607896</v>
      </c>
      <c r="W128" s="39">
        <f t="shared" si="171"/>
        <v>3.3094427663941522E-2</v>
      </c>
      <c r="X128" s="39">
        <f t="shared" si="172"/>
        <v>0</v>
      </c>
      <c r="Y128" s="39">
        <f t="shared" si="173"/>
        <v>135782.26096607896</v>
      </c>
      <c r="Z128" s="39">
        <f t="shared" si="174"/>
        <v>3.3094427663941522E-2</v>
      </c>
      <c r="AA128" s="39">
        <f t="shared" si="175"/>
        <v>135782.26096607896</v>
      </c>
      <c r="AB128" s="39">
        <f t="shared" si="176"/>
        <v>3.3094427663941522E-2</v>
      </c>
      <c r="AC128" s="39">
        <f t="shared" si="177"/>
        <v>0</v>
      </c>
      <c r="AD128" s="38">
        <f t="shared" si="178"/>
        <v>2.4367396081580908E-2</v>
      </c>
      <c r="AE128" s="38">
        <f t="shared" si="179"/>
        <v>0</v>
      </c>
      <c r="AF128" s="38">
        <f t="shared" si="180"/>
        <v>0</v>
      </c>
      <c r="AG128" s="38"/>
      <c r="AH128" s="38">
        <f t="shared" si="181"/>
        <v>2.4367396081580908E-2</v>
      </c>
      <c r="AI128" s="38">
        <f t="shared" si="182"/>
        <v>0.83710686701851589</v>
      </c>
      <c r="AJ128" t="s">
        <v>330</v>
      </c>
    </row>
    <row r="129" spans="1:36" ht="16.5" thickBot="1" x14ac:dyDescent="0.35">
      <c r="A129" s="16">
        <v>80</v>
      </c>
      <c r="B129" s="17">
        <v>6</v>
      </c>
      <c r="C129" s="24" t="s">
        <v>236</v>
      </c>
      <c r="D129" s="58" t="str">
        <f>VLOOKUP(C129,Sheet2!B:C,2,FALSE)</f>
        <v>SonoSensor 30 DN32, FL 260 мм Qp 6</v>
      </c>
      <c r="E129" s="85" t="str">
        <f>VLOOKUP(C129,Sheet2!B:F,5,FALSE)</f>
        <v xml:space="preserve">фланцевое </v>
      </c>
      <c r="F129" s="57" t="str">
        <f t="shared" si="164"/>
        <v>32-80</v>
      </c>
      <c r="G129" s="8">
        <f t="shared" si="144"/>
        <v>80</v>
      </c>
      <c r="H129" s="8">
        <f>VLOOKUP(C129,Sheet2!B:G,6,FALSE)</f>
        <v>32</v>
      </c>
      <c r="I129" s="15">
        <f>VLOOKUP(C129,Sheet2!B:O,14,FALSE)</f>
        <v>155.38999999999999</v>
      </c>
      <c r="J129" s="15">
        <f>VLOOKUP(C129,Sheet2!B:P,15,FALSE)</f>
        <v>364</v>
      </c>
      <c r="K129" s="78">
        <f>VLOOKUP(D129,Sheet2!C:D,2,FALSE)</f>
        <v>0.06</v>
      </c>
      <c r="L129" s="78">
        <f>VLOOKUP(D129,Sheet2!C:E,3,FALSE)</f>
        <v>12</v>
      </c>
      <c r="M129" s="12">
        <f t="shared" si="165"/>
        <v>25.750003119224949</v>
      </c>
      <c r="N129" s="12">
        <f t="shared" si="166"/>
        <v>25.750003119224949</v>
      </c>
      <c r="O129" s="56">
        <f t="shared" si="167"/>
        <v>32</v>
      </c>
      <c r="P129" s="12">
        <v>115</v>
      </c>
      <c r="Q129" s="12">
        <f>VLOOKUP(D129,Sheet2!$C$26:$L$38,7,FALSE)</f>
        <v>0</v>
      </c>
      <c r="R129" s="12">
        <f>VLOOKUP(D129,Sheet2!$C$26:$L$38,8,FALSE)</f>
        <v>0</v>
      </c>
      <c r="S129" s="56">
        <f t="shared" si="168"/>
        <v>115</v>
      </c>
      <c r="T129" s="71">
        <f>VLOOKUP(D129,Sheet2!$C$26:$L$38,10,FALSE)</f>
        <v>260</v>
      </c>
      <c r="U129" s="71">
        <f t="shared" si="169"/>
        <v>260</v>
      </c>
      <c r="V129" s="39">
        <f t="shared" si="170"/>
        <v>275807.7175873479</v>
      </c>
      <c r="W129" s="39">
        <f t="shared" si="171"/>
        <v>3.9043389274015572E-2</v>
      </c>
      <c r="X129" s="39">
        <f t="shared" si="172"/>
        <v>6.0139595548804541E-2</v>
      </c>
      <c r="Y129" s="39">
        <f t="shared" si="173"/>
        <v>275807.7175873479</v>
      </c>
      <c r="Z129" s="39">
        <f t="shared" si="174"/>
        <v>3.9043389274015572E-2</v>
      </c>
      <c r="AA129" s="39">
        <f t="shared" si="175"/>
        <v>275807.7175873479</v>
      </c>
      <c r="AB129" s="39">
        <f t="shared" si="176"/>
        <v>3.9043389274015572E-2</v>
      </c>
      <c r="AC129" s="39">
        <f t="shared" si="177"/>
        <v>0.37819203920308386</v>
      </c>
      <c r="AD129" s="38">
        <f t="shared" si="178"/>
        <v>0.19288000111351786</v>
      </c>
      <c r="AE129" s="38">
        <f t="shared" si="179"/>
        <v>3.6565946749094941E-2</v>
      </c>
      <c r="AF129" s="38">
        <f t="shared" si="180"/>
        <v>0.22994750530387437</v>
      </c>
      <c r="AG129" s="38"/>
      <c r="AH129" s="38">
        <f t="shared" si="181"/>
        <v>0.45939345316648716</v>
      </c>
      <c r="AI129" s="38">
        <f t="shared" si="182"/>
        <v>3.4538833136262008</v>
      </c>
      <c r="AJ129" t="s">
        <v>330</v>
      </c>
    </row>
    <row r="130" spans="1:36" ht="16.5" thickBot="1" x14ac:dyDescent="0.35">
      <c r="A130" s="13"/>
      <c r="B130" s="14"/>
      <c r="C130" s="24" t="s">
        <v>237</v>
      </c>
      <c r="D130" s="58" t="str">
        <f>VLOOKUP(C130,Sheet2!B:C,2,FALSE)</f>
        <v>SonoSensor 30 DN40, G2, 300 мм Qp 10</v>
      </c>
      <c r="E130" s="85" t="str">
        <f>VLOOKUP(C130,Sheet2!B:F,5,FALSE)</f>
        <v xml:space="preserve">резьбовое </v>
      </c>
      <c r="F130" s="57" t="str">
        <f t="shared" si="164"/>
        <v>40-80</v>
      </c>
      <c r="G130" s="8">
        <f t="shared" si="144"/>
        <v>80</v>
      </c>
      <c r="H130" s="8">
        <f>VLOOKUP(C130,Sheet2!B:G,6,FALSE)</f>
        <v>40</v>
      </c>
      <c r="I130" s="15">
        <f>VLOOKUP(C130,Sheet2!B:O,14,FALSE)</f>
        <v>152.34</v>
      </c>
      <c r="J130" s="15">
        <f>VLOOKUP(C130,Sheet2!B:P,15,FALSE)</f>
        <v>354</v>
      </c>
      <c r="K130" s="74">
        <f>VLOOKUP(D130,Sheet2!C:D,2,FALSE)</f>
        <v>0.1</v>
      </c>
      <c r="L130" s="74">
        <f>VLOOKUP(D130,Sheet2!C:E,3,FALSE)</f>
        <v>20</v>
      </c>
      <c r="M130" s="12">
        <f t="shared" si="165"/>
        <v>29.862834356275105</v>
      </c>
      <c r="N130" s="12">
        <f t="shared" si="166"/>
        <v>29.862834356275105</v>
      </c>
      <c r="O130" s="56">
        <f t="shared" si="167"/>
        <v>40</v>
      </c>
      <c r="P130" s="12">
        <v>85</v>
      </c>
      <c r="Q130" s="12">
        <f>VLOOKUP(D130,Sheet2!$C$26:$L$38,7,FALSE)</f>
        <v>0</v>
      </c>
      <c r="R130" s="12">
        <f>VLOOKUP(D130,Sheet2!$C$26:$L$38,8,FALSE)</f>
        <v>0</v>
      </c>
      <c r="S130" s="56">
        <f t="shared" si="168"/>
        <v>85</v>
      </c>
      <c r="T130" s="71">
        <f>VLOOKUP(D130,Sheet2!$C$26:$L$38,10,FALSE)</f>
        <v>300</v>
      </c>
      <c r="U130" s="71">
        <f t="shared" si="169"/>
        <v>300</v>
      </c>
      <c r="V130" s="39">
        <f t="shared" si="170"/>
        <v>220646.1740698783</v>
      </c>
      <c r="W130" s="39">
        <f t="shared" si="171"/>
        <v>3.7005356225573237E-2</v>
      </c>
      <c r="X130" s="39">
        <f t="shared" si="172"/>
        <v>6.0809899329536087E-2</v>
      </c>
      <c r="Y130" s="39">
        <f t="shared" si="173"/>
        <v>220646.1740698783</v>
      </c>
      <c r="Z130" s="39">
        <f t="shared" si="174"/>
        <v>3.7005356225573237E-2</v>
      </c>
      <c r="AA130" s="39">
        <f t="shared" si="175"/>
        <v>220646.1740698783</v>
      </c>
      <c r="AB130" s="39">
        <f t="shared" si="176"/>
        <v>3.7005356225573237E-2</v>
      </c>
      <c r="AC130" s="39">
        <f t="shared" si="177"/>
        <v>0.36176234635398863</v>
      </c>
      <c r="AD130" s="38">
        <f t="shared" si="178"/>
        <v>6.9119743844736792E-2</v>
      </c>
      <c r="AE130" s="38">
        <f t="shared" si="179"/>
        <v>1.5144346994024576E-2</v>
      </c>
      <c r="AF130" s="38">
        <f t="shared" si="180"/>
        <v>9.0094780010534545E-2</v>
      </c>
      <c r="AG130" s="38"/>
      <c r="AH130" s="38">
        <f t="shared" si="181"/>
        <v>0.17435887084929591</v>
      </c>
      <c r="AI130" s="38">
        <f t="shared" si="182"/>
        <v>2.2104853207207684</v>
      </c>
      <c r="AJ130" t="s">
        <v>330</v>
      </c>
    </row>
    <row r="131" spans="1:36" ht="16.5" thickBot="1" x14ac:dyDescent="0.35">
      <c r="A131" s="13"/>
      <c r="B131" s="14"/>
      <c r="C131" s="24" t="s">
        <v>238</v>
      </c>
      <c r="D131" s="58" t="str">
        <f>VLOOKUP(C131,Sheet2!B:C,2,FALSE)</f>
        <v>SonoSensor 30 DN40, FL 300 мм Qp 10</v>
      </c>
      <c r="E131" s="85" t="str">
        <f>VLOOKUP(C131,Sheet2!B:F,5,FALSE)</f>
        <v xml:space="preserve">фланцевое </v>
      </c>
      <c r="F131" s="57" t="str">
        <f t="shared" ref="F131:F150" si="183">_xlfn.CONCAT(H131,"-",G131)</f>
        <v>40-80</v>
      </c>
      <c r="G131" s="8">
        <f t="shared" si="144"/>
        <v>80</v>
      </c>
      <c r="H131" s="8">
        <f>VLOOKUP(C131,Sheet2!B:G,6,FALSE)</f>
        <v>40</v>
      </c>
      <c r="I131" s="15">
        <f>VLOOKUP(C131,Sheet2!B:O,14,FALSE)</f>
        <v>178.57</v>
      </c>
      <c r="J131" s="15">
        <f>VLOOKUP(C131,Sheet2!B:P,15,FALSE)</f>
        <v>372.6</v>
      </c>
      <c r="K131" s="78">
        <f>VLOOKUP(D131,Sheet2!C:D,2,FALSE)</f>
        <v>0.1</v>
      </c>
      <c r="L131" s="78">
        <f>VLOOKUP(D131,Sheet2!C:E,3,FALSE)</f>
        <v>20</v>
      </c>
      <c r="M131" s="12">
        <f t="shared" ref="M131:M150" si="184">DEGREES(2*ATAN((G131-H131)/(2*(P131-10))))</f>
        <v>29.862834356275105</v>
      </c>
      <c r="N131" s="12">
        <f t="shared" ref="N131:N150" si="185">DEGREES(2*ATAN((G131-H131)/(2*(S131-10))))</f>
        <v>29.862834356275105</v>
      </c>
      <c r="O131" s="56">
        <f t="shared" ref="O131:O150" si="186">H131</f>
        <v>40</v>
      </c>
      <c r="P131" s="12">
        <v>85</v>
      </c>
      <c r="Q131" s="12">
        <f>VLOOKUP(D131,Sheet2!$C$26:$L$38,7,FALSE)</f>
        <v>0</v>
      </c>
      <c r="R131" s="12">
        <f>VLOOKUP(D131,Sheet2!$C$26:$L$38,8,FALSE)</f>
        <v>0</v>
      </c>
      <c r="S131" s="56">
        <f t="shared" ref="S131:S150" si="187">P131</f>
        <v>85</v>
      </c>
      <c r="T131" s="71">
        <f>VLOOKUP(D131,Sheet2!$C$26:$L$38,10,FALSE)</f>
        <v>300</v>
      </c>
      <c r="U131" s="71">
        <f t="shared" si="169"/>
        <v>300</v>
      </c>
      <c r="V131" s="39">
        <f t="shared" si="170"/>
        <v>220646.1740698783</v>
      </c>
      <c r="W131" s="39">
        <f t="shared" si="171"/>
        <v>3.7005356225573237E-2</v>
      </c>
      <c r="X131" s="39">
        <f t="shared" si="172"/>
        <v>6.0809899329536087E-2</v>
      </c>
      <c r="Y131" s="39">
        <f t="shared" si="173"/>
        <v>220646.1740698783</v>
      </c>
      <c r="Z131" s="39">
        <f t="shared" si="174"/>
        <v>3.7005356225573237E-2</v>
      </c>
      <c r="AA131" s="39">
        <f t="shared" si="175"/>
        <v>220646.1740698783</v>
      </c>
      <c r="AB131" s="39">
        <f t="shared" si="176"/>
        <v>3.7005356225573237E-2</v>
      </c>
      <c r="AC131" s="39">
        <f t="shared" si="177"/>
        <v>0.36176234635398863</v>
      </c>
      <c r="AD131" s="38">
        <f t="shared" si="178"/>
        <v>6.9119743844736792E-2</v>
      </c>
      <c r="AE131" s="38">
        <f t="shared" si="179"/>
        <v>1.5144346994024576E-2</v>
      </c>
      <c r="AF131" s="38">
        <f t="shared" si="180"/>
        <v>9.0094780010534545E-2</v>
      </c>
      <c r="AG131" s="38"/>
      <c r="AH131" s="38">
        <f t="shared" si="181"/>
        <v>0.17435887084929591</v>
      </c>
      <c r="AI131" s="38">
        <f t="shared" si="182"/>
        <v>2.2104853207207684</v>
      </c>
      <c r="AJ131" t="s">
        <v>330</v>
      </c>
    </row>
    <row r="132" spans="1:36" ht="16.5" thickBot="1" x14ac:dyDescent="0.35">
      <c r="A132" s="13"/>
      <c r="B132" s="14"/>
      <c r="C132" s="24" t="s">
        <v>239</v>
      </c>
      <c r="D132" s="58" t="str">
        <f>VLOOKUP(C132,Sheet2!B:C,2,FALSE)</f>
        <v>SonoSensor 30 DN50, FL 270 мм Qp 15</v>
      </c>
      <c r="E132" s="85" t="str">
        <f>VLOOKUP(C132,Sheet2!B:F,5,FALSE)</f>
        <v xml:space="preserve">фланцевое </v>
      </c>
      <c r="F132" s="57" t="str">
        <f t="shared" si="183"/>
        <v>50-80</v>
      </c>
      <c r="G132" s="8">
        <f t="shared" si="144"/>
        <v>80</v>
      </c>
      <c r="H132" s="8">
        <f>VLOOKUP(C132,Sheet2!B:G,6,FALSE)</f>
        <v>50</v>
      </c>
      <c r="I132" s="15">
        <f>VLOOKUP(C132,Sheet2!B:O,14,FALSE)</f>
        <v>196.54</v>
      </c>
      <c r="J132" s="15">
        <f>VLOOKUP(C132,Sheet2!B:P,15,FALSE)</f>
        <v>399</v>
      </c>
      <c r="K132" s="74">
        <f>VLOOKUP(D132,Sheet2!C:D,2,FALSE)</f>
        <v>0.15</v>
      </c>
      <c r="L132" s="74">
        <f>VLOOKUP(D132,Sheet2!C:E,3,FALSE)</f>
        <v>30</v>
      </c>
      <c r="M132" s="12">
        <f t="shared" si="184"/>
        <v>22.61986494804043</v>
      </c>
      <c r="N132" s="12">
        <f t="shared" si="185"/>
        <v>22.61986494804043</v>
      </c>
      <c r="O132" s="56">
        <f t="shared" si="186"/>
        <v>50</v>
      </c>
      <c r="P132" s="12">
        <v>85</v>
      </c>
      <c r="Q132" s="12">
        <f>VLOOKUP(D132,Sheet2!$C$26:$L$38,7,FALSE)</f>
        <v>0</v>
      </c>
      <c r="R132" s="12">
        <f>VLOOKUP(D132,Sheet2!$C$26:$L$38,8,FALSE)</f>
        <v>0</v>
      </c>
      <c r="S132" s="56">
        <f t="shared" si="187"/>
        <v>85</v>
      </c>
      <c r="T132" s="71">
        <f>VLOOKUP(D132,Sheet2!$C$26:$L$38,10,FALSE)</f>
        <v>270</v>
      </c>
      <c r="U132" s="71">
        <f t="shared" si="169"/>
        <v>270</v>
      </c>
      <c r="V132" s="39">
        <f t="shared" si="170"/>
        <v>176516.93925590263</v>
      </c>
      <c r="W132" s="39">
        <f t="shared" si="171"/>
        <v>3.5115328653073222E-2</v>
      </c>
      <c r="X132" s="39">
        <f t="shared" si="172"/>
        <v>4.7058272397061687E-2</v>
      </c>
      <c r="Y132" s="39">
        <f t="shared" si="173"/>
        <v>176516.93925590263</v>
      </c>
      <c r="Z132" s="39">
        <f t="shared" si="174"/>
        <v>3.5115328653073222E-2</v>
      </c>
      <c r="AA132" s="39">
        <f t="shared" si="175"/>
        <v>176516.93925590263</v>
      </c>
      <c r="AB132" s="39">
        <f t="shared" si="176"/>
        <v>3.5115328653073222E-2</v>
      </c>
      <c r="AC132" s="39">
        <f t="shared" si="177"/>
        <v>0.17789685218121407</v>
      </c>
      <c r="AD132" s="38">
        <f t="shared" si="178"/>
        <v>1.9343128307816936E-2</v>
      </c>
      <c r="AE132" s="38">
        <f t="shared" si="179"/>
        <v>4.8003421647689727E-3</v>
      </c>
      <c r="AF132" s="38">
        <f t="shared" si="180"/>
        <v>1.8146984940281757E-2</v>
      </c>
      <c r="AG132" s="38"/>
      <c r="AH132" s="38">
        <f t="shared" si="181"/>
        <v>4.2290455412867661E-2</v>
      </c>
      <c r="AI132" s="38">
        <f t="shared" si="182"/>
        <v>1.4147106052612919</v>
      </c>
      <c r="AJ132" t="s">
        <v>330</v>
      </c>
    </row>
    <row r="133" spans="1:36" ht="16.5" thickBot="1" x14ac:dyDescent="0.35">
      <c r="A133" s="13"/>
      <c r="B133" s="14"/>
      <c r="C133" s="24" t="s">
        <v>240</v>
      </c>
      <c r="D133" s="58" t="str">
        <f>VLOOKUP(C133,Sheet2!B:C,2,FALSE)</f>
        <v>SonoSensor 30 DN65, FL 300 мм Qp 25</v>
      </c>
      <c r="E133" s="85" t="str">
        <f>VLOOKUP(C133,Sheet2!B:F,5,FALSE)</f>
        <v xml:space="preserve">фланцевое </v>
      </c>
      <c r="F133" s="57" t="str">
        <f t="shared" si="183"/>
        <v>65-80</v>
      </c>
      <c r="G133" s="8">
        <f t="shared" si="144"/>
        <v>80</v>
      </c>
      <c r="H133" s="8">
        <f>VLOOKUP(C133,Sheet2!B:G,6,FALSE)</f>
        <v>65</v>
      </c>
      <c r="I133" s="15">
        <f>VLOOKUP(C133,Sheet2!B:O,14,FALSE)</f>
        <v>361.28</v>
      </c>
      <c r="J133" s="15">
        <f>VLOOKUP(C133,Sheet2!B:P,15,FALSE)</f>
        <v>655</v>
      </c>
      <c r="K133" s="78">
        <f>VLOOKUP(D133,Sheet2!C:D,2,FALSE)</f>
        <v>0.25</v>
      </c>
      <c r="L133" s="78">
        <f>VLOOKUP(D133,Sheet2!C:E,3,FALSE)</f>
        <v>50</v>
      </c>
      <c r="M133" s="12">
        <f t="shared" si="184"/>
        <v>11.421186274999286</v>
      </c>
      <c r="N133" s="12">
        <f t="shared" si="185"/>
        <v>11.421186274999286</v>
      </c>
      <c r="O133" s="56">
        <f t="shared" si="186"/>
        <v>65</v>
      </c>
      <c r="P133" s="12">
        <v>85</v>
      </c>
      <c r="Q133" s="12">
        <f>VLOOKUP(D133,Sheet2!$C$26:$L$38,7,FALSE)</f>
        <v>325</v>
      </c>
      <c r="R133" s="12">
        <f>VLOOKUP(D133,Sheet2!$C$26:$L$38,8,FALSE)</f>
        <v>195</v>
      </c>
      <c r="S133" s="56">
        <f t="shared" si="187"/>
        <v>85</v>
      </c>
      <c r="T133" s="71">
        <f>VLOOKUP(D133,Sheet2!$C$26:$L$38,10,FALSE)</f>
        <v>820</v>
      </c>
      <c r="U133" s="71">
        <f t="shared" ref="U133:U150" si="188">T133+Q133+R133</f>
        <v>1340</v>
      </c>
      <c r="V133" s="39">
        <f t="shared" ref="V133:V150" si="189">4*$V$4/(3.6*PI()*H133*$F$8)</f>
        <v>135782.26096607896</v>
      </c>
      <c r="W133" s="39">
        <f t="shared" ref="W133:W150" si="190">0.11*((68/V133)+$V$5/H133)^0.25</f>
        <v>3.3094427663941522E-2</v>
      </c>
      <c r="X133" s="39">
        <f t="shared" ref="X133:X150" si="191">(-0.0125*(H133/G133)^8+0.0224*(H133/G133)^6-0.00723*(H133/G133)^4+0.00444*(H133/G133)^2-0.00745)*((0.01745*M133)^3-2*PI()*(0.01745*M133)^2-10*0.01745*M133)+IF(M133=0,0,W133/(8*SIN(RADIANS(M133/2)))*(1-(H133/G133)^4))</f>
        <v>3.1499372544050053E-2</v>
      </c>
      <c r="Y133" s="39">
        <f t="shared" ref="Y133:Y150" si="192">4*$V$4/(3.6*PI()*H133*$F$8)</f>
        <v>135782.26096607896</v>
      </c>
      <c r="Z133" s="39">
        <f t="shared" ref="Z133:Z150" si="193">0.11*((68/Y133)+$V$5/H133)^0.25</f>
        <v>3.3094427663941522E-2</v>
      </c>
      <c r="AA133" s="39">
        <f t="shared" ref="AA133:AA150" si="194">4*$V$4/(3.6*PI()*H133*$F$8)</f>
        <v>135782.26096607896</v>
      </c>
      <c r="AB133" s="39">
        <f t="shared" ref="AB133:AB150" si="195">0.11*((68/AA133)+$V$5/H133)^0.25</f>
        <v>3.3094427663941522E-2</v>
      </c>
      <c r="AC133" s="39">
        <f t="shared" ref="AC133:AC150" si="196">IF(N133&gt;40,1,(3.2*(TAN(RADIANS(N133/2)))^1.25))*((1-(H133/G133)^2)^2)+IF(N133=0,0,AB133/(8*SIN(RADIANS(N133/2)))*(1-(H133/G133)^4))</f>
        <v>4.4239008272093511E-2</v>
      </c>
      <c r="AD133" s="38">
        <f t="shared" ref="AD133:AD150" si="197">Z133*(((U133)/H133)*(4*$V$4*1000/(3.6*PI()*H133^2))^2)/(2*9.81)</f>
        <v>2.4367396081580908E-2</v>
      </c>
      <c r="AE133" s="38">
        <f t="shared" ref="AE133:AE150" si="198">X133*((4*$V$4*1000/(3.6*PI()*H133^2))^2)/(2*9.81)</f>
        <v>1.1250315686063938E-3</v>
      </c>
      <c r="AF133" s="38">
        <f t="shared" ref="AF133:AF150" si="199">AC133*((4*$V$4*1000/(3.6*PI()*H133^2))^2)/(2*9.81)</f>
        <v>1.5800403897043896E-3</v>
      </c>
      <c r="AG133" s="38"/>
      <c r="AH133" s="38">
        <f t="shared" ref="AH133:AH150" si="200">SUM(AD133:AG133)</f>
        <v>2.7072468039891689E-2</v>
      </c>
      <c r="AI133" s="38">
        <f t="shared" ref="AI133:AI150" si="201">(4*$V$4*1000/(3.6*PI()*H133^2))</f>
        <v>0.83710686701851589</v>
      </c>
      <c r="AJ133" t="s">
        <v>330</v>
      </c>
    </row>
    <row r="134" spans="1:36" ht="16.5" thickBot="1" x14ac:dyDescent="0.35">
      <c r="A134" s="13"/>
      <c r="B134" s="14"/>
      <c r="C134" s="24" t="s">
        <v>241</v>
      </c>
      <c r="D134" s="58" t="str">
        <f>VLOOKUP(C134,Sheet2!B:C,2,FALSE)</f>
        <v>SonoSensor 30 DN80, FL 350 мм Qp 40</v>
      </c>
      <c r="E134" s="85" t="str">
        <f>VLOOKUP(C134,Sheet2!B:F,5,FALSE)</f>
        <v xml:space="preserve">фланцевое </v>
      </c>
      <c r="F134" s="57" t="str">
        <f t="shared" si="183"/>
        <v>80-80</v>
      </c>
      <c r="G134" s="8">
        <f t="shared" si="144"/>
        <v>80</v>
      </c>
      <c r="H134" s="8">
        <f>VLOOKUP(C134,Sheet2!B:G,6,FALSE)</f>
        <v>80</v>
      </c>
      <c r="I134" s="15">
        <f>VLOOKUP(C134,Sheet2!B:O,14,FALSE)</f>
        <v>397.28</v>
      </c>
      <c r="J134" s="15">
        <f>VLOOKUP(C134,Sheet2!B:P,15,FALSE)</f>
        <v>719</v>
      </c>
      <c r="K134" s="74">
        <f>VLOOKUP(D134,Sheet2!C:D,2,FALSE)</f>
        <v>0.4</v>
      </c>
      <c r="L134" s="74">
        <f>VLOOKUP(D134,Sheet2!C:E,3,FALSE)</f>
        <v>80</v>
      </c>
      <c r="M134" s="12">
        <f t="shared" si="184"/>
        <v>0</v>
      </c>
      <c r="N134" s="12">
        <f t="shared" si="185"/>
        <v>0</v>
      </c>
      <c r="O134" s="56">
        <f t="shared" si="186"/>
        <v>80</v>
      </c>
      <c r="P134" s="12">
        <v>0</v>
      </c>
      <c r="Q134" s="12">
        <f>VLOOKUP(D134,Sheet2!$C$26:$L$38,7,FALSE)</f>
        <v>400</v>
      </c>
      <c r="R134" s="12">
        <f>VLOOKUP(D134,Sheet2!$C$26:$L$38,8,FALSE)</f>
        <v>240</v>
      </c>
      <c r="S134" s="56">
        <f t="shared" si="187"/>
        <v>0</v>
      </c>
      <c r="T134" s="71">
        <f>VLOOKUP(D134,Sheet2!$C$26:$L$38,10,FALSE)</f>
        <v>990</v>
      </c>
      <c r="U134" s="71">
        <f t="shared" si="188"/>
        <v>1630</v>
      </c>
      <c r="V134" s="39">
        <f t="shared" si="189"/>
        <v>110323.08703493915</v>
      </c>
      <c r="W134" s="39">
        <f t="shared" si="190"/>
        <v>3.1664636617036022E-2</v>
      </c>
      <c r="X134" s="39">
        <f t="shared" si="191"/>
        <v>0</v>
      </c>
      <c r="Y134" s="39">
        <f t="shared" si="192"/>
        <v>110323.08703493915</v>
      </c>
      <c r="Z134" s="39">
        <f t="shared" si="193"/>
        <v>3.1664636617036022E-2</v>
      </c>
      <c r="AA134" s="39">
        <f t="shared" si="194"/>
        <v>110323.08703493915</v>
      </c>
      <c r="AB134" s="39">
        <f t="shared" si="195"/>
        <v>3.1664636617036022E-2</v>
      </c>
      <c r="AC134" s="39">
        <f t="shared" si="196"/>
        <v>0</v>
      </c>
      <c r="AD134" s="38">
        <f t="shared" si="197"/>
        <v>1.0042189457151143E-2</v>
      </c>
      <c r="AE134" s="38">
        <f t="shared" si="198"/>
        <v>0</v>
      </c>
      <c r="AF134" s="38">
        <f t="shared" si="199"/>
        <v>0</v>
      </c>
      <c r="AG134" s="38"/>
      <c r="AH134" s="38">
        <f t="shared" si="200"/>
        <v>1.0042189457151143E-2</v>
      </c>
      <c r="AI134" s="38">
        <f t="shared" si="201"/>
        <v>0.55262133018019211</v>
      </c>
      <c r="AJ134" t="s">
        <v>330</v>
      </c>
    </row>
    <row r="135" spans="1:36" ht="16.5" thickBot="1" x14ac:dyDescent="0.35">
      <c r="A135" s="16">
        <v>100</v>
      </c>
      <c r="B135" s="17">
        <v>6</v>
      </c>
      <c r="C135" s="24" t="s">
        <v>237</v>
      </c>
      <c r="D135" s="58" t="str">
        <f>VLOOKUP(C135,Sheet2!B:C,2,FALSE)</f>
        <v>SonoSensor 30 DN40, G2, 300 мм Qp 10</v>
      </c>
      <c r="E135" s="85" t="str">
        <f>VLOOKUP(C135,Sheet2!B:F,5,FALSE)</f>
        <v xml:space="preserve">резьбовое </v>
      </c>
      <c r="F135" s="57" t="str">
        <f t="shared" si="183"/>
        <v>40-100</v>
      </c>
      <c r="G135" s="8">
        <f t="shared" si="144"/>
        <v>100</v>
      </c>
      <c r="H135" s="8">
        <f>VLOOKUP(C135,Sheet2!B:G,6,FALSE)</f>
        <v>40</v>
      </c>
      <c r="I135" s="15">
        <f>VLOOKUP(C135,Sheet2!B:O,14,FALSE)</f>
        <v>152.34</v>
      </c>
      <c r="J135" s="15">
        <f>VLOOKUP(C135,Sheet2!B:P,15,FALSE)</f>
        <v>354</v>
      </c>
      <c r="K135" s="74">
        <f>VLOOKUP(D135,Sheet2!C:D,2,FALSE)</f>
        <v>0.1</v>
      </c>
      <c r="L135" s="74">
        <f>VLOOKUP(D135,Sheet2!C:E,3,FALSE)</f>
        <v>20</v>
      </c>
      <c r="M135" s="12">
        <f t="shared" si="184"/>
        <v>41.112090439166927</v>
      </c>
      <c r="N135" s="12">
        <f t="shared" si="185"/>
        <v>41.112090439166927</v>
      </c>
      <c r="O135" s="56">
        <f t="shared" si="186"/>
        <v>40</v>
      </c>
      <c r="P135" s="12">
        <v>90.000000000000014</v>
      </c>
      <c r="Q135" s="12">
        <f>VLOOKUP(D135,Sheet2!$C$26:$L$38,7,FALSE)</f>
        <v>0</v>
      </c>
      <c r="R135" s="12">
        <f>VLOOKUP(D135,Sheet2!$C$26:$L$38,8,FALSE)</f>
        <v>0</v>
      </c>
      <c r="S135" s="56">
        <f t="shared" si="187"/>
        <v>90.000000000000014</v>
      </c>
      <c r="T135" s="71">
        <f>VLOOKUP(D135,Sheet2!$C$26:$L$38,10,FALSE)</f>
        <v>300</v>
      </c>
      <c r="U135" s="71">
        <f t="shared" si="188"/>
        <v>300</v>
      </c>
      <c r="V135" s="39">
        <f t="shared" si="189"/>
        <v>220646.1740698783</v>
      </c>
      <c r="W135" s="39">
        <f t="shared" si="190"/>
        <v>3.7005356225573237E-2</v>
      </c>
      <c r="X135" s="39">
        <f t="shared" si="191"/>
        <v>8.1512071051542817E-2</v>
      </c>
      <c r="Y135" s="39">
        <f t="shared" si="192"/>
        <v>220646.1740698783</v>
      </c>
      <c r="Z135" s="39">
        <f t="shared" si="193"/>
        <v>3.7005356225573237E-2</v>
      </c>
      <c r="AA135" s="39">
        <f t="shared" si="194"/>
        <v>220646.1740698783</v>
      </c>
      <c r="AB135" s="39">
        <f t="shared" si="195"/>
        <v>3.7005356225573237E-2</v>
      </c>
      <c r="AC135" s="39">
        <f t="shared" si="196"/>
        <v>0.71843666042883703</v>
      </c>
      <c r="AD135" s="38">
        <f t="shared" si="197"/>
        <v>6.9119743844736792E-2</v>
      </c>
      <c r="AE135" s="38">
        <f t="shared" si="198"/>
        <v>2.03001008358283E-2</v>
      </c>
      <c r="AF135" s="38">
        <f t="shared" si="199"/>
        <v>0.1789224155725225</v>
      </c>
      <c r="AG135" s="38"/>
      <c r="AH135" s="38">
        <f t="shared" si="200"/>
        <v>0.26834226025308761</v>
      </c>
      <c r="AI135" s="38">
        <f t="shared" si="201"/>
        <v>2.2104853207207684</v>
      </c>
      <c r="AJ135" t="s">
        <v>330</v>
      </c>
    </row>
    <row r="136" spans="1:36" ht="16.5" thickBot="1" x14ac:dyDescent="0.35">
      <c r="A136" s="13"/>
      <c r="B136" s="14"/>
      <c r="C136" s="24" t="s">
        <v>238</v>
      </c>
      <c r="D136" s="58" t="str">
        <f>VLOOKUP(C136,Sheet2!B:C,2,FALSE)</f>
        <v>SonoSensor 30 DN40, FL 300 мм Qp 10</v>
      </c>
      <c r="E136" s="85" t="str">
        <f>VLOOKUP(C136,Sheet2!B:F,5,FALSE)</f>
        <v xml:space="preserve">фланцевое </v>
      </c>
      <c r="F136" s="57" t="str">
        <f t="shared" si="183"/>
        <v>40-100</v>
      </c>
      <c r="G136" s="8">
        <f t="shared" si="144"/>
        <v>100</v>
      </c>
      <c r="H136" s="8">
        <f>VLOOKUP(C136,Sheet2!B:G,6,FALSE)</f>
        <v>40</v>
      </c>
      <c r="I136" s="15">
        <f>VLOOKUP(C136,Sheet2!B:O,14,FALSE)</f>
        <v>178.57</v>
      </c>
      <c r="J136" s="15">
        <f>VLOOKUP(C136,Sheet2!B:P,15,FALSE)</f>
        <v>372.6</v>
      </c>
      <c r="K136" s="78">
        <f>VLOOKUP(D136,Sheet2!C:D,2,FALSE)</f>
        <v>0.1</v>
      </c>
      <c r="L136" s="78">
        <f>VLOOKUP(D136,Sheet2!C:E,3,FALSE)</f>
        <v>20</v>
      </c>
      <c r="M136" s="12">
        <f t="shared" si="184"/>
        <v>41.112090439166927</v>
      </c>
      <c r="N136" s="12">
        <f t="shared" si="185"/>
        <v>41.112090439166927</v>
      </c>
      <c r="O136" s="56">
        <f t="shared" si="186"/>
        <v>40</v>
      </c>
      <c r="P136" s="12">
        <v>90.000000000000014</v>
      </c>
      <c r="Q136" s="12">
        <f>VLOOKUP(D136,Sheet2!$C$26:$L$38,7,FALSE)</f>
        <v>0</v>
      </c>
      <c r="R136" s="12">
        <f>VLOOKUP(D136,Sheet2!$C$26:$L$38,8,FALSE)</f>
        <v>0</v>
      </c>
      <c r="S136" s="56">
        <f t="shared" si="187"/>
        <v>90.000000000000014</v>
      </c>
      <c r="T136" s="71">
        <f>VLOOKUP(D136,Sheet2!$C$26:$L$38,10,FALSE)</f>
        <v>300</v>
      </c>
      <c r="U136" s="71">
        <f t="shared" si="188"/>
        <v>300</v>
      </c>
      <c r="V136" s="39">
        <f t="shared" si="189"/>
        <v>220646.1740698783</v>
      </c>
      <c r="W136" s="39">
        <f t="shared" si="190"/>
        <v>3.7005356225573237E-2</v>
      </c>
      <c r="X136" s="39">
        <f t="shared" si="191"/>
        <v>8.1512071051542817E-2</v>
      </c>
      <c r="Y136" s="39">
        <f t="shared" si="192"/>
        <v>220646.1740698783</v>
      </c>
      <c r="Z136" s="39">
        <f t="shared" si="193"/>
        <v>3.7005356225573237E-2</v>
      </c>
      <c r="AA136" s="39">
        <f t="shared" si="194"/>
        <v>220646.1740698783</v>
      </c>
      <c r="AB136" s="39">
        <f t="shared" si="195"/>
        <v>3.7005356225573237E-2</v>
      </c>
      <c r="AC136" s="39">
        <f t="shared" si="196"/>
        <v>0.71843666042883703</v>
      </c>
      <c r="AD136" s="38">
        <f t="shared" si="197"/>
        <v>6.9119743844736792E-2</v>
      </c>
      <c r="AE136" s="38">
        <f t="shared" si="198"/>
        <v>2.03001008358283E-2</v>
      </c>
      <c r="AF136" s="38">
        <f t="shared" si="199"/>
        <v>0.1789224155725225</v>
      </c>
      <c r="AG136" s="38"/>
      <c r="AH136" s="38">
        <f t="shared" si="200"/>
        <v>0.26834226025308761</v>
      </c>
      <c r="AI136" s="38">
        <f t="shared" si="201"/>
        <v>2.2104853207207684</v>
      </c>
      <c r="AJ136" t="s">
        <v>330</v>
      </c>
    </row>
    <row r="137" spans="1:36" ht="16.5" thickBot="1" x14ac:dyDescent="0.35">
      <c r="A137" s="13"/>
      <c r="B137" s="14"/>
      <c r="C137" s="24" t="s">
        <v>239</v>
      </c>
      <c r="D137" s="58" t="str">
        <f>VLOOKUP(C137,Sheet2!B:C,2,FALSE)</f>
        <v>SonoSensor 30 DN50, FL 270 мм Qp 15</v>
      </c>
      <c r="E137" s="85" t="str">
        <f>VLOOKUP(C137,Sheet2!B:F,5,FALSE)</f>
        <v xml:space="preserve">фланцевое </v>
      </c>
      <c r="F137" s="57" t="str">
        <f t="shared" si="183"/>
        <v>50-100</v>
      </c>
      <c r="G137" s="8">
        <f t="shared" si="144"/>
        <v>100</v>
      </c>
      <c r="H137" s="8">
        <f>VLOOKUP(C137,Sheet2!B:G,6,FALSE)</f>
        <v>50</v>
      </c>
      <c r="I137" s="15">
        <f>VLOOKUP(C137,Sheet2!B:O,14,FALSE)</f>
        <v>196.54</v>
      </c>
      <c r="J137" s="15">
        <f>VLOOKUP(C137,Sheet2!B:P,15,FALSE)</f>
        <v>399</v>
      </c>
      <c r="K137" s="74">
        <f>VLOOKUP(D137,Sheet2!C:D,2,FALSE)</f>
        <v>0.15</v>
      </c>
      <c r="L137" s="74">
        <f>VLOOKUP(D137,Sheet2!C:E,3,FALSE)</f>
        <v>30</v>
      </c>
      <c r="M137" s="12">
        <f t="shared" si="184"/>
        <v>34.708049272522651</v>
      </c>
      <c r="N137" s="12">
        <f t="shared" si="185"/>
        <v>34.708049272522651</v>
      </c>
      <c r="O137" s="56">
        <f t="shared" si="186"/>
        <v>50</v>
      </c>
      <c r="P137" s="12">
        <v>89.999999999999986</v>
      </c>
      <c r="Q137" s="12">
        <f>VLOOKUP(D137,Sheet2!$C$26:$L$38,7,FALSE)</f>
        <v>0</v>
      </c>
      <c r="R137" s="12">
        <f>VLOOKUP(D137,Sheet2!$C$26:$L$38,8,FALSE)</f>
        <v>0</v>
      </c>
      <c r="S137" s="56">
        <f t="shared" si="187"/>
        <v>89.999999999999986</v>
      </c>
      <c r="T137" s="71">
        <f>VLOOKUP(D137,Sheet2!$C$26:$L$38,10,FALSE)</f>
        <v>270</v>
      </c>
      <c r="U137" s="71">
        <f t="shared" si="188"/>
        <v>270</v>
      </c>
      <c r="V137" s="39">
        <f t="shared" si="189"/>
        <v>176516.93925590263</v>
      </c>
      <c r="W137" s="39">
        <f t="shared" si="190"/>
        <v>3.5115328653073222E-2</v>
      </c>
      <c r="X137" s="39">
        <f t="shared" si="191"/>
        <v>6.662524071366864E-2</v>
      </c>
      <c r="Y137" s="39">
        <f t="shared" si="192"/>
        <v>176516.93925590263</v>
      </c>
      <c r="Z137" s="39">
        <f t="shared" si="193"/>
        <v>3.5115328653073222E-2</v>
      </c>
      <c r="AA137" s="39">
        <f t="shared" si="194"/>
        <v>176516.93925590263</v>
      </c>
      <c r="AB137" s="39">
        <f t="shared" si="195"/>
        <v>3.5115328653073222E-2</v>
      </c>
      <c r="AC137" s="39">
        <f t="shared" si="196"/>
        <v>0.43436309874991674</v>
      </c>
      <c r="AD137" s="38">
        <f t="shared" si="197"/>
        <v>1.9343128307816936E-2</v>
      </c>
      <c r="AE137" s="38">
        <f t="shared" si="198"/>
        <v>6.7963385807523992E-3</v>
      </c>
      <c r="AF137" s="38">
        <f t="shared" si="199"/>
        <v>4.4308713251426698E-2</v>
      </c>
      <c r="AG137" s="38"/>
      <c r="AH137" s="38">
        <f t="shared" si="200"/>
        <v>7.0448180139996042E-2</v>
      </c>
      <c r="AI137" s="38">
        <f t="shared" si="201"/>
        <v>1.4147106052612919</v>
      </c>
      <c r="AJ137" t="s">
        <v>330</v>
      </c>
    </row>
    <row r="138" spans="1:36" ht="16.5" thickBot="1" x14ac:dyDescent="0.35">
      <c r="A138" s="13"/>
      <c r="B138" s="14"/>
      <c r="C138" s="24" t="s">
        <v>240</v>
      </c>
      <c r="D138" s="58" t="str">
        <f>VLOOKUP(C138,Sheet2!B:C,2,FALSE)</f>
        <v>SonoSensor 30 DN65, FL 300 мм Qp 25</v>
      </c>
      <c r="E138" s="85" t="str">
        <f>VLOOKUP(C138,Sheet2!B:F,5,FALSE)</f>
        <v xml:space="preserve">фланцевое </v>
      </c>
      <c r="F138" s="57" t="str">
        <f t="shared" si="183"/>
        <v>65-100</v>
      </c>
      <c r="G138" s="8">
        <f t="shared" si="144"/>
        <v>100</v>
      </c>
      <c r="H138" s="8">
        <f>VLOOKUP(C138,Sheet2!B:G,6,FALSE)</f>
        <v>65</v>
      </c>
      <c r="I138" s="15">
        <f>VLOOKUP(C138,Sheet2!B:O,14,FALSE)</f>
        <v>361.28</v>
      </c>
      <c r="J138" s="15">
        <f>VLOOKUP(C138,Sheet2!B:P,15,FALSE)</f>
        <v>655</v>
      </c>
      <c r="K138" s="78">
        <f>VLOOKUP(D138,Sheet2!C:D,2,FALSE)</f>
        <v>0.25</v>
      </c>
      <c r="L138" s="78">
        <f>VLOOKUP(D138,Sheet2!C:E,3,FALSE)</f>
        <v>50</v>
      </c>
      <c r="M138" s="12">
        <f t="shared" si="184"/>
        <v>24.67817455665239</v>
      </c>
      <c r="N138" s="12">
        <f t="shared" si="185"/>
        <v>24.67817455665239</v>
      </c>
      <c r="O138" s="56">
        <f t="shared" si="186"/>
        <v>65</v>
      </c>
      <c r="P138" s="12">
        <v>90</v>
      </c>
      <c r="Q138" s="12">
        <f>VLOOKUP(D138,Sheet2!$C$26:$L$38,7,FALSE)</f>
        <v>325</v>
      </c>
      <c r="R138" s="12">
        <f>VLOOKUP(D138,Sheet2!$C$26:$L$38,8,FALSE)</f>
        <v>195</v>
      </c>
      <c r="S138" s="56">
        <f t="shared" si="187"/>
        <v>90</v>
      </c>
      <c r="T138" s="71">
        <f>VLOOKUP(D138,Sheet2!$C$26:$L$38,10,FALSE)</f>
        <v>820</v>
      </c>
      <c r="U138" s="71">
        <f t="shared" si="188"/>
        <v>1340</v>
      </c>
      <c r="V138" s="39">
        <f t="shared" si="189"/>
        <v>135782.26096607896</v>
      </c>
      <c r="W138" s="39">
        <f t="shared" si="190"/>
        <v>3.3094427663941522E-2</v>
      </c>
      <c r="X138" s="39">
        <f t="shared" si="191"/>
        <v>4.5953852936526311E-2</v>
      </c>
      <c r="Y138" s="39">
        <f t="shared" si="192"/>
        <v>135782.26096607896</v>
      </c>
      <c r="Z138" s="39">
        <f t="shared" si="193"/>
        <v>3.3094427663941522E-2</v>
      </c>
      <c r="AA138" s="39">
        <f t="shared" si="194"/>
        <v>135782.26096607896</v>
      </c>
      <c r="AB138" s="39">
        <f t="shared" si="195"/>
        <v>3.3094427663941522E-2</v>
      </c>
      <c r="AC138" s="39">
        <f t="shared" si="196"/>
        <v>0.17556009653786159</v>
      </c>
      <c r="AD138" s="38">
        <f t="shared" si="197"/>
        <v>2.4367396081580908E-2</v>
      </c>
      <c r="AE138" s="38">
        <f t="shared" si="198"/>
        <v>1.6412877805863887E-3</v>
      </c>
      <c r="AF138" s="38">
        <f t="shared" si="199"/>
        <v>6.2703042899179386E-3</v>
      </c>
      <c r="AG138" s="38"/>
      <c r="AH138" s="38">
        <f t="shared" si="200"/>
        <v>3.2278988152085235E-2</v>
      </c>
      <c r="AI138" s="38">
        <f t="shared" si="201"/>
        <v>0.83710686701851589</v>
      </c>
      <c r="AJ138" t="s">
        <v>330</v>
      </c>
    </row>
    <row r="139" spans="1:36" ht="16.5" thickBot="1" x14ac:dyDescent="0.35">
      <c r="A139" s="13"/>
      <c r="B139" s="14"/>
      <c r="C139" s="24" t="s">
        <v>241</v>
      </c>
      <c r="D139" s="58" t="str">
        <f>VLOOKUP(C139,Sheet2!B:C,2,FALSE)</f>
        <v>SonoSensor 30 DN80, FL 350 мм Qp 40</v>
      </c>
      <c r="E139" s="85" t="str">
        <f>VLOOKUP(C139,Sheet2!B:F,5,FALSE)</f>
        <v xml:space="preserve">фланцевое </v>
      </c>
      <c r="F139" s="57" t="str">
        <f t="shared" si="183"/>
        <v>80-100</v>
      </c>
      <c r="G139" s="8">
        <f t="shared" si="144"/>
        <v>100</v>
      </c>
      <c r="H139" s="8">
        <f>VLOOKUP(C139,Sheet2!B:G,6,FALSE)</f>
        <v>80</v>
      </c>
      <c r="I139" s="15">
        <f>VLOOKUP(C139,Sheet2!B:O,14,FALSE)</f>
        <v>397.28</v>
      </c>
      <c r="J139" s="15">
        <f>VLOOKUP(C139,Sheet2!B:P,15,FALSE)</f>
        <v>719</v>
      </c>
      <c r="K139" s="74">
        <f>VLOOKUP(D139,Sheet2!C:D,2,FALSE)</f>
        <v>0.4</v>
      </c>
      <c r="L139" s="74">
        <f>VLOOKUP(D139,Sheet2!C:E,3,FALSE)</f>
        <v>80</v>
      </c>
      <c r="M139" s="12">
        <f t="shared" si="184"/>
        <v>14.250032697803595</v>
      </c>
      <c r="N139" s="12">
        <f t="shared" si="185"/>
        <v>14.250032697803595</v>
      </c>
      <c r="O139" s="56">
        <f t="shared" si="186"/>
        <v>80</v>
      </c>
      <c r="P139" s="12">
        <v>90</v>
      </c>
      <c r="Q139" s="12">
        <f>VLOOKUP(D139,Sheet2!$C$26:$L$38,7,FALSE)</f>
        <v>400</v>
      </c>
      <c r="R139" s="12">
        <f>VLOOKUP(D139,Sheet2!$C$26:$L$38,8,FALSE)</f>
        <v>240</v>
      </c>
      <c r="S139" s="56">
        <f t="shared" si="187"/>
        <v>90</v>
      </c>
      <c r="T139" s="71">
        <f>VLOOKUP(D139,Sheet2!$C$26:$L$38,10,FALSE)</f>
        <v>990</v>
      </c>
      <c r="U139" s="71">
        <f t="shared" si="188"/>
        <v>1630</v>
      </c>
      <c r="V139" s="39">
        <f t="shared" si="189"/>
        <v>110323.08703493915</v>
      </c>
      <c r="W139" s="39">
        <f t="shared" si="190"/>
        <v>3.1664636617036022E-2</v>
      </c>
      <c r="X139" s="39">
        <f t="shared" si="191"/>
        <v>2.9692910074447597E-2</v>
      </c>
      <c r="Y139" s="39">
        <f t="shared" si="192"/>
        <v>110323.08703493915</v>
      </c>
      <c r="Z139" s="39">
        <f t="shared" si="193"/>
        <v>3.1664636617036022E-2</v>
      </c>
      <c r="AA139" s="39">
        <f t="shared" si="194"/>
        <v>110323.08703493915</v>
      </c>
      <c r="AB139" s="39">
        <f t="shared" si="195"/>
        <v>3.1664636617036022E-2</v>
      </c>
      <c r="AC139" s="39">
        <f t="shared" si="196"/>
        <v>4.9664536910031948E-2</v>
      </c>
      <c r="AD139" s="38">
        <f t="shared" si="197"/>
        <v>1.0042189457151143E-2</v>
      </c>
      <c r="AE139" s="38">
        <f t="shared" si="198"/>
        <v>4.621777646277361E-4</v>
      </c>
      <c r="AF139" s="38">
        <f t="shared" si="199"/>
        <v>7.7304126112257758E-4</v>
      </c>
      <c r="AG139" s="38"/>
      <c r="AH139" s="38">
        <f t="shared" si="200"/>
        <v>1.1277408482901456E-2</v>
      </c>
      <c r="AI139" s="38">
        <f t="shared" si="201"/>
        <v>0.55262133018019211</v>
      </c>
      <c r="AJ139" t="s">
        <v>330</v>
      </c>
    </row>
    <row r="140" spans="1:36" ht="16.5" thickBot="1" x14ac:dyDescent="0.35">
      <c r="A140" s="20"/>
      <c r="B140" s="14"/>
      <c r="C140" s="24" t="s">
        <v>242</v>
      </c>
      <c r="D140" s="58" t="str">
        <f>VLOOKUP(C140,Sheet2!B:C,2,FALSE)</f>
        <v>SonoSensor 30 DN100, FL 350 мм Qp 60</v>
      </c>
      <c r="E140" s="85" t="str">
        <f>VLOOKUP(C140,Sheet2!B:F,5,FALSE)</f>
        <v xml:space="preserve">фланцевое </v>
      </c>
      <c r="F140" s="57" t="str">
        <f t="shared" si="183"/>
        <v>100-100</v>
      </c>
      <c r="G140" s="8">
        <f t="shared" si="144"/>
        <v>100</v>
      </c>
      <c r="H140" s="8">
        <f>VLOOKUP(C140,Sheet2!B:G,6,FALSE)</f>
        <v>100</v>
      </c>
      <c r="I140" s="15">
        <f>VLOOKUP(C140,Sheet2!B:O,14,FALSE)</f>
        <v>423.28</v>
      </c>
      <c r="J140" s="15">
        <f>VLOOKUP(C140,Sheet2!B:P,15,FALSE)</f>
        <v>765</v>
      </c>
      <c r="K140" s="74">
        <f>VLOOKUP(D140,Sheet2!C:D,2,FALSE)</f>
        <v>0.6</v>
      </c>
      <c r="L140" s="74">
        <f>VLOOKUP(D140,Sheet2!C:E,3,FALSE)</f>
        <v>120</v>
      </c>
      <c r="M140" s="12">
        <f t="shared" si="184"/>
        <v>0</v>
      </c>
      <c r="N140" s="12">
        <f t="shared" si="185"/>
        <v>0</v>
      </c>
      <c r="O140" s="56">
        <f t="shared" si="186"/>
        <v>100</v>
      </c>
      <c r="P140" s="12">
        <v>0</v>
      </c>
      <c r="Q140" s="12">
        <f>VLOOKUP(D140,Sheet2!$C$26:$L$38,7,FALSE)</f>
        <v>500</v>
      </c>
      <c r="R140" s="12">
        <f>VLOOKUP(D140,Sheet2!$C$26:$L$38,8,FALSE)</f>
        <v>300</v>
      </c>
      <c r="S140" s="56">
        <f t="shared" si="187"/>
        <v>0</v>
      </c>
      <c r="T140" s="71">
        <f>VLOOKUP(D140,Sheet2!$C$26:$L$38,10,FALSE)</f>
        <v>1150</v>
      </c>
      <c r="U140" s="71">
        <f t="shared" si="188"/>
        <v>1950</v>
      </c>
      <c r="V140" s="39">
        <f t="shared" si="189"/>
        <v>88258.469627951315</v>
      </c>
      <c r="W140" s="39">
        <f t="shared" si="190"/>
        <v>3.0317638817869717E-2</v>
      </c>
      <c r="X140" s="39">
        <f t="shared" si="191"/>
        <v>0</v>
      </c>
      <c r="Y140" s="39">
        <f t="shared" si="192"/>
        <v>88258.469627951315</v>
      </c>
      <c r="Z140" s="39">
        <f t="shared" si="193"/>
        <v>3.0317638817869717E-2</v>
      </c>
      <c r="AA140" s="39">
        <f t="shared" si="194"/>
        <v>88258.469627951315</v>
      </c>
      <c r="AB140" s="39">
        <f t="shared" si="195"/>
        <v>3.0317638817869717E-2</v>
      </c>
      <c r="AC140" s="39">
        <f t="shared" si="196"/>
        <v>0</v>
      </c>
      <c r="AD140" s="38">
        <f t="shared" si="197"/>
        <v>3.7691742792196922E-3</v>
      </c>
      <c r="AE140" s="38">
        <f t="shared" si="198"/>
        <v>0</v>
      </c>
      <c r="AF140" s="38">
        <f t="shared" si="199"/>
        <v>0</v>
      </c>
      <c r="AG140" s="38"/>
      <c r="AH140" s="38">
        <f t="shared" si="200"/>
        <v>3.7691742792196922E-3</v>
      </c>
      <c r="AI140" s="38">
        <f t="shared" si="201"/>
        <v>0.35367765131532297</v>
      </c>
      <c r="AJ140" t="s">
        <v>330</v>
      </c>
    </row>
    <row r="141" spans="1:36" ht="16.5" thickBot="1" x14ac:dyDescent="0.35">
      <c r="A141" s="16">
        <v>125</v>
      </c>
      <c r="B141" s="17">
        <v>4</v>
      </c>
      <c r="C141" s="24" t="s">
        <v>239</v>
      </c>
      <c r="D141" s="58" t="str">
        <f>VLOOKUP(C141,Sheet2!B:C,2,FALSE)</f>
        <v>SonoSensor 30 DN50, FL 270 мм Qp 15</v>
      </c>
      <c r="E141" s="85" t="str">
        <f>VLOOKUP(C141,Sheet2!B:F,5,FALSE)</f>
        <v xml:space="preserve">фланцевое </v>
      </c>
      <c r="F141" s="57" t="str">
        <f t="shared" si="183"/>
        <v>50-125</v>
      </c>
      <c r="G141" s="8">
        <f t="shared" si="144"/>
        <v>125</v>
      </c>
      <c r="H141" s="8">
        <f>VLOOKUP(C141,Sheet2!B:G,6,FALSE)</f>
        <v>50</v>
      </c>
      <c r="I141" s="15">
        <f>VLOOKUP(C141,Sheet2!B:O,14,FALSE)</f>
        <v>196.54</v>
      </c>
      <c r="J141" s="15">
        <f>VLOOKUP(C141,Sheet2!B:P,15,FALSE)</f>
        <v>399</v>
      </c>
      <c r="K141" s="74">
        <f>VLOOKUP(D141,Sheet2!C:D,2,FALSE)</f>
        <v>0.15</v>
      </c>
      <c r="L141" s="74">
        <f>VLOOKUP(D141,Sheet2!C:E,3,FALSE)</f>
        <v>30</v>
      </c>
      <c r="M141" s="12">
        <f t="shared" si="184"/>
        <v>41.112090439166927</v>
      </c>
      <c r="N141" s="12">
        <f t="shared" si="185"/>
        <v>41.112090439166927</v>
      </c>
      <c r="O141" s="56">
        <f t="shared" si="186"/>
        <v>50</v>
      </c>
      <c r="P141" s="12">
        <v>110.00000000000001</v>
      </c>
      <c r="Q141" s="12">
        <f>VLOOKUP(D141,Sheet2!$C$26:$L$38,7,FALSE)</f>
        <v>0</v>
      </c>
      <c r="R141" s="12">
        <f>VLOOKUP(D141,Sheet2!$C$26:$L$38,8,FALSE)</f>
        <v>0</v>
      </c>
      <c r="S141" s="56">
        <f t="shared" si="187"/>
        <v>110.00000000000001</v>
      </c>
      <c r="T141" s="71">
        <f>VLOOKUP(D141,Sheet2!$C$26:$L$38,10,FALSE)</f>
        <v>270</v>
      </c>
      <c r="U141" s="71">
        <f t="shared" si="188"/>
        <v>270</v>
      </c>
      <c r="V141" s="39">
        <f t="shared" si="189"/>
        <v>176516.93925590263</v>
      </c>
      <c r="W141" s="39">
        <f t="shared" si="190"/>
        <v>3.5115328653073222E-2</v>
      </c>
      <c r="X141" s="39">
        <f t="shared" si="191"/>
        <v>8.0856445903620164E-2</v>
      </c>
      <c r="Y141" s="39">
        <f t="shared" si="192"/>
        <v>176516.93925590263</v>
      </c>
      <c r="Z141" s="39">
        <f t="shared" si="193"/>
        <v>3.5115328653073222E-2</v>
      </c>
      <c r="AA141" s="39">
        <f t="shared" si="194"/>
        <v>176516.93925590263</v>
      </c>
      <c r="AB141" s="39">
        <f t="shared" si="195"/>
        <v>3.5115328653073222E-2</v>
      </c>
      <c r="AC141" s="39">
        <f t="shared" si="196"/>
        <v>0.71778103528091441</v>
      </c>
      <c r="AD141" s="38">
        <f t="shared" si="197"/>
        <v>1.9343128307816936E-2</v>
      </c>
      <c r="AE141" s="38">
        <f t="shared" si="198"/>
        <v>8.2480419869545556E-3</v>
      </c>
      <c r="AF141" s="38">
        <f t="shared" si="199"/>
        <v>7.3219742103104529E-2</v>
      </c>
      <c r="AG141" s="38"/>
      <c r="AH141" s="38">
        <f t="shared" si="200"/>
        <v>0.10081091239787601</v>
      </c>
      <c r="AI141" s="38">
        <f t="shared" si="201"/>
        <v>1.4147106052612919</v>
      </c>
      <c r="AJ141" t="s">
        <v>330</v>
      </c>
    </row>
    <row r="142" spans="1:36" ht="16.5" thickBot="1" x14ac:dyDescent="0.35">
      <c r="A142" s="13"/>
      <c r="B142" s="14"/>
      <c r="C142" s="24" t="s">
        <v>240</v>
      </c>
      <c r="D142" s="58" t="str">
        <f>VLOOKUP(C142,Sheet2!B:C,2,FALSE)</f>
        <v>SonoSensor 30 DN65, FL 300 мм Qp 25</v>
      </c>
      <c r="E142" s="85" t="str">
        <f>VLOOKUP(C142,Sheet2!B:F,5,FALSE)</f>
        <v xml:space="preserve">фланцевое </v>
      </c>
      <c r="F142" s="57" t="str">
        <f t="shared" si="183"/>
        <v>65-125</v>
      </c>
      <c r="G142" s="8">
        <f t="shared" si="144"/>
        <v>125</v>
      </c>
      <c r="H142" s="8">
        <f>VLOOKUP(C142,Sheet2!B:G,6,FALSE)</f>
        <v>65</v>
      </c>
      <c r="I142" s="15">
        <f>VLOOKUP(C142,Sheet2!B:O,14,FALSE)</f>
        <v>361.28</v>
      </c>
      <c r="J142" s="15">
        <f>VLOOKUP(C142,Sheet2!B:P,15,FALSE)</f>
        <v>655</v>
      </c>
      <c r="K142" s="74">
        <f>VLOOKUP(D142,Sheet2!C:D,2,FALSE)</f>
        <v>0.25</v>
      </c>
      <c r="L142" s="74">
        <f>VLOOKUP(D142,Sheet2!C:E,3,FALSE)</f>
        <v>50</v>
      </c>
      <c r="M142" s="12">
        <f t="shared" si="184"/>
        <v>33.398488467987242</v>
      </c>
      <c r="N142" s="12">
        <f t="shared" si="185"/>
        <v>33.398488467987242</v>
      </c>
      <c r="O142" s="56">
        <f t="shared" si="186"/>
        <v>65</v>
      </c>
      <c r="P142" s="12">
        <v>110</v>
      </c>
      <c r="Q142" s="12">
        <f>VLOOKUP(D142,Sheet2!$C$26:$L$38,7,FALSE)</f>
        <v>325</v>
      </c>
      <c r="R142" s="12">
        <f>VLOOKUP(D142,Sheet2!$C$26:$L$38,8,FALSE)</f>
        <v>195</v>
      </c>
      <c r="S142" s="56">
        <f t="shared" si="187"/>
        <v>110</v>
      </c>
      <c r="T142" s="71">
        <f>VLOOKUP(D142,Sheet2!$C$26:$L$38,10,FALSE)</f>
        <v>820</v>
      </c>
      <c r="U142" s="71">
        <f t="shared" si="188"/>
        <v>1340</v>
      </c>
      <c r="V142" s="39">
        <f t="shared" si="189"/>
        <v>135782.26096607896</v>
      </c>
      <c r="W142" s="39">
        <f t="shared" si="190"/>
        <v>3.3094427663941522E-2</v>
      </c>
      <c r="X142" s="39">
        <f t="shared" si="191"/>
        <v>6.3050601965619554E-2</v>
      </c>
      <c r="Y142" s="39">
        <f t="shared" si="192"/>
        <v>135782.26096607896</v>
      </c>
      <c r="Z142" s="39">
        <f t="shared" si="193"/>
        <v>3.3094427663941522E-2</v>
      </c>
      <c r="AA142" s="39">
        <f t="shared" si="194"/>
        <v>135782.26096607896</v>
      </c>
      <c r="AB142" s="39">
        <f t="shared" si="195"/>
        <v>3.3094427663941522E-2</v>
      </c>
      <c r="AC142" s="39">
        <f t="shared" si="196"/>
        <v>0.39154359709448816</v>
      </c>
      <c r="AD142" s="38">
        <f t="shared" si="197"/>
        <v>2.4367396081580908E-2</v>
      </c>
      <c r="AE142" s="38">
        <f t="shared" si="198"/>
        <v>2.2519152574154095E-3</v>
      </c>
      <c r="AF142" s="38">
        <f t="shared" si="199"/>
        <v>1.39843708505936E-2</v>
      </c>
      <c r="AG142" s="38"/>
      <c r="AH142" s="38">
        <f t="shared" si="200"/>
        <v>4.0603682189589915E-2</v>
      </c>
      <c r="AI142" s="38">
        <f t="shared" si="201"/>
        <v>0.83710686701851589</v>
      </c>
      <c r="AJ142" t="s">
        <v>330</v>
      </c>
    </row>
    <row r="143" spans="1:36" ht="16.5" thickBot="1" x14ac:dyDescent="0.35">
      <c r="A143" s="13"/>
      <c r="B143" s="14"/>
      <c r="C143" s="24" t="s">
        <v>241</v>
      </c>
      <c r="D143" s="58" t="str">
        <f>VLOOKUP(C143,Sheet2!B:C,2,FALSE)</f>
        <v>SonoSensor 30 DN80, FL 350 мм Qp 40</v>
      </c>
      <c r="E143" s="85" t="str">
        <f>VLOOKUP(C143,Sheet2!B:F,5,FALSE)</f>
        <v xml:space="preserve">фланцевое </v>
      </c>
      <c r="F143" s="57" t="str">
        <f t="shared" si="183"/>
        <v>80-125</v>
      </c>
      <c r="G143" s="8">
        <f t="shared" si="144"/>
        <v>125</v>
      </c>
      <c r="H143" s="8">
        <f>VLOOKUP(C143,Sheet2!B:G,6,FALSE)</f>
        <v>80</v>
      </c>
      <c r="I143" s="15">
        <f>VLOOKUP(C143,Sheet2!B:O,14,FALSE)</f>
        <v>397.28</v>
      </c>
      <c r="J143" s="15">
        <f>VLOOKUP(C143,Sheet2!B:P,15,FALSE)</f>
        <v>719</v>
      </c>
      <c r="K143" s="74">
        <f>VLOOKUP(D143,Sheet2!C:D,2,FALSE)</f>
        <v>0.4</v>
      </c>
      <c r="L143" s="74">
        <f>VLOOKUP(D143,Sheet2!C:E,3,FALSE)</f>
        <v>80</v>
      </c>
      <c r="M143" s="12">
        <f t="shared" si="184"/>
        <v>25.117673881895147</v>
      </c>
      <c r="N143" s="12">
        <f t="shared" si="185"/>
        <v>25.117673881895147</v>
      </c>
      <c r="O143" s="56">
        <f t="shared" si="186"/>
        <v>80</v>
      </c>
      <c r="P143" s="12">
        <v>111</v>
      </c>
      <c r="Q143" s="12">
        <f>VLOOKUP(D143,Sheet2!$C$26:$L$38,7,FALSE)</f>
        <v>400</v>
      </c>
      <c r="R143" s="12">
        <f>VLOOKUP(D143,Sheet2!$C$26:$L$38,8,FALSE)</f>
        <v>240</v>
      </c>
      <c r="S143" s="56">
        <f t="shared" si="187"/>
        <v>111</v>
      </c>
      <c r="T143" s="71">
        <f>VLOOKUP(D143,Sheet2!$C$26:$L$38,10,FALSE)</f>
        <v>990</v>
      </c>
      <c r="U143" s="71">
        <f t="shared" si="188"/>
        <v>1630</v>
      </c>
      <c r="V143" s="39">
        <f t="shared" si="189"/>
        <v>110323.08703493915</v>
      </c>
      <c r="W143" s="39">
        <f t="shared" si="190"/>
        <v>3.1664636617036022E-2</v>
      </c>
      <c r="X143" s="39">
        <f t="shared" si="191"/>
        <v>4.629524241311208E-2</v>
      </c>
      <c r="Y143" s="39">
        <f t="shared" si="192"/>
        <v>110323.08703493915</v>
      </c>
      <c r="Z143" s="39">
        <f t="shared" si="193"/>
        <v>3.1664636617036022E-2</v>
      </c>
      <c r="AA143" s="39">
        <f t="shared" si="194"/>
        <v>110323.08703493915</v>
      </c>
      <c r="AB143" s="39">
        <f t="shared" si="195"/>
        <v>3.1664636617036022E-2</v>
      </c>
      <c r="AC143" s="39">
        <f t="shared" si="196"/>
        <v>0.18586296120728249</v>
      </c>
      <c r="AD143" s="38">
        <f t="shared" si="197"/>
        <v>1.0042189457151143E-2</v>
      </c>
      <c r="AE143" s="38">
        <f t="shared" si="198"/>
        <v>7.2059732770363572E-4</v>
      </c>
      <c r="AF143" s="38">
        <f t="shared" si="199"/>
        <v>2.8930046843672853E-3</v>
      </c>
      <c r="AG143" s="38"/>
      <c r="AH143" s="38">
        <f t="shared" si="200"/>
        <v>1.3655791469222064E-2</v>
      </c>
      <c r="AI143" s="38">
        <f t="shared" si="201"/>
        <v>0.55262133018019211</v>
      </c>
      <c r="AJ143" t="s">
        <v>330</v>
      </c>
    </row>
    <row r="144" spans="1:36" ht="16.5" thickBot="1" x14ac:dyDescent="0.35">
      <c r="A144" s="13"/>
      <c r="B144" s="14"/>
      <c r="C144" s="24" t="s">
        <v>242</v>
      </c>
      <c r="D144" s="58" t="str">
        <f>VLOOKUP(C144,Sheet2!B:C,2,FALSE)</f>
        <v>SonoSensor 30 DN100, FL 350 мм Qp 60</v>
      </c>
      <c r="E144" s="85" t="str">
        <f>VLOOKUP(C144,Sheet2!B:F,5,FALSE)</f>
        <v xml:space="preserve">фланцевое </v>
      </c>
      <c r="F144" s="57" t="str">
        <f t="shared" si="183"/>
        <v>100-125</v>
      </c>
      <c r="G144" s="8">
        <f t="shared" si="144"/>
        <v>125</v>
      </c>
      <c r="H144" s="8">
        <f>VLOOKUP(C144,Sheet2!B:G,6,FALSE)</f>
        <v>100</v>
      </c>
      <c r="I144" s="15">
        <f>VLOOKUP(C144,Sheet2!B:O,14,FALSE)</f>
        <v>423.28</v>
      </c>
      <c r="J144" s="15">
        <f>VLOOKUP(C144,Sheet2!B:P,15,FALSE)</f>
        <v>765</v>
      </c>
      <c r="K144" s="74">
        <f>VLOOKUP(D144,Sheet2!C:D,2,FALSE)</f>
        <v>0.6</v>
      </c>
      <c r="L144" s="74">
        <f>VLOOKUP(D144,Sheet2!C:E,3,FALSE)</f>
        <v>120</v>
      </c>
      <c r="M144" s="12">
        <f t="shared" si="184"/>
        <v>14.250032697803595</v>
      </c>
      <c r="N144" s="12">
        <f t="shared" si="185"/>
        <v>14.250032697803595</v>
      </c>
      <c r="O144" s="56">
        <f t="shared" si="186"/>
        <v>100</v>
      </c>
      <c r="P144" s="12">
        <v>110</v>
      </c>
      <c r="Q144" s="12">
        <f>VLOOKUP(D144,Sheet2!$C$26:$L$38,7,FALSE)</f>
        <v>500</v>
      </c>
      <c r="R144" s="12">
        <f>VLOOKUP(D144,Sheet2!$C$26:$L$38,8,FALSE)</f>
        <v>300</v>
      </c>
      <c r="S144" s="56">
        <f t="shared" si="187"/>
        <v>110</v>
      </c>
      <c r="T144" s="71">
        <f>VLOOKUP(D144,Sheet2!$C$26:$L$38,10,FALSE)</f>
        <v>1150</v>
      </c>
      <c r="U144" s="71">
        <f t="shared" si="188"/>
        <v>1950</v>
      </c>
      <c r="V144" s="39">
        <f t="shared" si="189"/>
        <v>88258.469627951315</v>
      </c>
      <c r="W144" s="39">
        <f t="shared" si="190"/>
        <v>3.0317638817869717E-2</v>
      </c>
      <c r="X144" s="39">
        <f t="shared" si="191"/>
        <v>2.8891453628334295E-2</v>
      </c>
      <c r="Y144" s="39">
        <f t="shared" si="192"/>
        <v>88258.469627951315</v>
      </c>
      <c r="Z144" s="39">
        <f t="shared" si="193"/>
        <v>3.0317638817869717E-2</v>
      </c>
      <c r="AA144" s="39">
        <f t="shared" si="194"/>
        <v>88258.469627951315</v>
      </c>
      <c r="AB144" s="39">
        <f t="shared" si="195"/>
        <v>3.0317638817869717E-2</v>
      </c>
      <c r="AC144" s="39">
        <f t="shared" si="196"/>
        <v>4.886308046391865E-2</v>
      </c>
      <c r="AD144" s="38">
        <f t="shared" si="197"/>
        <v>3.7691742792196922E-3</v>
      </c>
      <c r="AE144" s="38">
        <f t="shared" si="198"/>
        <v>1.8419830349294277E-4</v>
      </c>
      <c r="AF144" s="38">
        <f t="shared" si="199"/>
        <v>3.1152799165722988E-4</v>
      </c>
      <c r="AG144" s="38"/>
      <c r="AH144" s="38">
        <f t="shared" si="200"/>
        <v>4.2649005743698653E-3</v>
      </c>
      <c r="AI144" s="38">
        <f t="shared" si="201"/>
        <v>0.35367765131532297</v>
      </c>
      <c r="AJ144" t="s">
        <v>330</v>
      </c>
    </row>
    <row r="145" spans="1:36" ht="16.5" thickBot="1" x14ac:dyDescent="0.35">
      <c r="A145" s="16">
        <v>150</v>
      </c>
      <c r="B145" s="17">
        <v>3</v>
      </c>
      <c r="C145" s="24" t="s">
        <v>240</v>
      </c>
      <c r="D145" s="58" t="str">
        <f>VLOOKUP(C145,Sheet2!B:C,2,FALSE)</f>
        <v>SonoSensor 30 DN65, FL 300 мм Qp 25</v>
      </c>
      <c r="E145" s="85" t="str">
        <f>VLOOKUP(C145,Sheet2!B:F,5,FALSE)</f>
        <v xml:space="preserve">фланцевое </v>
      </c>
      <c r="F145" s="57" t="str">
        <f t="shared" si="183"/>
        <v>65-150</v>
      </c>
      <c r="G145" s="8">
        <f t="shared" si="144"/>
        <v>150</v>
      </c>
      <c r="H145" s="8">
        <f>VLOOKUP(C145,Sheet2!B:G,6,FALSE)</f>
        <v>65</v>
      </c>
      <c r="I145" s="15">
        <f>VLOOKUP(C145,Sheet2!B:O,14,FALSE)</f>
        <v>361.28</v>
      </c>
      <c r="J145" s="15">
        <f>VLOOKUP(C145,Sheet2!B:P,15,FALSE)</f>
        <v>655</v>
      </c>
      <c r="K145" s="78">
        <f>VLOOKUP(D145,Sheet2!C:D,2,FALSE)</f>
        <v>0.25</v>
      </c>
      <c r="L145" s="78">
        <f>VLOOKUP(D145,Sheet2!C:E,3,FALSE)</f>
        <v>50</v>
      </c>
      <c r="M145" s="12">
        <f t="shared" si="184"/>
        <v>59.077564519116194</v>
      </c>
      <c r="N145" s="12">
        <f t="shared" si="185"/>
        <v>59.077564519116194</v>
      </c>
      <c r="O145" s="56">
        <f t="shared" si="186"/>
        <v>65</v>
      </c>
      <c r="P145" s="12">
        <v>85</v>
      </c>
      <c r="Q145" s="12">
        <f>VLOOKUP(D145,Sheet2!$C$26:$L$38,7,FALSE)</f>
        <v>325</v>
      </c>
      <c r="R145" s="12">
        <f>VLOOKUP(D145,Sheet2!$C$26:$L$38,8,FALSE)</f>
        <v>195</v>
      </c>
      <c r="S145" s="56">
        <f t="shared" si="187"/>
        <v>85</v>
      </c>
      <c r="T145" s="71">
        <f>VLOOKUP(D145,Sheet2!$C$26:$L$38,10,FALSE)</f>
        <v>820</v>
      </c>
      <c r="U145" s="71">
        <f t="shared" si="188"/>
        <v>1340</v>
      </c>
      <c r="V145" s="39">
        <f t="shared" si="189"/>
        <v>135782.26096607896</v>
      </c>
      <c r="W145" s="39">
        <f t="shared" si="190"/>
        <v>3.3094427663941522E-2</v>
      </c>
      <c r="X145" s="39">
        <f t="shared" si="191"/>
        <v>0.11517509381511067</v>
      </c>
      <c r="Y145" s="39">
        <f t="shared" si="192"/>
        <v>135782.26096607896</v>
      </c>
      <c r="Z145" s="39">
        <f t="shared" si="193"/>
        <v>3.3094427663941522E-2</v>
      </c>
      <c r="AA145" s="39">
        <f t="shared" si="194"/>
        <v>135782.26096607896</v>
      </c>
      <c r="AB145" s="39">
        <f t="shared" si="195"/>
        <v>3.3094427663941522E-2</v>
      </c>
      <c r="AC145" s="39">
        <f t="shared" si="196"/>
        <v>0.66779994020870093</v>
      </c>
      <c r="AD145" s="38">
        <f t="shared" si="197"/>
        <v>2.4367396081580908E-2</v>
      </c>
      <c r="AE145" s="38">
        <f t="shared" si="198"/>
        <v>4.1135935732687532E-3</v>
      </c>
      <c r="AF145" s="38">
        <f t="shared" si="199"/>
        <v>2.3851142215534825E-2</v>
      </c>
      <c r="AG145" s="38"/>
      <c r="AH145" s="38">
        <f t="shared" si="200"/>
        <v>5.2332131870384491E-2</v>
      </c>
      <c r="AI145" s="38">
        <f t="shared" si="201"/>
        <v>0.83710686701851589</v>
      </c>
      <c r="AJ145" t="s">
        <v>330</v>
      </c>
    </row>
    <row r="146" spans="1:36" ht="16.5" thickBot="1" x14ac:dyDescent="0.35">
      <c r="A146" s="13"/>
      <c r="B146" s="14"/>
      <c r="C146" s="24" t="s">
        <v>241</v>
      </c>
      <c r="D146" s="58" t="str">
        <f>VLOOKUP(C146,Sheet2!B:C,2,FALSE)</f>
        <v>SonoSensor 30 DN80, FL 350 мм Qp 40</v>
      </c>
      <c r="E146" s="85" t="str">
        <f>VLOOKUP(C146,Sheet2!B:F,5,FALSE)</f>
        <v xml:space="preserve">фланцевое </v>
      </c>
      <c r="F146" s="57" t="str">
        <f t="shared" si="183"/>
        <v>80-150</v>
      </c>
      <c r="G146" s="8">
        <f t="shared" si="144"/>
        <v>150</v>
      </c>
      <c r="H146" s="8">
        <f>VLOOKUP(C146,Sheet2!B:G,6,FALSE)</f>
        <v>80</v>
      </c>
      <c r="I146" s="15">
        <f>VLOOKUP(C146,Sheet2!B:O,14,FALSE)</f>
        <v>397.28</v>
      </c>
      <c r="J146" s="15">
        <f>VLOOKUP(C146,Sheet2!B:P,15,FALSE)</f>
        <v>719</v>
      </c>
      <c r="K146" s="74">
        <f>VLOOKUP(D146,Sheet2!C:D,2,FALSE)</f>
        <v>0.4</v>
      </c>
      <c r="L146" s="74">
        <f>VLOOKUP(D146,Sheet2!C:E,3,FALSE)</f>
        <v>80</v>
      </c>
      <c r="M146" s="12">
        <f t="shared" si="184"/>
        <v>30.136976318984416</v>
      </c>
      <c r="N146" s="12">
        <f t="shared" si="185"/>
        <v>30.136976318984416</v>
      </c>
      <c r="O146" s="56">
        <f t="shared" si="186"/>
        <v>80</v>
      </c>
      <c r="P146" s="12">
        <v>140</v>
      </c>
      <c r="Q146" s="12">
        <f>VLOOKUP(D146,Sheet2!$C$26:$L$38,7,FALSE)</f>
        <v>400</v>
      </c>
      <c r="R146" s="12">
        <f>VLOOKUP(D146,Sheet2!$C$26:$L$38,8,FALSE)</f>
        <v>240</v>
      </c>
      <c r="S146" s="56">
        <f t="shared" si="187"/>
        <v>140</v>
      </c>
      <c r="T146" s="71">
        <f>VLOOKUP(D146,Sheet2!$C$26:$L$38,10,FALSE)</f>
        <v>990</v>
      </c>
      <c r="U146" s="71">
        <f t="shared" si="188"/>
        <v>1630</v>
      </c>
      <c r="V146" s="39">
        <f t="shared" si="189"/>
        <v>110323.08703493915</v>
      </c>
      <c r="W146" s="39">
        <f t="shared" si="190"/>
        <v>3.1664636617036022E-2</v>
      </c>
      <c r="X146" s="39">
        <f t="shared" si="191"/>
        <v>5.7418048617356471E-2</v>
      </c>
      <c r="Y146" s="39">
        <f t="shared" si="192"/>
        <v>110323.08703493915</v>
      </c>
      <c r="Z146" s="39">
        <f t="shared" si="193"/>
        <v>3.1664636617036022E-2</v>
      </c>
      <c r="AA146" s="39">
        <f t="shared" si="194"/>
        <v>110323.08703493915</v>
      </c>
      <c r="AB146" s="39">
        <f t="shared" si="195"/>
        <v>3.1664636617036022E-2</v>
      </c>
      <c r="AC146" s="39">
        <f t="shared" si="196"/>
        <v>0.33174822895285755</v>
      </c>
      <c r="AD146" s="38">
        <f t="shared" si="197"/>
        <v>1.0042189457151143E-2</v>
      </c>
      <c r="AE146" s="38">
        <f t="shared" si="198"/>
        <v>8.9372666042906166E-4</v>
      </c>
      <c r="AF146" s="38">
        <f t="shared" si="199"/>
        <v>5.163746311567765E-3</v>
      </c>
      <c r="AG146" s="38"/>
      <c r="AH146" s="38">
        <f t="shared" si="200"/>
        <v>1.6099662429147968E-2</v>
      </c>
      <c r="AI146" s="38">
        <f t="shared" si="201"/>
        <v>0.55262133018019211</v>
      </c>
      <c r="AJ146" t="s">
        <v>330</v>
      </c>
    </row>
    <row r="147" spans="1:36" ht="16.5" thickBot="1" x14ac:dyDescent="0.35">
      <c r="A147" s="13"/>
      <c r="B147" s="14"/>
      <c r="C147" s="24" t="s">
        <v>242</v>
      </c>
      <c r="D147" s="58" t="str">
        <f>VLOOKUP(C147,Sheet2!B:C,2,FALSE)</f>
        <v>SonoSensor 30 DN100, FL 350 мм Qp 60</v>
      </c>
      <c r="E147" s="85" t="str">
        <f>VLOOKUP(C147,Sheet2!B:F,5,FALSE)</f>
        <v xml:space="preserve">фланцевое </v>
      </c>
      <c r="F147" s="57" t="str">
        <f t="shared" si="183"/>
        <v>100-150</v>
      </c>
      <c r="G147" s="8">
        <f t="shared" si="144"/>
        <v>150</v>
      </c>
      <c r="H147" s="8">
        <f>VLOOKUP(C147,Sheet2!B:G,6,FALSE)</f>
        <v>100</v>
      </c>
      <c r="I147" s="15">
        <f>VLOOKUP(C147,Sheet2!B:O,14,FALSE)</f>
        <v>423.28</v>
      </c>
      <c r="J147" s="15">
        <f>VLOOKUP(C147,Sheet2!B:P,15,FALSE)</f>
        <v>765</v>
      </c>
      <c r="K147" s="74">
        <f>VLOOKUP(D147,Sheet2!C:D,2,FALSE)</f>
        <v>0.6</v>
      </c>
      <c r="L147" s="74">
        <f>VLOOKUP(D147,Sheet2!C:E,3,FALSE)</f>
        <v>120</v>
      </c>
      <c r="M147" s="12">
        <f t="shared" si="184"/>
        <v>21.771054109317475</v>
      </c>
      <c r="N147" s="12">
        <f t="shared" si="185"/>
        <v>21.771054109317475</v>
      </c>
      <c r="O147" s="56">
        <f t="shared" si="186"/>
        <v>100</v>
      </c>
      <c r="P147" s="12">
        <v>140</v>
      </c>
      <c r="Q147" s="12">
        <f>VLOOKUP(D147,Sheet2!$C$26:$L$38,7,FALSE)</f>
        <v>500</v>
      </c>
      <c r="R147" s="12">
        <f>VLOOKUP(D147,Sheet2!$C$26:$L$38,8,FALSE)</f>
        <v>300</v>
      </c>
      <c r="S147" s="56">
        <f t="shared" si="187"/>
        <v>140</v>
      </c>
      <c r="T147" s="71">
        <f>VLOOKUP(D147,Sheet2!$C$26:$L$38,10,FALSE)</f>
        <v>1150</v>
      </c>
      <c r="U147" s="71">
        <f t="shared" si="188"/>
        <v>1950</v>
      </c>
      <c r="V147" s="39">
        <f t="shared" si="189"/>
        <v>88258.469627951315</v>
      </c>
      <c r="W147" s="39">
        <f t="shared" si="190"/>
        <v>3.0317638817869717E-2</v>
      </c>
      <c r="X147" s="39">
        <f t="shared" si="191"/>
        <v>4.1340294498805205E-2</v>
      </c>
      <c r="Y147" s="39">
        <f t="shared" si="192"/>
        <v>88258.469627951315</v>
      </c>
      <c r="Z147" s="39">
        <f t="shared" si="193"/>
        <v>3.0317638817869717E-2</v>
      </c>
      <c r="AA147" s="39">
        <f t="shared" si="194"/>
        <v>88258.469627951315</v>
      </c>
      <c r="AB147" s="39">
        <f t="shared" si="195"/>
        <v>3.0317638817869717E-2</v>
      </c>
      <c r="AC147" s="39">
        <f t="shared" si="196"/>
        <v>0.1418804625656982</v>
      </c>
      <c r="AD147" s="38">
        <f t="shared" si="197"/>
        <v>3.7691742792196922E-3</v>
      </c>
      <c r="AE147" s="38">
        <f t="shared" si="198"/>
        <v>2.6356625078603139E-4</v>
      </c>
      <c r="AF147" s="38">
        <f t="shared" si="199"/>
        <v>9.0456301851719314E-4</v>
      </c>
      <c r="AG147" s="38"/>
      <c r="AH147" s="38">
        <f t="shared" si="200"/>
        <v>4.9373035485229168E-3</v>
      </c>
      <c r="AI147" s="38">
        <f t="shared" si="201"/>
        <v>0.35367765131532297</v>
      </c>
      <c r="AJ147" t="s">
        <v>330</v>
      </c>
    </row>
    <row r="148" spans="1:36" ht="16.5" thickBot="1" x14ac:dyDescent="0.35">
      <c r="A148" s="16">
        <v>200</v>
      </c>
      <c r="B148" s="17">
        <v>2</v>
      </c>
      <c r="C148" s="24" t="s">
        <v>241</v>
      </c>
      <c r="D148" s="58" t="str">
        <f>VLOOKUP(C148,Sheet2!B:C,2,FALSE)</f>
        <v>SonoSensor 30 DN80, FL 350 мм Qp 40</v>
      </c>
      <c r="E148" s="85" t="str">
        <f>VLOOKUP(C148,Sheet2!B:F,5,FALSE)</f>
        <v xml:space="preserve">фланцевое </v>
      </c>
      <c r="F148" s="57" t="str">
        <f t="shared" si="183"/>
        <v>80-200</v>
      </c>
      <c r="G148" s="8">
        <f t="shared" si="144"/>
        <v>200</v>
      </c>
      <c r="H148" s="8">
        <f>VLOOKUP(C148,Sheet2!B:G,6,FALSE)</f>
        <v>80</v>
      </c>
      <c r="I148" s="15">
        <f>VLOOKUP(C148,Sheet2!B:O,14,FALSE)</f>
        <v>397.28</v>
      </c>
      <c r="J148" s="15">
        <f>VLOOKUP(C148,Sheet2!B:P,15,FALSE)</f>
        <v>719</v>
      </c>
      <c r="K148" s="74">
        <f>VLOOKUP(D148,Sheet2!C:D,2,FALSE)</f>
        <v>0.4</v>
      </c>
      <c r="L148" s="74">
        <f>VLOOKUP(D148,Sheet2!C:E,3,FALSE)</f>
        <v>80</v>
      </c>
      <c r="M148" s="12">
        <f t="shared" si="184"/>
        <v>64.551288629155266</v>
      </c>
      <c r="N148" s="12">
        <f t="shared" si="185"/>
        <v>64.551288629155266</v>
      </c>
      <c r="O148" s="56">
        <f t="shared" si="186"/>
        <v>80</v>
      </c>
      <c r="P148" s="12">
        <v>105</v>
      </c>
      <c r="Q148" s="12">
        <f>VLOOKUP(D148,Sheet2!$C$26:$L$38,7,FALSE)</f>
        <v>400</v>
      </c>
      <c r="R148" s="12">
        <f>VLOOKUP(D148,Sheet2!$C$26:$L$38,8,FALSE)</f>
        <v>240</v>
      </c>
      <c r="S148" s="56">
        <f t="shared" si="187"/>
        <v>105</v>
      </c>
      <c r="T148" s="71">
        <f>VLOOKUP(D148,Sheet2!$C$26:$L$38,10,FALSE)</f>
        <v>990</v>
      </c>
      <c r="U148" s="71">
        <f t="shared" si="188"/>
        <v>1630</v>
      </c>
      <c r="V148" s="39">
        <f t="shared" si="189"/>
        <v>110323.08703493915</v>
      </c>
      <c r="W148" s="39">
        <f t="shared" si="190"/>
        <v>3.1664636617036022E-2</v>
      </c>
      <c r="X148" s="39">
        <f t="shared" si="191"/>
        <v>0.12904395807498387</v>
      </c>
      <c r="Y148" s="39">
        <f t="shared" si="192"/>
        <v>110323.08703493915</v>
      </c>
      <c r="Z148" s="39">
        <f t="shared" si="193"/>
        <v>3.1664636617036022E-2</v>
      </c>
      <c r="AA148" s="39">
        <f t="shared" si="194"/>
        <v>110323.08703493915</v>
      </c>
      <c r="AB148" s="39">
        <f t="shared" si="195"/>
        <v>3.1664636617036022E-2</v>
      </c>
      <c r="AC148" s="39">
        <f t="shared" si="196"/>
        <v>0.7128224782013155</v>
      </c>
      <c r="AD148" s="38">
        <f t="shared" si="197"/>
        <v>1.0042189457151143E-2</v>
      </c>
      <c r="AE148" s="38">
        <f t="shared" si="198"/>
        <v>2.0086023206306058E-3</v>
      </c>
      <c r="AF148" s="38">
        <f t="shared" si="199"/>
        <v>1.109526478628977E-2</v>
      </c>
      <c r="AG148" s="38"/>
      <c r="AH148" s="38">
        <f t="shared" si="200"/>
        <v>2.3146056564071517E-2</v>
      </c>
      <c r="AI148" s="38">
        <f t="shared" si="201"/>
        <v>0.55262133018019211</v>
      </c>
      <c r="AJ148" t="s">
        <v>330</v>
      </c>
    </row>
    <row r="149" spans="1:36" ht="16.5" thickBot="1" x14ac:dyDescent="0.35">
      <c r="A149" s="13"/>
      <c r="B149" s="14"/>
      <c r="C149" s="24" t="s">
        <v>242</v>
      </c>
      <c r="D149" s="58" t="str">
        <f>VLOOKUP(C149,Sheet2!B:C,2,FALSE)</f>
        <v>SonoSensor 30 DN100, FL 350 мм Qp 60</v>
      </c>
      <c r="E149" s="85" t="str">
        <f>VLOOKUP(C149,Sheet2!B:F,5,FALSE)</f>
        <v xml:space="preserve">фланцевое </v>
      </c>
      <c r="F149" s="57" t="str">
        <f t="shared" si="183"/>
        <v>100-200</v>
      </c>
      <c r="G149" s="8">
        <f t="shared" si="144"/>
        <v>200</v>
      </c>
      <c r="H149" s="8">
        <f>VLOOKUP(C149,Sheet2!B:G,6,FALSE)</f>
        <v>100</v>
      </c>
      <c r="I149" s="15">
        <f>VLOOKUP(C149,Sheet2!B:O,14,FALSE)</f>
        <v>423.28</v>
      </c>
      <c r="J149" s="15">
        <f>VLOOKUP(C149,Sheet2!B:P,15,FALSE)</f>
        <v>765</v>
      </c>
      <c r="K149" s="74">
        <f>VLOOKUP(D149,Sheet2!C:D,2,FALSE)</f>
        <v>0.6</v>
      </c>
      <c r="L149" s="74">
        <f>VLOOKUP(D149,Sheet2!C:E,3,FALSE)</f>
        <v>120</v>
      </c>
      <c r="M149" s="12">
        <f t="shared" si="184"/>
        <v>55.517081202120053</v>
      </c>
      <c r="N149" s="12">
        <f t="shared" si="185"/>
        <v>55.517081202120053</v>
      </c>
      <c r="O149" s="56">
        <f t="shared" si="186"/>
        <v>100</v>
      </c>
      <c r="P149" s="12">
        <v>104.99999999999999</v>
      </c>
      <c r="Q149" s="12">
        <f>VLOOKUP(D149,Sheet2!$C$26:$L$38,7,FALSE)</f>
        <v>500</v>
      </c>
      <c r="R149" s="12">
        <f>VLOOKUP(D149,Sheet2!$C$26:$L$38,8,FALSE)</f>
        <v>300</v>
      </c>
      <c r="S149" s="56">
        <f t="shared" si="187"/>
        <v>104.99999999999999</v>
      </c>
      <c r="T149" s="71">
        <f>VLOOKUP(D149,Sheet2!$C$26:$L$38,10,FALSE)</f>
        <v>1150</v>
      </c>
      <c r="U149" s="71">
        <f t="shared" si="188"/>
        <v>1950</v>
      </c>
      <c r="V149" s="39">
        <f t="shared" si="189"/>
        <v>88258.469627951315</v>
      </c>
      <c r="W149" s="39">
        <f t="shared" si="190"/>
        <v>3.0317638817869717E-2</v>
      </c>
      <c r="X149" s="39">
        <f t="shared" si="191"/>
        <v>0.10288208012101636</v>
      </c>
      <c r="Y149" s="39">
        <f t="shared" si="192"/>
        <v>88258.469627951315</v>
      </c>
      <c r="Z149" s="39">
        <f t="shared" si="193"/>
        <v>3.0317638817869717E-2</v>
      </c>
      <c r="AA149" s="39">
        <f t="shared" si="194"/>
        <v>88258.469627951315</v>
      </c>
      <c r="AB149" s="39">
        <f t="shared" si="195"/>
        <v>3.0317638817869717E-2</v>
      </c>
      <c r="AC149" s="39">
        <f t="shared" si="196"/>
        <v>0.57012828880376187</v>
      </c>
      <c r="AD149" s="38">
        <f t="shared" si="197"/>
        <v>3.7691742792196922E-3</v>
      </c>
      <c r="AE149" s="38">
        <f t="shared" si="198"/>
        <v>6.5592769619355457E-4</v>
      </c>
      <c r="AF149" s="38">
        <f t="shared" si="199"/>
        <v>3.6348694988470914E-3</v>
      </c>
      <c r="AG149" s="38"/>
      <c r="AH149" s="38">
        <f t="shared" si="200"/>
        <v>8.0599714742603384E-3</v>
      </c>
      <c r="AI149" s="38">
        <f t="shared" si="201"/>
        <v>0.35367765131532297</v>
      </c>
      <c r="AJ149" t="s">
        <v>330</v>
      </c>
    </row>
    <row r="150" spans="1:36" x14ac:dyDescent="0.3">
      <c r="A150" s="63">
        <v>250</v>
      </c>
      <c r="B150" s="64">
        <v>1</v>
      </c>
      <c r="C150" s="24" t="s">
        <v>242</v>
      </c>
      <c r="D150" s="58" t="str">
        <f>VLOOKUP(C150,Sheet2!B:C,2,FALSE)</f>
        <v>SonoSensor 30 DN100, FL 350 мм Qp 60</v>
      </c>
      <c r="E150" s="85" t="str">
        <f>VLOOKUP(C150,Sheet2!B:F,5,FALSE)</f>
        <v xml:space="preserve">фланцевое </v>
      </c>
      <c r="F150" s="57" t="str">
        <f t="shared" si="183"/>
        <v>100-250</v>
      </c>
      <c r="G150" s="8">
        <f t="shared" si="144"/>
        <v>250</v>
      </c>
      <c r="H150" s="8">
        <f>VLOOKUP(C150,Sheet2!B:G,6,FALSE)</f>
        <v>100</v>
      </c>
      <c r="I150" s="15">
        <f>VLOOKUP(C150,Sheet2!B:O,14,FALSE)</f>
        <v>423.28</v>
      </c>
      <c r="J150" s="15">
        <f>VLOOKUP(C150,Sheet2!B:P,15,FALSE)</f>
        <v>765</v>
      </c>
      <c r="K150" s="12">
        <f>VLOOKUP(D150,Sheet2!C:D,2,FALSE)</f>
        <v>0.6</v>
      </c>
      <c r="L150" s="12">
        <f>VLOOKUP(D150,Sheet2!C:E,3,FALSE)</f>
        <v>120</v>
      </c>
      <c r="M150" s="12">
        <f t="shared" si="184"/>
        <v>56.357180219918348</v>
      </c>
      <c r="N150" s="12">
        <f t="shared" si="185"/>
        <v>56.357180219918348</v>
      </c>
      <c r="O150" s="56">
        <f t="shared" si="186"/>
        <v>100</v>
      </c>
      <c r="P150" s="12">
        <v>150</v>
      </c>
      <c r="Q150" s="12">
        <f>VLOOKUP(D150,Sheet2!$C$26:$L$38,7,FALSE)</f>
        <v>500</v>
      </c>
      <c r="R150" s="12">
        <f>VLOOKUP(D150,Sheet2!$C$26:$L$38,8,FALSE)</f>
        <v>300</v>
      </c>
      <c r="S150" s="56">
        <f t="shared" si="187"/>
        <v>150</v>
      </c>
      <c r="T150" s="71">
        <f>VLOOKUP(D150,Sheet2!$C$26:$L$38,10,FALSE)</f>
        <v>1150</v>
      </c>
      <c r="U150" s="71">
        <f t="shared" si="188"/>
        <v>1950</v>
      </c>
      <c r="V150" s="39">
        <f t="shared" si="189"/>
        <v>88258.469627951315</v>
      </c>
      <c r="W150" s="39">
        <f t="shared" si="190"/>
        <v>3.0317638817869717E-2</v>
      </c>
      <c r="X150" s="39">
        <f t="shared" si="191"/>
        <v>0.11016265039617268</v>
      </c>
      <c r="Y150" s="39">
        <f t="shared" si="192"/>
        <v>88258.469627951315</v>
      </c>
      <c r="Z150" s="39">
        <f t="shared" si="193"/>
        <v>3.0317638817869717E-2</v>
      </c>
      <c r="AA150" s="39">
        <f t="shared" si="194"/>
        <v>88258.469627951315</v>
      </c>
      <c r="AB150" s="39">
        <f t="shared" si="195"/>
        <v>3.0317638817869717E-2</v>
      </c>
      <c r="AC150" s="39">
        <f t="shared" si="196"/>
        <v>0.71341982415483096</v>
      </c>
      <c r="AD150" s="38">
        <f t="shared" si="197"/>
        <v>3.7691742792196922E-3</v>
      </c>
      <c r="AE150" s="38">
        <f t="shared" si="198"/>
        <v>7.0234518388374596E-4</v>
      </c>
      <c r="AF150" s="38">
        <f t="shared" si="199"/>
        <v>4.5484288529766773E-3</v>
      </c>
      <c r="AG150" s="38"/>
      <c r="AH150" s="38">
        <f t="shared" si="200"/>
        <v>9.0199483160801151E-3</v>
      </c>
      <c r="AI150" s="38">
        <f t="shared" si="201"/>
        <v>0.35367765131532297</v>
      </c>
      <c r="AJ150" t="s">
        <v>330</v>
      </c>
    </row>
  </sheetData>
  <mergeCells count="4">
    <mergeCell ref="A7:B7"/>
    <mergeCell ref="A8:B8"/>
    <mergeCell ref="AU1:AV1"/>
    <mergeCell ref="AY1:BC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workbookViewId="0">
      <selection activeCell="D10" sqref="D10"/>
    </sheetView>
  </sheetViews>
  <sheetFormatPr defaultRowHeight="15.75" x14ac:dyDescent="0.3"/>
  <cols>
    <col min="1" max="1" width="33.140625" bestFit="1" customWidth="1"/>
  </cols>
  <sheetData>
    <row r="1" spans="1:7" x14ac:dyDescent="0.3">
      <c r="A1" s="119" t="s">
        <v>302</v>
      </c>
      <c r="B1" s="119"/>
      <c r="C1" s="119"/>
      <c r="D1" s="119"/>
      <c r="E1" s="119"/>
      <c r="F1" s="119"/>
      <c r="G1" s="119"/>
    </row>
    <row r="3" spans="1:7" x14ac:dyDescent="0.3">
      <c r="A3" s="112" t="s">
        <v>303</v>
      </c>
    </row>
    <row r="4" spans="1:7" x14ac:dyDescent="0.3">
      <c r="A4" t="s">
        <v>323</v>
      </c>
    </row>
    <row r="5" spans="1:7" x14ac:dyDescent="0.3">
      <c r="A5" t="s">
        <v>324</v>
      </c>
    </row>
    <row r="6" spans="1:7" x14ac:dyDescent="0.3">
      <c r="A6" t="s">
        <v>325</v>
      </c>
    </row>
    <row r="7" spans="1:7" x14ac:dyDescent="0.3">
      <c r="A7" t="s">
        <v>326</v>
      </c>
    </row>
    <row r="8" spans="1:7" x14ac:dyDescent="0.3">
      <c r="A8" t="s">
        <v>304</v>
      </c>
    </row>
    <row r="9" spans="1:7" x14ac:dyDescent="0.3">
      <c r="A9" t="s">
        <v>305</v>
      </c>
    </row>
    <row r="10" spans="1:7" x14ac:dyDescent="0.3">
      <c r="A10" t="s">
        <v>327</v>
      </c>
    </row>
    <row r="12" spans="1:7" x14ac:dyDescent="0.3">
      <c r="A12" s="112" t="s">
        <v>306</v>
      </c>
    </row>
    <row r="13" spans="1:7" x14ac:dyDescent="0.3">
      <c r="A13" t="s">
        <v>307</v>
      </c>
    </row>
    <row r="14" spans="1:7" x14ac:dyDescent="0.3">
      <c r="A14" t="s">
        <v>308</v>
      </c>
    </row>
    <row r="15" spans="1:7" x14ac:dyDescent="0.3">
      <c r="A15" t="s">
        <v>309</v>
      </c>
    </row>
    <row r="16" spans="1:7" x14ac:dyDescent="0.3">
      <c r="A16" t="s">
        <v>310</v>
      </c>
    </row>
    <row r="17" spans="1:1" x14ac:dyDescent="0.3">
      <c r="A17" t="s">
        <v>311</v>
      </c>
    </row>
    <row r="19" spans="1:1" x14ac:dyDescent="0.3">
      <c r="A19" s="112" t="s">
        <v>312</v>
      </c>
    </row>
    <row r="20" spans="1:1" x14ac:dyDescent="0.3">
      <c r="A20" s="112" t="s">
        <v>313</v>
      </c>
    </row>
    <row r="21" spans="1:1" x14ac:dyDescent="0.3">
      <c r="A21" t="s">
        <v>314</v>
      </c>
    </row>
    <row r="22" spans="1:1" x14ac:dyDescent="0.3">
      <c r="A22" t="s">
        <v>315</v>
      </c>
    </row>
    <row r="23" spans="1:1" x14ac:dyDescent="0.3">
      <c r="A23" s="112" t="s">
        <v>316</v>
      </c>
    </row>
    <row r="24" spans="1:1" x14ac:dyDescent="0.3">
      <c r="A24" t="s">
        <v>314</v>
      </c>
    </row>
    <row r="25" spans="1:1" x14ac:dyDescent="0.3">
      <c r="A25" t="s">
        <v>317</v>
      </c>
    </row>
    <row r="26" spans="1:1" x14ac:dyDescent="0.3">
      <c r="A26" s="112" t="s">
        <v>318</v>
      </c>
    </row>
    <row r="27" spans="1:1" x14ac:dyDescent="0.3">
      <c r="A27" t="s">
        <v>319</v>
      </c>
    </row>
    <row r="28" spans="1:1" x14ac:dyDescent="0.3">
      <c r="A28" t="s">
        <v>320</v>
      </c>
    </row>
    <row r="29" spans="1:1" x14ac:dyDescent="0.3">
      <c r="A29" t="s">
        <v>321</v>
      </c>
    </row>
    <row r="30" spans="1:1" x14ac:dyDescent="0.3">
      <c r="A30" t="s">
        <v>322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Sheet1</vt:lpstr>
      <vt:lpstr>Sheet2</vt:lpstr>
      <vt:lpstr>Sheet5</vt:lpstr>
      <vt:lpstr>Sheet6</vt:lpstr>
      <vt:lpstr>main</vt:lpstr>
      <vt:lpstr>Общая таблица</vt:lpstr>
      <vt:lpstr>Data1</vt:lpstr>
      <vt:lpstr>Data2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Malakhov Alexey</dc:creator>
  <cp:lastModifiedBy>Anton Bessolicyn</cp:lastModifiedBy>
  <dcterms:created xsi:type="dcterms:W3CDTF">2017-07-27T05:37:33Z</dcterms:created>
  <dcterms:modified xsi:type="dcterms:W3CDTF">2019-04-29T11:24:50Z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UUExcelWorkbook.vsto|e626a374-3415-43f9-96d3-0e22f295d3e4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57cef3974c7043ab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92CA4D30-9915-4F7F-9101-625DAB322639}">
  <ds:schemaRefs/>
</ds:datastoreItem>
</file>