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ebruary" sheetId="1" state="visible" r:id="rId2"/>
    <sheet name="BIC_FEB_2uA" sheetId="2" state="visible" r:id="rId3"/>
    <sheet name="May" sheetId="3" state="visible" r:id="rId4"/>
    <sheet name="BIC_MAY_2u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<sst xmlns="http://schemas.openxmlformats.org/spreadsheetml/2006/main" count="127" uniqueCount="51">
  <si>
    <t xml:space="preserve">half aperture</t>
  </si>
  <si>
    <t xml:space="preserve">Q3D Angle(degrees)</t>
  </si>
  <si>
    <t xml:space="preserve">FC Scale</t>
  </si>
  <si>
    <t xml:space="preserve">Solid Angle (mSR)</t>
  </si>
  <si>
    <t xml:space="preserve">Beam Energy (MeV)</t>
  </si>
  <si>
    <t xml:space="preserve">Q3D angle (radians)</t>
  </si>
  <si>
    <t xml:space="preserve">Solid Angle (Sr)</t>
  </si>
  <si>
    <t xml:space="preserve">Rutherford Cross Section Calculations</t>
  </si>
  <si>
    <t xml:space="preserve">Acceptance angle at full aperture(degrees)</t>
  </si>
  <si>
    <t xml:space="preserve">Q3D angle (rad)</t>
  </si>
  <si>
    <t xml:space="preserve">Acc. angle(rad)</t>
  </si>
  <si>
    <t xml:space="preserve">theta1</t>
  </si>
  <si>
    <t xml:space="preserve">theta2</t>
  </si>
  <si>
    <t xml:space="preserve">t1(ha)</t>
  </si>
  <si>
    <t xml:space="preserve">t2(ha)</t>
  </si>
  <si>
    <t xml:space="preserve">∫dθ</t>
  </si>
  <si>
    <t xml:space="preserve">∫dθ(ha)</t>
  </si>
  <si>
    <t xml:space="preserve">I(fa)</t>
  </si>
  <si>
    <t xml:space="preserve">I(ha)</t>
  </si>
  <si>
    <t xml:space="preserve">Efficiency Correction</t>
  </si>
  <si>
    <t xml:space="preserve">A</t>
  </si>
  <si>
    <t xml:space="preserve">Z(target)</t>
  </si>
  <si>
    <t xml:space="preserve">Z(beam)</t>
  </si>
  <si>
    <t xml:space="preserve">S1</t>
  </si>
  <si>
    <t xml:space="preserve">S3</t>
  </si>
  <si>
    <t xml:space="preserve">Yield </t>
  </si>
  <si>
    <t xml:space="preserve">Yield uncertainty</t>
  </si>
  <si>
    <t xml:space="preserve">Isotopic Purity</t>
  </si>
  <si>
    <t xml:space="preserve">Aperture</t>
  </si>
  <si>
    <t xml:space="preserve">Rutherford Cross Section</t>
  </si>
  <si>
    <t xml:space="preserve">Number in Beam</t>
  </si>
  <si>
    <t xml:space="preserve">Run Time(s)</t>
  </si>
  <si>
    <t xml:space="preserve">Beam offset</t>
  </si>
  <si>
    <t xml:space="preserve">Corrected #b</t>
  </si>
  <si>
    <t xml:space="preserve">#beam error</t>
  </si>
  <si>
    <t xml:space="preserve">Number in target (per m^2)</t>
  </si>
  <si>
    <t xml:space="preserve">Target Thickness (micrograms per cm^2)</t>
  </si>
  <si>
    <t xml:space="preserve">Uncertainty</t>
  </si>
  <si>
    <t xml:space="preserve">Channel 1 Counts</t>
  </si>
  <si>
    <t xml:space="preserve">error</t>
  </si>
  <si>
    <t xml:space="preserve">Rest of Channels counts</t>
  </si>
  <si>
    <t xml:space="preserve">Efficiency</t>
  </si>
  <si>
    <t xml:space="preserve">ha</t>
  </si>
  <si>
    <t xml:space="preserve">BIC Correction</t>
  </si>
  <si>
    <t xml:space="preserve">Run</t>
  </si>
  <si>
    <t xml:space="preserve">Run time</t>
  </si>
  <si>
    <t xml:space="preserve">BIC/t</t>
  </si>
  <si>
    <t xml:space="preserve">Current Measured (nA)</t>
  </si>
  <si>
    <t xml:space="preserve">Gradient</t>
  </si>
  <si>
    <t xml:space="preserve">Current offset(nA)</t>
  </si>
  <si>
    <t xml:space="preserve">Current offset(e/s)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</si>
</sst>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E+00"/>
    <numFmt numFmtId="166" formatCode="0"/>
    <numFmt numFmtId="167" formatCode="0.00000"/>
    <numFmt numFmtId="168" formatCode="0.000"/>
    <numFmt numFmtId="169" formatCode="0.0"/>
    <numFmt numFmtId="170" formatCode="0.00"/>
  </numFmts>
  <fonts count="21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u val="single"/>
      <sz val="10"/>
      <color rgb="FF0000EE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u val="single"/>
      <sz val="10"/>
      <color rgb="FFFFFFFF"/>
      <name val="Arial"/>
      <family val="0"/>
    </font>
    <font>
      <sz val="11"/>
      <name val="Cambria"/>
      <family val="0"/>
    </font>
    <font>
      <b val="true"/>
      <sz val="10"/>
      <name val="Arial"/>
      <family val="0"/>
    </font>
    <font>
      <sz val="10"/>
      <name val="Arial"/>
      <family val="2"/>
    </font>
    <font>
      <sz val="10"/>
      <color rgb="FF000000"/>
      <name val="Cambri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007826"/>
        <bgColor rgb="FF0066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" fillId="1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" fillId="1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7826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February!$E$26:$E$29</c:f>
              <c:numCache>
                <c:formatCode>General</c:formatCode>
                <c:ptCount val="4"/>
                <c:pt idx="0">
                  <c:v>0.761372549019608</c:v>
                </c:pt>
                <c:pt idx="1">
                  <c:v>1.8578</c:v>
                </c:pt>
                <c:pt idx="2">
                  <c:v>5.2408</c:v>
                </c:pt>
                <c:pt idx="3">
                  <c:v>8.0272</c:v>
                </c:pt>
              </c:numCache>
            </c:numRef>
          </c:xVal>
          <c:yVal>
            <c:numRef>
              <c:f>February!$F$26:$F$29</c:f>
              <c:numCache>
                <c:formatCode>General</c:formatCode>
                <c:ptCount val="4"/>
                <c:pt idx="0">
                  <c:v>1.04</c:v>
                </c:pt>
                <c:pt idx="1">
                  <c:v>2.16</c:v>
                </c:pt>
                <c:pt idx="2">
                  <c:v>5.37</c:v>
                </c:pt>
                <c:pt idx="3">
                  <c:v>8.07</c:v>
                </c:pt>
              </c:numCache>
            </c:numRef>
          </c:yVal>
          <c:smooth val="0"/>
        </c:ser>
        <c:axId val="71491195"/>
        <c:axId val="15699735"/>
      </c:scatterChart>
      <c:valAx>
        <c:axId val="71491195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5699735"/>
        <c:crosses val="autoZero"/>
        <c:crossBetween val="midCat"/>
      </c:valAx>
      <c:valAx>
        <c:axId val="1569973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149119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BIC_FEB_2uA!$E$8:$E$17</c:f>
              <c:numCache>
                <c:formatCode>General</c:formatCode>
                <c:ptCount val="10"/>
                <c:pt idx="0">
                  <c:v>122.36</c:v>
                </c:pt>
                <c:pt idx="1">
                  <c:v>227.34</c:v>
                </c:pt>
                <c:pt idx="2">
                  <c:v>334.26</c:v>
                </c:pt>
                <c:pt idx="3">
                  <c:v>440.26</c:v>
                </c:pt>
                <c:pt idx="4">
                  <c:v>543.78</c:v>
                </c:pt>
                <c:pt idx="5">
                  <c:v>811.82</c:v>
                </c:pt>
                <c:pt idx="6">
                  <c:v>1123.28</c:v>
                </c:pt>
                <c:pt idx="7">
                  <c:v>1379.66</c:v>
                </c:pt>
                <c:pt idx="8">
                  <c:v>1633.72277227723</c:v>
                </c:pt>
                <c:pt idx="9">
                  <c:v>2101</c:v>
                </c:pt>
              </c:numCache>
            </c:numRef>
          </c:xVal>
          <c:yVal>
            <c:numRef>
              <c:f>BIC_FEB_2uA!$F$8:$F$17</c:f>
              <c:numCache>
                <c:formatCode>General</c:formatCode>
                <c:ptCount val="10"/>
                <c:pt idx="0">
                  <c:v>101.7</c:v>
                </c:pt>
                <c:pt idx="1">
                  <c:v>203</c:v>
                </c:pt>
                <c:pt idx="2">
                  <c:v>304</c:v>
                </c:pt>
                <c:pt idx="3">
                  <c:v>406</c:v>
                </c:pt>
                <c:pt idx="4">
                  <c:v>507</c:v>
                </c:pt>
                <c:pt idx="5">
                  <c:v>761</c:v>
                </c:pt>
                <c:pt idx="6">
                  <c:v>1070</c:v>
                </c:pt>
                <c:pt idx="7">
                  <c:v>1319</c:v>
                </c:pt>
                <c:pt idx="8">
                  <c:v>1584</c:v>
                </c:pt>
                <c:pt idx="9">
                  <c:v>2150</c:v>
                </c:pt>
              </c:numCache>
            </c:numRef>
          </c:yVal>
          <c:smooth val="0"/>
        </c:ser>
        <c:axId val="90385440"/>
        <c:axId val="59348376"/>
      </c:scatterChart>
      <c:valAx>
        <c:axId val="9038544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9348376"/>
        <c:crosses val="autoZero"/>
        <c:crossBetween val="midCat"/>
      </c:valAx>
      <c:valAx>
        <c:axId val="593483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038544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47520">
              <a:noFill/>
            </a:ln>
          </c:spPr>
          <c:marker>
            <c:symbol val="circl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name>Linear (Current Measured (nA))</c:name>
            <c:spPr>
              <a:ln w="9360">
                <a:solidFill>
                  <a:srgbClr val="004586"/>
                </a:solidFill>
                <a:round/>
              </a:ln>
            </c:spPr>
            <c:trendlineType val="linear"/>
            <c:forward val="0"/>
            <c:backward val="0"/>
            <c:dispRSqr val="1"/>
            <c:dispEq val="0"/>
          </c:trendline>
          <c:xVal>
            <c:numRef>
              <c:f>May!$E$26:$E$39</c:f>
              <c:numCache>
                <c:formatCode>General</c:formatCode>
                <c:ptCount val="14"/>
                <c:pt idx="0">
                  <c:v>0.047</c:v>
                </c:pt>
                <c:pt idx="1">
                  <c:v>0.5686</c:v>
                </c:pt>
                <c:pt idx="2">
                  <c:v>1.092</c:v>
                </c:pt>
                <c:pt idx="3">
                  <c:v>2.11414141414141</c:v>
                </c:pt>
                <c:pt idx="4">
                  <c:v>3.1606</c:v>
                </c:pt>
                <c:pt idx="5">
                  <c:v>4.2154</c:v>
                </c:pt>
                <c:pt idx="6">
                  <c:v>5.1866</c:v>
                </c:pt>
                <c:pt idx="7">
                  <c:v>7.2618</c:v>
                </c:pt>
                <c:pt idx="8">
                  <c:v>10.2376</c:v>
                </c:pt>
                <c:pt idx="9">
                  <c:v>12.3772</c:v>
                </c:pt>
                <c:pt idx="10">
                  <c:v>14.3252</c:v>
                </c:pt>
                <c:pt idx="11">
                  <c:v>14.6174</c:v>
                </c:pt>
                <c:pt idx="12">
                  <c:v>14.6296</c:v>
                </c:pt>
                <c:pt idx="13">
                  <c:v>14.5706</c:v>
                </c:pt>
              </c:numCache>
            </c:numRef>
          </c:xVal>
          <c:yVal>
            <c:numRef>
              <c:f>May!$F$26:$F$39</c:f>
              <c:numCache>
                <c:formatCode>General</c:formatCode>
                <c:ptCount val="14"/>
                <c:pt idx="0">
                  <c:v>0.047</c:v>
                </c:pt>
                <c:pt idx="1">
                  <c:v>0.569</c:v>
                </c:pt>
                <c:pt idx="2">
                  <c:v>1.092</c:v>
                </c:pt>
                <c:pt idx="3">
                  <c:v>2.114</c:v>
                </c:pt>
                <c:pt idx="4">
                  <c:v>3.161</c:v>
                </c:pt>
                <c:pt idx="5">
                  <c:v>4.215</c:v>
                </c:pt>
                <c:pt idx="6">
                  <c:v>5.189</c:v>
                </c:pt>
                <c:pt idx="7">
                  <c:v>7.262</c:v>
                </c:pt>
                <c:pt idx="8">
                  <c:v>10.376</c:v>
                </c:pt>
                <c:pt idx="9">
                  <c:v>12.378</c:v>
                </c:pt>
                <c:pt idx="10">
                  <c:v>14.325</c:v>
                </c:pt>
                <c:pt idx="11">
                  <c:v>14.617</c:v>
                </c:pt>
                <c:pt idx="12">
                  <c:v>14.63</c:v>
                </c:pt>
                <c:pt idx="13">
                  <c:v>14.571</c:v>
                </c:pt>
              </c:numCache>
            </c:numRef>
          </c:yVal>
          <c:smooth val="1"/>
        </c:ser>
        <c:axId val="25350931"/>
        <c:axId val="49893451"/>
      </c:scatterChart>
      <c:valAx>
        <c:axId val="25350931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mbria"/>
              </a:defRPr>
            </a:pPr>
          </a:p>
        </c:txPr>
        <c:crossAx val="49893451"/>
        <c:crosses val="autoZero"/>
        <c:crossBetween val="midCat"/>
        <c:minorUnit val="0.4"/>
      </c:valAx>
      <c:valAx>
        <c:axId val="4989345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mbria"/>
              </a:defRPr>
            </a:pPr>
          </a:p>
        </c:txPr>
        <c:crossAx val="25350931"/>
        <c:crosses val="autoZero"/>
        <c:crossBetween val="midCat"/>
        <c:minorUnit val="0.4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BIC_MAY_2uA!$E$8:$E$21</c:f>
              <c:numCache>
                <c:formatCode>General</c:formatCode>
                <c:ptCount val="14"/>
                <c:pt idx="0">
                  <c:v>34.02</c:v>
                </c:pt>
                <c:pt idx="1">
                  <c:v>55.1</c:v>
                </c:pt>
                <c:pt idx="2">
                  <c:v>89.14</c:v>
                </c:pt>
                <c:pt idx="3">
                  <c:v>143.5</c:v>
                </c:pt>
                <c:pt idx="4">
                  <c:v>251.9</c:v>
                </c:pt>
                <c:pt idx="5">
                  <c:v>472.94</c:v>
                </c:pt>
                <c:pt idx="6">
                  <c:v>687.56</c:v>
                </c:pt>
                <c:pt idx="7">
                  <c:v>909</c:v>
                </c:pt>
                <c:pt idx="8">
                  <c:v>1127.66216216216</c:v>
                </c:pt>
                <c:pt idx="9">
                  <c:v>1342.55445544554</c:v>
                </c:pt>
                <c:pt idx="10">
                  <c:v>1566.85148514852</c:v>
                </c:pt>
                <c:pt idx="11">
                  <c:v>1799.7</c:v>
                </c:pt>
                <c:pt idx="12">
                  <c:v>1981.3670886076</c:v>
                </c:pt>
                <c:pt idx="13">
                  <c:v>2073.96460176991</c:v>
                </c:pt>
              </c:numCache>
            </c:numRef>
          </c:xVal>
          <c:yVal>
            <c:numRef>
              <c:f>BIC_MAY_2uA!$F$8:$F$21</c:f>
              <c:numCache>
                <c:formatCode>General</c:formatCode>
                <c:ptCount val="14"/>
                <c:pt idx="0">
                  <c:v>34</c:v>
                </c:pt>
                <c:pt idx="1">
                  <c:v>55.1</c:v>
                </c:pt>
                <c:pt idx="2">
                  <c:v>89.1</c:v>
                </c:pt>
                <c:pt idx="3">
                  <c:v>143.5</c:v>
                </c:pt>
                <c:pt idx="4">
                  <c:v>252</c:v>
                </c:pt>
                <c:pt idx="5">
                  <c:v>473</c:v>
                </c:pt>
                <c:pt idx="6">
                  <c:v>688</c:v>
                </c:pt>
                <c:pt idx="7">
                  <c:v>909</c:v>
                </c:pt>
                <c:pt idx="8">
                  <c:v>1128</c:v>
                </c:pt>
                <c:pt idx="9">
                  <c:v>1343</c:v>
                </c:pt>
                <c:pt idx="10">
                  <c:v>1567</c:v>
                </c:pt>
                <c:pt idx="11">
                  <c:v>1800</c:v>
                </c:pt>
                <c:pt idx="12">
                  <c:v>1981</c:v>
                </c:pt>
                <c:pt idx="13">
                  <c:v>2074</c:v>
                </c:pt>
              </c:numCache>
            </c:numRef>
          </c:yVal>
          <c:smooth val="0"/>
        </c:ser>
        <c:axId val="78374808"/>
        <c:axId val="32385259"/>
      </c:scatterChart>
      <c:valAx>
        <c:axId val="78374808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2385259"/>
        <c:crosses val="autoZero"/>
        <c:crossBetween val="midCat"/>
      </c:valAx>
      <c:valAx>
        <c:axId val="3238525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837480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345960</xdr:colOff>
      <xdr:row>28</xdr:row>
      <xdr:rowOff>86040</xdr:rowOff>
    </xdr:from>
    <xdr:to>
      <xdr:col>15</xdr:col>
      <xdr:colOff>694800</xdr:colOff>
      <xdr:row>48</xdr:row>
      <xdr:rowOff>85680</xdr:rowOff>
    </xdr:to>
    <xdr:graphicFrame>
      <xdr:nvGraphicFramePr>
        <xdr:cNvPr id="0" name=""/>
        <xdr:cNvGraphicFramePr/>
      </xdr:nvGraphicFramePr>
      <xdr:xfrm>
        <a:off x="11145960" y="4619880"/>
        <a:ext cx="576036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342720</xdr:colOff>
      <xdr:row>14</xdr:row>
      <xdr:rowOff>142920</xdr:rowOff>
    </xdr:from>
    <xdr:to>
      <xdr:col>14</xdr:col>
      <xdr:colOff>685800</xdr:colOff>
      <xdr:row>34</xdr:row>
      <xdr:rowOff>142920</xdr:rowOff>
    </xdr:to>
    <xdr:graphicFrame>
      <xdr:nvGraphicFramePr>
        <xdr:cNvPr id="1" name=""/>
        <xdr:cNvGraphicFramePr/>
      </xdr:nvGraphicFramePr>
      <xdr:xfrm>
        <a:off x="9035640" y="2409840"/>
        <a:ext cx="575460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729000</xdr:colOff>
      <xdr:row>28</xdr:row>
      <xdr:rowOff>18720</xdr:rowOff>
    </xdr:from>
    <xdr:to>
      <xdr:col>11</xdr:col>
      <xdr:colOff>922680</xdr:colOff>
      <xdr:row>48</xdr:row>
      <xdr:rowOff>8640</xdr:rowOff>
    </xdr:to>
    <xdr:graphicFrame>
      <xdr:nvGraphicFramePr>
        <xdr:cNvPr id="2" name="Chart 1"/>
        <xdr:cNvGraphicFramePr/>
      </xdr:nvGraphicFramePr>
      <xdr:xfrm>
        <a:off x="8242920" y="4552560"/>
        <a:ext cx="5061960" cy="3228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74160</xdr:colOff>
      <xdr:row>18</xdr:row>
      <xdr:rowOff>360</xdr:rowOff>
    </xdr:from>
    <xdr:to>
      <xdr:col>13</xdr:col>
      <xdr:colOff>73800</xdr:colOff>
      <xdr:row>37</xdr:row>
      <xdr:rowOff>162360</xdr:rowOff>
    </xdr:to>
    <xdr:graphicFrame>
      <xdr:nvGraphicFramePr>
        <xdr:cNvPr id="3" name=""/>
        <xdr:cNvGraphicFramePr/>
      </xdr:nvGraphicFramePr>
      <xdr:xfrm>
        <a:off x="7577280" y="2914920"/>
        <a:ext cx="575460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33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F3" activeCellId="0" sqref="F3"/>
    </sheetView>
  </sheetViews>
  <sheetFormatPr defaultRowHeight="15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13.57"/>
    <col collapsed="false" customWidth="true" hidden="false" outlineLevel="0" max="3" min="3" style="0" width="15"/>
    <col collapsed="false" customWidth="true" hidden="false" outlineLevel="0" max="4" min="4" style="0" width="8.29"/>
    <col collapsed="false" customWidth="true" hidden="false" outlineLevel="0" max="5" min="5" style="0" width="19.99"/>
    <col collapsed="false" customWidth="true" hidden="false" outlineLevel="0" max="6" min="6" style="0" width="19.77"/>
    <col collapsed="false" customWidth="true" hidden="false" outlineLevel="0" max="7" min="7" style="0" width="19"/>
    <col collapsed="false" customWidth="true" hidden="false" outlineLevel="0" max="8" min="8" style="0" width="15.14"/>
    <col collapsed="false" customWidth="true" hidden="false" outlineLevel="0" max="9" min="9" style="0" width="14.57"/>
    <col collapsed="false" customWidth="true" hidden="false" outlineLevel="0" max="10" min="10" style="0" width="16.87"/>
    <col collapsed="false" customWidth="true" hidden="false" outlineLevel="0" max="11" min="11" style="0" width="22.43"/>
    <col collapsed="false" customWidth="true" hidden="false" outlineLevel="0" max="13" min="12" style="0" width="15.14"/>
    <col collapsed="false" customWidth="true" hidden="false" outlineLevel="0" max="16" min="14" style="0" width="11.99"/>
    <col collapsed="false" customWidth="true" hidden="false" outlineLevel="0" max="17" min="17" style="0" width="10.86"/>
    <col collapsed="false" customWidth="true" hidden="false" outlineLevel="0" max="18" min="18" style="0" width="37.71"/>
    <col collapsed="false" customWidth="true" hidden="false" outlineLevel="0" max="19" min="19" style="0" width="13.01"/>
    <col collapsed="false" customWidth="true" hidden="false" outlineLevel="0" max="20" min="20" style="0" width="34.71"/>
    <col collapsed="false" customWidth="true" hidden="false" outlineLevel="0" max="23" min="21" style="0" width="10.86"/>
    <col collapsed="false" customWidth="true" hidden="false" outlineLevel="0" max="24" min="24" style="0" width="17"/>
    <col collapsed="false" customWidth="true" hidden="false" outlineLevel="0" max="25" min="25" style="0" width="5.29"/>
    <col collapsed="false" customWidth="true" hidden="false" outlineLevel="0" max="26" min="26" style="0" width="19.99"/>
    <col collapsed="false" customWidth="true" hidden="false" outlineLevel="0" max="27" min="27" style="0" width="5.29"/>
    <col collapsed="false" customWidth="true" hidden="false" outlineLevel="0" max="28" min="28" style="0" width="8.71"/>
    <col collapsed="false" customWidth="true" hidden="false" outlineLevel="0" max="31" min="29" style="0" width="10.86"/>
    <col collapsed="false" customWidth="true" hidden="false" outlineLevel="0" max="32" min="32" style="0" width="33.43"/>
    <col collapsed="false" customWidth="true" hidden="false" outlineLevel="0" max="33" min="33" style="0" width="13.7"/>
    <col collapsed="false" customWidth="true" hidden="false" outlineLevel="0" max="34" min="34" style="0" width="13.14"/>
    <col collapsed="false" customWidth="true" hidden="false" outlineLevel="0" max="41" min="35" style="0" width="10.86"/>
    <col collapsed="false" customWidth="true" hidden="false" outlineLevel="0" max="42" min="42" style="0" width="14.57"/>
    <col collapsed="false" customWidth="true" hidden="false" outlineLevel="0" max="1025" min="43" style="0" width="14.43"/>
  </cols>
  <sheetData>
    <row r="1" customFormat="false" ht="12.75" hidden="false" customHeight="true" outlineLevel="0" collapsed="false">
      <c r="I1" s="0" t="s">
        <v>0</v>
      </c>
    </row>
    <row r="2" customFormat="false" ht="12.75" hidden="false" customHeight="true" outlineLevel="0" collapsed="false">
      <c r="I2" s="0" t="n">
        <v>7.249</v>
      </c>
    </row>
    <row r="3" customFormat="false" ht="12.75" hidden="false" customHeight="true" outlineLevel="0" collapsed="false">
      <c r="G3" s="1" t="s">
        <v>1</v>
      </c>
      <c r="H3" s="1" t="s">
        <v>2</v>
      </c>
      <c r="I3" s="1" t="s">
        <v>3</v>
      </c>
      <c r="J3" s="1" t="s">
        <v>4</v>
      </c>
      <c r="R3" s="1" t="s">
        <v>5</v>
      </c>
      <c r="S3" s="1" t="s">
        <v>6</v>
      </c>
    </row>
    <row r="4" customFormat="false" ht="12.75" hidden="false" customHeight="true" outlineLevel="0" collapsed="false">
      <c r="G4" s="2" t="n">
        <v>20</v>
      </c>
      <c r="H4" s="3" t="n">
        <v>2E-008</v>
      </c>
      <c r="I4" s="2" t="n">
        <v>14.03</v>
      </c>
      <c r="J4" s="2" t="n">
        <v>9</v>
      </c>
      <c r="R4" s="4" t="n">
        <f aca="false">(2*PI()*G4)/360</f>
        <v>0.349065850398866</v>
      </c>
      <c r="S4" s="1" t="n">
        <f aca="false">I4/1000</f>
        <v>0.01403</v>
      </c>
      <c r="AF4" s="0" t="s">
        <v>7</v>
      </c>
    </row>
    <row r="5" customFormat="false" ht="12.75" hidden="false" customHeight="true" outlineLevel="0" collapsed="false">
      <c r="S5" s="0" t="n">
        <f aca="false">I2/1000</f>
        <v>0.007249</v>
      </c>
    </row>
    <row r="6" customFormat="false" ht="12.75" hidden="false" customHeight="true" outlineLevel="0" collapsed="false">
      <c r="M6" s="5"/>
    </row>
    <row r="7" customFormat="false" ht="12.75" hidden="false" customHeight="true" outlineLevel="0" collapsed="false">
      <c r="AF7" s="0" t="s">
        <v>8</v>
      </c>
      <c r="AG7" s="0" t="s">
        <v>9</v>
      </c>
      <c r="AH7" s="0" t="s">
        <v>10</v>
      </c>
      <c r="AI7" s="0" t="s">
        <v>11</v>
      </c>
      <c r="AJ7" s="0" t="s">
        <v>12</v>
      </c>
      <c r="AK7" s="0" t="s">
        <v>13</v>
      </c>
      <c r="AL7" s="0" t="s">
        <v>14</v>
      </c>
      <c r="AM7" s="6" t="s">
        <v>15</v>
      </c>
      <c r="AN7" s="6" t="s">
        <v>16</v>
      </c>
      <c r="AO7" s="6" t="s">
        <v>17</v>
      </c>
      <c r="AP7" s="6" t="s">
        <v>18</v>
      </c>
    </row>
    <row r="8" customFormat="false" ht="12.75" hidden="false" customHeight="true" outlineLevel="0" collapsed="false">
      <c r="X8" s="0" t="s">
        <v>19</v>
      </c>
      <c r="AF8" s="7" t="n">
        <v>6</v>
      </c>
      <c r="AG8" s="8" t="n">
        <f aca="false">G4*((2*PI())/360)</f>
        <v>0.349065850398866</v>
      </c>
      <c r="AH8" s="8" t="n">
        <f aca="false">AF8*((2*PI())/360)</f>
        <v>0.10471975511966</v>
      </c>
      <c r="AI8" s="8" t="n">
        <f aca="false">AG8-AH8/2</f>
        <v>0.296705972839036</v>
      </c>
      <c r="AJ8" s="8" t="n">
        <f aca="false">AG8+AH8/2</f>
        <v>0.401425727958696</v>
      </c>
      <c r="AK8" s="8" t="n">
        <f aca="false">AG8-AH8/4</f>
        <v>0.322885911618951</v>
      </c>
      <c r="AL8" s="8" t="n">
        <f aca="false">AG8+AH8/4</f>
        <v>0.375245789178781</v>
      </c>
      <c r="AM8" s="8" t="n">
        <f aca="false">COS(AI8)-COS(AJ8)</f>
        <v>0.0357999025105952</v>
      </c>
      <c r="AN8" s="8" t="n">
        <f aca="false">COS(AK8)-COS(AL8)</f>
        <v>0.0179060872241748</v>
      </c>
      <c r="AO8" s="0" t="n">
        <f aca="false">-2*((_xlfn.CSC(AJ8/2))^2-(_xlfn.CSC(AI8/2))^2)</f>
        <v>41.2256063309706</v>
      </c>
      <c r="AP8" s="0" t="n">
        <f aca="false">-2*((_xlfn.CSC(AL8/2))^2-(_xlfn.CSC(AK8/2))^2)</f>
        <v>19.9190809149734</v>
      </c>
    </row>
    <row r="9" customFormat="false" ht="12.75" hidden="false" customHeight="true" outlineLevel="0" collapsed="false">
      <c r="B9" s="8"/>
      <c r="G9" s="9"/>
      <c r="H9" s="9"/>
      <c r="I9" s="9"/>
    </row>
    <row r="10" customFormat="false" ht="12.75" hidden="false" customHeight="true" outlineLevel="0" collapsed="false">
      <c r="B10" s="8"/>
      <c r="G10" s="9"/>
      <c r="H10" s="9"/>
      <c r="I10" s="9"/>
    </row>
    <row r="11" customFormat="false" ht="12.75" hidden="false" customHeight="true" outlineLevel="0" collapsed="false">
      <c r="B11" s="10" t="s">
        <v>20</v>
      </c>
      <c r="C11" s="10" t="s">
        <v>21</v>
      </c>
      <c r="D11" s="10" t="s">
        <v>22</v>
      </c>
      <c r="E11" s="10" t="s">
        <v>23</v>
      </c>
      <c r="F11" s="10" t="s">
        <v>24</v>
      </c>
      <c r="G11" s="10" t="s">
        <v>25</v>
      </c>
      <c r="H11" s="10" t="s">
        <v>26</v>
      </c>
      <c r="I11" s="11" t="s">
        <v>27</v>
      </c>
      <c r="J11" s="10" t="s">
        <v>28</v>
      </c>
      <c r="L11" s="10" t="s">
        <v>29</v>
      </c>
      <c r="M11" s="10" t="s">
        <v>30</v>
      </c>
      <c r="N11" s="10" t="s">
        <v>31</v>
      </c>
      <c r="O11" s="10" t="s">
        <v>32</v>
      </c>
      <c r="P11" s="10" t="s">
        <v>33</v>
      </c>
      <c r="Q11" s="10" t="s">
        <v>34</v>
      </c>
      <c r="R11" s="10" t="s">
        <v>35</v>
      </c>
      <c r="S11" s="10"/>
      <c r="T11" s="10" t="s">
        <v>36</v>
      </c>
      <c r="U11" s="10" t="s">
        <v>37</v>
      </c>
      <c r="W11" s="12"/>
      <c r="X11" s="0" t="s">
        <v>38</v>
      </c>
      <c r="Y11" s="0" t="s">
        <v>39</v>
      </c>
      <c r="Z11" s="0" t="s">
        <v>40</v>
      </c>
      <c r="AA11" s="0" t="s">
        <v>39</v>
      </c>
      <c r="AB11" s="0" t="s">
        <v>41</v>
      </c>
      <c r="AC11" s="0" t="s">
        <v>39</v>
      </c>
    </row>
    <row r="12" customFormat="false" ht="12.75" hidden="false" customHeight="true" outlineLevel="0" collapsed="false">
      <c r="B12" s="0" t="n">
        <v>116</v>
      </c>
      <c r="C12" s="0" t="n">
        <v>48</v>
      </c>
      <c r="D12" s="0" t="n">
        <v>1</v>
      </c>
      <c r="E12" s="0" t="n">
        <v>2481</v>
      </c>
      <c r="F12" s="0" t="n">
        <v>125</v>
      </c>
      <c r="G12" s="0" t="n">
        <v>136826</v>
      </c>
      <c r="H12" s="0" t="n">
        <v>405</v>
      </c>
      <c r="I12" s="0" t="n">
        <v>0.966</v>
      </c>
      <c r="J12" s="13" t="n">
        <v>14.03</v>
      </c>
      <c r="L12" s="14" t="n">
        <f aca="false">(((1.296*$AO$8)/$AM$8)*((C12*D12)/$J$4)^2)*10^-3*10^-28</f>
        <v>4.24509745895292E-027</v>
      </c>
      <c r="M12" s="14" t="n">
        <f aca="false">((E12-F12)*$H$4)/(D12*1.61E-019*1000)</f>
        <v>292670807453.416</v>
      </c>
      <c r="N12" s="15" t="n">
        <v>300</v>
      </c>
      <c r="O12" s="14" t="n">
        <f aca="false">N12*$M$26</f>
        <v>620251981332.424</v>
      </c>
      <c r="P12" s="14" t="n">
        <f aca="false">M12*$J$26+O12</f>
        <v>902263055196.93</v>
      </c>
      <c r="Q12" s="14" t="n">
        <f aca="false">((SQRT(E12)+SQRT(F12))*$H$4)/(1.61E-019*1000*D12)</f>
        <v>7576394721.6333</v>
      </c>
      <c r="R12" s="5" t="n">
        <f aca="false">I12*G12/(L12*P12*$S$4*AB12)</f>
        <v>2.4712751142901E+021</v>
      </c>
      <c r="T12" s="16" t="n">
        <f aca="false">(R12/10000)*((B12*1.661E-027)*(1000*1000000))</f>
        <v>47.6155403920959</v>
      </c>
      <c r="U12" s="16" t="n">
        <f aca="false">T12*(SQRT(H12/G12)^2+SQRT(Q12/M12)^2)</f>
        <v>1.3735679210154</v>
      </c>
      <c r="W12" s="8"/>
      <c r="X12" s="13" t="n">
        <v>700</v>
      </c>
      <c r="Y12" s="13" t="n">
        <v>26</v>
      </c>
      <c r="Z12" s="13" t="n">
        <v>147668</v>
      </c>
      <c r="AA12" s="13" t="n">
        <v>387</v>
      </c>
      <c r="AB12" s="9" t="n">
        <f aca="false">Z12/(Z12+X12)</f>
        <v>0.99528200150976</v>
      </c>
      <c r="AC12" s="9" t="n">
        <f aca="false">AB12*SQRT((AA12/Z12)^2+(AA12^2+Y12^2)/(Z12+X12)^2)</f>
        <v>0.00368424429060457</v>
      </c>
    </row>
    <row r="13" customFormat="false" ht="12.75" hidden="false" customHeight="true" outlineLevel="0" collapsed="false">
      <c r="B13" s="0" t="n">
        <v>116</v>
      </c>
      <c r="C13" s="0" t="n">
        <v>50</v>
      </c>
      <c r="D13" s="0" t="n">
        <v>1</v>
      </c>
      <c r="E13" s="0" t="n">
        <v>2604</v>
      </c>
      <c r="F13" s="0" t="n">
        <v>306</v>
      </c>
      <c r="G13" s="0" t="n">
        <v>336648</v>
      </c>
      <c r="H13" s="0" t="n">
        <v>591</v>
      </c>
      <c r="I13" s="0" t="n">
        <v>0.978</v>
      </c>
      <c r="J13" s="13" t="n">
        <v>14.03</v>
      </c>
      <c r="K13" s="14"/>
      <c r="L13" s="14" t="n">
        <f aca="false">(((1.296*$AO$8)/$AM$8)*((C13*D13)/$J$4)^2)*10^-3*10^-28</f>
        <v>4.60622554139857E-027</v>
      </c>
      <c r="M13" s="14" t="n">
        <f aca="false">((E13-F13)*$H$4)/(D13*1.61E-019*1000)</f>
        <v>285465838509.317</v>
      </c>
      <c r="N13" s="0" t="n">
        <v>300</v>
      </c>
      <c r="O13" s="14" t="n">
        <f aca="false">N13*$M$26</f>
        <v>620251981332.424</v>
      </c>
      <c r="P13" s="14" t="n">
        <f aca="false">M13*$J$26+O13</f>
        <v>895320507538.127</v>
      </c>
      <c r="Q13" s="14" t="n">
        <f aca="false">((SQRT(E13)+SQRT(F13))*$H$4)/(1.61E-019*1000*D13)</f>
        <v>8512081860.02835</v>
      </c>
      <c r="R13" s="5" t="n">
        <f aca="false">I13*G13/(L13*P13*$S$4*AB13)</f>
        <v>5.76043559608799E+021</v>
      </c>
      <c r="T13" s="16" t="n">
        <f aca="false">(R13/10000)*((B13*1.661E-027)*(1000*1000000))</f>
        <v>110.989768891185</v>
      </c>
      <c r="U13" s="16" t="n">
        <f aca="false">T13*(SQRT(H13/G13)^2+SQRT(Q13/M13)^2)</f>
        <v>3.5043641339279</v>
      </c>
      <c r="X13" s="0" t="n">
        <v>4273</v>
      </c>
      <c r="Y13" s="0" t="n">
        <v>65</v>
      </c>
      <c r="Z13" s="0" t="n">
        <v>346571</v>
      </c>
      <c r="AA13" s="0" t="n">
        <v>591</v>
      </c>
      <c r="AB13" s="9" t="n">
        <f aca="false">Z13/(Z13+X13)</f>
        <v>0.987820797847476</v>
      </c>
      <c r="AC13" s="9" t="n">
        <f aca="false">AB13*SQRT((AA13/Z13)^2+(AA13^2+Y13^2)/(Z13+X13)^2)</f>
        <v>0.0023748555292778</v>
      </c>
    </row>
    <row r="14" customFormat="false" ht="12.75" hidden="false" customHeight="true" outlineLevel="0" collapsed="false">
      <c r="B14" s="0" t="n">
        <v>114</v>
      </c>
      <c r="C14" s="0" t="n">
        <v>48</v>
      </c>
      <c r="D14" s="0" t="n">
        <v>1</v>
      </c>
      <c r="E14" s="0" t="n">
        <v>2128</v>
      </c>
      <c r="F14" s="0" t="n">
        <v>120</v>
      </c>
      <c r="G14" s="0" t="n">
        <v>140206</v>
      </c>
      <c r="H14" s="0" t="n">
        <v>498</v>
      </c>
      <c r="I14" s="0" t="n">
        <v>0.987</v>
      </c>
      <c r="J14" s="13" t="n">
        <v>14.03</v>
      </c>
      <c r="K14" s="14"/>
      <c r="L14" s="14" t="n">
        <f aca="false">(((1.296*$AO$8)/$AM$8)*((C14*D14)/$J$4)^2)*10^-3*10^-28</f>
        <v>4.24509745895292E-027</v>
      </c>
      <c r="M14" s="14" t="n">
        <f aca="false">((E14-F14)*$H$4)/(D14*1.61E-019*1000)</f>
        <v>249440993788.82</v>
      </c>
      <c r="N14" s="0" t="n">
        <v>300</v>
      </c>
      <c r="O14" s="14" t="n">
        <f aca="false">N14*$M$26</f>
        <v>620251981332.424</v>
      </c>
      <c r="P14" s="14" t="n">
        <f aca="false">M14*$J$26+O14</f>
        <v>860607769244.109</v>
      </c>
      <c r="Q14" s="14" t="n">
        <f aca="false">((SQRT(E14)+SQRT(F14))*$H$4)/(1.61E-019*1000*D14)</f>
        <v>7091267270.65671</v>
      </c>
      <c r="R14" s="5" t="n">
        <f aca="false">I14*G14/(L14*P14*$S$4*AB14)</f>
        <v>2.71211253911038E+021</v>
      </c>
      <c r="T14" s="16" t="n">
        <f aca="false">(R14/10000)*((B14*1.661E-027)*(1000*1000000))</f>
        <v>51.3549357730707</v>
      </c>
      <c r="U14" s="16" t="n">
        <f aca="false">T14*(SQRT(H14/G14)^2+SQRT(Q14/M14)^2)</f>
        <v>1.64235922914022</v>
      </c>
      <c r="X14" s="0" t="n">
        <v>686</v>
      </c>
      <c r="Y14" s="0" t="n">
        <v>26</v>
      </c>
      <c r="Z14" s="0" t="n">
        <v>150540</v>
      </c>
      <c r="AA14" s="0" t="n">
        <v>391</v>
      </c>
      <c r="AB14" s="9" t="n">
        <f aca="false">Z14/(Z14+X14)</f>
        <v>0.995463743007155</v>
      </c>
      <c r="AC14" s="9" t="n">
        <f aca="false">AB14*SQRT((AA14/Z14)^2+(AA14^2+Y14^2)/(Z14+X14)^2)</f>
        <v>0.00365222592013287</v>
      </c>
    </row>
    <row r="15" customFormat="false" ht="12.75" hidden="false" customHeight="true" outlineLevel="0" collapsed="false">
      <c r="A15" s="0" t="s">
        <v>42</v>
      </c>
      <c r="B15" s="0" t="n">
        <v>116</v>
      </c>
      <c r="C15" s="0" t="n">
        <v>48</v>
      </c>
      <c r="D15" s="0" t="n">
        <v>1</v>
      </c>
      <c r="E15" s="0" t="n">
        <v>2227</v>
      </c>
      <c r="F15" s="0" t="n">
        <v>75</v>
      </c>
      <c r="G15" s="0" t="n">
        <v>66287</v>
      </c>
      <c r="H15" s="0" t="n">
        <v>277</v>
      </c>
      <c r="I15" s="0" t="n">
        <v>0.966</v>
      </c>
      <c r="J15" s="13" t="n">
        <v>7.25</v>
      </c>
      <c r="K15" s="14"/>
      <c r="L15" s="14" t="n">
        <f aca="false">(((1.296*$AP$8)/$AN$8)*((C15*D15)/$J$4)^2)*10^-3*10^-28</f>
        <v>4.10082331028867E-027</v>
      </c>
      <c r="M15" s="14" t="n">
        <f aca="false">((E15-F15)*$H$4)/(D15*1.61E-019*1000)</f>
        <v>267329192546.584</v>
      </c>
      <c r="N15" s="0" t="n">
        <v>300</v>
      </c>
      <c r="O15" s="14" t="n">
        <f aca="false">N15*$M$26</f>
        <v>620251981332.424</v>
      </c>
      <c r="P15" s="14" t="n">
        <f aca="false">M15*$J$26+O15</f>
        <v>877844439293.552</v>
      </c>
      <c r="Q15" s="14" t="n">
        <f aca="false">((SQRT(E15)+SQRT(F15))*$H$4)/(1.61E-019*1000*D15)</f>
        <v>6938056508.55057</v>
      </c>
      <c r="R15" s="5" t="n">
        <f aca="false">I15*G15/(L15*P15*$S$5*AB15)</f>
        <v>2.45921704511834E+021</v>
      </c>
      <c r="T15" s="16" t="n">
        <f aca="false">(R15/10000)*((B15*1.661E-027)*(1000*1000000))</f>
        <v>47.3832103385222</v>
      </c>
      <c r="U15" s="16" t="n">
        <f aca="false">T15*(SQRT(H15/G15)^2+SQRT(Q15/M15)^2)</f>
        <v>1.42775231939956</v>
      </c>
      <c r="X15" s="0" t="n">
        <v>159</v>
      </c>
      <c r="Y15" s="0" t="n">
        <v>13</v>
      </c>
      <c r="Z15" s="0" t="n">
        <v>71994</v>
      </c>
      <c r="AA15" s="0" t="n">
        <v>273</v>
      </c>
      <c r="AB15" s="9" t="n">
        <f aca="false">Z15/(Z15+X15)</f>
        <v>0.99779634942414</v>
      </c>
      <c r="AC15" s="9" t="n">
        <f aca="false">AB15*SQRT((AA15/Z15)^2+(AA15^2+Y15^2)/(Z15+X15)^2)</f>
        <v>0.00534798588416192</v>
      </c>
    </row>
    <row r="16" customFormat="false" ht="12.75" hidden="false" customHeight="true" outlineLevel="0" collapsed="false">
      <c r="B16" s="0" t="n">
        <v>116</v>
      </c>
      <c r="C16" s="0" t="n">
        <v>50</v>
      </c>
      <c r="D16" s="0" t="n">
        <v>1</v>
      </c>
      <c r="E16" s="0" t="n">
        <v>2460</v>
      </c>
      <c r="F16" s="0" t="n">
        <v>171</v>
      </c>
      <c r="G16" s="0" t="n">
        <v>173551</v>
      </c>
      <c r="H16" s="0" t="n">
        <v>425</v>
      </c>
      <c r="I16" s="0" t="n">
        <v>0.978</v>
      </c>
      <c r="J16" s="13" t="n">
        <v>7.25</v>
      </c>
      <c r="K16" s="14"/>
      <c r="L16" s="14" t="n">
        <f aca="false">(((1.296*$AP$8)/$AN$8)*((C16*D16)/$J$4)^2)*10^-3*10^-28</f>
        <v>4.44967807105975E-027</v>
      </c>
      <c r="M16" s="14" t="n">
        <f aca="false">((E16-F16)*$H$4)/(D16*1.61E-019*1000)</f>
        <v>284347826086.957</v>
      </c>
      <c r="N16" s="0" t="n">
        <v>300</v>
      </c>
      <c r="O16" s="14" t="n">
        <f aca="false">N16*$M$26</f>
        <v>620251981332.424</v>
      </c>
      <c r="P16" s="14" t="n">
        <f aca="false">M16*$J$26+O16</f>
        <v>894243215660.037</v>
      </c>
      <c r="Q16" s="14" t="n">
        <f aca="false">((SQRT(E16)+SQRT(F16))*$H$4)/(1.61E-019*1000*D16)</f>
        <v>7785724708.22</v>
      </c>
      <c r="R16" s="5" t="n">
        <f aca="false">I16*G16/(L16*P16*$S$5*AB16)</f>
        <v>5.91930501139184E+021</v>
      </c>
      <c r="T16" s="16" t="n">
        <f aca="false">(R16/10000)*((B16*1.661E-027)*(1000*1000000))</f>
        <v>114.050801237493</v>
      </c>
      <c r="U16" s="16" t="n">
        <f aca="false">T16*(SQRT(H16/G16)^2+SQRT(Q16/M16)^2)</f>
        <v>3.40211680197937</v>
      </c>
      <c r="X16" s="0" t="n">
        <v>1060</v>
      </c>
      <c r="Y16" s="0" t="n">
        <v>33</v>
      </c>
      <c r="Z16" s="0" t="n">
        <v>178799</v>
      </c>
      <c r="AA16" s="0" t="n">
        <v>426</v>
      </c>
      <c r="AB16" s="9" t="n">
        <f aca="false">Z16/(Z16+X16)</f>
        <v>0.994106494531828</v>
      </c>
      <c r="AC16" s="9" t="n">
        <f aca="false">AB16*SQRT((AA16/Z16)^2+(AA16^2+Y16^2)/(Z16+X16)^2)</f>
        <v>0.0033447170517806</v>
      </c>
    </row>
    <row r="17" customFormat="false" ht="12.75" hidden="false" customHeight="true" outlineLevel="0" collapsed="false">
      <c r="B17" s="0" t="n">
        <v>114</v>
      </c>
      <c r="C17" s="0" t="n">
        <v>48</v>
      </c>
      <c r="D17" s="0" t="n">
        <v>1</v>
      </c>
      <c r="E17" s="0" t="n">
        <v>2572</v>
      </c>
      <c r="F17" s="0" t="n">
        <v>86</v>
      </c>
      <c r="G17" s="0" t="n">
        <v>74660</v>
      </c>
      <c r="H17" s="0" t="n">
        <v>398</v>
      </c>
      <c r="I17" s="0" t="n">
        <v>0.987</v>
      </c>
      <c r="J17" s="13" t="n">
        <v>7.25</v>
      </c>
      <c r="K17" s="14"/>
      <c r="L17" s="14" t="n">
        <f aca="false">(((1.296*$AP$8)/$AN$8)*((C17*D17)/$J$4)^2)*10^-3*10^-28</f>
        <v>4.10082331028867E-027</v>
      </c>
      <c r="M17" s="14" t="n">
        <f aca="false">((E17-F17)*$H$4)/(D17*1.61E-019*1000)</f>
        <v>308819875776.398</v>
      </c>
      <c r="N17" s="0" t="n">
        <v>300</v>
      </c>
      <c r="O17" s="14" t="n">
        <f aca="false">N17*$M$26</f>
        <v>620251981332.424</v>
      </c>
      <c r="P17" s="14" t="n">
        <f aca="false">M17*$J$26+O17</f>
        <v>917823937880.456</v>
      </c>
      <c r="Q17" s="14" t="n">
        <f aca="false">((SQRT(E17)+SQRT(F17))*$H$4)/(1.61E-019*1000*D17)</f>
        <v>7451988550.05212</v>
      </c>
      <c r="R17" s="5" t="n">
        <f aca="false">I17*G17/(L17*P17*$S$5*AB17)</f>
        <v>2.70774238150582E+021</v>
      </c>
      <c r="T17" s="16" t="n">
        <f aca="false">(R17/10000)*((B17*1.661E-027)*(1000*1000000))</f>
        <v>51.2721850907653</v>
      </c>
      <c r="U17" s="16" t="n">
        <f aca="false">T17*(SQRT(H17/G17)^2+SQRT(Q17/M17)^2)</f>
        <v>1.51054867376414</v>
      </c>
      <c r="X17" s="0" t="n">
        <v>206</v>
      </c>
      <c r="Y17" s="0" t="n">
        <v>14</v>
      </c>
      <c r="Z17" s="0" t="n">
        <v>80442</v>
      </c>
      <c r="AA17" s="0" t="n">
        <v>288</v>
      </c>
      <c r="AB17" s="9" t="n">
        <f aca="false">Z17/(Z17+X17)</f>
        <v>0.997445689911715</v>
      </c>
      <c r="AC17" s="9" t="n">
        <f aca="false">AB17*SQRT((AA17/Z17)^2+(AA17^2+Y17^2)/(Z17+X17)^2)</f>
        <v>0.00504678705052099</v>
      </c>
    </row>
    <row r="18" customFormat="false" ht="12.75" hidden="false" customHeight="true" outlineLevel="0" collapsed="false">
      <c r="K18" s="14"/>
      <c r="L18" s="14"/>
    </row>
    <row r="23" customFormat="false" ht="12.75" hidden="false" customHeight="true" outlineLevel="0" collapsed="false">
      <c r="B23" s="17" t="s">
        <v>43</v>
      </c>
    </row>
    <row r="25" customFormat="false" ht="12.75" hidden="false" customHeight="true" outlineLevel="0" collapsed="false">
      <c r="B25" s="0" t="s">
        <v>44</v>
      </c>
      <c r="C25" s="0" t="s">
        <v>45</v>
      </c>
      <c r="D25" s="0" t="s">
        <v>23</v>
      </c>
      <c r="E25" s="0" t="s">
        <v>46</v>
      </c>
      <c r="F25" s="0" t="s">
        <v>47</v>
      </c>
      <c r="J25" s="0" t="s">
        <v>48</v>
      </c>
      <c r="K25" s="0" t="s">
        <v>49</v>
      </c>
      <c r="M25" s="0" t="s">
        <v>50</v>
      </c>
    </row>
    <row r="26" customFormat="false" ht="12.75" hidden="false" customHeight="true" outlineLevel="0" collapsed="false">
      <c r="B26" s="0" t="n">
        <v>402</v>
      </c>
      <c r="C26" s="0" t="n">
        <v>102</v>
      </c>
      <c r="D26" s="0" t="n">
        <v>3883</v>
      </c>
      <c r="E26" s="5" t="n">
        <f aca="false">((D26)*$H$4*10^9)/(1000*C26)</f>
        <v>0.761372549019608</v>
      </c>
      <c r="F26" s="0" t="n">
        <v>1.04</v>
      </c>
      <c r="J26" s="0" t="n">
        <f aca="false" t="array" ref="J26:K26">LINEST($F$26:$F$29,$E$26:$E$29)</f>
        <v>0.963577735402919</v>
      </c>
      <c r="K26" s="0" t="n">
        <v>0.332868563315067</v>
      </c>
      <c r="M26" s="14" t="n">
        <f aca="false">(K26*0.000000001)/(1.61*1E-019)</f>
        <v>2067506604.44141</v>
      </c>
      <c r="N26" s="14"/>
      <c r="O26" s="14"/>
    </row>
    <row r="27" customFormat="false" ht="12.75" hidden="false" customHeight="true" outlineLevel="0" collapsed="false">
      <c r="B27" s="0" t="n">
        <v>403</v>
      </c>
      <c r="C27" s="0" t="n">
        <v>100</v>
      </c>
      <c r="D27" s="0" t="n">
        <v>9289</v>
      </c>
      <c r="E27" s="5" t="n">
        <f aca="false">((D27)*$H$4*10^9)/(1000*C27)</f>
        <v>1.8578</v>
      </c>
      <c r="F27" s="0" t="n">
        <v>2.16</v>
      </c>
    </row>
    <row r="28" customFormat="false" ht="12.75" hidden="false" customHeight="true" outlineLevel="0" collapsed="false">
      <c r="B28" s="0" t="n">
        <v>404</v>
      </c>
      <c r="C28" s="0" t="n">
        <v>100</v>
      </c>
      <c r="D28" s="0" t="n">
        <v>26204</v>
      </c>
      <c r="E28" s="5" t="n">
        <f aca="false">((D28)*$H$4*10^9)/(1000*C28)</f>
        <v>5.2408</v>
      </c>
      <c r="F28" s="0" t="n">
        <v>5.37</v>
      </c>
    </row>
    <row r="29" customFormat="false" ht="12.75" hidden="false" customHeight="true" outlineLevel="0" collapsed="false">
      <c r="B29" s="0" t="n">
        <v>405</v>
      </c>
      <c r="C29" s="0" t="n">
        <v>100</v>
      </c>
      <c r="D29" s="0" t="n">
        <v>40136</v>
      </c>
      <c r="E29" s="5" t="n">
        <f aca="false">((D29)*$H$4*10^9)/(1000*C29)</f>
        <v>8.0272</v>
      </c>
      <c r="F29" s="0" t="n">
        <v>8.07</v>
      </c>
    </row>
    <row r="30" customFormat="false" ht="12.75" hidden="false" customHeight="true" outlineLevel="0" collapsed="false">
      <c r="B30" s="0" t="n">
        <v>406</v>
      </c>
      <c r="C30" s="0" t="n">
        <v>103</v>
      </c>
      <c r="D30" s="0" t="n">
        <v>53654</v>
      </c>
      <c r="E30" s="5" t="n">
        <f aca="false">((D30)*$H$4*10^9)/(1000*C30)</f>
        <v>10.4182524271845</v>
      </c>
      <c r="F30" s="0" t="n">
        <v>10.21</v>
      </c>
    </row>
    <row r="31" customFormat="false" ht="12.75" hidden="false" customHeight="true" outlineLevel="0" collapsed="false">
      <c r="B31" s="0" t="n">
        <v>407</v>
      </c>
      <c r="C31" s="0" t="n">
        <v>100</v>
      </c>
      <c r="D31" s="0" t="n">
        <v>73522</v>
      </c>
      <c r="E31" s="5" t="n">
        <f aca="false">((D31)*$H$4*10^9)/(1000*C31)</f>
        <v>14.7044</v>
      </c>
      <c r="F31" s="0" t="n">
        <v>15.62</v>
      </c>
    </row>
    <row r="32" customFormat="false" ht="12.75" hidden="false" customHeight="true" outlineLevel="0" collapsed="false">
      <c r="B32" s="0" t="n">
        <v>408</v>
      </c>
      <c r="C32" s="0" t="n">
        <v>101</v>
      </c>
      <c r="D32" s="0" t="n">
        <v>74462</v>
      </c>
      <c r="E32" s="5" t="n">
        <f aca="false">((D32)*$H$4*10^9)/(1000*C32)</f>
        <v>14.7449504950495</v>
      </c>
      <c r="F32" s="0" t="n">
        <v>20.7</v>
      </c>
    </row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O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13.57"/>
    <col collapsed="false" customWidth="true" hidden="false" outlineLevel="0" max="3" min="3" style="0" width="15"/>
    <col collapsed="false" customWidth="true" hidden="false" outlineLevel="0" max="4" min="4" style="0" width="8.29"/>
    <col collapsed="false" customWidth="true" hidden="false" outlineLevel="0" max="5" min="5" style="0" width="9.91"/>
    <col collapsed="false" customWidth="true" hidden="false" outlineLevel="0" max="6" min="6" style="0" width="19"/>
    <col collapsed="false" customWidth="true" hidden="false" outlineLevel="0" max="7" min="7" style="0" width="15.14"/>
    <col collapsed="false" customWidth="true" hidden="false" outlineLevel="0" max="8" min="8" style="0" width="14.57"/>
    <col collapsed="false" customWidth="true" hidden="false" outlineLevel="0" max="9" min="9" style="0" width="16.87"/>
    <col collapsed="false" customWidth="true" hidden="false" outlineLevel="0" max="10" min="10" style="0" width="22.43"/>
    <col collapsed="false" customWidth="true" hidden="false" outlineLevel="0" max="12" min="11" style="0" width="15.14"/>
    <col collapsed="false" customWidth="true" hidden="false" outlineLevel="0" max="15" min="13" style="0" width="11.99"/>
    <col collapsed="false" customWidth="true" hidden="false" outlineLevel="0" max="16" min="16" style="0" width="10.86"/>
    <col collapsed="false" customWidth="true" hidden="false" outlineLevel="0" max="17" min="17" style="0" width="37.71"/>
    <col collapsed="false" customWidth="true" hidden="false" outlineLevel="0" max="18" min="18" style="0" width="13.01"/>
    <col collapsed="false" customWidth="true" hidden="false" outlineLevel="0" max="19" min="19" style="0" width="34.71"/>
    <col collapsed="false" customWidth="true" hidden="false" outlineLevel="0" max="22" min="20" style="0" width="10.86"/>
    <col collapsed="false" customWidth="true" hidden="false" outlineLevel="0" max="23" min="23" style="0" width="17"/>
    <col collapsed="false" customWidth="true" hidden="false" outlineLevel="0" max="24" min="24" style="0" width="5.29"/>
    <col collapsed="false" customWidth="true" hidden="false" outlineLevel="0" max="25" min="25" style="0" width="19.99"/>
    <col collapsed="false" customWidth="true" hidden="false" outlineLevel="0" max="26" min="26" style="0" width="5.29"/>
    <col collapsed="false" customWidth="true" hidden="false" outlineLevel="0" max="27" min="27" style="0" width="8.71"/>
    <col collapsed="false" customWidth="true" hidden="false" outlineLevel="0" max="30" min="28" style="0" width="10.86"/>
    <col collapsed="false" customWidth="true" hidden="false" outlineLevel="0" max="31" min="31" style="0" width="33.43"/>
    <col collapsed="false" customWidth="true" hidden="false" outlineLevel="0" max="32" min="32" style="0" width="13.7"/>
    <col collapsed="false" customWidth="true" hidden="false" outlineLevel="0" max="33" min="33" style="0" width="13.14"/>
    <col collapsed="false" customWidth="true" hidden="false" outlineLevel="0" max="40" min="34" style="0" width="10.86"/>
    <col collapsed="false" customWidth="true" hidden="false" outlineLevel="0" max="41" min="41" style="0" width="14.57"/>
    <col collapsed="false" customWidth="true" hidden="false" outlineLevel="0" max="1025" min="42" style="0" width="14.43"/>
  </cols>
  <sheetData>
    <row r="1" customFormat="false" ht="12.75" hidden="false" customHeight="true" outlineLevel="0" collapsed="false">
      <c r="G1" s="1" t="s">
        <v>2</v>
      </c>
    </row>
    <row r="2" customFormat="false" ht="12.75" hidden="false" customHeight="true" outlineLevel="0" collapsed="false">
      <c r="G2" s="3" t="n">
        <v>2E-006</v>
      </c>
    </row>
    <row r="5" customFormat="false" ht="12.75" hidden="false" customHeight="true" outlineLevel="0" collapsed="false">
      <c r="B5" s="17" t="s">
        <v>43</v>
      </c>
    </row>
    <row r="7" customFormat="false" ht="12.75" hidden="false" customHeight="true" outlineLevel="0" collapsed="false">
      <c r="B7" s="0" t="s">
        <v>44</v>
      </c>
      <c r="C7" s="0" t="s">
        <v>45</v>
      </c>
      <c r="D7" s="0" t="s">
        <v>23</v>
      </c>
      <c r="E7" s="0" t="s">
        <v>46</v>
      </c>
      <c r="F7" s="0" t="s">
        <v>47</v>
      </c>
      <c r="I7" s="0" t="s">
        <v>48</v>
      </c>
      <c r="J7" s="0" t="s">
        <v>49</v>
      </c>
      <c r="L7" s="0" t="s">
        <v>50</v>
      </c>
      <c r="AL7" s="6"/>
      <c r="AM7" s="6"/>
      <c r="AN7" s="6"/>
      <c r="AO7" s="6"/>
    </row>
    <row r="8" customFormat="false" ht="12.75" hidden="false" customHeight="true" outlineLevel="0" collapsed="false">
      <c r="B8" s="0" t="n">
        <v>391</v>
      </c>
      <c r="C8" s="0" t="n">
        <v>100</v>
      </c>
      <c r="D8" s="0" t="n">
        <v>6118</v>
      </c>
      <c r="E8" s="18" t="n">
        <f aca="false">((D8)*$G$2*10^9)/(1000*C8)</f>
        <v>122.36</v>
      </c>
      <c r="F8" s="0" t="n">
        <v>101.7</v>
      </c>
      <c r="I8" s="0" t="n">
        <f aca="false" t="array" ref="I8:J8">LINEST($F$8:$F$16,$E$8:$E$16)</f>
        <v>0.976468137404528</v>
      </c>
      <c r="J8" s="0" t="n">
        <v>-22.7871787571885</v>
      </c>
      <c r="L8" s="14" t="n">
        <f aca="false">(J8*0.000000001)/(1.61*1E-019)</f>
        <v>-141535271783.779</v>
      </c>
      <c r="M8" s="14"/>
      <c r="N8" s="14"/>
      <c r="AE8" s="7"/>
      <c r="AF8" s="8"/>
      <c r="AG8" s="8"/>
      <c r="AH8" s="8"/>
      <c r="AI8" s="8"/>
      <c r="AJ8" s="8"/>
      <c r="AK8" s="8"/>
      <c r="AL8" s="8"/>
      <c r="AM8" s="8"/>
    </row>
    <row r="9" customFormat="false" ht="12.75" hidden="false" customHeight="true" outlineLevel="0" collapsed="false">
      <c r="B9" s="0" t="n">
        <v>392</v>
      </c>
      <c r="C9" s="0" t="n">
        <v>100</v>
      </c>
      <c r="D9" s="0" t="n">
        <v>11367</v>
      </c>
      <c r="E9" s="18" t="n">
        <f aca="false">((D9)*$G$2*10^9)/(1000*C9)</f>
        <v>227.34</v>
      </c>
      <c r="F9" s="0" t="n">
        <v>203</v>
      </c>
    </row>
    <row r="10" customFormat="false" ht="12.75" hidden="false" customHeight="true" outlineLevel="0" collapsed="false">
      <c r="B10" s="0" t="n">
        <v>393</v>
      </c>
      <c r="C10" s="0" t="n">
        <v>100</v>
      </c>
      <c r="D10" s="0" t="n">
        <v>16713</v>
      </c>
      <c r="E10" s="18" t="n">
        <f aca="false">((D10)*$G$2*10^9)/(1000*C10)</f>
        <v>334.26</v>
      </c>
      <c r="F10" s="0" t="n">
        <v>304</v>
      </c>
    </row>
    <row r="11" customFormat="false" ht="12.75" hidden="false" customHeight="true" outlineLevel="0" collapsed="false">
      <c r="B11" s="0" t="n">
        <v>394</v>
      </c>
      <c r="C11" s="0" t="n">
        <v>100</v>
      </c>
      <c r="D11" s="0" t="n">
        <v>22013</v>
      </c>
      <c r="E11" s="18" t="n">
        <f aca="false">((D11)*$G$2*10^9)/(1000*C11)</f>
        <v>440.26</v>
      </c>
      <c r="F11" s="0" t="n">
        <v>406</v>
      </c>
    </row>
    <row r="12" customFormat="false" ht="12.75" hidden="false" customHeight="true" outlineLevel="0" collapsed="false">
      <c r="B12" s="0" t="n">
        <v>395</v>
      </c>
      <c r="C12" s="0" t="n">
        <v>100</v>
      </c>
      <c r="D12" s="0" t="n">
        <v>27189</v>
      </c>
      <c r="E12" s="18" t="n">
        <f aca="false">((D12)*$G$2*10^9)/(1000*C12)</f>
        <v>543.78</v>
      </c>
      <c r="F12" s="0" t="n">
        <v>507</v>
      </c>
      <c r="AA12" s="9"/>
      <c r="AB12" s="9"/>
    </row>
    <row r="13" customFormat="false" ht="12.75" hidden="false" customHeight="true" outlineLevel="0" collapsed="false">
      <c r="B13" s="0" t="n">
        <v>396</v>
      </c>
      <c r="C13" s="0" t="n">
        <v>100</v>
      </c>
      <c r="D13" s="0" t="n">
        <v>40591</v>
      </c>
      <c r="E13" s="18" t="n">
        <f aca="false">((D13)*$G$2*10^9)/(1000*C13)</f>
        <v>811.82</v>
      </c>
      <c r="F13" s="0" t="n">
        <v>761</v>
      </c>
      <c r="AA13" s="9"/>
      <c r="AB13" s="9"/>
    </row>
    <row r="14" customFormat="false" ht="12.75" hidden="false" customHeight="true" outlineLevel="0" collapsed="false">
      <c r="B14" s="0" t="n">
        <v>397</v>
      </c>
      <c r="C14" s="0" t="n">
        <v>100</v>
      </c>
      <c r="D14" s="0" t="n">
        <v>56164</v>
      </c>
      <c r="E14" s="18" t="n">
        <f aca="false">((D14)*$G$2*10^9)/(1000*C14)</f>
        <v>1123.28</v>
      </c>
      <c r="F14" s="0" t="n">
        <v>1070</v>
      </c>
      <c r="AA14" s="9"/>
      <c r="AB14" s="9"/>
    </row>
    <row r="15" customFormat="false" ht="12.75" hidden="false" customHeight="true" outlineLevel="0" collapsed="false">
      <c r="B15" s="0" t="n">
        <v>398</v>
      </c>
      <c r="C15" s="0" t="n">
        <v>100</v>
      </c>
      <c r="D15" s="0" t="n">
        <v>68983</v>
      </c>
      <c r="E15" s="18" t="n">
        <f aca="false">((D15)*$G$2*10^9)/(1000*C15)</f>
        <v>1379.66</v>
      </c>
      <c r="F15" s="0" t="n">
        <v>1319</v>
      </c>
      <c r="AA15" s="9"/>
      <c r="AB15" s="9"/>
    </row>
    <row r="16" customFormat="false" ht="12.75" hidden="false" customHeight="true" outlineLevel="0" collapsed="false">
      <c r="B16" s="0" t="n">
        <v>399</v>
      </c>
      <c r="C16" s="0" t="n">
        <v>101</v>
      </c>
      <c r="D16" s="0" t="n">
        <v>82503</v>
      </c>
      <c r="E16" s="18" t="n">
        <f aca="false">((D16)*$G$2*10^9)/(1000*C16)</f>
        <v>1633.72277227723</v>
      </c>
      <c r="F16" s="0" t="n">
        <v>1584</v>
      </c>
      <c r="AA16" s="9"/>
      <c r="AB16" s="9"/>
    </row>
    <row r="17" customFormat="false" ht="12.75" hidden="false" customHeight="true" outlineLevel="0" collapsed="false">
      <c r="B17" s="0" t="n">
        <v>400</v>
      </c>
      <c r="C17" s="0" t="n">
        <v>100</v>
      </c>
      <c r="D17" s="0" t="n">
        <v>105050</v>
      </c>
      <c r="E17" s="18" t="n">
        <f aca="false">((D17)*$G$2*10^9)/(1000*C17)</f>
        <v>2101</v>
      </c>
      <c r="F17" s="0" t="n">
        <v>2150</v>
      </c>
      <c r="AA17" s="9"/>
      <c r="AB17" s="9"/>
    </row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RowHeight="15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13.57"/>
    <col collapsed="false" customWidth="true" hidden="false" outlineLevel="0" max="3" min="3" style="0" width="15"/>
    <col collapsed="false" customWidth="true" hidden="false" outlineLevel="0" max="4" min="4" style="0" width="8.29"/>
    <col collapsed="false" customWidth="true" hidden="false" outlineLevel="0" max="5" min="5" style="0" width="19.99"/>
    <col collapsed="false" customWidth="true" hidden="false" outlineLevel="0" max="6" min="6" style="0" width="19.77"/>
    <col collapsed="false" customWidth="true" hidden="false" outlineLevel="0" max="7" min="7" style="0" width="19"/>
    <col collapsed="false" customWidth="true" hidden="false" outlineLevel="0" max="8" min="8" style="0" width="15.14"/>
    <col collapsed="false" customWidth="true" hidden="false" outlineLevel="0" max="9" min="9" style="0" width="14.57"/>
    <col collapsed="false" customWidth="true" hidden="false" outlineLevel="0" max="10" min="10" style="0" width="16.87"/>
    <col collapsed="false" customWidth="true" hidden="false" outlineLevel="0" max="11" min="11" style="0" width="22.43"/>
    <col collapsed="false" customWidth="true" hidden="false" outlineLevel="0" max="13" min="12" style="0" width="15.14"/>
    <col collapsed="false" customWidth="true" hidden="false" outlineLevel="0" max="16" min="14" style="0" width="11.99"/>
    <col collapsed="false" customWidth="true" hidden="false" outlineLevel="0" max="17" min="17" style="0" width="10.86"/>
    <col collapsed="false" customWidth="true" hidden="false" outlineLevel="0" max="18" min="18" style="0" width="37.71"/>
    <col collapsed="false" customWidth="true" hidden="false" outlineLevel="0" max="19" min="19" style="0" width="13.01"/>
    <col collapsed="false" customWidth="true" hidden="false" outlineLevel="0" max="20" min="20" style="0" width="34.71"/>
    <col collapsed="false" customWidth="true" hidden="false" outlineLevel="0" max="23" min="21" style="0" width="10.86"/>
    <col collapsed="false" customWidth="true" hidden="false" outlineLevel="0" max="24" min="24" style="0" width="17"/>
    <col collapsed="false" customWidth="true" hidden="false" outlineLevel="0" max="25" min="25" style="0" width="5.29"/>
    <col collapsed="false" customWidth="true" hidden="false" outlineLevel="0" max="26" min="26" style="0" width="19.99"/>
    <col collapsed="false" customWidth="true" hidden="false" outlineLevel="0" max="27" min="27" style="0" width="5.29"/>
    <col collapsed="false" customWidth="true" hidden="false" outlineLevel="0" max="28" min="28" style="0" width="8.71"/>
    <col collapsed="false" customWidth="true" hidden="false" outlineLevel="0" max="31" min="29" style="0" width="10.86"/>
    <col collapsed="false" customWidth="true" hidden="false" outlineLevel="0" max="32" min="32" style="0" width="33.43"/>
    <col collapsed="false" customWidth="true" hidden="false" outlineLevel="0" max="33" min="33" style="0" width="13.7"/>
    <col collapsed="false" customWidth="true" hidden="false" outlineLevel="0" max="34" min="34" style="0" width="13.14"/>
    <col collapsed="false" customWidth="true" hidden="false" outlineLevel="0" max="41" min="35" style="0" width="10.86"/>
    <col collapsed="false" customWidth="true" hidden="false" outlineLevel="0" max="42" min="42" style="0" width="14.57"/>
    <col collapsed="false" customWidth="true" hidden="false" outlineLevel="0" max="1025" min="43" style="0" width="14.43"/>
  </cols>
  <sheetData>
    <row r="1" customFormat="false" ht="12.75" hidden="false" customHeight="true" outlineLevel="0" collapsed="false">
      <c r="I1" s="0" t="s">
        <v>0</v>
      </c>
    </row>
    <row r="2" customFormat="false" ht="12.75" hidden="false" customHeight="true" outlineLevel="0" collapsed="false">
      <c r="I2" s="0" t="n">
        <v>7.249</v>
      </c>
    </row>
    <row r="3" customFormat="false" ht="12.75" hidden="false" customHeight="true" outlineLevel="0" collapsed="false">
      <c r="G3" s="1" t="s">
        <v>1</v>
      </c>
      <c r="H3" s="1" t="s">
        <v>2</v>
      </c>
      <c r="I3" s="1" t="s">
        <v>3</v>
      </c>
      <c r="J3" s="1" t="s">
        <v>4</v>
      </c>
      <c r="R3" s="1" t="s">
        <v>5</v>
      </c>
      <c r="S3" s="1" t="s">
        <v>6</v>
      </c>
    </row>
    <row r="4" customFormat="false" ht="12.75" hidden="false" customHeight="true" outlineLevel="0" collapsed="false">
      <c r="G4" s="2" t="n">
        <v>20</v>
      </c>
      <c r="H4" s="3" t="n">
        <v>2E-008</v>
      </c>
      <c r="I4" s="2" t="n">
        <v>14.03</v>
      </c>
      <c r="J4" s="2" t="n">
        <v>9</v>
      </c>
      <c r="R4" s="4" t="n">
        <f aca="false">(2*PI()*G4)/360</f>
        <v>0.349065850398866</v>
      </c>
      <c r="S4" s="1" t="n">
        <f aca="false">I4/1000</f>
        <v>0.01403</v>
      </c>
      <c r="AF4" s="0" t="s">
        <v>7</v>
      </c>
    </row>
    <row r="5" customFormat="false" ht="12.75" hidden="false" customHeight="true" outlineLevel="0" collapsed="false">
      <c r="S5" s="0" t="n">
        <f aca="false">I2/1000</f>
        <v>0.007249</v>
      </c>
    </row>
    <row r="6" customFormat="false" ht="12.75" hidden="false" customHeight="true" outlineLevel="0" collapsed="false">
      <c r="M6" s="5"/>
    </row>
    <row r="7" customFormat="false" ht="12.75" hidden="false" customHeight="true" outlineLevel="0" collapsed="false">
      <c r="AF7" s="0" t="s">
        <v>8</v>
      </c>
      <c r="AG7" s="0" t="s">
        <v>9</v>
      </c>
      <c r="AH7" s="0" t="s">
        <v>10</v>
      </c>
      <c r="AI7" s="0" t="s">
        <v>11</v>
      </c>
      <c r="AJ7" s="0" t="s">
        <v>12</v>
      </c>
      <c r="AK7" s="0" t="s">
        <v>13</v>
      </c>
      <c r="AL7" s="0" t="s">
        <v>14</v>
      </c>
      <c r="AM7" s="6" t="s">
        <v>15</v>
      </c>
      <c r="AN7" s="6" t="s">
        <v>16</v>
      </c>
      <c r="AO7" s="6" t="s">
        <v>17</v>
      </c>
      <c r="AP7" s="6" t="s">
        <v>18</v>
      </c>
    </row>
    <row r="8" customFormat="false" ht="12.75" hidden="false" customHeight="true" outlineLevel="0" collapsed="false">
      <c r="X8" s="0" t="s">
        <v>19</v>
      </c>
      <c r="AF8" s="7" t="n">
        <v>6</v>
      </c>
      <c r="AG8" s="8" t="n">
        <f aca="false">G4*((2*PI())/360)</f>
        <v>0.349065850398866</v>
      </c>
      <c r="AH8" s="8" t="n">
        <f aca="false">AF8*((2*PI())/360)</f>
        <v>0.10471975511966</v>
      </c>
      <c r="AI8" s="8" t="n">
        <f aca="false">AG8-AH8/2</f>
        <v>0.296705972839036</v>
      </c>
      <c r="AJ8" s="8" t="n">
        <f aca="false">AG8+AH8/2</f>
        <v>0.401425727958696</v>
      </c>
      <c r="AK8" s="8" t="n">
        <f aca="false">AG8-AH8/4</f>
        <v>0.322885911618951</v>
      </c>
      <c r="AL8" s="8" t="n">
        <f aca="false">AG8+AH8/4</f>
        <v>0.375245789178781</v>
      </c>
      <c r="AM8" s="8" t="n">
        <f aca="false">COS(AI8)-COS(AJ8)</f>
        <v>0.0357999025105952</v>
      </c>
      <c r="AN8" s="8" t="n">
        <f aca="false">COS(AK8)-COS(AL8)</f>
        <v>0.0179060872241748</v>
      </c>
      <c r="AO8" s="0" t="n">
        <f aca="false">-2*((_xlfn.CSC(AJ8/2))^2-(_xlfn.CSC(AI8/2))^2)</f>
        <v>41.2256063309706</v>
      </c>
      <c r="AP8" s="0" t="n">
        <f aca="false">-2*((_xlfn.CSC(AL8/2))^2-(_xlfn.CSC(AK8/2))^2)</f>
        <v>19.9190809149734</v>
      </c>
    </row>
    <row r="9" customFormat="false" ht="12.75" hidden="false" customHeight="true" outlineLevel="0" collapsed="false">
      <c r="B9" s="8"/>
      <c r="G9" s="9"/>
      <c r="H9" s="9"/>
      <c r="I9" s="9"/>
    </row>
    <row r="10" customFormat="false" ht="12.75" hidden="false" customHeight="true" outlineLevel="0" collapsed="false">
      <c r="B10" s="8"/>
      <c r="G10" s="9"/>
      <c r="H10" s="9"/>
      <c r="I10" s="9"/>
    </row>
    <row r="11" customFormat="false" ht="12.75" hidden="false" customHeight="true" outlineLevel="0" collapsed="false">
      <c r="B11" s="10" t="s">
        <v>20</v>
      </c>
      <c r="C11" s="10" t="s">
        <v>21</v>
      </c>
      <c r="D11" s="10" t="s">
        <v>22</v>
      </c>
      <c r="E11" s="10" t="s">
        <v>23</v>
      </c>
      <c r="F11" s="10" t="s">
        <v>24</v>
      </c>
      <c r="G11" s="10" t="s">
        <v>25</v>
      </c>
      <c r="H11" s="10" t="s">
        <v>26</v>
      </c>
      <c r="I11" s="11" t="s">
        <v>27</v>
      </c>
      <c r="J11" s="10" t="s">
        <v>28</v>
      </c>
      <c r="L11" s="10" t="s">
        <v>29</v>
      </c>
      <c r="M11" s="10" t="s">
        <v>30</v>
      </c>
      <c r="N11" s="10" t="s">
        <v>31</v>
      </c>
      <c r="O11" s="10" t="s">
        <v>32</v>
      </c>
      <c r="P11" s="10" t="s">
        <v>33</v>
      </c>
      <c r="Q11" s="10" t="s">
        <v>34</v>
      </c>
      <c r="R11" s="10" t="s">
        <v>35</v>
      </c>
      <c r="S11" s="10"/>
      <c r="T11" s="10" t="s">
        <v>36</v>
      </c>
      <c r="U11" s="10" t="s">
        <v>37</v>
      </c>
      <c r="W11" s="12"/>
      <c r="X11" s="0" t="s">
        <v>38</v>
      </c>
      <c r="Y11" s="0" t="s">
        <v>39</v>
      </c>
      <c r="Z11" s="0" t="s">
        <v>40</v>
      </c>
      <c r="AA11" s="0" t="s">
        <v>39</v>
      </c>
      <c r="AB11" s="0" t="s">
        <v>41</v>
      </c>
      <c r="AC11" s="0" t="s">
        <v>39</v>
      </c>
    </row>
    <row r="12" customFormat="false" ht="12.75" hidden="false" customHeight="true" outlineLevel="0" collapsed="false">
      <c r="B12" s="0" t="n">
        <v>116</v>
      </c>
      <c r="C12" s="0" t="n">
        <v>48</v>
      </c>
      <c r="D12" s="0" t="n">
        <v>1</v>
      </c>
      <c r="E12" s="0" t="n">
        <v>16546</v>
      </c>
      <c r="F12" s="0" t="n">
        <v>993</v>
      </c>
      <c r="G12" s="0" t="n">
        <v>185167</v>
      </c>
      <c r="H12" s="0" t="n">
        <v>430</v>
      </c>
      <c r="I12" s="0" t="n">
        <v>0.966</v>
      </c>
      <c r="J12" s="13" t="n">
        <v>14.03</v>
      </c>
      <c r="L12" s="14" t="n">
        <f aca="false">(((1.296*$AO$8)/$AM$8)*((C12*D12)/$J$4)^2)*10^-3*10^-28</f>
        <v>4.24509745895292E-027</v>
      </c>
      <c r="M12" s="14" t="n">
        <f aca="false">((E12-F12)*$H$4)/(D12*1.61E-019*1000)</f>
        <v>1932049689440.99</v>
      </c>
      <c r="N12" s="0" t="n">
        <v>300</v>
      </c>
      <c r="O12" s="14" t="n">
        <f aca="false">N12*$M$26</f>
        <v>-16417741680.0921</v>
      </c>
      <c r="P12" s="14" t="n">
        <f aca="false">M12*$J$26+O12</f>
        <v>1925244686369.26</v>
      </c>
      <c r="Q12" s="14" t="n">
        <f aca="false">((SQRT(E12)+SQRT(F12))*$H$4)/(1.61E-019*1000*D12)</f>
        <v>19893560054.025</v>
      </c>
      <c r="R12" s="5" t="n">
        <f aca="false">I12*G12/(L12*P12*$S$4*AB12)</f>
        <v>1.57655072849899E+021</v>
      </c>
      <c r="T12" s="16" t="n">
        <f aca="false">(R12/10000)*((B12*1.661E-027)*(1000*1000000))</f>
        <v>30.3763488164272</v>
      </c>
      <c r="U12" s="16" t="n">
        <f aca="false">T12*(SQRT(H12/G12)^2+SQRT(Q12/M12)^2)</f>
        <v>0.383314193048323</v>
      </c>
      <c r="W12" s="8"/>
      <c r="X12" s="13" t="n">
        <v>2229</v>
      </c>
      <c r="Y12" s="13" t="n">
        <v>47</v>
      </c>
      <c r="Z12" s="13" t="n">
        <v>209400</v>
      </c>
      <c r="AA12" s="13" t="n">
        <v>459</v>
      </c>
      <c r="AB12" s="9" t="n">
        <f aca="false">Z12/(Z12+X12)</f>
        <v>0.989467417036417</v>
      </c>
      <c r="AC12" s="9" t="n">
        <f aca="false">AB12*SQRT((AA12/Z12)^2+(AA12^2+Y12^2)/(Z12+X12)^2)</f>
        <v>0.00305906608910463</v>
      </c>
    </row>
    <row r="13" customFormat="false" ht="12.75" hidden="false" customHeight="true" outlineLevel="0" collapsed="false">
      <c r="B13" s="0" t="n">
        <v>116</v>
      </c>
      <c r="C13" s="0" t="n">
        <v>50</v>
      </c>
      <c r="D13" s="0" t="n">
        <v>1</v>
      </c>
      <c r="E13" s="0" t="n">
        <v>7523</v>
      </c>
      <c r="F13" s="0" t="n">
        <v>827</v>
      </c>
      <c r="G13" s="0" t="n">
        <v>198435</v>
      </c>
      <c r="H13" s="0" t="n">
        <v>446</v>
      </c>
      <c r="I13" s="0" t="n">
        <v>0.978</v>
      </c>
      <c r="J13" s="13" t="n">
        <v>14.03</v>
      </c>
      <c r="K13" s="14"/>
      <c r="L13" s="14" t="n">
        <f aca="false">(((1.296*$AO$8)/$AM$8)*((C13*D13)/$J$4)^2)*10^-3*10^-28</f>
        <v>4.60622554139857E-027</v>
      </c>
      <c r="M13" s="14" t="n">
        <f aca="false">((E13-F13)*$H$4)/(D13*1.61E-019*1000)</f>
        <v>831801242236.025</v>
      </c>
      <c r="N13" s="0" t="n">
        <v>300</v>
      </c>
      <c r="O13" s="14" t="n">
        <f aca="false">N13*$M$26</f>
        <v>-16417741680.0921</v>
      </c>
      <c r="P13" s="14" t="n">
        <f aca="false">M13*$J$26+O13</f>
        <v>819522052457.276</v>
      </c>
      <c r="Q13" s="14" t="n">
        <f aca="false">((SQRT(E13)+SQRT(F13))*$H$4)/(1.61E-019*1000*D13)</f>
        <v>14346936270.7032</v>
      </c>
      <c r="R13" s="5" t="n">
        <f aca="false">I13*G13/(L13*P13*$S$4*AB13)</f>
        <v>3.75073991800792E+021</v>
      </c>
      <c r="T13" s="16" t="n">
        <f aca="false">(R13/10000)*((B13*1.661E-027)*(1000*1000000))</f>
        <v>72.2677564442095</v>
      </c>
      <c r="U13" s="16" t="n">
        <f aca="false">T13*(SQRT(H13/G13)^2+SQRT(Q13/M13)^2)</f>
        <v>1.40890483117503</v>
      </c>
      <c r="X13" s="0" t="n">
        <v>4825</v>
      </c>
      <c r="Y13" s="0" t="n">
        <v>69</v>
      </c>
      <c r="Z13" s="0" t="n">
        <v>204591</v>
      </c>
      <c r="AA13" s="0" t="n">
        <v>454</v>
      </c>
      <c r="AB13" s="9" t="n">
        <f aca="false">Z13/(Z13+X13)</f>
        <v>0.976959735645796</v>
      </c>
      <c r="AC13" s="9" t="n">
        <f aca="false">AB13*SQRT((AA13/Z13)^2+(AA13^2+Y13^2)/(Z13+X13)^2)</f>
        <v>0.00304785326241382</v>
      </c>
    </row>
    <row r="14" customFormat="false" ht="12.75" hidden="false" customHeight="true" outlineLevel="0" collapsed="false">
      <c r="B14" s="0" t="n">
        <v>114</v>
      </c>
      <c r="C14" s="0" t="n">
        <v>48</v>
      </c>
      <c r="D14" s="0" t="n">
        <v>1</v>
      </c>
      <c r="E14" s="0" t="n">
        <v>15052</v>
      </c>
      <c r="F14" s="0" t="n">
        <v>947</v>
      </c>
      <c r="G14" s="0" t="n">
        <v>191374</v>
      </c>
      <c r="H14" s="0" t="n">
        <v>437</v>
      </c>
      <c r="I14" s="0" t="n">
        <v>0.987</v>
      </c>
      <c r="J14" s="13" t="n">
        <v>14.03</v>
      </c>
      <c r="K14" s="14"/>
      <c r="L14" s="14" t="n">
        <f aca="false">(((1.296*$AO$8)/$AM$8)*((C14*D14)/$J$4)^2)*10^-3*10^-28</f>
        <v>4.24509745895292E-027</v>
      </c>
      <c r="M14" s="14" t="n">
        <f aca="false">((E14-F14)*$H$4)/(D14*1.61E-019*1000)</f>
        <v>1752173913043.48</v>
      </c>
      <c r="N14" s="0" t="n">
        <v>300</v>
      </c>
      <c r="O14" s="14" t="n">
        <f aca="false">N14*$M$26</f>
        <v>-16417741680.0921</v>
      </c>
      <c r="P14" s="14" t="n">
        <f aca="false">M14*$J$26+O14</f>
        <v>1744473954303.72</v>
      </c>
      <c r="Q14" s="14" t="n">
        <f aca="false">((SQRT(E14)+SQRT(F14))*$H$4)/(1.61E-019*1000*D14)</f>
        <v>19063348781.5377</v>
      </c>
      <c r="R14" s="5" t="n">
        <f aca="false">I14*G14/(L14*P14*$S$4*AB14)</f>
        <v>1.83857111976107E+021</v>
      </c>
      <c r="T14" s="16" t="n">
        <f aca="false">(R14/10000)*((B14*1.661E-027)*(1000*1000000))</f>
        <v>34.8140795811237</v>
      </c>
      <c r="U14" s="16" t="n">
        <f aca="false">T14*(SQRT(H14/G14)^2+SQRT(Q14/M14)^2)</f>
        <v>0.458268648372736</v>
      </c>
      <c r="X14" s="0" t="n">
        <v>2373</v>
      </c>
      <c r="Y14" s="0" t="n">
        <v>49</v>
      </c>
      <c r="Z14" s="0" t="n">
        <v>209561</v>
      </c>
      <c r="AA14" s="0" t="n">
        <v>459</v>
      </c>
      <c r="AB14" s="9" t="n">
        <f aca="false">Z14/(Z14+X14)</f>
        <v>0.988803117951815</v>
      </c>
      <c r="AC14" s="9" t="n">
        <f aca="false">AB14*SQRT((AA14/Z14)^2+(AA14^2+Y14^2)/(Z14+X14)^2)</f>
        <v>0.00305432824238501</v>
      </c>
    </row>
    <row r="15" customFormat="false" ht="12.75" hidden="false" customHeight="true" outlineLevel="0" collapsed="false">
      <c r="A15" s="0" t="s">
        <v>42</v>
      </c>
      <c r="B15" s="0" t="n">
        <v>116</v>
      </c>
      <c r="C15" s="0" t="n">
        <v>48</v>
      </c>
      <c r="D15" s="0" t="n">
        <v>1</v>
      </c>
      <c r="E15" s="0" t="n">
        <v>17572</v>
      </c>
      <c r="F15" s="0" t="n">
        <v>518</v>
      </c>
      <c r="G15" s="0" t="n">
        <v>101585</v>
      </c>
      <c r="H15" s="0" t="n">
        <v>319</v>
      </c>
      <c r="I15" s="0" t="n">
        <v>0.966</v>
      </c>
      <c r="J15" s="13" t="n">
        <v>7.25</v>
      </c>
      <c r="K15" s="14"/>
      <c r="L15" s="14" t="n">
        <f aca="false">(((1.296*$AP$8)/$AN$8)*((C15*D15)/$J$4)^2)*10^-3*10^-28</f>
        <v>4.10082331028867E-027</v>
      </c>
      <c r="M15" s="14" t="n">
        <f aca="false">((E15-F15)*$H$4)/(D15*1.61E-019*1000)</f>
        <v>2118509316770.19</v>
      </c>
      <c r="N15" s="0" t="n">
        <v>300</v>
      </c>
      <c r="O15" s="14" t="n">
        <f aca="false">N15*$M$26</f>
        <v>-16417741680.0921</v>
      </c>
      <c r="P15" s="14" t="n">
        <f aca="false">M15*$J$26+O15</f>
        <v>2112632026721.74</v>
      </c>
      <c r="Q15" s="14" t="n">
        <f aca="false">((SQRT(E15)+SQRT(F15))*$H$4)/(1.61E-019*1000*D15)</f>
        <v>19294289936.8853</v>
      </c>
      <c r="R15" s="5" t="n">
        <f aca="false">I15*G15/(L15*P15*$S$5*AB15)</f>
        <v>1.56981899379607E+021</v>
      </c>
      <c r="T15" s="16" t="n">
        <f aca="false">(R15/10000)*((B15*1.661E-027)*(1000*1000000))</f>
        <v>30.2466444448652</v>
      </c>
      <c r="U15" s="16" t="n">
        <f aca="false">T15*(SQRT(H15/G15)^2+SQRT(Q15/M15)^2)</f>
        <v>0.370452175143024</v>
      </c>
      <c r="X15" s="0" t="n">
        <v>536</v>
      </c>
      <c r="Y15" s="0" t="n">
        <v>23</v>
      </c>
      <c r="Z15" s="0" t="n">
        <v>115206</v>
      </c>
      <c r="AA15" s="0" t="n">
        <v>319</v>
      </c>
      <c r="AB15" s="9" t="n">
        <f aca="false">Z15/(Z15+X15)</f>
        <v>0.995369010385167</v>
      </c>
      <c r="AC15" s="9" t="n">
        <f aca="false">AB15*SQRT((AA15/Z15)^2+(AA15^2+Y15^2)/(Z15+X15)^2)</f>
        <v>0.00389376883721793</v>
      </c>
    </row>
    <row r="16" customFormat="false" ht="12.75" hidden="false" customHeight="true" outlineLevel="0" collapsed="false">
      <c r="B16" s="0" t="n">
        <v>116</v>
      </c>
      <c r="C16" s="0" t="n">
        <v>50</v>
      </c>
      <c r="D16" s="0" t="n">
        <v>1</v>
      </c>
      <c r="E16" s="0" t="n">
        <v>14228</v>
      </c>
      <c r="F16" s="0" t="n">
        <v>1447</v>
      </c>
      <c r="G16" s="0" t="n">
        <v>194641</v>
      </c>
      <c r="H16" s="0" t="n">
        <v>451</v>
      </c>
      <c r="I16" s="0" t="n">
        <v>0.978</v>
      </c>
      <c r="J16" s="13" t="n">
        <v>7.25</v>
      </c>
      <c r="K16" s="14"/>
      <c r="L16" s="14" t="n">
        <f aca="false">(((1.296*$AP$8)/$AN$8)*((C16*D16)/$J$4)^2)*10^-3*10^-28</f>
        <v>4.44967807105975E-027</v>
      </c>
      <c r="M16" s="14" t="n">
        <f aca="false">((E16-F16)*$H$4)/(D16*1.61E-019*1000)</f>
        <v>1587701863354.04</v>
      </c>
      <c r="N16" s="0" t="n">
        <v>300</v>
      </c>
      <c r="O16" s="14" t="n">
        <f aca="false">N16*$M$26</f>
        <v>-16417741680.0921</v>
      </c>
      <c r="P16" s="14" t="n">
        <f aca="false">M16*$J$26+O16</f>
        <v>1579183588796.27</v>
      </c>
      <c r="Q16" s="14" t="n">
        <f aca="false">((SQRT(E16)+SQRT(F16))*$H$4)/(1.61E-019*1000*D16)</f>
        <v>19542935852.5724</v>
      </c>
      <c r="R16" s="5" t="n">
        <f aca="false">I16*G16/(L16*P16*$S$5*AB16)</f>
        <v>3.81127463669688E+021</v>
      </c>
      <c r="T16" s="16" t="n">
        <f aca="false">(R16/10000)*((B16*1.661E-027)*(1000*1000000))</f>
        <v>73.4341151900208</v>
      </c>
      <c r="U16" s="16" t="n">
        <f aca="false">T16*(SQRT(H16/G16)^2+SQRT(Q16/M16)^2)</f>
        <v>1.07404971280884</v>
      </c>
      <c r="X16" s="0" t="n">
        <v>3988</v>
      </c>
      <c r="Y16" s="0" t="n">
        <v>63</v>
      </c>
      <c r="Z16" s="0" t="n">
        <v>200905</v>
      </c>
      <c r="AA16" s="0" t="n">
        <v>450</v>
      </c>
      <c r="AB16" s="9" t="n">
        <f aca="false">Z16/(Z16+X16)</f>
        <v>0.98053618230003</v>
      </c>
      <c r="AC16" s="9" t="n">
        <f aca="false">AB16*SQRT((AA16/Z16)^2+(AA16^2+Y16^2)/(Z16+X16)^2)</f>
        <v>0.00309065414705114</v>
      </c>
    </row>
    <row r="17" customFormat="false" ht="12.75" hidden="false" customHeight="true" outlineLevel="0" collapsed="false">
      <c r="B17" s="0" t="n">
        <v>114</v>
      </c>
      <c r="C17" s="0" t="n">
        <v>48</v>
      </c>
      <c r="D17" s="0" t="n">
        <v>1</v>
      </c>
      <c r="E17" s="0" t="n">
        <v>17998</v>
      </c>
      <c r="F17" s="0" t="n">
        <v>534</v>
      </c>
      <c r="G17" s="0" t="n">
        <v>116880</v>
      </c>
      <c r="H17" s="0" t="n">
        <v>342</v>
      </c>
      <c r="I17" s="0" t="n">
        <v>0.987</v>
      </c>
      <c r="J17" s="13" t="n">
        <v>7.25</v>
      </c>
      <c r="K17" s="14"/>
      <c r="L17" s="14" t="n">
        <f aca="false">(((1.296*$AP$8)/$AN$8)*((C17*D17)/$J$4)^2)*10^-3*10^-28</f>
        <v>4.10082331028867E-027</v>
      </c>
      <c r="M17" s="14" t="n">
        <f aca="false">((E17-F17)*$H$4)/(D17*1.61E-019*1000)</f>
        <v>2169440993788.82</v>
      </c>
      <c r="N17" s="0" t="n">
        <v>300</v>
      </c>
      <c r="O17" s="14" t="n">
        <f aca="false">N17*$M$26</f>
        <v>-16417741680.0921</v>
      </c>
      <c r="P17" s="14" t="n">
        <f aca="false">M17*$J$26+O17</f>
        <v>2163817109696.1</v>
      </c>
      <c r="Q17" s="14" t="n">
        <f aca="false">((SQRT(E17)+SQRT(F17))*$H$4)/(1.61E-019*1000*D17)</f>
        <v>19536032906.7814</v>
      </c>
      <c r="R17" s="5" t="n">
        <f aca="false">I17*G17/(L17*P17*$S$5*AB17)</f>
        <v>1.80314393103599E+021</v>
      </c>
      <c r="T17" s="16" t="n">
        <f aca="false">(R17/10000)*((B17*1.661E-027)*(1000*1000000))</f>
        <v>34.1432515917388</v>
      </c>
      <c r="U17" s="16" t="n">
        <f aca="false">T17*(SQRT(H17/G17)^2+SQRT(Q17/M17)^2)</f>
        <v>0.407369210287952</v>
      </c>
      <c r="X17" s="0" t="n">
        <v>693</v>
      </c>
      <c r="Y17" s="0" t="n">
        <v>26</v>
      </c>
      <c r="Z17" s="0" t="n">
        <v>128121</v>
      </c>
      <c r="AA17" s="0" t="n">
        <v>360</v>
      </c>
      <c r="AB17" s="9" t="n">
        <f aca="false">Z17/(Z17+X17)</f>
        <v>0.994620149983697</v>
      </c>
      <c r="AC17" s="9" t="n">
        <f aca="false">AB17*SQRT((AA17/Z17)^2+(AA17^2+Y17^2)/(Z17+X17)^2)</f>
        <v>0.00394683307893696</v>
      </c>
    </row>
    <row r="18" customFormat="false" ht="12.75" hidden="false" customHeight="true" outlineLevel="0" collapsed="false">
      <c r="K18" s="14"/>
      <c r="L18" s="14"/>
    </row>
    <row r="23" customFormat="false" ht="12.75" hidden="false" customHeight="true" outlineLevel="0" collapsed="false">
      <c r="B23" s="17" t="s">
        <v>43</v>
      </c>
    </row>
    <row r="25" customFormat="false" ht="12.75" hidden="false" customHeight="true" outlineLevel="0" collapsed="false">
      <c r="B25" s="0" t="s">
        <v>44</v>
      </c>
      <c r="C25" s="0" t="s">
        <v>45</v>
      </c>
      <c r="D25" s="0" t="s">
        <v>23</v>
      </c>
      <c r="E25" s="0" t="s">
        <v>46</v>
      </c>
      <c r="F25" s="0" t="s">
        <v>47</v>
      </c>
      <c r="J25" s="0" t="s">
        <v>48</v>
      </c>
      <c r="K25" s="0" t="s">
        <v>49</v>
      </c>
      <c r="M25" s="0" t="s">
        <v>50</v>
      </c>
    </row>
    <row r="26" customFormat="false" ht="12.75" hidden="false" customHeight="true" outlineLevel="0" collapsed="false">
      <c r="B26" s="0" t="n">
        <v>10</v>
      </c>
      <c r="C26" s="0" t="n">
        <v>100</v>
      </c>
      <c r="D26" s="0" t="n">
        <v>235</v>
      </c>
      <c r="E26" s="5" t="n">
        <f aca="false">((D26)*$H$4*10^9)/(1000*C26)</f>
        <v>0.047</v>
      </c>
      <c r="F26" s="0" t="n">
        <v>0.047</v>
      </c>
      <c r="J26" s="0" t="n">
        <f aca="false" t="array" ref="J26:K26">LINEST($F$26:$F$35,$E$26:$E$35)</f>
        <v>1.00497540961855</v>
      </c>
      <c r="K26" s="0" t="n">
        <v>-0.00881085470164944</v>
      </c>
      <c r="M26" s="14" t="n">
        <f aca="false">(K26*0.000000001)/(1.61*1E-019)</f>
        <v>-54725805.6003071</v>
      </c>
      <c r="N26" s="14"/>
      <c r="O26" s="14"/>
    </row>
    <row r="27" customFormat="false" ht="12.75" hidden="false" customHeight="true" outlineLevel="0" collapsed="false">
      <c r="B27" s="0" t="n">
        <v>13</v>
      </c>
      <c r="C27" s="0" t="n">
        <v>100</v>
      </c>
      <c r="D27" s="0" t="n">
        <v>2843</v>
      </c>
      <c r="E27" s="5" t="n">
        <f aca="false">((D27)*$H$4*10^9)/(1000*C27)</f>
        <v>0.5686</v>
      </c>
      <c r="F27" s="0" t="n">
        <v>0.569</v>
      </c>
    </row>
    <row r="28" customFormat="false" ht="12.75" hidden="false" customHeight="true" outlineLevel="0" collapsed="false">
      <c r="B28" s="0" t="n">
        <v>12</v>
      </c>
      <c r="C28" s="0" t="n">
        <v>100</v>
      </c>
      <c r="D28" s="0" t="n">
        <v>5460</v>
      </c>
      <c r="E28" s="5" t="n">
        <f aca="false">((D28)*$H$4*10^9)/(1000*C28)</f>
        <v>1.092</v>
      </c>
      <c r="F28" s="0" t="n">
        <v>1.092</v>
      </c>
    </row>
    <row r="29" customFormat="false" ht="12.75" hidden="false" customHeight="true" outlineLevel="0" collapsed="false">
      <c r="B29" s="0" t="n">
        <v>11</v>
      </c>
      <c r="C29" s="0" t="n">
        <v>99</v>
      </c>
      <c r="D29" s="0" t="n">
        <v>10465</v>
      </c>
      <c r="E29" s="5" t="n">
        <f aca="false">((D29)*$H$4*10^9)/(1000*C29)</f>
        <v>2.11414141414141</v>
      </c>
      <c r="F29" s="0" t="n">
        <v>2.114</v>
      </c>
    </row>
    <row r="30" customFormat="false" ht="12.75" hidden="false" customHeight="true" outlineLevel="0" collapsed="false">
      <c r="B30" s="0" t="n">
        <v>15</v>
      </c>
      <c r="C30" s="0" t="n">
        <v>100</v>
      </c>
      <c r="D30" s="0" t="n">
        <v>15803</v>
      </c>
      <c r="E30" s="5" t="n">
        <f aca="false">((D30)*$H$4*10^9)/(1000*C30)</f>
        <v>3.1606</v>
      </c>
      <c r="F30" s="0" t="n">
        <v>3.161</v>
      </c>
    </row>
    <row r="31" customFormat="false" ht="12.75" hidden="false" customHeight="true" outlineLevel="0" collapsed="false">
      <c r="B31" s="0" t="n">
        <v>14</v>
      </c>
      <c r="C31" s="0" t="n">
        <v>100</v>
      </c>
      <c r="D31" s="0" t="n">
        <v>21077</v>
      </c>
      <c r="E31" s="5" t="n">
        <f aca="false">((D31)*$H$4*10^9)/(1000*C31)</f>
        <v>4.2154</v>
      </c>
      <c r="F31" s="0" t="n">
        <v>4.215</v>
      </c>
    </row>
    <row r="32" customFormat="false" ht="12.75" hidden="false" customHeight="true" outlineLevel="0" collapsed="false">
      <c r="B32" s="0" t="n">
        <v>16</v>
      </c>
      <c r="C32" s="0" t="n">
        <v>100</v>
      </c>
      <c r="D32" s="0" t="n">
        <v>25933</v>
      </c>
      <c r="E32" s="5" t="n">
        <f aca="false">((D32)*$H$4*10^9)/(1000*C32)</f>
        <v>5.1866</v>
      </c>
      <c r="F32" s="0" t="n">
        <v>5.189</v>
      </c>
    </row>
    <row r="33" customFormat="false" ht="12.75" hidden="false" customHeight="true" outlineLevel="0" collapsed="false">
      <c r="B33" s="0" t="n">
        <v>17</v>
      </c>
      <c r="C33" s="0" t="n">
        <v>100</v>
      </c>
      <c r="D33" s="0" t="n">
        <v>36309</v>
      </c>
      <c r="E33" s="5" t="n">
        <f aca="false">((D33)*$H$4*10^9)/(1000*C33)</f>
        <v>7.2618</v>
      </c>
      <c r="F33" s="0" t="n">
        <v>7.262</v>
      </c>
    </row>
    <row r="34" customFormat="false" ht="12.75" hidden="false" customHeight="true" outlineLevel="0" collapsed="false">
      <c r="B34" s="0" t="n">
        <v>18</v>
      </c>
      <c r="C34" s="0" t="n">
        <v>100</v>
      </c>
      <c r="D34" s="0" t="n">
        <v>51188</v>
      </c>
      <c r="E34" s="5" t="n">
        <f aca="false">((D34)*$H$4*10^9)/(1000*C34)</f>
        <v>10.2376</v>
      </c>
      <c r="F34" s="0" t="n">
        <v>10.376</v>
      </c>
    </row>
    <row r="35" customFormat="false" ht="12.75" hidden="false" customHeight="true" outlineLevel="0" collapsed="false">
      <c r="B35" s="0" t="n">
        <v>19</v>
      </c>
      <c r="C35" s="0" t="n">
        <v>100</v>
      </c>
      <c r="D35" s="0" t="n">
        <v>61886</v>
      </c>
      <c r="E35" s="5" t="n">
        <f aca="false">((D35)*$H$4*10^9)/(1000*C35)</f>
        <v>12.3772</v>
      </c>
      <c r="F35" s="0" t="n">
        <v>12.378</v>
      </c>
    </row>
    <row r="36" customFormat="false" ht="12.75" hidden="false" customHeight="true" outlineLevel="0" collapsed="false">
      <c r="B36" s="0" t="n">
        <v>20</v>
      </c>
      <c r="C36" s="0" t="n">
        <v>100</v>
      </c>
      <c r="D36" s="0" t="n">
        <v>71626</v>
      </c>
      <c r="E36" s="5" t="n">
        <f aca="false">((D36)*$H$4*10^9)/(1000*C36)</f>
        <v>14.3252</v>
      </c>
      <c r="F36" s="0" t="n">
        <v>14.325</v>
      </c>
    </row>
    <row r="37" customFormat="false" ht="12.75" hidden="false" customHeight="true" outlineLevel="0" collapsed="false">
      <c r="B37" s="0" t="n">
        <v>21</v>
      </c>
      <c r="C37" s="0" t="n">
        <v>100</v>
      </c>
      <c r="D37" s="0" t="n">
        <v>73087</v>
      </c>
      <c r="E37" s="5" t="n">
        <f aca="false">((D37)*$H$4*10^9)/(1000*C37)</f>
        <v>14.6174</v>
      </c>
      <c r="F37" s="0" t="n">
        <v>14.617</v>
      </c>
    </row>
    <row r="38" customFormat="false" ht="12.75" hidden="false" customHeight="true" outlineLevel="0" collapsed="false">
      <c r="B38" s="0" t="n">
        <v>22</v>
      </c>
      <c r="C38" s="0" t="n">
        <v>100</v>
      </c>
      <c r="D38" s="0" t="n">
        <v>73148</v>
      </c>
      <c r="E38" s="5" t="n">
        <f aca="false">((D38)*$H$4*10^9)/(1000*C38)</f>
        <v>14.6296</v>
      </c>
      <c r="F38" s="0" t="n">
        <v>14.63</v>
      </c>
    </row>
    <row r="39" customFormat="false" ht="12.75" hidden="false" customHeight="true" outlineLevel="0" collapsed="false">
      <c r="B39" s="0" t="n">
        <v>23</v>
      </c>
      <c r="C39" s="0" t="n">
        <v>100</v>
      </c>
      <c r="D39" s="0" t="n">
        <v>72853</v>
      </c>
      <c r="E39" s="5" t="n">
        <f aca="false">((D39)*$H$4*10^9)/(1000*C39)</f>
        <v>14.5706</v>
      </c>
      <c r="F39" s="0" t="n">
        <v>14.571</v>
      </c>
    </row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O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13.57"/>
    <col collapsed="false" customWidth="true" hidden="false" outlineLevel="0" max="3" min="3" style="0" width="15"/>
    <col collapsed="false" customWidth="true" hidden="false" outlineLevel="0" max="4" min="4" style="0" width="8.29"/>
    <col collapsed="false" customWidth="true" hidden="false" outlineLevel="0" max="5" min="5" style="0" width="9.91"/>
    <col collapsed="false" customWidth="true" hidden="false" outlineLevel="0" max="6" min="6" style="0" width="19"/>
    <col collapsed="false" customWidth="true" hidden="false" outlineLevel="0" max="7" min="7" style="0" width="15.14"/>
    <col collapsed="false" customWidth="true" hidden="false" outlineLevel="0" max="8" min="8" style="0" width="14.57"/>
    <col collapsed="false" customWidth="true" hidden="false" outlineLevel="0" max="9" min="9" style="0" width="16.87"/>
    <col collapsed="false" customWidth="true" hidden="false" outlineLevel="0" max="10" min="10" style="0" width="22.43"/>
    <col collapsed="false" customWidth="true" hidden="false" outlineLevel="0" max="12" min="11" style="0" width="15.14"/>
    <col collapsed="false" customWidth="true" hidden="false" outlineLevel="0" max="15" min="13" style="0" width="11.99"/>
    <col collapsed="false" customWidth="true" hidden="false" outlineLevel="0" max="16" min="16" style="0" width="10.86"/>
    <col collapsed="false" customWidth="true" hidden="false" outlineLevel="0" max="17" min="17" style="0" width="37.71"/>
    <col collapsed="false" customWidth="true" hidden="false" outlineLevel="0" max="18" min="18" style="0" width="13.01"/>
    <col collapsed="false" customWidth="true" hidden="false" outlineLevel="0" max="19" min="19" style="0" width="34.71"/>
    <col collapsed="false" customWidth="true" hidden="false" outlineLevel="0" max="22" min="20" style="0" width="10.86"/>
    <col collapsed="false" customWidth="true" hidden="false" outlineLevel="0" max="23" min="23" style="0" width="17"/>
    <col collapsed="false" customWidth="true" hidden="false" outlineLevel="0" max="24" min="24" style="0" width="5.29"/>
    <col collapsed="false" customWidth="true" hidden="false" outlineLevel="0" max="25" min="25" style="0" width="19.99"/>
    <col collapsed="false" customWidth="true" hidden="false" outlineLevel="0" max="26" min="26" style="0" width="5.29"/>
    <col collapsed="false" customWidth="true" hidden="false" outlineLevel="0" max="27" min="27" style="0" width="8.71"/>
    <col collapsed="false" customWidth="true" hidden="false" outlineLevel="0" max="30" min="28" style="0" width="10.86"/>
    <col collapsed="false" customWidth="true" hidden="false" outlineLevel="0" max="31" min="31" style="0" width="33.43"/>
    <col collapsed="false" customWidth="true" hidden="false" outlineLevel="0" max="32" min="32" style="0" width="13.7"/>
    <col collapsed="false" customWidth="true" hidden="false" outlineLevel="0" max="33" min="33" style="0" width="13.14"/>
    <col collapsed="false" customWidth="true" hidden="false" outlineLevel="0" max="40" min="34" style="0" width="10.86"/>
    <col collapsed="false" customWidth="true" hidden="false" outlineLevel="0" max="41" min="41" style="0" width="14.57"/>
    <col collapsed="false" customWidth="true" hidden="false" outlineLevel="0" max="1025" min="42" style="0" width="14.43"/>
  </cols>
  <sheetData>
    <row r="1" customFormat="false" ht="12.75" hidden="false" customHeight="true" outlineLevel="0" collapsed="false">
      <c r="G1" s="1" t="s">
        <v>2</v>
      </c>
    </row>
    <row r="2" customFormat="false" ht="12.75" hidden="false" customHeight="true" outlineLevel="0" collapsed="false">
      <c r="G2" s="3" t="n">
        <v>2E-006</v>
      </c>
    </row>
    <row r="5" customFormat="false" ht="12.75" hidden="false" customHeight="true" outlineLevel="0" collapsed="false">
      <c r="B5" s="17" t="s">
        <v>43</v>
      </c>
    </row>
    <row r="7" customFormat="false" ht="12.75" hidden="false" customHeight="true" outlineLevel="0" collapsed="false">
      <c r="C7" s="0" t="s">
        <v>45</v>
      </c>
      <c r="D7" s="0" t="s">
        <v>23</v>
      </c>
      <c r="E7" s="0" t="s">
        <v>46</v>
      </c>
      <c r="F7" s="0" t="s">
        <v>47</v>
      </c>
      <c r="I7" s="0" t="s">
        <v>48</v>
      </c>
      <c r="J7" s="0" t="s">
        <v>49</v>
      </c>
      <c r="L7" s="0" t="s">
        <v>50</v>
      </c>
      <c r="AL7" s="6"/>
      <c r="AM7" s="6"/>
      <c r="AN7" s="6"/>
      <c r="AO7" s="6"/>
    </row>
    <row r="8" customFormat="false" ht="12.75" hidden="false" customHeight="true" outlineLevel="0" collapsed="false">
      <c r="C8" s="0" t="n">
        <v>100</v>
      </c>
      <c r="D8" s="0" t="n">
        <v>1701</v>
      </c>
      <c r="E8" s="16" t="n">
        <f aca="false">((D8)*$G$2*10^9)/(1000*C8)</f>
        <v>34.02</v>
      </c>
      <c r="F8" s="0" t="n">
        <v>34</v>
      </c>
      <c r="I8" s="0" t="n">
        <f aca="false" t="array" ref="I8:J8">LINEST($F$8:$F$15,$E$8:$E$15)</f>
        <v>1.00023261232822</v>
      </c>
      <c r="J8" s="0" t="n">
        <v>-0.00935395018183272</v>
      </c>
      <c r="L8" s="14" t="n">
        <f aca="false">(J8*0.000000001)/(1.61*1E-019)</f>
        <v>-58099069.4523771</v>
      </c>
      <c r="M8" s="14"/>
      <c r="N8" s="14"/>
      <c r="AE8" s="7"/>
      <c r="AF8" s="8"/>
      <c r="AG8" s="8"/>
      <c r="AH8" s="8"/>
      <c r="AI8" s="8"/>
      <c r="AJ8" s="8"/>
      <c r="AK8" s="8"/>
      <c r="AL8" s="8"/>
      <c r="AM8" s="8"/>
    </row>
    <row r="9" customFormat="false" ht="12.75" hidden="false" customHeight="true" outlineLevel="0" collapsed="false">
      <c r="C9" s="0" t="n">
        <v>100</v>
      </c>
      <c r="D9" s="0" t="n">
        <v>2755</v>
      </c>
      <c r="E9" s="16" t="n">
        <f aca="false">((D9)*$G$2*10^9)/(1000*C9)</f>
        <v>55.1</v>
      </c>
      <c r="F9" s="0" t="n">
        <v>55.1</v>
      </c>
    </row>
    <row r="10" customFormat="false" ht="12.75" hidden="false" customHeight="true" outlineLevel="0" collapsed="false">
      <c r="C10" s="0" t="n">
        <v>100</v>
      </c>
      <c r="D10" s="0" t="n">
        <v>4457</v>
      </c>
      <c r="E10" s="16" t="n">
        <f aca="false">((D10)*$G$2*10^9)/(1000*C10)</f>
        <v>89.14</v>
      </c>
      <c r="F10" s="0" t="n">
        <v>89.1</v>
      </c>
    </row>
    <row r="11" customFormat="false" ht="12.75" hidden="false" customHeight="true" outlineLevel="0" collapsed="false">
      <c r="C11" s="0" t="n">
        <v>100</v>
      </c>
      <c r="D11" s="0" t="n">
        <v>7175</v>
      </c>
      <c r="E11" s="16" t="n">
        <f aca="false">((D11)*$G$2*10^9)/(1000*C11)</f>
        <v>143.5</v>
      </c>
      <c r="F11" s="0" t="n">
        <v>143.5</v>
      </c>
    </row>
    <row r="12" customFormat="false" ht="12.75" hidden="false" customHeight="true" outlineLevel="0" collapsed="false">
      <c r="C12" s="0" t="n">
        <v>100</v>
      </c>
      <c r="D12" s="0" t="n">
        <v>12595</v>
      </c>
      <c r="E12" s="16" t="n">
        <f aca="false">((D12)*$G$2*10^9)/(1000*C12)</f>
        <v>251.9</v>
      </c>
      <c r="F12" s="0" t="n">
        <v>252</v>
      </c>
      <c r="AA12" s="9"/>
      <c r="AB12" s="9"/>
    </row>
    <row r="13" customFormat="false" ht="12.75" hidden="false" customHeight="true" outlineLevel="0" collapsed="false">
      <c r="C13" s="0" t="n">
        <v>100</v>
      </c>
      <c r="D13" s="0" t="n">
        <v>23647</v>
      </c>
      <c r="E13" s="16" t="n">
        <f aca="false">((D13)*$G$2*10^9)/(1000*C13)</f>
        <v>472.94</v>
      </c>
      <c r="F13" s="0" t="n">
        <v>473</v>
      </c>
      <c r="AA13" s="9"/>
      <c r="AB13" s="9"/>
    </row>
    <row r="14" customFormat="false" ht="12.75" hidden="false" customHeight="true" outlineLevel="0" collapsed="false">
      <c r="C14" s="0" t="n">
        <v>100</v>
      </c>
      <c r="D14" s="0" t="n">
        <v>34378</v>
      </c>
      <c r="E14" s="16" t="n">
        <f aca="false">((D14)*$G$2*10^9)/(1000*C14)</f>
        <v>687.56</v>
      </c>
      <c r="F14" s="0" t="n">
        <v>688</v>
      </c>
      <c r="AA14" s="9"/>
      <c r="AB14" s="9"/>
    </row>
    <row r="15" customFormat="false" ht="12.75" hidden="false" customHeight="true" outlineLevel="0" collapsed="false">
      <c r="C15" s="0" t="n">
        <v>100</v>
      </c>
      <c r="D15" s="0" t="n">
        <v>45450</v>
      </c>
      <c r="E15" s="16" t="n">
        <f aca="false">((D15)*$G$2*10^9)/(1000*C15)</f>
        <v>909</v>
      </c>
      <c r="F15" s="0" t="n">
        <v>909</v>
      </c>
      <c r="AA15" s="9"/>
      <c r="AB15" s="9"/>
    </row>
    <row r="16" customFormat="false" ht="12.75" hidden="false" customHeight="true" outlineLevel="0" collapsed="false">
      <c r="C16" s="0" t="n">
        <v>148</v>
      </c>
      <c r="D16" s="0" t="n">
        <v>83447</v>
      </c>
      <c r="E16" s="16" t="n">
        <f aca="false">((D16)*$G$2*10^9)/(1000*C16)</f>
        <v>1127.66216216216</v>
      </c>
      <c r="F16" s="0" t="n">
        <v>1128</v>
      </c>
      <c r="AA16" s="9"/>
      <c r="AB16" s="9"/>
    </row>
    <row r="17" customFormat="false" ht="12.75" hidden="false" customHeight="true" outlineLevel="0" collapsed="false">
      <c r="C17" s="0" t="n">
        <v>101</v>
      </c>
      <c r="D17" s="0" t="n">
        <v>67799</v>
      </c>
      <c r="E17" s="16" t="n">
        <f aca="false">((D17)*$G$2*10^9)/(1000*C17)</f>
        <v>1342.55445544554</v>
      </c>
      <c r="F17" s="0" t="n">
        <v>1343</v>
      </c>
      <c r="AA17" s="9"/>
      <c r="AB17" s="9"/>
    </row>
    <row r="18" customFormat="false" ht="12.75" hidden="false" customHeight="true" outlineLevel="0" collapsed="false">
      <c r="C18" s="0" t="n">
        <v>101</v>
      </c>
      <c r="D18" s="0" t="n">
        <v>79126</v>
      </c>
      <c r="E18" s="16" t="n">
        <f aca="false">((D18)*$G$2*10^9)/(1000*C18)</f>
        <v>1566.85148514852</v>
      </c>
      <c r="F18" s="0" t="n">
        <v>1567</v>
      </c>
    </row>
    <row r="19" customFormat="false" ht="12.75" hidden="false" customHeight="true" outlineLevel="0" collapsed="false">
      <c r="C19" s="0" t="n">
        <v>100</v>
      </c>
      <c r="D19" s="0" t="n">
        <v>89985</v>
      </c>
      <c r="E19" s="16" t="n">
        <f aca="false">((D19)*$G$2*10^9)/(1000*C19)</f>
        <v>1799.7</v>
      </c>
      <c r="F19" s="0" t="n">
        <v>1800</v>
      </c>
    </row>
    <row r="20" customFormat="false" ht="12.75" hidden="false" customHeight="true" outlineLevel="0" collapsed="false">
      <c r="C20" s="0" t="n">
        <v>158</v>
      </c>
      <c r="D20" s="0" t="n">
        <v>156528</v>
      </c>
      <c r="E20" s="16" t="n">
        <f aca="false">((D20)*$G$2*10^9)/(1000*C20)</f>
        <v>1981.3670886076</v>
      </c>
      <c r="F20" s="0" t="n">
        <v>1981</v>
      </c>
    </row>
    <row r="21" customFormat="false" ht="12.75" hidden="false" customHeight="true" outlineLevel="0" collapsed="false">
      <c r="C21" s="0" t="n">
        <v>113</v>
      </c>
      <c r="D21" s="0" t="n">
        <v>117179</v>
      </c>
      <c r="E21" s="16" t="n">
        <f aca="false">((D21)*$G$2*10^9)/(1000*C21)</f>
        <v>2073.96460176991</v>
      </c>
      <c r="F21" s="0" t="n">
        <v>2074</v>
      </c>
    </row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2018-12-18T16:51:12Z</dcterms:modified>
  <cp:revision>1</cp:revision>
  <dc:subject/>
  <dc:title/>
</cp:coreProperties>
</file>