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ae18e8ede24d3b3/Desktop/Nottingham Trent University/Financial Statement Analysis/Assessment Brief/"/>
    </mc:Choice>
  </mc:AlternateContent>
  <xr:revisionPtr revIDLastSave="8" documentId="8_{75CC4795-00B4-42A4-ABCC-890C843A038C}" xr6:coauthVersionLast="47" xr6:coauthVersionMax="47" xr10:uidLastSave="{87601AB1-0343-4793-AA18-4AA0008099C7}"/>
  <bookViews>
    <workbookView xWindow="-120" yWindow="-120" windowWidth="29040" windowHeight="15720" firstSheet="1" activeTab="2" xr2:uid="{00000000-000D-0000-FFFF-FFFF00000000}"/>
  </bookViews>
  <sheets>
    <sheet name="Income Statement (5-year trend)" sheetId="2" r:id="rId1"/>
    <sheet name="Cash Flow - (5-Years Trend)" sheetId="3" r:id="rId2"/>
    <sheet name="Balance Sheet - (5-Years Trend)" sheetId="4" r:id="rId3"/>
    <sheet name="By Geography" sheetId="5" r:id="rId4"/>
    <sheet name="By Segment" sheetId="6" r:id="rId5"/>
    <sheet name="Annual Report(Income Statement)" sheetId="7" r:id="rId6"/>
    <sheet name="Cash Flow " sheetId="8" r:id="rId7"/>
    <sheet name="(Annual Report) Balance Sheet" sheetId="10" r:id="rId8"/>
    <sheet name="Telefonica income statement" sheetId="11" r:id="rId9"/>
    <sheet name="Telefonica Balance Sheet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2" l="1"/>
  <c r="B55" i="12"/>
  <c r="C54" i="12"/>
  <c r="B54" i="12"/>
  <c r="B52" i="12"/>
  <c r="B51" i="12"/>
  <c r="C96" i="10"/>
  <c r="B96" i="10"/>
  <c r="C95" i="10"/>
  <c r="B95" i="10"/>
  <c r="C94" i="10"/>
  <c r="B94" i="10"/>
  <c r="C92" i="10"/>
  <c r="B92" i="10"/>
  <c r="C91" i="10"/>
  <c r="B91" i="10"/>
  <c r="B44" i="12"/>
  <c r="D84" i="10"/>
  <c r="D83" i="10"/>
  <c r="D82" i="10"/>
  <c r="D81" i="10"/>
  <c r="D80" i="10"/>
  <c r="C84" i="10"/>
  <c r="B84" i="10"/>
  <c r="C89" i="10"/>
  <c r="C88" i="10"/>
  <c r="B88" i="10"/>
  <c r="C87" i="10"/>
  <c r="B87" i="10"/>
  <c r="B89" i="10" s="1"/>
  <c r="F86" i="4"/>
  <c r="F88" i="4"/>
  <c r="G88" i="4"/>
  <c r="G87" i="4"/>
  <c r="F87" i="4"/>
  <c r="C86" i="10"/>
  <c r="B86" i="10"/>
  <c r="C81" i="10"/>
  <c r="C82" i="10"/>
  <c r="C83" i="10" s="1"/>
  <c r="B82" i="10"/>
  <c r="B81" i="10"/>
  <c r="B83" i="10" s="1"/>
  <c r="C80" i="10"/>
  <c r="B80" i="10"/>
  <c r="D39" i="12"/>
  <c r="D38" i="12"/>
  <c r="D37" i="12"/>
  <c r="D36" i="12"/>
  <c r="D35" i="12"/>
  <c r="D34" i="12"/>
  <c r="D32" i="12"/>
  <c r="D31" i="12"/>
  <c r="D30" i="12"/>
  <c r="D29" i="12"/>
  <c r="D28" i="12"/>
  <c r="D26" i="12"/>
  <c r="D25" i="12"/>
  <c r="D20" i="12"/>
  <c r="D19" i="12"/>
  <c r="D18" i="12"/>
  <c r="D17" i="12"/>
  <c r="D16" i="12"/>
  <c r="D15" i="12"/>
  <c r="D13" i="12"/>
  <c r="D12" i="12"/>
  <c r="D11" i="12"/>
  <c r="D10" i="12"/>
  <c r="D9" i="12"/>
  <c r="D8" i="12"/>
  <c r="D7" i="12"/>
  <c r="B27" i="12"/>
  <c r="B33" i="12"/>
  <c r="C33" i="12"/>
  <c r="C27" i="12"/>
  <c r="C24" i="12"/>
  <c r="C44" i="12" s="1"/>
  <c r="B6" i="12"/>
  <c r="B14" i="12"/>
  <c r="C14" i="12"/>
  <c r="C6" i="12"/>
  <c r="G4" i="11"/>
  <c r="F4" i="11"/>
  <c r="E4" i="11"/>
  <c r="D4" i="11"/>
  <c r="D28" i="11"/>
  <c r="D30" i="11"/>
  <c r="D31" i="11"/>
  <c r="C31" i="11"/>
  <c r="B31" i="11"/>
  <c r="C30" i="11"/>
  <c r="B30" i="11"/>
  <c r="C28" i="11"/>
  <c r="B28" i="11"/>
  <c r="C20" i="11"/>
  <c r="B20" i="11"/>
  <c r="F20" i="11"/>
  <c r="E20" i="11"/>
  <c r="F19" i="11"/>
  <c r="E19" i="11"/>
  <c r="D19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2" i="11"/>
  <c r="E12" i="11"/>
  <c r="D12" i="11"/>
  <c r="E11" i="11"/>
  <c r="F10" i="11"/>
  <c r="E10" i="11"/>
  <c r="D10" i="11"/>
  <c r="F8" i="11"/>
  <c r="E8" i="11"/>
  <c r="D8" i="11"/>
  <c r="F7" i="11"/>
  <c r="E7" i="11"/>
  <c r="D7" i="11"/>
  <c r="F6" i="11"/>
  <c r="E6" i="11"/>
  <c r="D6" i="11"/>
  <c r="F5" i="11"/>
  <c r="E5" i="11"/>
  <c r="D5" i="11"/>
  <c r="B17" i="11"/>
  <c r="B18" i="11" s="1"/>
  <c r="B9" i="11"/>
  <c r="E9" i="11" s="1"/>
  <c r="C17" i="11"/>
  <c r="F17" i="11" s="1"/>
  <c r="C9" i="11"/>
  <c r="C11" i="11" s="1"/>
  <c r="D11" i="11" s="1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B32" i="7"/>
  <c r="C25" i="7"/>
  <c r="B25" i="7"/>
  <c r="D57" i="8"/>
  <c r="D56" i="8"/>
  <c r="D54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7" i="8"/>
  <c r="D36" i="8"/>
  <c r="D35" i="8"/>
  <c r="D34" i="8"/>
  <c r="D33" i="8"/>
  <c r="D32" i="8"/>
  <c r="D31" i="8"/>
  <c r="D30" i="8"/>
  <c r="D29" i="8"/>
  <c r="D28" i="8"/>
  <c r="D27" i="8"/>
  <c r="D26" i="8"/>
  <c r="D23" i="8"/>
  <c r="D22" i="8"/>
  <c r="D21" i="8"/>
  <c r="D20" i="8"/>
  <c r="D19" i="8"/>
  <c r="D17" i="8"/>
  <c r="D16" i="8"/>
  <c r="D15" i="8"/>
  <c r="D18" i="8"/>
  <c r="D13" i="8"/>
  <c r="D14" i="8"/>
  <c r="D11" i="8"/>
  <c r="D10" i="8"/>
  <c r="D9" i="8"/>
  <c r="D8" i="8"/>
  <c r="D7" i="8"/>
  <c r="G50" i="2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1" i="4"/>
  <c r="H10" i="4"/>
  <c r="H9" i="4"/>
  <c r="H8" i="4"/>
  <c r="H7" i="4"/>
  <c r="G25" i="3"/>
  <c r="G52" i="3"/>
  <c r="G51" i="3"/>
  <c r="G49" i="3"/>
  <c r="G47" i="3"/>
  <c r="G45" i="3"/>
  <c r="G44" i="3"/>
  <c r="G43" i="3"/>
  <c r="G42" i="3"/>
  <c r="G41" i="3"/>
  <c r="G40" i="3"/>
  <c r="G39" i="3"/>
  <c r="G38" i="3"/>
  <c r="G37" i="3"/>
  <c r="G36" i="3"/>
  <c r="G35" i="3"/>
  <c r="G32" i="3"/>
  <c r="G31" i="3"/>
  <c r="G30" i="3"/>
  <c r="G29" i="3"/>
  <c r="G28" i="3"/>
  <c r="G27" i="3"/>
  <c r="G26" i="3"/>
  <c r="G24" i="3"/>
  <c r="G23" i="3"/>
  <c r="G22" i="3"/>
  <c r="G21" i="3"/>
  <c r="G20" i="3"/>
  <c r="G19" i="3"/>
  <c r="G16" i="3"/>
  <c r="G15" i="3"/>
  <c r="G14" i="3"/>
  <c r="G13" i="3"/>
  <c r="G12" i="3"/>
  <c r="G11" i="3"/>
  <c r="G10" i="3"/>
  <c r="G9" i="3"/>
  <c r="G8" i="3"/>
  <c r="G7" i="3"/>
  <c r="G38" i="2"/>
  <c r="G37" i="2"/>
  <c r="G35" i="2"/>
  <c r="G34" i="2"/>
  <c r="G33" i="2"/>
  <c r="G29" i="2"/>
  <c r="G28" i="2"/>
  <c r="G27" i="2"/>
  <c r="G26" i="2"/>
  <c r="G25" i="2"/>
  <c r="G23" i="2"/>
  <c r="G22" i="2"/>
  <c r="G21" i="2"/>
  <c r="G20" i="2"/>
  <c r="G19" i="2"/>
  <c r="G18" i="2"/>
  <c r="G17" i="2"/>
  <c r="G15" i="2"/>
  <c r="G14" i="2"/>
  <c r="G13" i="2"/>
  <c r="G12" i="2"/>
  <c r="G10" i="2"/>
  <c r="G9" i="2"/>
  <c r="G8" i="2"/>
  <c r="G7" i="2"/>
  <c r="G6" i="2"/>
  <c r="D51" i="2"/>
  <c r="C51" i="2"/>
  <c r="B51" i="2"/>
  <c r="F51" i="2"/>
  <c r="G51" i="2" s="1"/>
  <c r="E51" i="2"/>
  <c r="G17" i="7"/>
  <c r="F17" i="7"/>
  <c r="E17" i="7"/>
  <c r="G22" i="7"/>
  <c r="G19" i="7"/>
  <c r="G16" i="7"/>
  <c r="G15" i="7"/>
  <c r="G14" i="7"/>
  <c r="G12" i="7"/>
  <c r="G10" i="7"/>
  <c r="G8" i="7"/>
  <c r="C52" i="8"/>
  <c r="B52" i="8"/>
  <c r="E22" i="7"/>
  <c r="E19" i="7"/>
  <c r="E16" i="7"/>
  <c r="E15" i="7"/>
  <c r="E14" i="7"/>
  <c r="E12" i="7"/>
  <c r="E10" i="7"/>
  <c r="E8" i="7"/>
  <c r="E6" i="7"/>
  <c r="B37" i="8"/>
  <c r="C37" i="8"/>
  <c r="B11" i="8"/>
  <c r="B21" i="8" s="1"/>
  <c r="B23" i="8" s="1"/>
  <c r="B61" i="8" s="1"/>
  <c r="C11" i="8"/>
  <c r="C21" i="8" s="1"/>
  <c r="C23" i="8" s="1"/>
  <c r="C61" i="8" s="1"/>
  <c r="C67" i="8"/>
  <c r="B67" i="8"/>
  <c r="C66" i="8"/>
  <c r="B66" i="8"/>
  <c r="F22" i="7"/>
  <c r="F19" i="7"/>
  <c r="F16" i="7"/>
  <c r="F15" i="7"/>
  <c r="F14" i="7"/>
  <c r="F12" i="7"/>
  <c r="F10" i="7"/>
  <c r="F8" i="7"/>
  <c r="F6" i="7"/>
  <c r="D22" i="7"/>
  <c r="D20" i="7"/>
  <c r="D19" i="7"/>
  <c r="D16" i="7"/>
  <c r="D15" i="7"/>
  <c r="D14" i="7"/>
  <c r="D12" i="7"/>
  <c r="D11" i="7"/>
  <c r="D10" i="7"/>
  <c r="D9" i="7"/>
  <c r="D8" i="7"/>
  <c r="D7" i="7"/>
  <c r="D6" i="7"/>
  <c r="C24" i="7"/>
  <c r="B24" i="7"/>
  <c r="E24" i="7" s="1"/>
  <c r="B18" i="7"/>
  <c r="C18" i="7"/>
  <c r="D18" i="7" s="1"/>
  <c r="H13" i="6"/>
  <c r="H11" i="6"/>
  <c r="H7" i="6"/>
  <c r="C13" i="7"/>
  <c r="C17" i="7" s="1"/>
  <c r="C33" i="7" s="1"/>
  <c r="B13" i="7"/>
  <c r="B17" i="7" s="1"/>
  <c r="B33" i="7" s="1"/>
  <c r="C30" i="7"/>
  <c r="B30" i="7"/>
  <c r="I15" i="6"/>
  <c r="I13" i="6"/>
  <c r="F62" i="3"/>
  <c r="F61" i="3"/>
  <c r="E62" i="3"/>
  <c r="E61" i="3"/>
  <c r="D62" i="3"/>
  <c r="D61" i="3"/>
  <c r="E55" i="3"/>
  <c r="D55" i="3"/>
  <c r="C55" i="3"/>
  <c r="B55" i="3"/>
  <c r="F55" i="3"/>
  <c r="G55" i="3" s="1"/>
  <c r="D96" i="4"/>
  <c r="E96" i="4"/>
  <c r="F96" i="4"/>
  <c r="G96" i="4"/>
  <c r="C96" i="4"/>
  <c r="D95" i="4"/>
  <c r="E95" i="4"/>
  <c r="F95" i="4"/>
  <c r="G95" i="4"/>
  <c r="C95" i="4"/>
  <c r="D94" i="4"/>
  <c r="E94" i="4"/>
  <c r="F94" i="4"/>
  <c r="G94" i="4"/>
  <c r="C94" i="4"/>
  <c r="G92" i="4"/>
  <c r="F92" i="4"/>
  <c r="E92" i="4"/>
  <c r="D92" i="4"/>
  <c r="C92" i="4"/>
  <c r="G91" i="4"/>
  <c r="F91" i="4"/>
  <c r="E91" i="4"/>
  <c r="D91" i="4"/>
  <c r="C91" i="4"/>
  <c r="C13" i="6"/>
  <c r="D13" i="6"/>
  <c r="E13" i="6"/>
  <c r="F13" i="6"/>
  <c r="G13" i="6"/>
  <c r="F58" i="2"/>
  <c r="G58" i="2" s="1"/>
  <c r="E58" i="2"/>
  <c r="D58" i="2"/>
  <c r="C58" i="2"/>
  <c r="B58" i="2"/>
  <c r="F56" i="3"/>
  <c r="E56" i="3"/>
  <c r="D56" i="3"/>
  <c r="C56" i="3"/>
  <c r="B56" i="3"/>
  <c r="E88" i="4"/>
  <c r="D88" i="4"/>
  <c r="C88" i="4"/>
  <c r="E87" i="4"/>
  <c r="D87" i="4"/>
  <c r="C87" i="4"/>
  <c r="E86" i="4"/>
  <c r="G86" i="4"/>
  <c r="D86" i="4"/>
  <c r="G81" i="4"/>
  <c r="F81" i="4"/>
  <c r="E81" i="4"/>
  <c r="D81" i="4"/>
  <c r="C81" i="4"/>
  <c r="G82" i="4"/>
  <c r="F82" i="4"/>
  <c r="E82" i="4"/>
  <c r="D82" i="4"/>
  <c r="C82" i="4"/>
  <c r="F57" i="2"/>
  <c r="G57" i="2" s="1"/>
  <c r="E57" i="2"/>
  <c r="D57" i="2"/>
  <c r="C57" i="2"/>
  <c r="B57" i="2"/>
  <c r="F55" i="2"/>
  <c r="G55" i="2" s="1"/>
  <c r="E55" i="2"/>
  <c r="D55" i="2"/>
  <c r="C55" i="2"/>
  <c r="B55" i="2"/>
  <c r="F54" i="2"/>
  <c r="G54" i="2" s="1"/>
  <c r="E54" i="2"/>
  <c r="D54" i="2"/>
  <c r="C54" i="2"/>
  <c r="B54" i="2"/>
  <c r="C45" i="2"/>
  <c r="D45" i="2"/>
  <c r="E45" i="2"/>
  <c r="F45" i="2"/>
  <c r="C46" i="2"/>
  <c r="D46" i="2"/>
  <c r="E46" i="2"/>
  <c r="F46" i="2"/>
  <c r="B46" i="2"/>
  <c r="B45" i="2"/>
  <c r="C40" i="2"/>
  <c r="D40" i="2"/>
  <c r="E40" i="2"/>
  <c r="F40" i="2"/>
  <c r="C41" i="2"/>
  <c r="D41" i="2"/>
  <c r="E41" i="2"/>
  <c r="F41" i="2"/>
  <c r="D42" i="2"/>
  <c r="F30" i="2"/>
  <c r="F32" i="2" s="1"/>
  <c r="E30" i="2"/>
  <c r="E32" i="2" s="1"/>
  <c r="D30" i="2"/>
  <c r="D31" i="2" s="1"/>
  <c r="C30" i="2"/>
  <c r="C32" i="2" s="1"/>
  <c r="C51" i="12" l="1"/>
  <c r="C52" i="12"/>
  <c r="C21" i="12"/>
  <c r="C48" i="12" s="1"/>
  <c r="D14" i="12"/>
  <c r="D27" i="12"/>
  <c r="D33" i="12"/>
  <c r="D24" i="12"/>
  <c r="C40" i="12"/>
  <c r="D6" i="12"/>
  <c r="B40" i="12"/>
  <c r="B21" i="12"/>
  <c r="B48" i="12" s="1"/>
  <c r="G20" i="11"/>
  <c r="D20" i="11"/>
  <c r="G12" i="11"/>
  <c r="G16" i="11"/>
  <c r="G14" i="11"/>
  <c r="G19" i="11"/>
  <c r="G13" i="11"/>
  <c r="G15" i="11"/>
  <c r="G10" i="11"/>
  <c r="G8" i="11"/>
  <c r="C18" i="11"/>
  <c r="D9" i="11"/>
  <c r="F11" i="11"/>
  <c r="G11" i="11" s="1"/>
  <c r="D17" i="11"/>
  <c r="E18" i="11"/>
  <c r="E17" i="11"/>
  <c r="G17" i="11" s="1"/>
  <c r="F9" i="11"/>
  <c r="G9" i="11" s="1"/>
  <c r="G6" i="11"/>
  <c r="G7" i="11"/>
  <c r="G5" i="11"/>
  <c r="G56" i="3"/>
  <c r="E25" i="7"/>
  <c r="D24" i="7"/>
  <c r="C29" i="7"/>
  <c r="C60" i="8"/>
  <c r="B60" i="8"/>
  <c r="C54" i="8"/>
  <c r="C62" i="8" s="1"/>
  <c r="B54" i="8"/>
  <c r="B62" i="8" s="1"/>
  <c r="B31" i="7"/>
  <c r="C31" i="7"/>
  <c r="F25" i="7"/>
  <c r="G25" i="7" s="1"/>
  <c r="F24" i="7"/>
  <c r="G24" i="7" s="1"/>
  <c r="D17" i="7"/>
  <c r="D13" i="7"/>
  <c r="B21" i="7"/>
  <c r="B23" i="7" s="1"/>
  <c r="C21" i="7"/>
  <c r="D84" i="4"/>
  <c r="E84" i="4"/>
  <c r="F84" i="4"/>
  <c r="G84" i="4"/>
  <c r="E57" i="3"/>
  <c r="D57" i="3"/>
  <c r="C57" i="3"/>
  <c r="F57" i="3"/>
  <c r="E89" i="4"/>
  <c r="C89" i="4"/>
  <c r="D89" i="4"/>
  <c r="F89" i="4"/>
  <c r="G89" i="4"/>
  <c r="F80" i="4"/>
  <c r="E80" i="4"/>
  <c r="G80" i="4"/>
  <c r="D80" i="4"/>
  <c r="F56" i="2"/>
  <c r="E56" i="2"/>
  <c r="F83" i="4" s="1"/>
  <c r="C31" i="2"/>
  <c r="D56" i="2"/>
  <c r="E83" i="4" s="1"/>
  <c r="C56" i="2"/>
  <c r="D83" i="4" s="1"/>
  <c r="D32" i="2"/>
  <c r="F31" i="2"/>
  <c r="E31" i="2"/>
  <c r="B30" i="2"/>
  <c r="G30" i="2" s="1"/>
  <c r="C45" i="12" l="1"/>
  <c r="C47" i="12" s="1"/>
  <c r="C46" i="12"/>
  <c r="D40" i="12"/>
  <c r="E33" i="12"/>
  <c r="B46" i="12"/>
  <c r="B45" i="12"/>
  <c r="E32" i="12"/>
  <c r="E24" i="12"/>
  <c r="E31" i="12"/>
  <c r="E39" i="12"/>
  <c r="E38" i="12"/>
  <c r="E37" i="12"/>
  <c r="E29" i="12"/>
  <c r="E36" i="12"/>
  <c r="E28" i="12"/>
  <c r="E27" i="12"/>
  <c r="E35" i="12"/>
  <c r="E34" i="12"/>
  <c r="E26" i="12"/>
  <c r="E30" i="12"/>
  <c r="D21" i="12"/>
  <c r="E25" i="12"/>
  <c r="E40" i="12"/>
  <c r="D18" i="11"/>
  <c r="F18" i="11"/>
  <c r="G18" i="11" s="1"/>
  <c r="G83" i="4"/>
  <c r="B29" i="7"/>
  <c r="D25" i="7"/>
  <c r="C23" i="7"/>
  <c r="C32" i="7" s="1"/>
  <c r="D21" i="7"/>
  <c r="C84" i="4"/>
  <c r="C80" i="4"/>
  <c r="B57" i="3"/>
  <c r="G57" i="3" s="1"/>
  <c r="B56" i="2"/>
  <c r="C83" i="4" s="1"/>
  <c r="B32" i="2"/>
  <c r="G32" i="2" s="1"/>
  <c r="B31" i="2"/>
  <c r="G31" i="2" s="1"/>
  <c r="B39" i="2"/>
  <c r="G39" i="2" s="1"/>
  <c r="B47" i="12" l="1"/>
  <c r="G56" i="2"/>
  <c r="D23" i="7"/>
  <c r="B41" i="2"/>
  <c r="B40" i="2"/>
</calcChain>
</file>

<file path=xl/sharedStrings.xml><?xml version="1.0" encoding="utf-8"?>
<sst xmlns="http://schemas.openxmlformats.org/spreadsheetml/2006/main" count="722" uniqueCount="409">
  <si>
    <t>Revenue</t>
  </si>
  <si>
    <t>Gross Profit</t>
  </si>
  <si>
    <t>Reference Items</t>
  </si>
  <si>
    <t>Right click to show data transparency (not supported for all values)</t>
  </si>
  <si>
    <t>In Millions of EUR except Per Share</t>
  </si>
  <si>
    <t>FY 2018</t>
  </si>
  <si>
    <t>FY 2019</t>
  </si>
  <si>
    <t>FY 2020</t>
  </si>
  <si>
    <t>FY 2021</t>
  </si>
  <si>
    <t>FY 2022</t>
  </si>
  <si>
    <t>12 Months Ending</t>
  </si>
  <si>
    <t>03/31/2018</t>
  </si>
  <si>
    <t>03/31/2019</t>
  </si>
  <si>
    <t>03/31/2020</t>
  </si>
  <si>
    <t>03/31/2021</t>
  </si>
  <si>
    <t>03/31/2022</t>
  </si>
  <si>
    <t xml:space="preserve">    + Sales &amp; Services Revenue</t>
  </si>
  <si>
    <t xml:space="preserve">  - Cost of Revenue</t>
  </si>
  <si>
    <t xml:space="preserve">    + Cost of Goods &amp; Services</t>
  </si>
  <si>
    <t xml:space="preserve">  + Other Operating Income</t>
  </si>
  <si>
    <t xml:space="preserve">  - Operating Expenses</t>
  </si>
  <si>
    <t xml:space="preserve">    + Selling, General &amp; Admin</t>
  </si>
  <si>
    <t xml:space="preserve">    + Selling &amp; Marketing</t>
  </si>
  <si>
    <t xml:space="preserve">    + General &amp; Administrative</t>
  </si>
  <si>
    <t xml:space="preserve">    + Depreciation &amp; Amortization</t>
  </si>
  <si>
    <t xml:space="preserve">    + Other Operating Expense</t>
  </si>
  <si>
    <t>Operating Income (Loss)</t>
  </si>
  <si>
    <t xml:space="preserve">  - Non-Operating (Income) Loss</t>
  </si>
  <si>
    <t xml:space="preserve">    + Interest Expense, Net</t>
  </si>
  <si>
    <t xml:space="preserve">    + Interest Expense</t>
  </si>
  <si>
    <t xml:space="preserve">    - Interest Income</t>
  </si>
  <si>
    <t xml:space="preserve">    + Foreign Exch (Gain) Loss</t>
  </si>
  <si>
    <t xml:space="preserve">    + (Income) Loss from Affiliates</t>
  </si>
  <si>
    <t xml:space="preserve">    + Other Non-Op (Income) Loss</t>
  </si>
  <si>
    <t xml:space="preserve">  - Abnormal Losses (Gains)</t>
  </si>
  <si>
    <t xml:space="preserve">    + Abnormal Derivatives</t>
  </si>
  <si>
    <t xml:space="preserve">    + Disposal of Assets</t>
  </si>
  <si>
    <t xml:space="preserve">    + Impairment of Goodwill</t>
  </si>
  <si>
    <t xml:space="preserve">    + Restructuring</t>
  </si>
  <si>
    <t xml:space="preserve">    + Other Abnormal Items</t>
  </si>
  <si>
    <t xml:space="preserve">  - Income Tax Expense (Benefit)</t>
  </si>
  <si>
    <t xml:space="preserve">    + Current Income Tax</t>
  </si>
  <si>
    <t xml:space="preserve">    + Deferred Income Tax</t>
  </si>
  <si>
    <t>Income (Loss) from Cont Ops</t>
  </si>
  <si>
    <t xml:space="preserve">  - Net Extraordinary Losses (Gains)</t>
  </si>
  <si>
    <t xml:space="preserve">    + Discontinued Operations</t>
  </si>
  <si>
    <t>Basic Weighted Avg Shares</t>
  </si>
  <si>
    <t>Diluted Weighted Avg Shares</t>
  </si>
  <si>
    <t>Gross Margin</t>
  </si>
  <si>
    <t>Source: Bloomberg</t>
  </si>
  <si>
    <t>—</t>
  </si>
  <si>
    <t>Basic EPS</t>
  </si>
  <si>
    <t>Diluted EPS</t>
  </si>
  <si>
    <t>Profit After exceptional item</t>
  </si>
  <si>
    <t>Income (Loss) from Discont Ops</t>
  </si>
  <si>
    <t>EBIT or Operating profit margin</t>
  </si>
  <si>
    <t>Net Profit Margin from Continued operations</t>
  </si>
  <si>
    <t>Interest cover ratio</t>
  </si>
  <si>
    <t>Cash Flow to Net Income</t>
  </si>
  <si>
    <t>Free Cash Flow to Firm</t>
  </si>
  <si>
    <t>Cash Paid for Interest</t>
  </si>
  <si>
    <t>Cash Paid for Taxes</t>
  </si>
  <si>
    <t>Net Changes in Cash</t>
  </si>
  <si>
    <t xml:space="preserve">  Effect of Foreign Exchange Rates</t>
  </si>
  <si>
    <t>Cash from Financing Activities</t>
  </si>
  <si>
    <t xml:space="preserve">  + Net Cash From Disc Ops</t>
  </si>
  <si>
    <t xml:space="preserve">  + Other Financing Activities</t>
  </si>
  <si>
    <t xml:space="preserve">    + Decrease in Capital Stock</t>
  </si>
  <si>
    <t xml:space="preserve">    + Increase in Capital Stock</t>
  </si>
  <si>
    <t xml:space="preserve">  + Cash (Repurchase) of Equity</t>
  </si>
  <si>
    <t xml:space="preserve">    + Repayments of LT Debt</t>
  </si>
  <si>
    <t xml:space="preserve">    + Cash From LT Debt</t>
  </si>
  <si>
    <t xml:space="preserve">    + Cash From (Repay) ST Debt</t>
  </si>
  <si>
    <t xml:space="preserve">  + Cash From (Repayment) Debt</t>
  </si>
  <si>
    <t xml:space="preserve">  + Dividends Paid</t>
  </si>
  <si>
    <t>Cash from Investing Activities</t>
  </si>
  <si>
    <t xml:space="preserve">    + Cash for Acq of Subs</t>
  </si>
  <si>
    <t xml:space="preserve">    + Cash from Divestitures</t>
  </si>
  <si>
    <t xml:space="preserve">  + Net Cash From Acq &amp; Div</t>
  </si>
  <si>
    <t xml:space="preserve">    + Inc in LT Investment</t>
  </si>
  <si>
    <t xml:space="preserve">    + Dec in LT Investment</t>
  </si>
  <si>
    <t xml:space="preserve">  + Net Change in LT Investment</t>
  </si>
  <si>
    <t xml:space="preserve">    + Acq of Intangible Assets</t>
  </si>
  <si>
    <t xml:space="preserve">    + Acq of Fixed Prod Assets</t>
  </si>
  <si>
    <t xml:space="preserve">    + Acq of Fixed &amp; Intang</t>
  </si>
  <si>
    <t xml:space="preserve">    + Disp of Fixed Prod Assets</t>
  </si>
  <si>
    <t xml:space="preserve">    + Disp in Fixed &amp; Intang</t>
  </si>
  <si>
    <t xml:space="preserve">  + Change in Fixed &amp; Intang</t>
  </si>
  <si>
    <t>Cash from Operating Activities</t>
  </si>
  <si>
    <t xml:space="preserve">    + Inc (Dec) in Other</t>
  </si>
  <si>
    <t xml:space="preserve">    + (Inc) Dec in Inventories</t>
  </si>
  <si>
    <t xml:space="preserve">  + Chg in Non-Cash Work Cap</t>
  </si>
  <si>
    <t xml:space="preserve">    + Other Non-Cash Adj</t>
  </si>
  <si>
    <t xml:space="preserve">    + Stock-Based Compensation</t>
  </si>
  <si>
    <t xml:space="preserve">  + Non-Cash Items</t>
  </si>
  <si>
    <t xml:space="preserve">  + Depreciation &amp; Amortization</t>
  </si>
  <si>
    <t xml:space="preserve">  + Net Income</t>
  </si>
  <si>
    <t>Vodafone Group PLC (VOD LN) - Standardized</t>
  </si>
  <si>
    <t>Income (Loss) from Cont Ops before tax (EBT)</t>
  </si>
  <si>
    <t>CASH_CONVERSION_CYCLE</t>
  </si>
  <si>
    <t>Cash Conversion Cycle</t>
  </si>
  <si>
    <t>Current Ratio</t>
  </si>
  <si>
    <t>BS_PENSION_RSRV</t>
  </si>
  <si>
    <t>BS_NUM_OF_TSY_SH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</si>
  <si>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</si>
  <si>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</si>
  <si>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</si>
  <si>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</si>
  <si>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</si>
  <si>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</si>
  <si>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MINORITY_NONCONTROLLING_INTEREST</t>
  </si>
  <si>
    <t xml:space="preserve">  + Minority/Non Controlling Interest</t>
  </si>
  <si>
    <t>EQTY_BEF_MINORITY_INT_DETAILED</t>
  </si>
  <si>
    <t>Equity Before Minority Interest</t>
  </si>
  <si>
    <t>OTHER_EQUITY_RATIO</t>
  </si>
  <si>
    <t xml:space="preserve">  + Other Equity</t>
  </si>
  <si>
    <t>BS_PURE_RETAINED_EARNINGS</t>
  </si>
  <si>
    <t xml:space="preserve">  + Retained Earnings</t>
  </si>
  <si>
    <t>BS_AMT_OF_TSY_STOCK</t>
  </si>
  <si>
    <t xml:space="preserve">  - Treasury Stock</t>
  </si>
  <si>
    <t>BS_ADD_PAID_IN_CAP</t>
  </si>
  <si>
    <t xml:space="preserve">    + Additional Paid in Capital</t>
  </si>
  <si>
    <t>BS_COMMON_STOCK</t>
  </si>
  <si>
    <t xml:space="preserve">    + Common Stock</t>
  </si>
  <si>
    <t>BS_SH_CAP_AND_APIC</t>
  </si>
  <si>
    <t xml:space="preserve">  + Share Capital &amp; APIC</t>
  </si>
  <si>
    <t>BS_TOT_LIAB2</t>
  </si>
  <si>
    <t>Total Liabilities</t>
  </si>
  <si>
    <t>NON_CUR_LIAB</t>
  </si>
  <si>
    <t>Total Noncurrent Liabilities</t>
  </si>
  <si>
    <t>OTHER_NONCURRENT_LIABS_DETAILED</t>
  </si>
  <si>
    <t xml:space="preserve">    + Misc LT Liabilities</t>
  </si>
  <si>
    <t>BS_DERIVATIVE_&amp;_HEDGING_LIABS_LT</t>
  </si>
  <si>
    <t xml:space="preserve">    + Derivatives &amp; Hedging</t>
  </si>
  <si>
    <t>BS_DEFERRED_TAX_LIABILITIES_LT</t>
  </si>
  <si>
    <t xml:space="preserve">    + Deferred Tax Liabilities</t>
  </si>
  <si>
    <t>LT_DEFERRED_REVENUE</t>
  </si>
  <si>
    <t xml:space="preserve">    + Deferred Revenue</t>
  </si>
  <si>
    <t>PENSION_LIABILITIES</t>
  </si>
  <si>
    <t xml:space="preserve">    + Pension Liabilities</t>
  </si>
  <si>
    <t>BS_ACCRUED_LIABILITIES</t>
  </si>
  <si>
    <t xml:space="preserve">    + Accrued Liabilities</t>
  </si>
  <si>
    <t>OTHER_NONCUR_LIABS_SUB_DETAILED</t>
  </si>
  <si>
    <t xml:space="preserve">  + Other LT Liabilities</t>
  </si>
  <si>
    <t>LT_CAPITAL_LEASE_OBLIGATIONS</t>
  </si>
  <si>
    <t xml:space="preserve">    + LT Finance Leases</t>
  </si>
  <si>
    <t>LT_CAPITALIZED_LEASE_LIABILITIES</t>
  </si>
  <si>
    <t xml:space="preserve">    + LT Lease Liabilities</t>
  </si>
  <si>
    <t>LONG_TERM_BORROWINGS_DETAILED</t>
  </si>
  <si>
    <t xml:space="preserve">    + LT Borrowings</t>
  </si>
  <si>
    <t>BS_LT_BORROW</t>
  </si>
  <si>
    <t xml:space="preserve">  + LT Debt</t>
  </si>
  <si>
    <t>BS_CUR_LIAB</t>
  </si>
  <si>
    <t>Total Current Liabilities</t>
  </si>
  <si>
    <t>OTHER_CURRENT_LIABS_DETAILED</t>
  </si>
  <si>
    <t xml:space="preserve">    + Misc ST Liabilities</t>
  </si>
  <si>
    <t>BS_DERIVATIVE_&amp;_HEDGING_LIABS_ST</t>
  </si>
  <si>
    <t>ST_DEFERRED_REVENUE</t>
  </si>
  <si>
    <t>OTHER_CURRENT_LIABS_SUB_DETAILED</t>
  </si>
  <si>
    <t xml:space="preserve">  + Other ST Liabilities</t>
  </si>
  <si>
    <t>ST_CAPITAL_LEASE_OBLIGATIONS</t>
  </si>
  <si>
    <t xml:space="preserve">      + ST Finance Leases</t>
  </si>
  <si>
    <t>ST_CAPITALIZED_LEASE_LIABILITIES</t>
  </si>
  <si>
    <t xml:space="preserve">    + ST Lease Liabilities</t>
  </si>
  <si>
    <t>SHORT_TERM_DEBT_DETAILED</t>
  </si>
  <si>
    <t xml:space="preserve">    + ST Borrowings</t>
  </si>
  <si>
    <t>BS_ST_BORROW</t>
  </si>
  <si>
    <t xml:space="preserve">  + ST Debt</t>
  </si>
  <si>
    <t>BS_ACCRUAL</t>
  </si>
  <si>
    <t xml:space="preserve">    + Other Payables &amp; Accruals</t>
  </si>
  <si>
    <t>BS_TAXES_PAYABLE</t>
  </si>
  <si>
    <t xml:space="preserve">    + Accrued Taxes</t>
  </si>
  <si>
    <t>BS_ACCT_PAYABLE</t>
  </si>
  <si>
    <t xml:space="preserve">    + Accounts Payable</t>
  </si>
  <si>
    <t>ACCT_PAYABLE_&amp;_ACCRUALS_DETAILED</t>
  </si>
  <si>
    <t xml:space="preserve">  + Payables &amp; Accruals</t>
  </si>
  <si>
    <t>Liabilities &amp; Shareholders' Equity</t>
  </si>
  <si>
    <t>BS_TOT_ASSET</t>
  </si>
  <si>
    <t>Total Assets</t>
  </si>
  <si>
    <t>BS_TOT_NON_CUR_ASSET</t>
  </si>
  <si>
    <t>Total Noncurrent Assets</t>
  </si>
  <si>
    <t>OTHER_NONCURRENT_ASSETS_DETAILED</t>
  </si>
  <si>
    <t xml:space="preserve">    + Misc LT Assets</t>
  </si>
  <si>
    <t>BS_INVEST_IN_ASSOC_CO</t>
  </si>
  <si>
    <t xml:space="preserve">    + Investments in Affiliates</t>
  </si>
  <si>
    <t>BS_PREPAID_PENSION_COSTS_LT</t>
  </si>
  <si>
    <t xml:space="preserve">    + Prepaid Pension Costs</t>
  </si>
  <si>
    <t>BS_DERIV_&amp;_HEDGING_ASSETS_LT</t>
  </si>
  <si>
    <t xml:space="preserve">    + Derivative &amp; Hedging Assets</t>
  </si>
  <si>
    <t>BS_DEFERRED_TAX_ASSETS_LT</t>
  </si>
  <si>
    <t xml:space="preserve">    + Deferred Tax Assets</t>
  </si>
  <si>
    <t>BS_PREPAID_EXPENSE_LT</t>
  </si>
  <si>
    <t xml:space="preserve">    + Prepaid Expense</t>
  </si>
  <si>
    <t>OTHER_INTANGIBLE_ASSETS_DETAILED</t>
  </si>
  <si>
    <t xml:space="preserve">    + Other Intangible Assets</t>
  </si>
  <si>
    <t>BS_GOODWILL</t>
  </si>
  <si>
    <t xml:space="preserve">    + Goodwill</t>
  </si>
  <si>
    <t>BS_DISCLOSED_INTANGIBLES</t>
  </si>
  <si>
    <t xml:space="preserve">    + Total Intangible Assets</t>
  </si>
  <si>
    <t>BS_OTHER_ASSETS_DEF_CHRG_OTHER</t>
  </si>
  <si>
    <t xml:space="preserve">  + Other LT Assets</t>
  </si>
  <si>
    <t>BS_LT_RECEIVABLES</t>
  </si>
  <si>
    <t xml:space="preserve">    + LT Receivables</t>
  </si>
  <si>
    <t>BS_LONG_TERM_INVESTMENTS</t>
  </si>
  <si>
    <t xml:space="preserve">    + LT Investments</t>
  </si>
  <si>
    <t>BS_LT_INVEST</t>
  </si>
  <si>
    <t xml:space="preserve">  + LT Investments &amp; Receivables</t>
  </si>
  <si>
    <t>BS_ACCUM_DEPR</t>
  </si>
  <si>
    <t xml:space="preserve">    - Accumulated Depreciation</t>
  </si>
  <si>
    <t>BS_GROSS_FIX_ASSET</t>
  </si>
  <si>
    <t xml:space="preserve">    + Property, Plant &amp; Equip</t>
  </si>
  <si>
    <t>BS_NET_FIX_ASSET</t>
  </si>
  <si>
    <t xml:space="preserve">  + Property, Plant &amp; Equip, Net</t>
  </si>
  <si>
    <t>BS_CUR_ASSET_REPORT</t>
  </si>
  <si>
    <t>Total Current Assets</t>
  </si>
  <si>
    <t>BS_OTHER_CUR_ASSET_LESS_PREPAY</t>
  </si>
  <si>
    <t xml:space="preserve">    + Misc ST Assets</t>
  </si>
  <si>
    <t>BS_TAXES_RECEIVABLE_SHORT_TERM</t>
  </si>
  <si>
    <t xml:space="preserve">    + Taxes Receivable</t>
  </si>
  <si>
    <t>BS_ASSETS_HELD_FOR_SALE_ST</t>
  </si>
  <si>
    <t xml:space="preserve">    + Assets Held-for-Sale</t>
  </si>
  <si>
    <t>BS_DERIV_&amp;_HEDGING_ASSETS_ST</t>
  </si>
  <si>
    <t>BS_PREPAY</t>
  </si>
  <si>
    <t xml:space="preserve">    + Prepaid Expenses</t>
  </si>
  <si>
    <t>OTHER_CURRENT_ASSETS_DETAILED</t>
  </si>
  <si>
    <t xml:space="preserve">  + Other ST Assets</t>
  </si>
  <si>
    <t>BS_INVENTORIES</t>
  </si>
  <si>
    <t xml:space="preserve">  + Inventories</t>
  </si>
  <si>
    <t>BS_UNBILLED_REVENUES</t>
  </si>
  <si>
    <t xml:space="preserve">  + Unbilled Revenues</t>
  </si>
  <si>
    <t>BS_ACCTS_REC_EXCL_NOTES_REC</t>
  </si>
  <si>
    <t xml:space="preserve">    + Accounts Receivable, Net</t>
  </si>
  <si>
    <t>BS_ACCT_NOTE_RCV</t>
  </si>
  <si>
    <t xml:space="preserve">  + Accounts &amp; Notes Receiv</t>
  </si>
  <si>
    <t>BS_MKT_SEC_OTHER_ST_INVEST</t>
  </si>
  <si>
    <t xml:space="preserve">    + ST Investments</t>
  </si>
  <si>
    <t>BS_CASH_NEAR_CASH_ITEM</t>
  </si>
  <si>
    <t xml:space="preserve">    + Cash &amp; Cash Equivalents</t>
  </si>
  <si>
    <t>C&amp;CE_AND_STI_DETAILED</t>
  </si>
  <si>
    <t xml:space="preserve">  + Cash, Cash Equivalents &amp; STI</t>
  </si>
  <si>
    <t>ROE</t>
  </si>
  <si>
    <t>ROA</t>
  </si>
  <si>
    <t>Dupont Analysis</t>
  </si>
  <si>
    <t>Leverage</t>
  </si>
  <si>
    <t>Inventory days</t>
  </si>
  <si>
    <t>Receivable days</t>
  </si>
  <si>
    <t>Payable days</t>
  </si>
  <si>
    <t>Net Profit Margin after considering non-underlying items (exceptional items and discontinued operations)</t>
  </si>
  <si>
    <t>Capital Gearing Ratio</t>
  </si>
  <si>
    <t xml:space="preserve">  Germany Fixed Internet Share</t>
  </si>
  <si>
    <t xml:space="preserve">  UK - Fixed Internet Market Share</t>
  </si>
  <si>
    <t xml:space="preserve">  Italy - Fixed Internet Market Share</t>
  </si>
  <si>
    <t xml:space="preserve">  Spain - Fixed Internet Market Share</t>
  </si>
  <si>
    <t xml:space="preserve">  UK - Mobile</t>
  </si>
  <si>
    <t xml:space="preserve">  Italy - Mobile</t>
  </si>
  <si>
    <t xml:space="preserve">  Spain - Mobile</t>
  </si>
  <si>
    <t xml:space="preserve">  Germany - Mobile</t>
  </si>
  <si>
    <t xml:space="preserve">  Vodacom - Mobile South Africa</t>
  </si>
  <si>
    <t>Market Share</t>
  </si>
  <si>
    <t xml:space="preserve">    Non-Service Revenue</t>
  </si>
  <si>
    <t xml:space="preserve">      Eliminations</t>
  </si>
  <si>
    <t xml:space="preserve">      Other AMEAP</t>
  </si>
  <si>
    <t xml:space="preserve">      Vodacom</t>
  </si>
  <si>
    <t xml:space="preserve">    Service Revenue</t>
  </si>
  <si>
    <t xml:space="preserve">  Africa, Middle East &amp; Asia Pacific</t>
  </si>
  <si>
    <t xml:space="preserve">      Rest of Europe</t>
  </si>
  <si>
    <t xml:space="preserve">        Spain</t>
  </si>
  <si>
    <t xml:space="preserve">        Italy</t>
  </si>
  <si>
    <t xml:space="preserve">        United Kingdom</t>
  </si>
  <si>
    <t xml:space="preserve">        Germany</t>
  </si>
  <si>
    <t xml:space="preserve">  Europe</t>
  </si>
  <si>
    <t>Vodafone Group PLC (VOD LN) - By Geography</t>
  </si>
  <si>
    <t xml:space="preserve">  Number of Subscribers (end of period)</t>
  </si>
  <si>
    <t>Postpaid</t>
  </si>
  <si>
    <t>Prepaid</t>
  </si>
  <si>
    <t>Total Subscribers</t>
  </si>
  <si>
    <t xml:space="preserve">  Revenue - Supplementary Breakdown</t>
  </si>
  <si>
    <t xml:space="preserve">  Revenue</t>
  </si>
  <si>
    <t>Other Revenue</t>
  </si>
  <si>
    <t xml:space="preserve">  Organic Growth</t>
  </si>
  <si>
    <t>Service Revenue</t>
  </si>
  <si>
    <t>Vodafone Group PLC (VOD LN) - By Segment</t>
  </si>
  <si>
    <t>Debt to Equity Ratio</t>
  </si>
  <si>
    <t>Quick Ratio</t>
  </si>
  <si>
    <t>Cash ratio</t>
  </si>
  <si>
    <t>Annual Report</t>
  </si>
  <si>
    <t>Asset Turnover</t>
  </si>
  <si>
    <t>Vodafone Group PLC (VOD LN)</t>
  </si>
  <si>
    <t>Vodafone Group PLC (VOD LN) - INCOME STATEMENT</t>
  </si>
  <si>
    <t xml:space="preserve">    + Administrative</t>
  </si>
  <si>
    <t xml:space="preserve">    + Net credit losses on financial assets</t>
  </si>
  <si>
    <t xml:space="preserve">  + Share of results of equity accounted associates and joint ventures</t>
  </si>
  <si>
    <t xml:space="preserve">    + Investment income</t>
  </si>
  <si>
    <t>Net Profit Margin</t>
  </si>
  <si>
    <t>Depreciation</t>
  </si>
  <si>
    <t>EBITDA</t>
  </si>
  <si>
    <t>YOY Growth</t>
  </si>
  <si>
    <t>Common Size Analysis</t>
  </si>
  <si>
    <t>In Millions of EUR</t>
  </si>
  <si>
    <t>YOY % Growth</t>
  </si>
  <si>
    <t>EBITDA Margin</t>
  </si>
  <si>
    <t>EBIT Margin</t>
  </si>
  <si>
    <t>Income (Loss) before tax (EBT)</t>
  </si>
  <si>
    <t xml:space="preserve">Net Profit (Loss) </t>
  </si>
  <si>
    <t>Base = Asset</t>
  </si>
  <si>
    <t xml:space="preserve">  + Financing costs</t>
  </si>
  <si>
    <t xml:space="preserve">  - Investment income</t>
  </si>
  <si>
    <t xml:space="preserve">  + Income tax expense</t>
  </si>
  <si>
    <t>Operating Income (Loss) - EBIT</t>
  </si>
  <si>
    <t>Operating profit</t>
  </si>
  <si>
    <t>Adjustments for:</t>
  </si>
  <si>
    <t>Share-based payments and other non-cash charges</t>
  </si>
  <si>
    <t>Depreciation and amortisation</t>
  </si>
  <si>
    <t>Loss on disposal of property, plant and equipment and intangible assets</t>
  </si>
  <si>
    <t>Share of result of equity accounted associates and joint ventures</t>
  </si>
  <si>
    <t>Other income</t>
  </si>
  <si>
    <t>(Increase)/decrease in inventory</t>
  </si>
  <si>
    <t>(Increase)/decrease in trade and other receivables</t>
  </si>
  <si>
    <t>Increase/(decrease) in trade and other payables</t>
  </si>
  <si>
    <t>Cash generated by operations</t>
  </si>
  <si>
    <t>Net tax paid</t>
  </si>
  <si>
    <t>Purchase of interests in subsidiaries, net of cash acquired</t>
  </si>
  <si>
    <t>Purchase of interests in associates and joint ventures</t>
  </si>
  <si>
    <t>Purchase of intangible assets</t>
  </si>
  <si>
    <t>Purchase of property, plant and equipment</t>
  </si>
  <si>
    <t>Purchase of investments</t>
  </si>
  <si>
    <t>Disposal of interests in subsidiaries, net of cash disposed</t>
  </si>
  <si>
    <t>Disposal of interests in associates and joint ventures</t>
  </si>
  <si>
    <t>Disposal of property, plant and equipment and intangible assets</t>
  </si>
  <si>
    <t>Disposal of investments</t>
  </si>
  <si>
    <t>Dividends received from associates and joint ventures</t>
  </si>
  <si>
    <t>Interest received</t>
  </si>
  <si>
    <t>Proceeds from issue of long-term borrowings</t>
  </si>
  <si>
    <t>Repayment of borrowings</t>
  </si>
  <si>
    <t>Net movement in short-term borrowings</t>
  </si>
  <si>
    <t>Net movement in derivatives</t>
  </si>
  <si>
    <t>Interest paid</t>
  </si>
  <si>
    <t>Purchase of treasury shares</t>
  </si>
  <si>
    <t>Issue of ordinary share capital and reissue of treasury shares</t>
  </si>
  <si>
    <t>Equity dividends paid</t>
  </si>
  <si>
    <t>Base = Revenue - 2022</t>
  </si>
  <si>
    <t>Base = Revenue - 2021</t>
  </si>
  <si>
    <t>Dividends paid to non-controlling shareholders in subsidiaries</t>
  </si>
  <si>
    <t>Other transactions with non-controlling shareholders in subsidiaries</t>
  </si>
  <si>
    <t>Other movements with associates and joint ventures</t>
  </si>
  <si>
    <t>Payments for settlement of written put options</t>
  </si>
  <si>
    <t xml:space="preserve">Change in Common Size </t>
  </si>
  <si>
    <t>2021-2022</t>
  </si>
  <si>
    <t>CAGR</t>
  </si>
  <si>
    <t>2018-2022</t>
  </si>
  <si>
    <t>Revenues</t>
  </si>
  <si>
    <t>Supplies</t>
  </si>
  <si>
    <t>Personnel expenses</t>
  </si>
  <si>
    <t>Other expenses</t>
  </si>
  <si>
    <t>OPERATING INCOME BEFORE DEPRECIATION AND AMORTIZATION (OIBDA)</t>
  </si>
  <si>
    <t>Depreciation and amortization</t>
  </si>
  <si>
    <t>OPERATING INCOME</t>
  </si>
  <si>
    <t>Share of (loss) income of investments accounted for by the equity method</t>
  </si>
  <si>
    <t>Finance income</t>
  </si>
  <si>
    <t>Exchange gains</t>
  </si>
  <si>
    <t>Finance costs</t>
  </si>
  <si>
    <t>Exchange losses</t>
  </si>
  <si>
    <t>Net financial expense</t>
  </si>
  <si>
    <t>PROFIT BEFORE TAX</t>
  </si>
  <si>
    <t>Corporate income tax</t>
  </si>
  <si>
    <t>PROFIT FOR THE YEAR</t>
  </si>
  <si>
    <t>Other income (disposal income)</t>
  </si>
  <si>
    <t>12/31/2020</t>
  </si>
  <si>
    <t>12/31/2021</t>
  </si>
  <si>
    <t>Base = Revenue - 2020</t>
  </si>
  <si>
    <t>Change</t>
  </si>
  <si>
    <t>TELEFONICA Consolidated income statements for the years ended December 31</t>
  </si>
  <si>
    <t>ASSETS</t>
  </si>
  <si>
    <t>A) NON-CURRENT ASSETS</t>
  </si>
  <si>
    <t>Intangible assets</t>
  </si>
  <si>
    <t>Goodwill</t>
  </si>
  <si>
    <t>Property, plant and equipment</t>
  </si>
  <si>
    <t>Rights of use</t>
  </si>
  <si>
    <t>Investments accounted for by the equity method</t>
  </si>
  <si>
    <t>Financial assets and other non-current assets</t>
  </si>
  <si>
    <t>Deferred tax assets</t>
  </si>
  <si>
    <t>B) CURRENT ASSETS</t>
  </si>
  <si>
    <t>Inventories</t>
  </si>
  <si>
    <t>Receivables and other current assets</t>
  </si>
  <si>
    <t>Tax receivables</t>
  </si>
  <si>
    <t>Other current financial assets</t>
  </si>
  <si>
    <t>Cash and cash equivalents</t>
  </si>
  <si>
    <t>Non-current assets and disposal groups held for sale</t>
  </si>
  <si>
    <t>TOTAL ASSETS (A+B)</t>
  </si>
  <si>
    <t>EQUITY AND LIABILITIES</t>
  </si>
  <si>
    <t>A) EQUITY</t>
  </si>
  <si>
    <t>Equity attributable to equity holders of the parent and other holders of equity instruments</t>
  </si>
  <si>
    <t>Equity attributable to non-controlling interests</t>
  </si>
  <si>
    <t>B) NON-CURRENT LIABILITIES</t>
  </si>
  <si>
    <t>Non-current financial liabilities</t>
  </si>
  <si>
    <t>Non-current lease liabilities</t>
  </si>
  <si>
    <t>Payables and other non-current liabilities</t>
  </si>
  <si>
    <t>Deferred tax liabilities</t>
  </si>
  <si>
    <t>Non-current provisions</t>
  </si>
  <si>
    <t>C) CURRENT LIABILITIES</t>
  </si>
  <si>
    <t>Current financial liabilities</t>
  </si>
  <si>
    <t>Current lease liabilities</t>
  </si>
  <si>
    <t>Payables and other current liabilities</t>
  </si>
  <si>
    <t>Current tax payables</t>
  </si>
  <si>
    <t>Current provisions</t>
  </si>
  <si>
    <t>Liabilities associated with non-current assets and disposal groups held for sale</t>
  </si>
  <si>
    <t>TOTAL EQUITY AND LIABILITIES (A+B+C)</t>
  </si>
  <si>
    <t>TELEFONICA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</si>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</sst>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"/>
    <numFmt numFmtId="165" formatCode="0.00\X"/>
    <numFmt numFmtId="166" formatCode="0.0%"/>
  </numFmts>
  <fonts count="4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63"/>
      <name val="Arial"/>
      <family val="2"/>
    </font>
    <font>
      <b/>
      <sz val="12"/>
      <color rgb="FF0066FF"/>
      <name val="TeleSans-Bold"/>
    </font>
    <font>
      <b/>
      <sz val="9"/>
      <color rgb="FF2B3447"/>
      <name val="TeleSans-Bold"/>
    </font>
    <font>
      <sz val="9"/>
      <color rgb="FF2B3447"/>
      <name val="TeleSans-Regular"/>
    </font>
    <font>
      <b/>
      <sz val="9"/>
      <name val="TeleSans-Bold"/>
    </font>
    <font>
      <sz val="9"/>
      <name val="TeleSans-Regula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TeleSans-Regular"/>
    </font>
    <font>
      <b/>
      <sz val="10"/>
      <name val="Arial"/>
      <family val="2"/>
    </font>
    <font>
      <sz val="10"/>
      <name val="Arial"/>
      <family val="2"/>
    </font>
    <font>
      <b/>
      <sz val="12"/>
      <color theme="5" tint="-0.499984740745262"/>
      <name val="TeleSans-Bold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5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164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164" fontId="11" fillId="34" borderId="2">
      <alignment horizontal="right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34" borderId="5"/>
    <xf numFmtId="0" fontId="4" fillId="34" borderId="5"/>
    <xf numFmtId="10" fontId="1" fillId="34" borderId="16">
      <alignment horizontal="right"/>
    </xf>
    <xf numFmtId="4" fontId="1" fillId="34" borderId="5">
      <alignment horizontal="right"/>
    </xf>
    <xf numFmtId="10" fontId="8" fillId="34" borderId="16">
      <alignment horizontal="right"/>
    </xf>
    <xf numFmtId="4" fontId="8" fillId="34" borderId="5">
      <alignment horizontal="right"/>
    </xf>
    <xf numFmtId="166" fontId="1" fillId="34" borderId="16">
      <alignment horizontal="right"/>
    </xf>
    <xf numFmtId="164" fontId="1" fillId="34" borderId="5">
      <alignment horizontal="right"/>
    </xf>
    <xf numFmtId="166" fontId="8" fillId="34" borderId="16">
      <alignment horizontal="right"/>
    </xf>
    <xf numFmtId="164" fontId="8" fillId="34" borderId="5">
      <alignment horizontal="right"/>
    </xf>
    <xf numFmtId="0" fontId="7" fillId="33" borderId="1">
      <alignment horizontal="centerContinuous"/>
    </xf>
    <xf numFmtId="0" fontId="7" fillId="33" borderId="3">
      <alignment horizontal="centerContinuous"/>
    </xf>
    <xf numFmtId="0" fontId="8" fillId="34" borderId="5"/>
    <xf numFmtId="0" fontId="7" fillId="33" borderId="1">
      <alignment horizontal="left"/>
    </xf>
    <xf numFmtId="0" fontId="7" fillId="33" borderId="3">
      <alignment horizontal="left"/>
    </xf>
  </cellStyleXfs>
  <cellXfs count="179">
    <xf numFmtId="0" fontId="0" fillId="0" borderId="0" xfId="0"/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5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164" fontId="1" fillId="34" borderId="2" xfId="53">
      <alignment horizontal="right"/>
    </xf>
    <xf numFmtId="4" fontId="1" fillId="34" borderId="2" xfId="54">
      <alignment horizontal="right"/>
    </xf>
    <xf numFmtId="3" fontId="8" fillId="34" borderId="2" xfId="55">
      <alignment horizontal="right"/>
    </xf>
    <xf numFmtId="164" fontId="8" fillId="34" borderId="2" xfId="56">
      <alignment horizontal="right"/>
    </xf>
    <xf numFmtId="164" fontId="11" fillId="34" borderId="2" xfId="57">
      <alignment horizontal="right"/>
    </xf>
    <xf numFmtId="4" fontId="8" fillId="34" borderId="2" xfId="56" applyNumberFormat="1">
      <alignment horizontal="right"/>
    </xf>
    <xf numFmtId="0" fontId="3" fillId="0" borderId="5" xfId="37" applyFont="1" applyFill="1"/>
    <xf numFmtId="164" fontId="1" fillId="0" borderId="2" xfId="53" applyFill="1">
      <alignment horizontal="right"/>
    </xf>
    <xf numFmtId="0" fontId="8" fillId="0" borderId="5" xfId="35" applyFill="1"/>
    <xf numFmtId="164" fontId="8" fillId="0" borderId="2" xfId="56" applyFill="1">
      <alignment horizontal="right"/>
    </xf>
    <xf numFmtId="0" fontId="4" fillId="0" borderId="5" xfId="36" applyFont="1" applyFill="1"/>
    <xf numFmtId="164" fontId="11" fillId="0" borderId="2" xfId="57" applyFill="1">
      <alignment horizontal="right"/>
    </xf>
    <xf numFmtId="10" fontId="1" fillId="34" borderId="2" xfId="59" applyNumberFormat="1" applyFont="1" applyFill="1" applyBorder="1" applyAlignment="1">
      <alignment horizontal="right"/>
    </xf>
    <xf numFmtId="43" fontId="1" fillId="34" borderId="2" xfId="58" applyFont="1" applyFill="1" applyBorder="1" applyAlignment="1">
      <alignment horizontal="right"/>
    </xf>
    <xf numFmtId="0" fontId="3" fillId="34" borderId="5" xfId="60"/>
    <xf numFmtId="0" fontId="4" fillId="34" borderId="5" xfId="61"/>
    <xf numFmtId="4" fontId="0" fillId="0" borderId="0" xfId="0" applyNumberFormat="1"/>
    <xf numFmtId="0" fontId="29" fillId="34" borderId="5" xfId="60" applyFont="1"/>
    <xf numFmtId="164" fontId="8" fillId="34" borderId="2" xfId="53" applyFont="1">
      <alignment horizontal="right"/>
    </xf>
    <xf numFmtId="165" fontId="3" fillId="34" borderId="5" xfId="60" applyNumberFormat="1"/>
    <xf numFmtId="165" fontId="1" fillId="34" borderId="2" xfId="58" applyNumberFormat="1" applyFont="1" applyFill="1" applyBorder="1" applyAlignment="1">
      <alignment horizontal="right"/>
    </xf>
    <xf numFmtId="165" fontId="0" fillId="0" borderId="0" xfId="0" applyNumberFormat="1"/>
    <xf numFmtId="3" fontId="8" fillId="34" borderId="3" xfId="55" applyBorder="1">
      <alignment horizontal="right"/>
    </xf>
    <xf numFmtId="4" fontId="0" fillId="0" borderId="2" xfId="0" applyNumberFormat="1" applyBorder="1"/>
    <xf numFmtId="3" fontId="8" fillId="34" borderId="0" xfId="55" applyBorder="1">
      <alignment horizontal="right"/>
    </xf>
    <xf numFmtId="164" fontId="1" fillId="34" borderId="0" xfId="53" applyBorder="1">
      <alignment horizontal="right"/>
    </xf>
    <xf numFmtId="0" fontId="0" fillId="0" borderId="2" xfId="0" applyBorder="1"/>
    <xf numFmtId="164" fontId="8" fillId="34" borderId="5" xfId="53" applyFont="1" applyBorder="1">
      <alignment horizontal="right"/>
    </xf>
    <xf numFmtId="10" fontId="1" fillId="34" borderId="16" xfId="62">
      <alignment horizontal="right"/>
    </xf>
    <xf numFmtId="4" fontId="1" fillId="34" borderId="5" xfId="63">
      <alignment horizontal="right"/>
    </xf>
    <xf numFmtId="10" fontId="8" fillId="34" borderId="16" xfId="64">
      <alignment horizontal="right"/>
    </xf>
    <xf numFmtId="4" fontId="8" fillId="34" borderId="5" xfId="65">
      <alignment horizontal="right"/>
    </xf>
    <xf numFmtId="166" fontId="1" fillId="34" borderId="16" xfId="66">
      <alignment horizontal="right"/>
    </xf>
    <xf numFmtId="164" fontId="1" fillId="34" borderId="5" xfId="67">
      <alignment horizontal="right"/>
    </xf>
    <xf numFmtId="166" fontId="8" fillId="34" borderId="16" xfId="68">
      <alignment horizontal="right"/>
    </xf>
    <xf numFmtId="164" fontId="8" fillId="34" borderId="5" xfId="69">
      <alignment horizontal="right"/>
    </xf>
    <xf numFmtId="0" fontId="7" fillId="33" borderId="1" xfId="70">
      <alignment horizontal="centerContinuous"/>
    </xf>
    <xf numFmtId="0" fontId="7" fillId="33" borderId="3" xfId="71">
      <alignment horizontal="centerContinuous"/>
    </xf>
    <xf numFmtId="0" fontId="8" fillId="34" borderId="5" xfId="72"/>
    <xf numFmtId="9" fontId="0" fillId="0" borderId="0" xfId="59" applyFont="1"/>
    <xf numFmtId="0" fontId="7" fillId="33" borderId="1" xfId="73">
      <alignment horizontal="left"/>
    </xf>
    <xf numFmtId="0" fontId="7" fillId="33" borderId="3" xfId="74">
      <alignment horizontal="left"/>
    </xf>
    <xf numFmtId="9" fontId="1" fillId="34" borderId="2" xfId="59" applyFont="1" applyFill="1" applyBorder="1" applyAlignment="1">
      <alignment horizontal="right"/>
    </xf>
    <xf numFmtId="43" fontId="1" fillId="34" borderId="5" xfId="58" applyFont="1" applyFill="1" applyBorder="1" applyAlignment="1">
      <alignment horizontal="right"/>
    </xf>
    <xf numFmtId="4" fontId="1" fillId="34" borderId="5" xfId="54" applyBorder="1">
      <alignment horizontal="right"/>
    </xf>
    <xf numFmtId="9" fontId="1" fillId="34" borderId="5" xfId="59" applyFont="1" applyFill="1" applyBorder="1" applyAlignment="1">
      <alignment horizontal="right"/>
    </xf>
    <xf numFmtId="43" fontId="1" fillId="34" borderId="16" xfId="58" applyFont="1" applyFill="1" applyBorder="1" applyAlignment="1">
      <alignment horizontal="right"/>
    </xf>
    <xf numFmtId="4" fontId="1" fillId="34" borderId="16" xfId="54" applyBorder="1">
      <alignment horizontal="right"/>
    </xf>
    <xf numFmtId="9" fontId="1" fillId="34" borderId="16" xfId="59" applyFont="1" applyFill="1" applyBorder="1" applyAlignment="1">
      <alignment horizontal="right"/>
    </xf>
    <xf numFmtId="0" fontId="0" fillId="0" borderId="1" xfId="0" applyBorder="1"/>
    <xf numFmtId="9" fontId="0" fillId="0" borderId="17" xfId="59" applyFont="1" applyBorder="1"/>
    <xf numFmtId="0" fontId="3" fillId="0" borderId="5" xfId="60" applyFill="1"/>
    <xf numFmtId="164" fontId="0" fillId="0" borderId="2" xfId="0" applyNumberFormat="1" applyBorder="1"/>
    <xf numFmtId="164" fontId="27" fillId="0" borderId="2" xfId="0" applyNumberFormat="1" applyFont="1" applyBorder="1"/>
    <xf numFmtId="9" fontId="0" fillId="0" borderId="1" xfId="59" applyFont="1" applyBorder="1"/>
    <xf numFmtId="166" fontId="0" fillId="0" borderId="0" xfId="59" applyNumberFormat="1" applyFont="1"/>
    <xf numFmtId="10" fontId="1" fillId="34" borderId="5" xfId="59" applyNumberFormat="1" applyFont="1" applyFill="1" applyBorder="1" applyAlignment="1">
      <alignment horizontal="right"/>
    </xf>
    <xf numFmtId="0" fontId="7" fillId="33" borderId="18" xfId="33" applyBorder="1">
      <alignment horizontal="left"/>
    </xf>
    <xf numFmtId="0" fontId="7" fillId="33" borderId="18" xfId="32" applyBorder="1">
      <alignment horizontal="right"/>
    </xf>
    <xf numFmtId="0" fontId="7" fillId="33" borderId="18" xfId="52" applyBorder="1">
      <alignment horizontal="left"/>
    </xf>
    <xf numFmtId="0" fontId="7" fillId="33" borderId="18" xfId="30" applyBorder="1">
      <alignment horizontal="right"/>
    </xf>
    <xf numFmtId="9" fontId="8" fillId="34" borderId="2" xfId="59" applyFont="1" applyFill="1" applyBorder="1" applyAlignment="1">
      <alignment horizontal="right"/>
    </xf>
    <xf numFmtId="166" fontId="8" fillId="34" borderId="2" xfId="59" applyNumberFormat="1" applyFont="1" applyFill="1" applyBorder="1" applyAlignment="1">
      <alignment horizontal="right"/>
    </xf>
    <xf numFmtId="10" fontId="1" fillId="34" borderId="1" xfId="59" applyNumberFormat="1" applyFont="1" applyFill="1" applyBorder="1" applyAlignment="1">
      <alignment horizontal="right"/>
    </xf>
    <xf numFmtId="0" fontId="7" fillId="33" borderId="2" xfId="32" applyBorder="1">
      <alignment horizontal="right"/>
    </xf>
    <xf numFmtId="0" fontId="0" fillId="0" borderId="5" xfId="0" applyBorder="1"/>
    <xf numFmtId="0" fontId="0" fillId="0" borderId="17" xfId="0" applyBorder="1"/>
    <xf numFmtId="9" fontId="0" fillId="0" borderId="2" xfId="59" applyFont="1" applyBorder="1"/>
    <xf numFmtId="9" fontId="0" fillId="0" borderId="5" xfId="59" applyFont="1" applyBorder="1"/>
    <xf numFmtId="0" fontId="7" fillId="33" borderId="19" xfId="32" applyBorder="1">
      <alignment horizontal="right"/>
    </xf>
    <xf numFmtId="0" fontId="7" fillId="33" borderId="19" xfId="30" applyBorder="1">
      <alignment horizontal="right"/>
    </xf>
    <xf numFmtId="0" fontId="3" fillId="34" borderId="5" xfId="60" applyAlignment="1">
      <alignment wrapText="1"/>
    </xf>
    <xf numFmtId="0" fontId="3" fillId="34" borderId="5" xfId="60" applyAlignment="1">
      <alignment horizontal="left" wrapText="1"/>
    </xf>
    <xf numFmtId="0" fontId="3" fillId="34" borderId="5" xfId="61" applyFont="1" applyAlignment="1">
      <alignment wrapText="1"/>
    </xf>
    <xf numFmtId="9" fontId="2" fillId="33" borderId="0" xfId="59" applyFont="1" applyFill="1"/>
    <xf numFmtId="9" fontId="5" fillId="33" borderId="15" xfId="59" applyFont="1" applyFill="1" applyBorder="1" applyAlignment="1">
      <alignment horizontal="left" vertical="center" readingOrder="1"/>
    </xf>
    <xf numFmtId="9" fontId="6" fillId="34" borderId="0" xfId="59" applyFont="1" applyFill="1" applyAlignment="1">
      <alignment horizontal="center"/>
    </xf>
    <xf numFmtId="9" fontId="7" fillId="33" borderId="3" xfId="59" applyFont="1" applyFill="1" applyBorder="1" applyAlignment="1">
      <alignment horizontal="right"/>
    </xf>
    <xf numFmtId="9" fontId="7" fillId="33" borderId="1" xfId="59" applyFont="1" applyFill="1" applyBorder="1" applyAlignment="1">
      <alignment horizontal="right"/>
    </xf>
    <xf numFmtId="9" fontId="8" fillId="34" borderId="3" xfId="59" applyFont="1" applyFill="1" applyBorder="1" applyAlignment="1">
      <alignment horizontal="right"/>
    </xf>
    <xf numFmtId="9" fontId="1" fillId="0" borderId="2" xfId="59" applyFont="1" applyFill="1" applyBorder="1" applyAlignment="1">
      <alignment horizontal="right"/>
    </xf>
    <xf numFmtId="9" fontId="11" fillId="34" borderId="2" xfId="59" applyFont="1" applyFill="1" applyBorder="1" applyAlignment="1">
      <alignment horizontal="right"/>
    </xf>
    <xf numFmtId="9" fontId="27" fillId="0" borderId="2" xfId="59" applyFont="1" applyBorder="1"/>
    <xf numFmtId="9" fontId="11" fillId="35" borderId="4" xfId="59" applyFont="1" applyFill="1" applyBorder="1"/>
    <xf numFmtId="164" fontId="0" fillId="0" borderId="0" xfId="0" applyNumberFormat="1"/>
    <xf numFmtId="3" fontId="32" fillId="0" borderId="0" xfId="0" applyNumberFormat="1" applyFont="1"/>
    <xf numFmtId="3" fontId="31" fillId="0" borderId="0" xfId="0" applyNumberFormat="1" applyFont="1"/>
    <xf numFmtId="3" fontId="32" fillId="0" borderId="21" xfId="0" applyNumberFormat="1" applyFont="1" applyBorder="1"/>
    <xf numFmtId="3" fontId="31" fillId="0" borderId="21" xfId="0" applyNumberFormat="1" applyFont="1" applyBorder="1"/>
    <xf numFmtId="0" fontId="30" fillId="0" borderId="18" xfId="0" applyFont="1" applyBorder="1"/>
    <xf numFmtId="9" fontId="30" fillId="0" borderId="18" xfId="59" applyFont="1" applyBorder="1" applyAlignment="1"/>
    <xf numFmtId="0" fontId="33" fillId="0" borderId="0" xfId="0" applyFont="1"/>
    <xf numFmtId="0" fontId="36" fillId="0" borderId="0" xfId="0" applyFont="1"/>
    <xf numFmtId="0" fontId="34" fillId="0" borderId="21" xfId="0" applyFont="1" applyBorder="1"/>
    <xf numFmtId="43" fontId="34" fillId="0" borderId="21" xfId="58" applyFont="1" applyBorder="1"/>
    <xf numFmtId="43" fontId="34" fillId="0" borderId="23" xfId="58" applyFont="1" applyBorder="1"/>
    <xf numFmtId="10" fontId="34" fillId="0" borderId="23" xfId="59" applyNumberFormat="1" applyFont="1" applyBorder="1"/>
    <xf numFmtId="9" fontId="34" fillId="0" borderId="23" xfId="59" applyFont="1" applyBorder="1"/>
    <xf numFmtId="9" fontId="34" fillId="0" borderId="21" xfId="59" applyFont="1" applyBorder="1"/>
    <xf numFmtId="0" fontId="33" fillId="0" borderId="21" xfId="0" applyFont="1" applyBorder="1" applyAlignment="1">
      <alignment wrapText="1"/>
    </xf>
    <xf numFmtId="43" fontId="33" fillId="0" borderId="21" xfId="58" applyFont="1" applyBorder="1" applyAlignment="1">
      <alignment wrapText="1"/>
    </xf>
    <xf numFmtId="43" fontId="33" fillId="0" borderId="23" xfId="58" applyFont="1" applyBorder="1" applyAlignment="1">
      <alignment wrapText="1"/>
    </xf>
    <xf numFmtId="9" fontId="33" fillId="0" borderId="23" xfId="59" applyFont="1" applyBorder="1" applyAlignment="1">
      <alignment wrapText="1"/>
    </xf>
    <xf numFmtId="9" fontId="33" fillId="0" borderId="21" xfId="59" applyFont="1" applyBorder="1" applyAlignment="1">
      <alignment wrapText="1"/>
    </xf>
    <xf numFmtId="0" fontId="33" fillId="0" borderId="21" xfId="0" applyFont="1" applyBorder="1"/>
    <xf numFmtId="43" fontId="33" fillId="0" borderId="21" xfId="58" applyFont="1" applyBorder="1"/>
    <xf numFmtId="43" fontId="33" fillId="0" borderId="23" xfId="58" applyFont="1" applyBorder="1"/>
    <xf numFmtId="9" fontId="33" fillId="0" borderId="23" xfId="59" applyFont="1" applyBorder="1"/>
    <xf numFmtId="9" fontId="33" fillId="0" borderId="21" xfId="59" applyFont="1" applyBorder="1"/>
    <xf numFmtId="0" fontId="33" fillId="0" borderId="22" xfId="0" applyFont="1" applyBorder="1"/>
    <xf numFmtId="43" fontId="33" fillId="0" borderId="22" xfId="58" applyFont="1" applyBorder="1"/>
    <xf numFmtId="9" fontId="33" fillId="0" borderId="24" xfId="59" applyFont="1" applyBorder="1"/>
    <xf numFmtId="9" fontId="33" fillId="0" borderId="22" xfId="59" applyFont="1" applyBorder="1"/>
    <xf numFmtId="9" fontId="37" fillId="0" borderId="23" xfId="59" applyFont="1" applyBorder="1"/>
    <xf numFmtId="0" fontId="38" fillId="34" borderId="20" xfId="35" applyFont="1" applyBorder="1"/>
    <xf numFmtId="9" fontId="34" fillId="0" borderId="20" xfId="59" applyFont="1" applyBorder="1"/>
    <xf numFmtId="9" fontId="34" fillId="0" borderId="28" xfId="59" applyFont="1" applyBorder="1"/>
    <xf numFmtId="0" fontId="39" fillId="34" borderId="21" xfId="37" applyFont="1" applyBorder="1"/>
    <xf numFmtId="0" fontId="39" fillId="34" borderId="22" xfId="37" applyFont="1" applyBorder="1"/>
    <xf numFmtId="43" fontId="33" fillId="0" borderId="24" xfId="58" applyFont="1" applyBorder="1"/>
    <xf numFmtId="9" fontId="36" fillId="0" borderId="0" xfId="59" applyFont="1"/>
    <xf numFmtId="0" fontId="33" fillId="0" borderId="28" xfId="0" applyFont="1" applyBorder="1"/>
    <xf numFmtId="0" fontId="0" fillId="0" borderId="29" xfId="0" applyBorder="1"/>
    <xf numFmtId="0" fontId="0" fillId="0" borderId="30" xfId="0" applyBorder="1"/>
    <xf numFmtId="0" fontId="33" fillId="0" borderId="23" xfId="0" applyFont="1" applyBorder="1"/>
    <xf numFmtId="0" fontId="34" fillId="0" borderId="23" xfId="0" applyFont="1" applyBorder="1"/>
    <xf numFmtId="0" fontId="36" fillId="0" borderId="23" xfId="0" applyFont="1" applyBorder="1"/>
    <xf numFmtId="0" fontId="0" fillId="0" borderId="25" xfId="0" applyBorder="1"/>
    <xf numFmtId="0" fontId="33" fillId="0" borderId="24" xfId="0" applyFont="1" applyBorder="1"/>
    <xf numFmtId="0" fontId="0" fillId="0" borderId="28" xfId="0" applyBorder="1"/>
    <xf numFmtId="3" fontId="33" fillId="0" borderId="23" xfId="0" applyNumberFormat="1" applyFont="1" applyBorder="1"/>
    <xf numFmtId="3" fontId="34" fillId="0" borderId="23" xfId="0" applyNumberFormat="1" applyFont="1" applyBorder="1"/>
    <xf numFmtId="3" fontId="35" fillId="0" borderId="23" xfId="0" applyNumberFormat="1" applyFont="1" applyBorder="1"/>
    <xf numFmtId="0" fontId="0" fillId="0" borderId="23" xfId="0" applyBorder="1"/>
    <xf numFmtId="3" fontId="35" fillId="0" borderId="24" xfId="0" applyNumberFormat="1" applyFont="1" applyBorder="1"/>
    <xf numFmtId="0" fontId="0" fillId="0" borderId="20" xfId="0" applyBorder="1"/>
    <xf numFmtId="3" fontId="33" fillId="0" borderId="21" xfId="0" applyNumberFormat="1" applyFont="1" applyBorder="1"/>
    <xf numFmtId="3" fontId="34" fillId="0" borderId="21" xfId="0" applyNumberFormat="1" applyFont="1" applyBorder="1"/>
    <xf numFmtId="3" fontId="35" fillId="0" borderId="21" xfId="0" applyNumberFormat="1" applyFont="1" applyBorder="1"/>
    <xf numFmtId="0" fontId="0" fillId="0" borderId="21" xfId="0" applyBorder="1"/>
    <xf numFmtId="3" fontId="35" fillId="0" borderId="22" xfId="0" applyNumberFormat="1" applyFont="1" applyBorder="1"/>
    <xf numFmtId="0" fontId="5" fillId="36" borderId="15" xfId="51" applyFill="1">
      <alignment horizontal="left" vertical="center" readingOrder="1"/>
    </xf>
    <xf numFmtId="0" fontId="7" fillId="36" borderId="3" xfId="33" applyFill="1">
      <alignment horizontal="left"/>
    </xf>
    <xf numFmtId="0" fontId="7" fillId="36" borderId="3" xfId="32" applyFill="1">
      <alignment horizontal="right"/>
    </xf>
    <xf numFmtId="0" fontId="7" fillId="36" borderId="19" xfId="32" applyFill="1" applyBorder="1">
      <alignment horizontal="right"/>
    </xf>
    <xf numFmtId="0" fontId="7" fillId="36" borderId="2" xfId="32" applyFill="1" applyBorder="1">
      <alignment horizontal="right"/>
    </xf>
    <xf numFmtId="0" fontId="7" fillId="36" borderId="2" xfId="52" applyFill="1" applyBorder="1">
      <alignment horizontal="left"/>
    </xf>
    <xf numFmtId="0" fontId="7" fillId="36" borderId="2" xfId="30" applyFill="1" applyBorder="1">
      <alignment horizontal="right"/>
    </xf>
    <xf numFmtId="0" fontId="7" fillId="36" borderId="18" xfId="30" applyFill="1" applyBorder="1">
      <alignment horizontal="right"/>
    </xf>
    <xf numFmtId="0" fontId="7" fillId="36" borderId="18" xfId="52" applyFill="1" applyBorder="1">
      <alignment horizontal="left"/>
    </xf>
    <xf numFmtId="9" fontId="7" fillId="36" borderId="18" xfId="59" applyFont="1" applyFill="1" applyBorder="1" applyAlignment="1">
      <alignment horizontal="right"/>
    </xf>
    <xf numFmtId="9" fontId="7" fillId="36" borderId="3" xfId="59" applyFont="1" applyFill="1" applyBorder="1" applyAlignment="1">
      <alignment horizontal="right"/>
    </xf>
    <xf numFmtId="0" fontId="7" fillId="36" borderId="18" xfId="33" applyFill="1" applyBorder="1">
      <alignment horizontal="left"/>
    </xf>
    <xf numFmtId="0" fontId="7" fillId="36" borderId="18" xfId="32" applyFill="1" applyBorder="1">
      <alignment horizontal="right"/>
    </xf>
    <xf numFmtId="9" fontId="7" fillId="36" borderId="19" xfId="59" applyFont="1" applyFill="1" applyBorder="1" applyAlignment="1">
      <alignment horizontal="right"/>
    </xf>
    <xf numFmtId="9" fontId="7" fillId="36" borderId="27" xfId="59" applyFont="1" applyFill="1" applyBorder="1" applyAlignment="1">
      <alignment horizontal="right"/>
    </xf>
    <xf numFmtId="0" fontId="40" fillId="0" borderId="3" xfId="0" applyFont="1" applyBorder="1"/>
    <xf numFmtId="0" fontId="7" fillId="36" borderId="32" xfId="30" applyFill="1" applyBorder="1">
      <alignment horizontal="right"/>
    </xf>
    <xf numFmtId="0" fontId="7" fillId="36" borderId="3" xfId="30" applyFill="1" applyBorder="1">
      <alignment horizontal="right"/>
    </xf>
    <xf numFmtId="9" fontId="0" fillId="0" borderId="21" xfId="59" applyFont="1" applyBorder="1"/>
    <xf numFmtId="9" fontId="0" fillId="0" borderId="22" xfId="59" applyFont="1" applyBorder="1"/>
    <xf numFmtId="0" fontId="36" fillId="0" borderId="28" xfId="0" applyFont="1" applyBorder="1"/>
    <xf numFmtId="0" fontId="36" fillId="0" borderId="24" xfId="0" applyFont="1" applyBorder="1"/>
    <xf numFmtId="0" fontId="0" fillId="0" borderId="31" xfId="0" applyBorder="1"/>
    <xf numFmtId="0" fontId="0" fillId="0" borderId="26" xfId="0" applyBorder="1"/>
    <xf numFmtId="9" fontId="0" fillId="0" borderId="0" xfId="59" applyFont="1" applyBorder="1"/>
    <xf numFmtId="10" fontId="0" fillId="0" borderId="5" xfId="0" applyNumberFormat="1" applyBorder="1"/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Comma" xfId="58" builtinId="3"/>
    <cellStyle name="Explanatory Text" xfId="29" builtinId="53" customBuiltin="1"/>
    <cellStyle name="fa_column_header_bottom" xfId="30" xr:uid="{00000000-0005-0000-0000-00001E000000}"/>
    <cellStyle name="fa_column_header_bottom_centered" xfId="70" xr:uid="{ADBCE1C5-F596-47AC-ACD2-DEFB22EE323A}"/>
    <cellStyle name="fa_column_header_bottom_left" xfId="52" xr:uid="{00000000-0005-0000-0000-00001F000000}"/>
    <cellStyle name="fa_column_header_bottom_left 2" xfId="73" xr:uid="{33DF9063-6248-4F38-82A0-EECFCF4DD4F0}"/>
    <cellStyle name="fa_column_header_empty" xfId="31" xr:uid="{00000000-0005-0000-0000-000020000000}"/>
    <cellStyle name="fa_column_header_top" xfId="32" xr:uid="{00000000-0005-0000-0000-000021000000}"/>
    <cellStyle name="fa_column_header_top_centered" xfId="71" xr:uid="{E2D78EC9-1252-41E7-AD4E-2114B2A4CE4B}"/>
    <cellStyle name="fa_column_header_top_left" xfId="33" xr:uid="{00000000-0005-0000-0000-000022000000}"/>
    <cellStyle name="fa_column_header_top_left 2" xfId="74" xr:uid="{062D0EE5-EB36-4881-A041-28E33063BDCE}"/>
    <cellStyle name="fa_data_bold_0_grouped" xfId="55" xr:uid="{00000000-0005-0000-0000-000023000000}"/>
    <cellStyle name="fa_data_bold_1_grouped" xfId="56" xr:uid="{00000000-0005-0000-0000-000024000000}"/>
    <cellStyle name="fa_data_bold_1_grouped_single_border" xfId="69" xr:uid="{10AB0B1D-B346-44AA-BA1D-C49F40E28269}"/>
    <cellStyle name="fa_data_bold_1_percent_single_border" xfId="68" xr:uid="{EB28B54B-B5CA-4E08-98B8-3AAE9F300319}"/>
    <cellStyle name="fa_data_bold_2_grouped_single_border" xfId="65" xr:uid="{CA68BE44-2E29-4C41-A6E4-2DC8B6248C8A}"/>
    <cellStyle name="fa_data_bold_2_percent_single_border" xfId="64" xr:uid="{8389C1E5-FB97-4FC3-9A9F-45D27A23E28A}"/>
    <cellStyle name="fa_data_italic_1_grouped" xfId="57" xr:uid="{00000000-0005-0000-0000-00002D000000}"/>
    <cellStyle name="fa_data_standard_1_grouped" xfId="53" xr:uid="{00000000-0005-0000-0000-00002F000000}"/>
    <cellStyle name="fa_data_standard_1_grouped_single_border" xfId="67" xr:uid="{0A7CB8A6-4F76-4ED8-87F4-F38310B27F0F}"/>
    <cellStyle name="fa_data_standard_1_percent_single_border" xfId="66" xr:uid="{BBBCD61F-1BFE-4FC3-9433-8416F3291CA8}"/>
    <cellStyle name="fa_data_standard_2_grouped" xfId="54" xr:uid="{00000000-0005-0000-0000-000030000000}"/>
    <cellStyle name="fa_data_standard_2_grouped_single_border" xfId="63" xr:uid="{516DAD10-0082-4B12-891F-A535392BBC48}"/>
    <cellStyle name="fa_data_standard_2_percent_single_border" xfId="62" xr:uid="{D3B0B2BD-0079-4CE0-AA47-D73F53A70027}"/>
    <cellStyle name="fa_footer_italic" xfId="34" xr:uid="{00000000-0005-0000-0000-000031000000}"/>
    <cellStyle name="fa_row_header_bold" xfId="35" xr:uid="{00000000-0005-0000-0000-000032000000}"/>
    <cellStyle name="fa_row_header_bold 2" xfId="72" xr:uid="{67328B6F-CAAF-4E7A-99F1-05571A4098D8}"/>
    <cellStyle name="fa_row_header_italic" xfId="36" xr:uid="{00000000-0005-0000-0000-000033000000}"/>
    <cellStyle name="fa_row_header_italic 2" xfId="61" xr:uid="{EB7A551F-2354-452E-93A8-1601BFB152AF}"/>
    <cellStyle name="fa_row_header_standard" xfId="37" xr:uid="{00000000-0005-0000-0000-000034000000}"/>
    <cellStyle name="fa_row_header_standard 2" xfId="60" xr:uid="{D9EA7AFD-7BF2-4DD7-98BB-630B5205D4E5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Percent" xfId="59" builtinId="5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showGridLines="0" workbookViewId="0">
      <selection activeCell="I6" sqref="I6"/>
    </sheetView>
  </sheetViews>
  <sheetFormatPr defaultRowHeight="15"/>
  <cols>
    <col min="1" max="1" width="89.42578125" bestFit="1" customWidth="1"/>
    <col min="2" max="7" width="11.85546875" customWidth="1"/>
  </cols>
  <sheetData>
    <row r="1" spans="1:8">
      <c r="A1" s="1"/>
      <c r="B1" s="1"/>
      <c r="C1" s="1"/>
      <c r="D1" s="1"/>
      <c r="E1" s="1"/>
      <c r="F1" s="1"/>
      <c r="G1" s="1"/>
    </row>
    <row r="2" spans="1:8" ht="20.25">
      <c r="A2" s="8" t="s">
        <v>288</v>
      </c>
      <c r="B2" s="8"/>
      <c r="C2" s="8"/>
      <c r="D2" s="8"/>
      <c r="E2" s="8"/>
      <c r="F2" s="8"/>
      <c r="G2" s="8"/>
    </row>
    <row r="3" spans="1:8">
      <c r="A3" s="2"/>
      <c r="B3" s="2"/>
      <c r="C3" s="2"/>
      <c r="D3" s="2"/>
      <c r="E3" s="2"/>
      <c r="F3" s="2"/>
      <c r="G3" s="2"/>
    </row>
    <row r="4" spans="1:8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348</v>
      </c>
    </row>
    <row r="5" spans="1:8">
      <c r="A5" s="9" t="s">
        <v>10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90" t="s">
        <v>349</v>
      </c>
    </row>
    <row r="6" spans="1:8">
      <c r="A6" s="6" t="s">
        <v>0</v>
      </c>
      <c r="B6" s="15">
        <v>46571</v>
      </c>
      <c r="C6" s="15">
        <v>43666</v>
      </c>
      <c r="D6" s="15">
        <v>44974</v>
      </c>
      <c r="E6" s="15">
        <v>43809</v>
      </c>
      <c r="F6" s="15">
        <v>45580</v>
      </c>
      <c r="G6" s="74">
        <f>(((F6/B6)^(1/5))-1)</f>
        <v>-4.2925617062942178E-3</v>
      </c>
    </row>
    <row r="7" spans="1:8">
      <c r="A7" s="10" t="s">
        <v>16</v>
      </c>
      <c r="B7" s="12">
        <v>46571</v>
      </c>
      <c r="C7" s="12">
        <v>43666</v>
      </c>
      <c r="D7" s="12">
        <v>44974</v>
      </c>
      <c r="E7" s="12">
        <v>43809</v>
      </c>
      <c r="F7" s="12">
        <v>45580</v>
      </c>
      <c r="G7" s="74">
        <f t="shared" ref="G7:G39" si="0">(((F7/B7)^(1/5))-1)</f>
        <v>-4.2925617062942178E-3</v>
      </c>
    </row>
    <row r="8" spans="1:8">
      <c r="A8" s="10" t="s">
        <v>17</v>
      </c>
      <c r="B8" s="12">
        <v>32771</v>
      </c>
      <c r="C8" s="12">
        <v>30160</v>
      </c>
      <c r="D8" s="12">
        <v>30682</v>
      </c>
      <c r="E8" s="12">
        <v>30086</v>
      </c>
      <c r="F8" s="12">
        <v>30574</v>
      </c>
      <c r="G8" s="74">
        <f t="shared" si="0"/>
        <v>-1.3782934138923952E-2</v>
      </c>
    </row>
    <row r="9" spans="1:8">
      <c r="A9" s="10" t="s">
        <v>18</v>
      </c>
      <c r="B9" s="12">
        <v>32771</v>
      </c>
      <c r="C9" s="12">
        <v>30160</v>
      </c>
      <c r="D9" s="12">
        <v>30682</v>
      </c>
      <c r="E9" s="12">
        <v>30086</v>
      </c>
      <c r="F9" s="12">
        <v>30574</v>
      </c>
      <c r="G9" s="74">
        <f t="shared" si="0"/>
        <v>-1.3782934138923952E-2</v>
      </c>
    </row>
    <row r="10" spans="1:8">
      <c r="A10" s="6" t="s">
        <v>1</v>
      </c>
      <c r="B10" s="15">
        <v>13800</v>
      </c>
      <c r="C10" s="15">
        <v>13506</v>
      </c>
      <c r="D10" s="15">
        <v>14292</v>
      </c>
      <c r="E10" s="15">
        <v>13723</v>
      </c>
      <c r="F10" s="15">
        <v>15006</v>
      </c>
      <c r="G10" s="74">
        <f t="shared" si="0"/>
        <v>1.689748010165637E-2</v>
      </c>
      <c r="H10" s="96"/>
    </row>
    <row r="11" spans="1:8">
      <c r="A11" s="10" t="s">
        <v>19</v>
      </c>
      <c r="B11" s="12">
        <v>0</v>
      </c>
      <c r="C11" s="12">
        <v>0</v>
      </c>
      <c r="D11" s="12">
        <v>4281</v>
      </c>
      <c r="E11" s="12">
        <v>568</v>
      </c>
      <c r="F11" s="12">
        <v>79</v>
      </c>
      <c r="G11" s="74"/>
    </row>
    <row r="12" spans="1:8">
      <c r="A12" s="10" t="s">
        <v>20</v>
      </c>
      <c r="B12" s="12">
        <v>9915</v>
      </c>
      <c r="C12" s="12">
        <v>9235</v>
      </c>
      <c r="D12" s="12">
        <v>11009</v>
      </c>
      <c r="E12" s="12">
        <v>9531</v>
      </c>
      <c r="F12" s="12">
        <v>9124</v>
      </c>
      <c r="G12" s="74">
        <f t="shared" si="0"/>
        <v>-1.6490607881165742E-2</v>
      </c>
    </row>
    <row r="13" spans="1:8">
      <c r="A13" s="10" t="s">
        <v>21</v>
      </c>
      <c r="B13" s="12">
        <v>9655</v>
      </c>
      <c r="C13" s="12">
        <v>9301</v>
      </c>
      <c r="D13" s="12">
        <v>9624</v>
      </c>
      <c r="E13" s="12">
        <v>8872</v>
      </c>
      <c r="F13" s="12">
        <v>9071</v>
      </c>
      <c r="G13" s="74">
        <f t="shared" si="0"/>
        <v>-1.240114496196143E-2</v>
      </c>
    </row>
    <row r="14" spans="1:8">
      <c r="A14" s="11" t="s">
        <v>22</v>
      </c>
      <c r="B14" s="16">
        <v>4011</v>
      </c>
      <c r="C14" s="16">
        <v>3891</v>
      </c>
      <c r="D14" s="16">
        <v>3814</v>
      </c>
      <c r="E14" s="16">
        <v>3522</v>
      </c>
      <c r="F14" s="16">
        <v>3358</v>
      </c>
      <c r="G14" s="74">
        <f t="shared" si="0"/>
        <v>-3.4914910252732412E-2</v>
      </c>
    </row>
    <row r="15" spans="1:8">
      <c r="A15" s="11" t="s">
        <v>23</v>
      </c>
      <c r="B15" s="16">
        <v>5644</v>
      </c>
      <c r="C15" s="16">
        <v>5410</v>
      </c>
      <c r="D15" s="16">
        <v>5810</v>
      </c>
      <c r="E15" s="16">
        <v>5350</v>
      </c>
      <c r="F15" s="16">
        <v>5713</v>
      </c>
      <c r="G15" s="74">
        <f t="shared" si="0"/>
        <v>2.4332045994923668E-3</v>
      </c>
    </row>
    <row r="16" spans="1:8">
      <c r="A16" s="10" t="s">
        <v>24</v>
      </c>
      <c r="B16" s="12"/>
      <c r="C16" s="12"/>
      <c r="D16" s="12"/>
      <c r="E16" s="12">
        <v>14330</v>
      </c>
      <c r="F16" s="12"/>
      <c r="G16" s="12"/>
    </row>
    <row r="17" spans="1:7">
      <c r="A17" s="18" t="s">
        <v>25</v>
      </c>
      <c r="B17" s="19">
        <v>260</v>
      </c>
      <c r="C17" s="19">
        <v>-66</v>
      </c>
      <c r="D17" s="19">
        <v>1385</v>
      </c>
      <c r="E17" s="19">
        <v>-13671</v>
      </c>
      <c r="F17" s="19">
        <v>53</v>
      </c>
      <c r="G17" s="74">
        <f t="shared" si="0"/>
        <v>-0.27245392127791368</v>
      </c>
    </row>
    <row r="18" spans="1:7">
      <c r="A18" s="20" t="s">
        <v>26</v>
      </c>
      <c r="B18" s="21">
        <v>3885</v>
      </c>
      <c r="C18" s="21">
        <v>4271</v>
      </c>
      <c r="D18" s="21">
        <v>7564</v>
      </c>
      <c r="E18" s="21">
        <v>4760</v>
      </c>
      <c r="F18" s="21">
        <v>5961</v>
      </c>
      <c r="G18" s="74">
        <f t="shared" si="0"/>
        <v>8.939560723888329E-2</v>
      </c>
    </row>
    <row r="19" spans="1:7">
      <c r="A19" s="18" t="s">
        <v>27</v>
      </c>
      <c r="B19" s="19">
        <v>157</v>
      </c>
      <c r="C19" s="19">
        <v>2095</v>
      </c>
      <c r="D19" s="19">
        <v>2173</v>
      </c>
      <c r="E19" s="19">
        <v>1788</v>
      </c>
      <c r="F19" s="19">
        <v>1966</v>
      </c>
      <c r="G19" s="74">
        <f t="shared" si="0"/>
        <v>0.65781770025346309</v>
      </c>
    </row>
    <row r="20" spans="1:7">
      <c r="A20" s="18" t="s">
        <v>28</v>
      </c>
      <c r="B20" s="19">
        <v>863</v>
      </c>
      <c r="C20" s="19">
        <v>1567</v>
      </c>
      <c r="D20" s="19">
        <v>2223</v>
      </c>
      <c r="E20" s="19" t="s">
        <v>50</v>
      </c>
      <c r="F20" s="19">
        <v>2413</v>
      </c>
      <c r="G20" s="74">
        <f t="shared" si="0"/>
        <v>0.22831372675346651</v>
      </c>
    </row>
    <row r="21" spans="1:7">
      <c r="A21" s="22" t="s">
        <v>29</v>
      </c>
      <c r="B21" s="23">
        <v>1202</v>
      </c>
      <c r="C21" s="23">
        <v>1567</v>
      </c>
      <c r="D21" s="23">
        <v>2806</v>
      </c>
      <c r="E21" s="23">
        <v>2559</v>
      </c>
      <c r="F21" s="23">
        <v>2413</v>
      </c>
      <c r="G21" s="74">
        <f t="shared" si="0"/>
        <v>0.1495571601762955</v>
      </c>
    </row>
    <row r="22" spans="1:7">
      <c r="A22" s="22" t="s">
        <v>30</v>
      </c>
      <c r="B22" s="23">
        <v>339</v>
      </c>
      <c r="C22" s="23">
        <v>0</v>
      </c>
      <c r="D22" s="23">
        <v>583</v>
      </c>
      <c r="E22" s="23" t="s">
        <v>50</v>
      </c>
      <c r="F22" s="23">
        <v>0</v>
      </c>
      <c r="G22" s="74">
        <f t="shared" si="0"/>
        <v>-1</v>
      </c>
    </row>
    <row r="23" spans="1:7">
      <c r="A23" s="10" t="s">
        <v>31</v>
      </c>
      <c r="B23" s="12">
        <v>-65</v>
      </c>
      <c r="C23" s="12">
        <v>1</v>
      </c>
      <c r="D23" s="12">
        <v>181</v>
      </c>
      <c r="E23" s="12">
        <v>23</v>
      </c>
      <c r="F23" s="12">
        <v>284</v>
      </c>
      <c r="G23" s="74">
        <f t="shared" si="0"/>
        <v>-2.3430154125068716</v>
      </c>
    </row>
    <row r="24" spans="1:7">
      <c r="A24" s="10" t="s">
        <v>32</v>
      </c>
      <c r="B24" s="12">
        <v>59</v>
      </c>
      <c r="C24" s="12">
        <v>908</v>
      </c>
      <c r="D24" s="12" t="s">
        <v>50</v>
      </c>
      <c r="E24" s="12" t="s">
        <v>50</v>
      </c>
      <c r="F24" s="12" t="s">
        <v>50</v>
      </c>
      <c r="G24" s="74"/>
    </row>
    <row r="25" spans="1:7">
      <c r="A25" s="18" t="s">
        <v>33</v>
      </c>
      <c r="B25" s="19">
        <v>-700</v>
      </c>
      <c r="C25" s="19">
        <v>-381</v>
      </c>
      <c r="D25" s="19">
        <v>-231</v>
      </c>
      <c r="E25" s="19">
        <v>-794</v>
      </c>
      <c r="F25" s="19">
        <v>-731</v>
      </c>
      <c r="G25" s="74">
        <f t="shared" si="0"/>
        <v>8.7042888629447202E-3</v>
      </c>
    </row>
    <row r="26" spans="1:7">
      <c r="A26" s="6" t="s">
        <v>98</v>
      </c>
      <c r="B26" s="15">
        <v>3728</v>
      </c>
      <c r="C26" s="15">
        <v>2176</v>
      </c>
      <c r="D26" s="15">
        <v>5391</v>
      </c>
      <c r="E26" s="15">
        <v>2972</v>
      </c>
      <c r="F26" s="15">
        <v>3995</v>
      </c>
      <c r="G26" s="74">
        <f t="shared" si="0"/>
        <v>1.3930473732016946E-2</v>
      </c>
    </row>
    <row r="27" spans="1:7">
      <c r="A27" s="10" t="s">
        <v>40</v>
      </c>
      <c r="B27" s="12">
        <v>-879</v>
      </c>
      <c r="C27" s="12">
        <v>1496</v>
      </c>
      <c r="D27" s="12">
        <v>1250</v>
      </c>
      <c r="E27" s="12">
        <v>3864</v>
      </c>
      <c r="F27" s="12">
        <v>1330</v>
      </c>
      <c r="G27" s="74">
        <f t="shared" si="0"/>
        <v>-2.0863569651629703</v>
      </c>
    </row>
    <row r="28" spans="1:7">
      <c r="A28" s="10" t="s">
        <v>41</v>
      </c>
      <c r="B28" s="12">
        <v>1018</v>
      </c>
      <c r="C28" s="12" t="s">
        <v>50</v>
      </c>
      <c r="D28" s="12">
        <v>1016</v>
      </c>
      <c r="E28" s="12">
        <v>869</v>
      </c>
      <c r="F28" s="12">
        <v>1113</v>
      </c>
      <c r="G28" s="74">
        <f t="shared" si="0"/>
        <v>1.800398314116114E-2</v>
      </c>
    </row>
    <row r="29" spans="1:7">
      <c r="A29" s="10" t="s">
        <v>42</v>
      </c>
      <c r="B29" s="12">
        <v>-1897</v>
      </c>
      <c r="C29" s="12" t="s">
        <v>50</v>
      </c>
      <c r="D29" s="12">
        <v>234</v>
      </c>
      <c r="E29" s="12">
        <v>2995</v>
      </c>
      <c r="F29" s="12">
        <v>217</v>
      </c>
      <c r="G29" s="74">
        <f t="shared" si="0"/>
        <v>-1.6481544104535533</v>
      </c>
    </row>
    <row r="30" spans="1:7">
      <c r="A30" s="6" t="s">
        <v>43</v>
      </c>
      <c r="B30" s="15">
        <f>B26-B27</f>
        <v>4607</v>
      </c>
      <c r="C30" s="15">
        <f>C26-C27</f>
        <v>680</v>
      </c>
      <c r="D30" s="15">
        <f>D26-D27</f>
        <v>4141</v>
      </c>
      <c r="E30" s="15">
        <f>E26-E27</f>
        <v>-892</v>
      </c>
      <c r="F30" s="15">
        <f>F26-F27</f>
        <v>2665</v>
      </c>
      <c r="G30" s="74">
        <f t="shared" si="0"/>
        <v>-0.10369503900912769</v>
      </c>
    </row>
    <row r="31" spans="1:7">
      <c r="A31" s="6" t="s">
        <v>51</v>
      </c>
      <c r="B31" s="17">
        <f>B30/B47</f>
        <v>0.16589845156643859</v>
      </c>
      <c r="C31" s="17">
        <f t="shared" ref="C31:F31" si="1">C30/C47</f>
        <v>2.4631434056579853E-2</v>
      </c>
      <c r="D31" s="17">
        <f t="shared" si="1"/>
        <v>0.140745020732785</v>
      </c>
      <c r="E31" s="17">
        <f t="shared" si="1"/>
        <v>-3.0143281968099487E-2</v>
      </c>
      <c r="F31" s="17">
        <f t="shared" si="1"/>
        <v>9.1858541293257961E-2</v>
      </c>
      <c r="G31" s="74">
        <f t="shared" si="0"/>
        <v>-0.11150407066786761</v>
      </c>
    </row>
    <row r="32" spans="1:7">
      <c r="A32" s="6" t="s">
        <v>52</v>
      </c>
      <c r="B32" s="17">
        <f>B30/B48</f>
        <v>0.16538033528377069</v>
      </c>
      <c r="C32" s="17">
        <f>C30/C48</f>
        <v>2.4631434056579853E-2</v>
      </c>
      <c r="D32" s="17">
        <f>D30/D48</f>
        <v>0.140745020732785</v>
      </c>
      <c r="E32" s="17">
        <f>E30/E48</f>
        <v>-3.0050870868847487E-2</v>
      </c>
      <c r="F32" s="17">
        <f>F30/F48</f>
        <v>9.155244082586142E-2</v>
      </c>
      <c r="G32" s="74">
        <f t="shared" si="0"/>
        <v>-0.11154136667649983</v>
      </c>
    </row>
    <row r="33" spans="1:10">
      <c r="A33" s="10" t="s">
        <v>34</v>
      </c>
      <c r="B33" s="12">
        <v>-150</v>
      </c>
      <c r="C33" s="12">
        <v>4789</v>
      </c>
      <c r="D33" s="12">
        <v>4596</v>
      </c>
      <c r="E33" s="12">
        <v>-1428</v>
      </c>
      <c r="F33" s="12">
        <v>41</v>
      </c>
      <c r="G33" s="74">
        <f t="shared" si="0"/>
        <v>-1.7715045994656706</v>
      </c>
    </row>
    <row r="34" spans="1:10">
      <c r="A34" s="18" t="s">
        <v>35</v>
      </c>
      <c r="B34" s="19">
        <v>-161</v>
      </c>
      <c r="C34" s="19">
        <v>423</v>
      </c>
      <c r="D34" s="19">
        <v>1128</v>
      </c>
      <c r="E34" s="19">
        <v>-1091</v>
      </c>
      <c r="F34" s="19">
        <v>-256</v>
      </c>
      <c r="G34" s="74">
        <f t="shared" si="0"/>
        <v>9.7192468645038499E-2</v>
      </c>
    </row>
    <row r="35" spans="1:10">
      <c r="A35" s="10" t="s">
        <v>36</v>
      </c>
      <c r="B35" s="12">
        <v>36</v>
      </c>
      <c r="C35" s="12">
        <v>33</v>
      </c>
      <c r="D35" s="12">
        <v>51</v>
      </c>
      <c r="E35" s="12">
        <v>17</v>
      </c>
      <c r="F35" s="12">
        <v>30</v>
      </c>
      <c r="G35" s="74">
        <f t="shared" si="0"/>
        <v>-3.5807495997372762E-2</v>
      </c>
    </row>
    <row r="36" spans="1:10">
      <c r="A36" s="10" t="s">
        <v>37</v>
      </c>
      <c r="B36" s="12" t="s">
        <v>50</v>
      </c>
      <c r="C36" s="12">
        <v>3525</v>
      </c>
      <c r="D36" s="12">
        <v>1685</v>
      </c>
      <c r="E36" s="12" t="s">
        <v>50</v>
      </c>
      <c r="F36" s="12" t="s">
        <v>50</v>
      </c>
      <c r="G36" s="74"/>
    </row>
    <row r="37" spans="1:10">
      <c r="A37" s="10" t="s">
        <v>38</v>
      </c>
      <c r="B37" s="12">
        <v>156</v>
      </c>
      <c r="C37" s="12">
        <v>486</v>
      </c>
      <c r="D37" s="12">
        <v>720</v>
      </c>
      <c r="E37" s="12">
        <v>356</v>
      </c>
      <c r="F37" s="12">
        <v>346</v>
      </c>
      <c r="G37" s="74">
        <f t="shared" si="0"/>
        <v>0.17270911317712101</v>
      </c>
    </row>
    <row r="38" spans="1:10">
      <c r="A38" s="10" t="s">
        <v>39</v>
      </c>
      <c r="B38" s="12">
        <v>-181</v>
      </c>
      <c r="C38" s="12">
        <v>322</v>
      </c>
      <c r="D38" s="12">
        <v>2260</v>
      </c>
      <c r="E38" s="12">
        <v>-710</v>
      </c>
      <c r="F38" s="12">
        <v>-79</v>
      </c>
      <c r="G38" s="74">
        <f t="shared" si="0"/>
        <v>-0.15279267259042884</v>
      </c>
    </row>
    <row r="39" spans="1:10">
      <c r="A39" s="6" t="s">
        <v>53</v>
      </c>
      <c r="B39" s="15">
        <f>B30-B33</f>
        <v>4757</v>
      </c>
      <c r="C39" s="15">
        <v>-2613</v>
      </c>
      <c r="D39" s="15">
        <v>795</v>
      </c>
      <c r="E39" s="15">
        <v>4400</v>
      </c>
      <c r="F39" s="15">
        <v>3954</v>
      </c>
      <c r="G39" s="74">
        <f t="shared" si="0"/>
        <v>-3.6302565766352157E-2</v>
      </c>
      <c r="I39" s="96"/>
      <c r="J39" s="51"/>
    </row>
    <row r="40" spans="1:10">
      <c r="A40" s="6" t="s">
        <v>51</v>
      </c>
      <c r="B40" s="17">
        <f>B39/B47</f>
        <v>0.17129996398991718</v>
      </c>
      <c r="C40" s="17">
        <f t="shared" ref="C40:F40" si="2">C39/C47</f>
        <v>-9.464990763212229E-2</v>
      </c>
      <c r="D40" s="17">
        <f t="shared" si="2"/>
        <v>2.702059683230236E-2</v>
      </c>
      <c r="E40" s="17">
        <f t="shared" si="2"/>
        <v>0.14868883482022169</v>
      </c>
      <c r="F40" s="17">
        <f t="shared" si="2"/>
        <v>0.13628843237281124</v>
      </c>
      <c r="G40" s="17"/>
    </row>
    <row r="41" spans="1:10">
      <c r="A41" s="6" t="s">
        <v>52</v>
      </c>
      <c r="B41" s="17">
        <f>B39/B48</f>
        <v>0.1707649782819399</v>
      </c>
      <c r="C41" s="17">
        <f>C39/C48</f>
        <v>-9.464990763212229E-2</v>
      </c>
      <c r="D41" s="17">
        <f>D39/D48</f>
        <v>2.702059683230236E-2</v>
      </c>
      <c r="E41" s="17">
        <f>E39/E48</f>
        <v>0.14823299531718492</v>
      </c>
      <c r="F41" s="17">
        <f>F39/F48</f>
        <v>0.13583427805833248</v>
      </c>
      <c r="G41" s="17"/>
    </row>
    <row r="42" spans="1:10">
      <c r="A42" s="10" t="s">
        <v>44</v>
      </c>
      <c r="B42" s="12">
        <v>1969</v>
      </c>
      <c r="C42" s="12">
        <v>3535</v>
      </c>
      <c r="D42" s="12">
        <f>D43</f>
        <v>1248</v>
      </c>
      <c r="E42" s="12">
        <v>0</v>
      </c>
      <c r="F42" s="12">
        <v>0</v>
      </c>
      <c r="G42" s="12"/>
    </row>
    <row r="43" spans="1:10">
      <c r="A43" s="10" t="s">
        <v>45</v>
      </c>
      <c r="B43" s="12">
        <v>1969</v>
      </c>
      <c r="C43" s="12">
        <v>3535</v>
      </c>
      <c r="D43" s="12">
        <v>1248</v>
      </c>
      <c r="E43" s="12">
        <v>0</v>
      </c>
      <c r="F43" s="12">
        <v>0</v>
      </c>
      <c r="G43" s="12"/>
    </row>
    <row r="44" spans="1:10">
      <c r="A44" s="6" t="s">
        <v>54</v>
      </c>
      <c r="B44" s="15">
        <v>2788</v>
      </c>
      <c r="C44" s="15">
        <v>-7644</v>
      </c>
      <c r="D44" s="15">
        <v>-455</v>
      </c>
      <c r="E44" s="15">
        <v>536</v>
      </c>
      <c r="F44" s="15">
        <v>2624</v>
      </c>
      <c r="G44" s="15"/>
    </row>
    <row r="45" spans="1:10">
      <c r="A45" s="6" t="s">
        <v>51</v>
      </c>
      <c r="B45" s="17">
        <f>B44/B47</f>
        <v>0.10039611091105509</v>
      </c>
      <c r="C45" s="17">
        <f t="shared" ref="C45:F45" si="3">C44/C47</f>
        <v>-0.27688629695367117</v>
      </c>
      <c r="D45" s="17">
        <f t="shared" si="3"/>
        <v>-1.5464618312827137E-2</v>
      </c>
      <c r="E45" s="17">
        <f t="shared" si="3"/>
        <v>1.8113003514463367E-2</v>
      </c>
      <c r="F45" s="17">
        <f t="shared" si="3"/>
        <v>9.0445332965669381E-2</v>
      </c>
      <c r="G45" s="17"/>
    </row>
    <row r="46" spans="1:10">
      <c r="A46" s="6" t="s">
        <v>52</v>
      </c>
      <c r="B46" s="17">
        <f>B44/B48</f>
        <v>0.10008256452597193</v>
      </c>
      <c r="C46" s="17">
        <f>C44/C48</f>
        <v>-0.27688629695367117</v>
      </c>
      <c r="D46" s="17">
        <f>D44/D48</f>
        <v>-1.5464618312827137E-2</v>
      </c>
      <c r="E46" s="17">
        <f>E44/E48</f>
        <v>1.8057473975002528E-2</v>
      </c>
      <c r="F46" s="17">
        <f>F44/F48</f>
        <v>9.0143941736232774E-2</v>
      </c>
      <c r="G46" s="17"/>
    </row>
    <row r="47" spans="1:10">
      <c r="A47" s="10" t="s">
        <v>46</v>
      </c>
      <c r="B47" s="12">
        <v>27770</v>
      </c>
      <c r="C47" s="12">
        <v>27607</v>
      </c>
      <c r="D47" s="12">
        <v>29422</v>
      </c>
      <c r="E47" s="12">
        <v>29592</v>
      </c>
      <c r="F47" s="12">
        <v>29012</v>
      </c>
      <c r="G47" s="12"/>
    </row>
    <row r="48" spans="1:10">
      <c r="A48" s="10" t="s">
        <v>47</v>
      </c>
      <c r="B48" s="12">
        <v>27857</v>
      </c>
      <c r="C48" s="12">
        <v>27607</v>
      </c>
      <c r="D48" s="12">
        <v>29422</v>
      </c>
      <c r="E48" s="12">
        <v>29683</v>
      </c>
      <c r="F48" s="12">
        <v>29109</v>
      </c>
      <c r="G48" s="12"/>
    </row>
    <row r="49" spans="1:7">
      <c r="A49" s="10"/>
      <c r="B49" s="12"/>
      <c r="C49" s="12"/>
      <c r="D49" s="12"/>
      <c r="E49" s="12"/>
      <c r="F49" s="12"/>
      <c r="G49" s="12"/>
    </row>
    <row r="50" spans="1:7">
      <c r="A50" s="26" t="s">
        <v>95</v>
      </c>
      <c r="B50" s="12">
        <v>10409</v>
      </c>
      <c r="C50" s="37">
        <v>9795</v>
      </c>
      <c r="D50" s="12">
        <v>14174</v>
      </c>
      <c r="E50" s="37">
        <v>14101</v>
      </c>
      <c r="F50" s="12">
        <v>13845</v>
      </c>
      <c r="G50" s="74">
        <f t="shared" ref="G50:G51" si="4">(((F50/B50)^(1/5))-1)</f>
        <v>5.8709451746010055E-2</v>
      </c>
    </row>
    <row r="51" spans="1:7">
      <c r="A51" s="10" t="s">
        <v>295</v>
      </c>
      <c r="B51" s="12">
        <f>B18+B17+B50+B16</f>
        <v>14554</v>
      </c>
      <c r="C51" s="12">
        <f>C18+C17+C50+C16</f>
        <v>14000</v>
      </c>
      <c r="D51" s="12">
        <f>D18+D17+D50+D16</f>
        <v>23123</v>
      </c>
      <c r="E51" s="12">
        <f>E18+E17+E50+E16</f>
        <v>19520</v>
      </c>
      <c r="F51" s="12">
        <f>F18+F17+F50+F16</f>
        <v>19859</v>
      </c>
      <c r="G51" s="74">
        <f t="shared" si="4"/>
        <v>6.4130769455941872E-2</v>
      </c>
    </row>
    <row r="52" spans="1:7">
      <c r="A52" s="6"/>
      <c r="B52" s="14"/>
      <c r="C52" s="14"/>
      <c r="D52" s="14"/>
      <c r="E52" s="14"/>
      <c r="F52" s="14"/>
      <c r="G52" s="14"/>
    </row>
    <row r="53" spans="1:7">
      <c r="A53" s="6" t="s">
        <v>2</v>
      </c>
      <c r="B53" s="14"/>
      <c r="C53" s="14"/>
      <c r="D53" s="14"/>
      <c r="E53" s="14"/>
      <c r="F53" s="14"/>
      <c r="G53" s="14"/>
    </row>
    <row r="54" spans="1:7">
      <c r="A54" s="10" t="s">
        <v>55</v>
      </c>
      <c r="B54" s="24">
        <f>B18/B6</f>
        <v>8.3421013076807451E-2</v>
      </c>
      <c r="C54" s="24">
        <f>C18/C6</f>
        <v>9.7810653597764849E-2</v>
      </c>
      <c r="D54" s="24">
        <f>D18/D6</f>
        <v>0.1681860630586561</v>
      </c>
      <c r="E54" s="24">
        <f>E18/E6</f>
        <v>0.1086534730306558</v>
      </c>
      <c r="F54" s="24">
        <f>F18/F6</f>
        <v>0.1307810443176832</v>
      </c>
      <c r="G54" s="74">
        <f t="shared" ref="G54:G58" si="5">(((F54/B54)^(1/5))-1)</f>
        <v>9.4092064940005216E-2</v>
      </c>
    </row>
    <row r="55" spans="1:7">
      <c r="A55" s="10" t="s">
        <v>48</v>
      </c>
      <c r="B55" s="24">
        <f>B10/B6</f>
        <v>0.29632174529213456</v>
      </c>
      <c r="C55" s="24">
        <f>C10/C6</f>
        <v>0.30930243209819996</v>
      </c>
      <c r="D55" s="24">
        <f>D10/D6</f>
        <v>0.31778360830702185</v>
      </c>
      <c r="E55" s="24">
        <f>E10/E6</f>
        <v>0.31324613663859024</v>
      </c>
      <c r="F55" s="24">
        <f>F10/F6</f>
        <v>0.32922334357174199</v>
      </c>
      <c r="G55" s="74">
        <f t="shared" si="5"/>
        <v>2.1281393502757151E-2</v>
      </c>
    </row>
    <row r="56" spans="1:7">
      <c r="A56" s="10" t="s">
        <v>56</v>
      </c>
      <c r="B56" s="24">
        <f>B30/B6</f>
        <v>9.8924223229048119E-2</v>
      </c>
      <c r="C56" s="24">
        <f>C30/C6</f>
        <v>1.5572756835982228E-2</v>
      </c>
      <c r="D56" s="24">
        <f>D30/D6</f>
        <v>9.2075421354560413E-2</v>
      </c>
      <c r="E56" s="24">
        <f>E30/E6</f>
        <v>-2.0361113013307768E-2</v>
      </c>
      <c r="F56" s="24">
        <f>F30/F6</f>
        <v>5.8468626590609918E-2</v>
      </c>
      <c r="G56" s="74">
        <f t="shared" si="5"/>
        <v>-9.9831008065154658E-2</v>
      </c>
    </row>
    <row r="57" spans="1:7">
      <c r="A57" s="10" t="s">
        <v>247</v>
      </c>
      <c r="B57" s="24">
        <f>B44/B6</f>
        <v>5.986558158510661E-2</v>
      </c>
      <c r="C57" s="24">
        <f>C44/C6</f>
        <v>-0.17505610772683552</v>
      </c>
      <c r="D57" s="24">
        <f>D44/D6</f>
        <v>-1.0116956463734603E-2</v>
      </c>
      <c r="E57" s="24">
        <f>E44/E6</f>
        <v>1.2234928895888973E-2</v>
      </c>
      <c r="F57" s="24">
        <f>F44/F6</f>
        <v>5.7569109258446688E-2</v>
      </c>
      <c r="G57" s="74">
        <f t="shared" si="5"/>
        <v>-7.7926021774353815E-3</v>
      </c>
    </row>
    <row r="58" spans="1:7">
      <c r="A58" s="10" t="s">
        <v>57</v>
      </c>
      <c r="B58" s="32">
        <f>B18/B21</f>
        <v>3.2321131447587352</v>
      </c>
      <c r="C58" s="32">
        <f>C18/C21</f>
        <v>2.7255902999361838</v>
      </c>
      <c r="D58" s="32">
        <f>D18/D21</f>
        <v>2.6956521739130435</v>
      </c>
      <c r="E58" s="32">
        <f>E18/E21</f>
        <v>1.8601016021883547</v>
      </c>
      <c r="F58" s="32">
        <f>F18/F21</f>
        <v>2.4703688354745132</v>
      </c>
      <c r="G58" s="74">
        <f t="shared" si="5"/>
        <v>-5.2334546746841015E-2</v>
      </c>
    </row>
    <row r="59" spans="1:7">
      <c r="A59" s="7" t="s">
        <v>49</v>
      </c>
      <c r="B59" s="7" t="s">
        <v>3</v>
      </c>
      <c r="C59" s="7"/>
      <c r="D59" s="7"/>
      <c r="E59" s="7"/>
      <c r="F59" s="7"/>
      <c r="G59" s="7"/>
    </row>
  </sheetData>
  <pageMargins left="0.7" right="0.7" top="0.75" bottom="0.75" header="0.3" footer="0.3"/>
  <pageSetup paperSize="9" orientation="portrait" r:id="rId1"/>
  <ignoredErrors>
    <ignoredError sqref="E5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ADE9-18C4-40C0-98F5-B7C1D4F19FD6}">
  <dimension ref="A1:E56"/>
  <sheetViews>
    <sheetView showGridLines="0" topLeftCell="A24" workbookViewId="0">
      <selection activeCell="C55" sqref="C55"/>
    </sheetView>
  </sheetViews>
  <sheetFormatPr defaultRowHeight="15"/>
  <cols>
    <col min="1" max="1" width="69.28515625" bestFit="1" customWidth="1"/>
    <col min="2" max="3" width="10.140625" bestFit="1" customWidth="1"/>
    <col min="4" max="4" width="14" bestFit="1" customWidth="1"/>
    <col min="5" max="5" width="22.140625" bestFit="1" customWidth="1"/>
  </cols>
  <sheetData>
    <row r="1" spans="1:5" ht="20.25">
      <c r="A1" s="153" t="s">
        <v>407</v>
      </c>
      <c r="B1" s="153"/>
      <c r="C1" s="153"/>
    </row>
    <row r="2" spans="1:5">
      <c r="A2" s="2"/>
      <c r="B2" s="2"/>
      <c r="C2" s="2"/>
    </row>
    <row r="3" spans="1:5">
      <c r="A3" s="154" t="s">
        <v>4</v>
      </c>
      <c r="B3" s="155" t="s">
        <v>7</v>
      </c>
      <c r="C3" s="155" t="s">
        <v>7</v>
      </c>
      <c r="D3" s="156" t="s">
        <v>299</v>
      </c>
      <c r="E3" s="157" t="s">
        <v>297</v>
      </c>
    </row>
    <row r="4" spans="1:5" ht="15.75" thickBot="1">
      <c r="A4" s="158" t="s">
        <v>10</v>
      </c>
      <c r="B4" s="159" t="s">
        <v>367</v>
      </c>
      <c r="C4" s="159" t="s">
        <v>368</v>
      </c>
      <c r="D4" s="169" t="s">
        <v>347</v>
      </c>
      <c r="E4" s="170" t="s">
        <v>304</v>
      </c>
    </row>
    <row r="5" spans="1:5">
      <c r="A5" s="133" t="s">
        <v>372</v>
      </c>
      <c r="B5" s="147"/>
      <c r="C5" s="141"/>
      <c r="D5" s="147"/>
      <c r="E5" s="147"/>
    </row>
    <row r="6" spans="1:5">
      <c r="A6" s="136" t="s">
        <v>373</v>
      </c>
      <c r="B6" s="148">
        <f>SUM(B7:B13)</f>
        <v>84284</v>
      </c>
      <c r="C6" s="142">
        <f>SUM(C7:C13)</f>
        <v>71396</v>
      </c>
      <c r="D6" s="171">
        <f t="shared" ref="D6:D21" si="0">(B6-C6)/C6</f>
        <v>0.1805143145274245</v>
      </c>
      <c r="E6" s="151"/>
    </row>
    <row r="7" spans="1:5">
      <c r="A7" s="137" t="s">
        <v>374</v>
      </c>
      <c r="B7" s="149">
        <v>11725</v>
      </c>
      <c r="C7" s="143">
        <v>11488</v>
      </c>
      <c r="D7" s="171">
        <f t="shared" si="0"/>
        <v>2.0630222841225627E-2</v>
      </c>
      <c r="E7" s="151"/>
    </row>
    <row r="8" spans="1:5">
      <c r="A8" s="137" t="s">
        <v>375</v>
      </c>
      <c r="B8" s="149">
        <v>16519</v>
      </c>
      <c r="C8" s="143">
        <v>17044</v>
      </c>
      <c r="D8" s="171">
        <f t="shared" si="0"/>
        <v>-3.0802628490964563E-2</v>
      </c>
      <c r="E8" s="151"/>
    </row>
    <row r="9" spans="1:5">
      <c r="A9" s="137" t="s">
        <v>376</v>
      </c>
      <c r="B9" s="149">
        <v>22725</v>
      </c>
      <c r="C9" s="143">
        <v>23769</v>
      </c>
      <c r="D9" s="171">
        <f t="shared" si="0"/>
        <v>-4.3922756531616813E-2</v>
      </c>
      <c r="E9" s="151"/>
    </row>
    <row r="10" spans="1:5">
      <c r="A10" s="137" t="s">
        <v>377</v>
      </c>
      <c r="B10" s="149">
        <v>7579</v>
      </c>
      <c r="C10" s="143">
        <v>4982</v>
      </c>
      <c r="D10" s="171">
        <f t="shared" si="0"/>
        <v>0.52127659574468088</v>
      </c>
      <c r="E10" s="151"/>
    </row>
    <row r="11" spans="1:5">
      <c r="A11" s="137" t="s">
        <v>378</v>
      </c>
      <c r="B11" s="149">
        <v>12773</v>
      </c>
      <c r="C11" s="137">
        <v>427</v>
      </c>
      <c r="D11" s="171">
        <f t="shared" si="0"/>
        <v>28.91334894613583</v>
      </c>
      <c r="E11" s="151"/>
    </row>
    <row r="12" spans="1:5">
      <c r="A12" s="137" t="s">
        <v>379</v>
      </c>
      <c r="B12" s="149">
        <v>7347</v>
      </c>
      <c r="C12" s="143">
        <v>7270</v>
      </c>
      <c r="D12" s="171">
        <f t="shared" si="0"/>
        <v>1.0591471801925722E-2</v>
      </c>
      <c r="E12" s="151"/>
    </row>
    <row r="13" spans="1:5">
      <c r="A13" s="137" t="s">
        <v>380</v>
      </c>
      <c r="B13" s="149">
        <v>5616</v>
      </c>
      <c r="C13" s="143">
        <v>6416</v>
      </c>
      <c r="D13" s="171">
        <f t="shared" si="0"/>
        <v>-0.12468827930174564</v>
      </c>
      <c r="E13" s="151"/>
    </row>
    <row r="14" spans="1:5">
      <c r="A14" s="136" t="s">
        <v>381</v>
      </c>
      <c r="B14" s="148">
        <f>SUM(B15:B20)</f>
        <v>24929</v>
      </c>
      <c r="C14" s="142">
        <f>SUM(C15:C20)</f>
        <v>33655</v>
      </c>
      <c r="D14" s="171">
        <f t="shared" si="0"/>
        <v>-0.25927796761253902</v>
      </c>
      <c r="E14" s="151"/>
    </row>
    <row r="15" spans="1:5">
      <c r="A15" s="137" t="s">
        <v>382</v>
      </c>
      <c r="B15" s="149">
        <v>1749</v>
      </c>
      <c r="C15" s="143">
        <v>1718</v>
      </c>
      <c r="D15" s="171">
        <f t="shared" si="0"/>
        <v>1.8044237485448197E-2</v>
      </c>
      <c r="E15" s="151"/>
    </row>
    <row r="16" spans="1:5">
      <c r="A16" s="137" t="s">
        <v>383</v>
      </c>
      <c r="B16" s="149">
        <v>8287</v>
      </c>
      <c r="C16" s="143">
        <v>7523</v>
      </c>
      <c r="D16" s="171">
        <f t="shared" si="0"/>
        <v>0.10155523062608002</v>
      </c>
      <c r="E16" s="151"/>
    </row>
    <row r="17" spans="1:5">
      <c r="A17" s="137" t="s">
        <v>384</v>
      </c>
      <c r="B17" s="149">
        <v>2120</v>
      </c>
      <c r="C17" s="137">
        <v>902</v>
      </c>
      <c r="D17" s="171">
        <f t="shared" si="0"/>
        <v>1.3503325942350333</v>
      </c>
      <c r="E17" s="151"/>
    </row>
    <row r="18" spans="1:5">
      <c r="A18" s="137" t="s">
        <v>385</v>
      </c>
      <c r="B18" s="149">
        <v>3835</v>
      </c>
      <c r="C18" s="143">
        <v>2495</v>
      </c>
      <c r="D18" s="171">
        <f t="shared" si="0"/>
        <v>0.53707414829659317</v>
      </c>
      <c r="E18" s="151"/>
    </row>
    <row r="19" spans="1:5">
      <c r="A19" s="137" t="s">
        <v>386</v>
      </c>
      <c r="B19" s="149">
        <v>8580</v>
      </c>
      <c r="C19" s="143">
        <v>5604</v>
      </c>
      <c r="D19" s="171">
        <f t="shared" si="0"/>
        <v>0.53104925053533192</v>
      </c>
      <c r="E19" s="151"/>
    </row>
    <row r="20" spans="1:5">
      <c r="A20" s="137" t="s">
        <v>387</v>
      </c>
      <c r="B20" s="105">
        <v>358</v>
      </c>
      <c r="C20" s="143">
        <v>15413</v>
      </c>
      <c r="D20" s="171">
        <f t="shared" si="0"/>
        <v>-0.97677285408421466</v>
      </c>
      <c r="E20" s="151"/>
    </row>
    <row r="21" spans="1:5">
      <c r="A21" s="136" t="s">
        <v>388</v>
      </c>
      <c r="B21" s="150">
        <f>B14+B6</f>
        <v>109213</v>
      </c>
      <c r="C21" s="144">
        <f>C14+C6</f>
        <v>105051</v>
      </c>
      <c r="D21" s="171">
        <f t="shared" si="0"/>
        <v>3.9618851795794427E-2</v>
      </c>
      <c r="E21" s="151"/>
    </row>
    <row r="22" spans="1:5">
      <c r="A22" s="138"/>
      <c r="B22" s="151"/>
      <c r="C22" s="145"/>
      <c r="D22" s="151"/>
      <c r="E22" s="151"/>
    </row>
    <row r="23" spans="1:5">
      <c r="A23" s="136" t="s">
        <v>389</v>
      </c>
      <c r="B23" s="151"/>
      <c r="C23" s="138"/>
      <c r="D23" s="151"/>
      <c r="E23" s="151"/>
    </row>
    <row r="24" spans="1:5">
      <c r="A24" s="136" t="s">
        <v>390</v>
      </c>
      <c r="B24" s="100">
        <v>18260</v>
      </c>
      <c r="C24" s="142">
        <f>SUM(C25:C26)</f>
        <v>28684</v>
      </c>
      <c r="D24" s="171">
        <f t="shared" ref="D24:D40" si="1">(B24-C24)/C24</f>
        <v>-0.36340817180309581</v>
      </c>
      <c r="E24" s="171">
        <f t="shared" ref="E24:E40" si="2">B24/$B$21</f>
        <v>0.1671962129050571</v>
      </c>
    </row>
    <row r="25" spans="1:5">
      <c r="A25" s="137" t="s">
        <v>391</v>
      </c>
      <c r="B25" s="99">
        <v>11235</v>
      </c>
      <c r="C25" s="143">
        <v>22207</v>
      </c>
      <c r="D25" s="171">
        <f t="shared" si="1"/>
        <v>-0.49407844373395776</v>
      </c>
      <c r="E25" s="171">
        <f t="shared" si="2"/>
        <v>0.10287236867405895</v>
      </c>
    </row>
    <row r="26" spans="1:5">
      <c r="A26" s="137" t="s">
        <v>392</v>
      </c>
      <c r="B26" s="99">
        <v>7025</v>
      </c>
      <c r="C26" s="143">
        <v>6477</v>
      </c>
      <c r="D26" s="171">
        <f t="shared" si="1"/>
        <v>8.4607071174926662E-2</v>
      </c>
      <c r="E26" s="171">
        <f t="shared" si="2"/>
        <v>6.4323844230998142E-2</v>
      </c>
    </row>
    <row r="27" spans="1:5">
      <c r="A27" s="136" t="s">
        <v>393</v>
      </c>
      <c r="B27" s="148">
        <f>SUM(B28:B32)</f>
        <v>58674</v>
      </c>
      <c r="C27" s="142">
        <f>SUM(C28:C32)</f>
        <v>55034</v>
      </c>
      <c r="D27" s="171">
        <f t="shared" si="1"/>
        <v>6.6140931060798783E-2</v>
      </c>
      <c r="E27" s="171">
        <f t="shared" si="2"/>
        <v>0.53724373472022557</v>
      </c>
    </row>
    <row r="28" spans="1:5">
      <c r="A28" s="137" t="s">
        <v>394</v>
      </c>
      <c r="B28" s="99">
        <v>42297</v>
      </c>
      <c r="C28" s="143">
        <v>35290</v>
      </c>
      <c r="D28" s="171">
        <f t="shared" si="1"/>
        <v>0.19855483139699631</v>
      </c>
      <c r="E28" s="171">
        <f t="shared" si="2"/>
        <v>0.38728905899480831</v>
      </c>
    </row>
    <row r="29" spans="1:5">
      <c r="A29" s="137" t="s">
        <v>395</v>
      </c>
      <c r="B29" s="99">
        <v>4039</v>
      </c>
      <c r="C29" s="143">
        <v>6391</v>
      </c>
      <c r="D29" s="171">
        <f t="shared" si="1"/>
        <v>-0.36801752464403065</v>
      </c>
      <c r="E29" s="171">
        <f t="shared" si="2"/>
        <v>3.6982776775658574E-2</v>
      </c>
    </row>
    <row r="30" spans="1:5">
      <c r="A30" s="137" t="s">
        <v>396</v>
      </c>
      <c r="B30" s="99">
        <v>2561</v>
      </c>
      <c r="C30" s="143">
        <v>3089</v>
      </c>
      <c r="D30" s="171">
        <f t="shared" si="1"/>
        <v>-0.17092910326966657</v>
      </c>
      <c r="E30" s="171">
        <f t="shared" si="2"/>
        <v>2.3449589334603022E-2</v>
      </c>
    </row>
    <row r="31" spans="1:5">
      <c r="A31" s="137" t="s">
        <v>397</v>
      </c>
      <c r="B31" s="99">
        <v>2620</v>
      </c>
      <c r="C31" s="143">
        <v>2602</v>
      </c>
      <c r="D31" s="171">
        <f t="shared" si="1"/>
        <v>6.9177555726364333E-3</v>
      </c>
      <c r="E31" s="171">
        <f t="shared" si="2"/>
        <v>2.3989818061952332E-2</v>
      </c>
    </row>
    <row r="32" spans="1:5">
      <c r="A32" s="137" t="s">
        <v>398</v>
      </c>
      <c r="B32" s="99">
        <v>7157</v>
      </c>
      <c r="C32" s="143">
        <v>7662</v>
      </c>
      <c r="D32" s="171">
        <f t="shared" si="1"/>
        <v>-6.5909684155572953E-2</v>
      </c>
      <c r="E32" s="171">
        <f t="shared" si="2"/>
        <v>6.553249155320337E-2</v>
      </c>
    </row>
    <row r="33" spans="1:5">
      <c r="A33" s="136" t="s">
        <v>399</v>
      </c>
      <c r="B33" s="148">
        <f>SUM(B34:B39)</f>
        <v>28117</v>
      </c>
      <c r="C33" s="142">
        <f>SUM(C34:C39)</f>
        <v>25495</v>
      </c>
      <c r="D33" s="171">
        <f t="shared" si="1"/>
        <v>0.10284369484212591</v>
      </c>
      <c r="E33" s="171">
        <f t="shared" si="2"/>
        <v>0.25745103604882202</v>
      </c>
    </row>
    <row r="34" spans="1:5">
      <c r="A34" s="137" t="s">
        <v>400</v>
      </c>
      <c r="B34" s="99">
        <v>8123</v>
      </c>
      <c r="C34" s="143">
        <v>7005</v>
      </c>
      <c r="D34" s="171">
        <f t="shared" si="1"/>
        <v>0.15960028551034974</v>
      </c>
      <c r="E34" s="171">
        <f t="shared" si="2"/>
        <v>7.4377592411159849E-2</v>
      </c>
    </row>
    <row r="35" spans="1:5">
      <c r="A35" s="137" t="s">
        <v>401</v>
      </c>
      <c r="B35" s="99">
        <v>1255</v>
      </c>
      <c r="C35" s="143">
        <v>1679</v>
      </c>
      <c r="D35" s="171">
        <f t="shared" si="1"/>
        <v>-0.25253126861226921</v>
      </c>
      <c r="E35" s="171">
        <f t="shared" si="2"/>
        <v>1.1491305980057319E-2</v>
      </c>
    </row>
    <row r="36" spans="1:5">
      <c r="A36" s="137" t="s">
        <v>402</v>
      </c>
      <c r="B36" s="99">
        <v>10912</v>
      </c>
      <c r="C36" s="143">
        <v>13210</v>
      </c>
      <c r="D36" s="171">
        <f t="shared" si="1"/>
        <v>-0.17395912187736562</v>
      </c>
      <c r="E36" s="171">
        <f t="shared" si="2"/>
        <v>9.9914845302299174E-2</v>
      </c>
    </row>
    <row r="37" spans="1:5">
      <c r="A37" s="137" t="s">
        <v>403</v>
      </c>
      <c r="B37" s="99">
        <v>1732</v>
      </c>
      <c r="C37" s="143">
        <v>2026</v>
      </c>
      <c r="D37" s="171">
        <f t="shared" si="1"/>
        <v>-0.14511352418558737</v>
      </c>
      <c r="E37" s="171">
        <f t="shared" si="2"/>
        <v>1.5858917894389861E-2</v>
      </c>
    </row>
    <row r="38" spans="1:5">
      <c r="A38" s="137" t="s">
        <v>404</v>
      </c>
      <c r="B38" s="99">
        <v>1304</v>
      </c>
      <c r="C38" s="143">
        <v>1441</v>
      </c>
      <c r="D38" s="171">
        <f t="shared" si="1"/>
        <v>-9.5072866065232478E-2</v>
      </c>
      <c r="E38" s="171">
        <f t="shared" si="2"/>
        <v>1.1939970516330474E-2</v>
      </c>
    </row>
    <row r="39" spans="1:5">
      <c r="A39" s="137" t="s">
        <v>405</v>
      </c>
      <c r="B39" s="99">
        <v>4791</v>
      </c>
      <c r="C39" s="137">
        <v>134</v>
      </c>
      <c r="D39" s="171">
        <f t="shared" si="1"/>
        <v>34.753731343283583</v>
      </c>
      <c r="E39" s="171">
        <f t="shared" si="2"/>
        <v>4.3868403944585355E-2</v>
      </c>
    </row>
    <row r="40" spans="1:5" ht="15.75" thickBot="1">
      <c r="A40" s="140" t="s">
        <v>406</v>
      </c>
      <c r="B40" s="152">
        <f>B33+B27+B24</f>
        <v>105051</v>
      </c>
      <c r="C40" s="146">
        <f>C33+C27+C24</f>
        <v>109213</v>
      </c>
      <c r="D40" s="172">
        <f t="shared" si="1"/>
        <v>-3.8109016325895272E-2</v>
      </c>
      <c r="E40" s="172">
        <f t="shared" si="2"/>
        <v>0.96189098367410475</v>
      </c>
    </row>
    <row r="41" spans="1:5">
      <c r="A41" s="173"/>
      <c r="B41" s="134"/>
      <c r="C41" s="134"/>
      <c r="D41" s="134"/>
      <c r="E41" s="135"/>
    </row>
    <row r="42" spans="1:5">
      <c r="A42" s="138"/>
      <c r="E42" s="139"/>
    </row>
    <row r="43" spans="1:5">
      <c r="A43" t="s">
        <v>2</v>
      </c>
      <c r="E43" s="139"/>
    </row>
    <row r="44" spans="1:5">
      <c r="A44" t="s">
        <v>240</v>
      </c>
      <c r="B44" s="177">
        <f>'Telefonica income statement'!C20/'Telefonica Balance Sheet'!B24</f>
        <v>0.58691128148959471</v>
      </c>
      <c r="C44" s="177">
        <f>'Telefonica income statement'!B20/'Telefonica Balance Sheet'!C24</f>
        <v>6.8226188816064709E-2</v>
      </c>
      <c r="E44" s="139"/>
    </row>
    <row r="45" spans="1:5">
      <c r="A45" t="s">
        <v>286</v>
      </c>
      <c r="B45" s="177">
        <f>'Telefonica income statement'!C4/'Telefonica Balance Sheet'!B21</f>
        <v>0.35963667328980981</v>
      </c>
      <c r="C45" s="177">
        <f>'Telefonica income statement'!B4/'Telefonica Balance Sheet'!C21</f>
        <v>0.41004845265632883</v>
      </c>
      <c r="E45" s="139"/>
    </row>
    <row r="46" spans="1:5">
      <c r="A46" t="s">
        <v>243</v>
      </c>
      <c r="B46">
        <f>B21/B24</f>
        <v>5.9809967141292439</v>
      </c>
      <c r="C46">
        <f>C21/C24</f>
        <v>3.6623553200390462</v>
      </c>
      <c r="E46" s="139"/>
    </row>
    <row r="47" spans="1:5">
      <c r="A47" t="s">
        <v>242</v>
      </c>
      <c r="B47" s="177">
        <f>B46*B45*'Telefonica income statement'!C31</f>
        <v>0.58691128148959471</v>
      </c>
      <c r="C47" s="177">
        <f>C46*C45*'Telefonica income statement'!B31</f>
        <v>6.8226188816064695E-2</v>
      </c>
      <c r="E47" s="139"/>
    </row>
    <row r="48" spans="1:5">
      <c r="A48" t="s">
        <v>241</v>
      </c>
      <c r="B48" s="177">
        <f>'Telefonica income statement'!C20/'Telefonica Balance Sheet'!B21</f>
        <v>9.8129343576314171E-2</v>
      </c>
      <c r="C48" s="177">
        <f>'Telefonica income statement'!B20/'Telefonica Balance Sheet'!C21</f>
        <v>1.8629046843913907E-2</v>
      </c>
      <c r="E48" s="139"/>
    </row>
    <row r="49" spans="1:5">
      <c r="A49" s="138"/>
      <c r="E49" s="139"/>
    </row>
    <row r="50" spans="1:5">
      <c r="A50" s="138"/>
      <c r="E50" s="139"/>
    </row>
    <row r="51" spans="1:5">
      <c r="A51" s="26" t="s">
        <v>248</v>
      </c>
      <c r="B51" s="177">
        <f>(B28+B29)/(B24+B28+B29)</f>
        <v>0.71731995789212954</v>
      </c>
      <c r="C51" s="177">
        <f>(C28+C29)/(C24+C28+C29)</f>
        <v>0.59235415334328145</v>
      </c>
      <c r="E51" s="139"/>
    </row>
    <row r="52" spans="1:5">
      <c r="A52" s="26" t="s">
        <v>282</v>
      </c>
      <c r="B52" s="177">
        <f>(B28+B29)/B24</f>
        <v>2.537568455640745</v>
      </c>
      <c r="C52" s="177">
        <f>(C28+C29)/C24</f>
        <v>1.4531097475944779</v>
      </c>
      <c r="E52" s="139"/>
    </row>
    <row r="53" spans="1:5">
      <c r="A53" s="138"/>
      <c r="E53" s="139"/>
    </row>
    <row r="54" spans="1:5">
      <c r="A54" s="138" t="s">
        <v>101</v>
      </c>
      <c r="B54" s="51">
        <f>B14/B33</f>
        <v>0.88661663762136789</v>
      </c>
      <c r="C54" s="51">
        <f>C14/C33</f>
        <v>1.3200627574034125</v>
      </c>
      <c r="E54" s="139"/>
    </row>
    <row r="55" spans="1:5">
      <c r="A55" s="138" t="s">
        <v>283</v>
      </c>
      <c r="B55" s="51">
        <f>(B14-B15)/B33</f>
        <v>0.82441227726997901</v>
      </c>
      <c r="C55" s="51">
        <f>(C14-C15)/C33</f>
        <v>1.2526769954893116</v>
      </c>
      <c r="E55" s="139"/>
    </row>
    <row r="56" spans="1:5" ht="15.75" thickBot="1">
      <c r="A56" s="174"/>
      <c r="B56" s="175"/>
      <c r="C56" s="175"/>
      <c r="D56" s="175"/>
      <c r="E56" s="176"/>
    </row>
  </sheetData>
  <pageMargins left="0.7" right="0.7" top="0.75" bottom="0.75" header="0.3" footer="0.3"/>
  <ignoredErrors>
    <ignoredError sqref="C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559E-3D01-4643-9F0C-8DFF5711F1CD}">
  <dimension ref="A1:G64"/>
  <sheetViews>
    <sheetView showGridLines="0" zoomScale="115" zoomScaleNormal="115" workbookViewId="0">
      <selection activeCell="F8" sqref="F8"/>
    </sheetView>
  </sheetViews>
  <sheetFormatPr defaultRowHeight="15"/>
  <cols>
    <col min="1" max="1" width="35.140625" customWidth="1"/>
    <col min="2" max="6" width="11.85546875" customWidth="1"/>
    <col min="7" max="7" width="11.85546875" style="51" customWidth="1"/>
  </cols>
  <sheetData>
    <row r="1" spans="1:7">
      <c r="A1" s="1"/>
      <c r="B1" s="1"/>
      <c r="C1" s="1"/>
      <c r="D1" s="1"/>
      <c r="E1" s="1"/>
      <c r="F1" s="1"/>
      <c r="G1" s="86"/>
    </row>
    <row r="2" spans="1:7" ht="20.25">
      <c r="A2" s="8" t="s">
        <v>97</v>
      </c>
      <c r="B2" s="8"/>
      <c r="C2" s="8"/>
      <c r="D2" s="8"/>
      <c r="E2" s="8"/>
      <c r="F2" s="8"/>
      <c r="G2" s="87"/>
    </row>
    <row r="3" spans="1:7">
      <c r="A3" s="2"/>
      <c r="B3" s="2"/>
      <c r="C3" s="2"/>
      <c r="D3" s="2"/>
      <c r="E3" s="2"/>
      <c r="F3" s="2"/>
      <c r="G3" s="88"/>
    </row>
    <row r="4" spans="1:7">
      <c r="A4" s="3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89" t="s">
        <v>348</v>
      </c>
    </row>
    <row r="5" spans="1:7">
      <c r="A5" s="9" t="s">
        <v>10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</row>
    <row r="6" spans="1:7">
      <c r="A6" s="6" t="s">
        <v>88</v>
      </c>
      <c r="B6" s="34"/>
      <c r="C6" s="36"/>
      <c r="D6" s="34"/>
      <c r="E6" s="36"/>
      <c r="F6" s="34"/>
      <c r="G6" s="91"/>
    </row>
    <row r="7" spans="1:7">
      <c r="A7" s="26" t="s">
        <v>96</v>
      </c>
      <c r="B7" s="35">
        <v>2439</v>
      </c>
      <c r="C7" s="28">
        <v>-8020</v>
      </c>
      <c r="D7" s="38">
        <v>-920</v>
      </c>
      <c r="E7">
        <v>112</v>
      </c>
      <c r="F7" s="35">
        <v>2088</v>
      </c>
      <c r="G7" s="79">
        <f t="shared" ref="G7:G16" si="0">(((F7/B7)^(1/5))-1)</f>
        <v>-3.0598385241754289E-2</v>
      </c>
    </row>
    <row r="8" spans="1:7">
      <c r="A8" s="26" t="s">
        <v>95</v>
      </c>
      <c r="B8" s="12">
        <v>10409</v>
      </c>
      <c r="C8" s="37">
        <v>9795</v>
      </c>
      <c r="D8" s="12">
        <v>14174</v>
      </c>
      <c r="E8" s="37">
        <v>14101</v>
      </c>
      <c r="F8" s="12">
        <v>13845</v>
      </c>
      <c r="G8" s="54">
        <f t="shared" si="0"/>
        <v>5.8709451746010055E-2</v>
      </c>
    </row>
    <row r="9" spans="1:7">
      <c r="A9" s="29" t="s">
        <v>94</v>
      </c>
      <c r="B9" s="30">
        <v>1736</v>
      </c>
      <c r="C9" s="30">
        <v>10710</v>
      </c>
      <c r="D9" s="30">
        <v>7547</v>
      </c>
      <c r="E9" s="39">
        <v>2997</v>
      </c>
      <c r="F9" s="30">
        <v>2070</v>
      </c>
      <c r="G9" s="73">
        <f t="shared" si="0"/>
        <v>3.5819600836190624E-2</v>
      </c>
    </row>
    <row r="10" spans="1:7">
      <c r="A10" s="26" t="s">
        <v>93</v>
      </c>
      <c r="B10" s="12">
        <v>128</v>
      </c>
      <c r="C10" s="12">
        <v>147</v>
      </c>
      <c r="D10" s="12">
        <v>146</v>
      </c>
      <c r="E10" s="12">
        <v>146</v>
      </c>
      <c r="F10" s="12">
        <v>173</v>
      </c>
      <c r="G10" s="54">
        <f t="shared" si="0"/>
        <v>6.2104445715913892E-2</v>
      </c>
    </row>
    <row r="11" spans="1:7">
      <c r="A11" s="63" t="s">
        <v>92</v>
      </c>
      <c r="B11" s="19">
        <v>1608</v>
      </c>
      <c r="C11" s="19">
        <v>10563</v>
      </c>
      <c r="D11" s="19">
        <v>7401</v>
      </c>
      <c r="E11" s="19">
        <v>2851</v>
      </c>
      <c r="F11" s="19">
        <v>1897</v>
      </c>
      <c r="G11" s="92">
        <f t="shared" si="0"/>
        <v>3.3608940671453924E-2</v>
      </c>
    </row>
    <row r="12" spans="1:7">
      <c r="A12" s="29" t="s">
        <v>91</v>
      </c>
      <c r="B12" s="30">
        <v>-858</v>
      </c>
      <c r="C12" s="30">
        <v>577</v>
      </c>
      <c r="D12" s="30">
        <v>-70</v>
      </c>
      <c r="E12" s="30">
        <v>-216</v>
      </c>
      <c r="F12" s="30">
        <v>-416</v>
      </c>
      <c r="G12" s="73">
        <f t="shared" si="0"/>
        <v>-0.13479064103089233</v>
      </c>
    </row>
    <row r="13" spans="1:7">
      <c r="A13" s="26" t="s">
        <v>90</v>
      </c>
      <c r="B13" s="12">
        <v>-26</v>
      </c>
      <c r="C13" s="12">
        <v>-131</v>
      </c>
      <c r="D13" s="12">
        <v>68</v>
      </c>
      <c r="E13" s="12">
        <v>-68</v>
      </c>
      <c r="F13" s="12">
        <v>-162</v>
      </c>
      <c r="G13" s="54">
        <f t="shared" si="0"/>
        <v>0.44181099586307515</v>
      </c>
    </row>
    <row r="14" spans="1:7">
      <c r="A14" s="26" t="s">
        <v>89</v>
      </c>
      <c r="B14" s="12">
        <v>-832</v>
      </c>
      <c r="C14" s="12">
        <v>708</v>
      </c>
      <c r="D14" s="12">
        <v>-138</v>
      </c>
      <c r="E14" s="12">
        <v>-148</v>
      </c>
      <c r="F14" s="12">
        <v>-254</v>
      </c>
      <c r="G14" s="54">
        <f t="shared" si="0"/>
        <v>-0.21124508578336709</v>
      </c>
    </row>
    <row r="15" spans="1:7">
      <c r="A15" s="26" t="s">
        <v>65</v>
      </c>
      <c r="B15" s="12">
        <v>858</v>
      </c>
      <c r="C15" s="12">
        <v>-71</v>
      </c>
      <c r="D15" s="12">
        <v>0</v>
      </c>
      <c r="E15" s="12">
        <v>0</v>
      </c>
      <c r="F15" s="12">
        <v>0</v>
      </c>
      <c r="G15" s="54">
        <f t="shared" si="0"/>
        <v>-1</v>
      </c>
    </row>
    <row r="16" spans="1:7">
      <c r="A16" s="6" t="s">
        <v>88</v>
      </c>
      <c r="B16" s="15">
        <v>14584</v>
      </c>
      <c r="C16" s="15">
        <v>12991</v>
      </c>
      <c r="D16" s="15">
        <v>20731</v>
      </c>
      <c r="E16" s="15">
        <v>16994</v>
      </c>
      <c r="F16" s="15">
        <v>17587</v>
      </c>
      <c r="G16" s="73">
        <f t="shared" si="0"/>
        <v>3.8156964039166574E-2</v>
      </c>
    </row>
    <row r="17" spans="1:7">
      <c r="A17" s="6"/>
      <c r="B17" s="14"/>
      <c r="C17" s="14"/>
      <c r="D17" s="14"/>
      <c r="E17" s="14"/>
      <c r="F17" s="14"/>
      <c r="G17" s="73"/>
    </row>
    <row r="18" spans="1:7">
      <c r="A18" s="6" t="s">
        <v>75</v>
      </c>
      <c r="B18" s="14"/>
      <c r="C18" s="14"/>
      <c r="D18" s="14"/>
      <c r="E18" s="14"/>
      <c r="F18" s="14"/>
      <c r="G18" s="73"/>
    </row>
    <row r="19" spans="1:7">
      <c r="A19" s="26" t="s">
        <v>87</v>
      </c>
      <c r="B19" s="12">
        <v>-8122</v>
      </c>
      <c r="C19" s="12">
        <v>-8106</v>
      </c>
      <c r="D19" s="12">
        <v>-7544</v>
      </c>
      <c r="E19" s="12">
        <v>-8597</v>
      </c>
      <c r="F19" s="12">
        <v>-9027</v>
      </c>
      <c r="G19" s="54">
        <f t="shared" ref="G19:G32" si="1">(((F19/B19)^(1/5))-1)</f>
        <v>2.1353523454644252E-2</v>
      </c>
    </row>
    <row r="20" spans="1:7">
      <c r="A20" s="26" t="s">
        <v>86</v>
      </c>
      <c r="B20" s="12">
        <v>41</v>
      </c>
      <c r="C20" s="12">
        <v>45</v>
      </c>
      <c r="D20" s="12">
        <v>61</v>
      </c>
      <c r="E20" s="12">
        <v>43</v>
      </c>
      <c r="F20" s="12">
        <v>33</v>
      </c>
      <c r="G20" s="54">
        <f t="shared" si="1"/>
        <v>-4.2484050904789017E-2</v>
      </c>
    </row>
    <row r="21" spans="1:7">
      <c r="A21" s="27" t="s">
        <v>85</v>
      </c>
      <c r="B21" s="16">
        <v>41</v>
      </c>
      <c r="C21" s="16">
        <v>45</v>
      </c>
      <c r="D21" s="16">
        <v>61</v>
      </c>
      <c r="E21" s="16">
        <v>43</v>
      </c>
      <c r="F21" s="16">
        <v>33</v>
      </c>
      <c r="G21" s="93">
        <f t="shared" si="1"/>
        <v>-4.2484050904789017E-2</v>
      </c>
    </row>
    <row r="22" spans="1:7">
      <c r="A22" s="26" t="s">
        <v>84</v>
      </c>
      <c r="B22" s="12">
        <v>-8163</v>
      </c>
      <c r="C22" s="12">
        <v>-8151</v>
      </c>
      <c r="D22" s="12">
        <v>-7605</v>
      </c>
      <c r="E22" s="12">
        <v>-8640</v>
      </c>
      <c r="F22" s="12">
        <v>-9060</v>
      </c>
      <c r="G22" s="54">
        <f t="shared" si="1"/>
        <v>2.1070385198410646E-2</v>
      </c>
    </row>
    <row r="23" spans="1:7">
      <c r="A23" s="27" t="s">
        <v>83</v>
      </c>
      <c r="B23" s="16">
        <v>-4917</v>
      </c>
      <c r="C23" s="16">
        <v>-5053</v>
      </c>
      <c r="D23" s="16">
        <v>-5182</v>
      </c>
      <c r="E23" s="16">
        <v>-5413</v>
      </c>
      <c r="F23" s="16">
        <v>-5798</v>
      </c>
      <c r="G23" s="93">
        <f t="shared" si="1"/>
        <v>3.3512183253243233E-2</v>
      </c>
    </row>
    <row r="24" spans="1:7">
      <c r="A24" s="27" t="s">
        <v>82</v>
      </c>
      <c r="B24" s="16">
        <v>-3246</v>
      </c>
      <c r="C24" s="16">
        <v>-3098</v>
      </c>
      <c r="D24" s="16">
        <v>-2423</v>
      </c>
      <c r="E24" s="16">
        <v>-3227</v>
      </c>
      <c r="F24" s="16">
        <v>-3262</v>
      </c>
      <c r="G24" s="93">
        <f t="shared" si="1"/>
        <v>9.8389072451543491E-4</v>
      </c>
    </row>
    <row r="25" spans="1:7">
      <c r="A25" s="26" t="s">
        <v>81</v>
      </c>
      <c r="B25" s="12">
        <v>-2651</v>
      </c>
      <c r="C25" s="12">
        <v>-1360</v>
      </c>
      <c r="D25" s="12">
        <v>5960</v>
      </c>
      <c r="E25" s="12">
        <v>-2022</v>
      </c>
      <c r="F25" s="12">
        <v>1273</v>
      </c>
      <c r="G25" s="54">
        <f>-(((F25/B25)^(1/5))-1)</f>
        <v>1.8635425369273533</v>
      </c>
    </row>
    <row r="26" spans="1:7">
      <c r="A26" s="26" t="s">
        <v>80</v>
      </c>
      <c r="B26" s="12">
        <v>1250</v>
      </c>
      <c r="C26" s="12">
        <v>2269</v>
      </c>
      <c r="D26" s="12">
        <v>7792</v>
      </c>
      <c r="E26" s="12">
        <v>1704</v>
      </c>
      <c r="F26" s="12">
        <v>3282</v>
      </c>
      <c r="G26" s="54">
        <f t="shared" si="1"/>
        <v>0.21295785906063247</v>
      </c>
    </row>
    <row r="27" spans="1:7">
      <c r="A27" s="26" t="s">
        <v>79</v>
      </c>
      <c r="B27" s="12">
        <v>-3901</v>
      </c>
      <c r="C27" s="12">
        <v>-3629</v>
      </c>
      <c r="D27" s="12">
        <v>-1832</v>
      </c>
      <c r="E27" s="12">
        <v>-3726</v>
      </c>
      <c r="F27" s="12">
        <v>-2009</v>
      </c>
      <c r="G27" s="54">
        <f t="shared" si="1"/>
        <v>-0.12428901557448546</v>
      </c>
    </row>
    <row r="28" spans="1:7">
      <c r="A28" s="26" t="s">
        <v>78</v>
      </c>
      <c r="B28" s="12">
        <v>312</v>
      </c>
      <c r="C28" s="12">
        <v>-499</v>
      </c>
      <c r="D28" s="12">
        <v>-7292</v>
      </c>
      <c r="E28" s="12">
        <v>428</v>
      </c>
      <c r="F28" s="12">
        <v>1</v>
      </c>
      <c r="G28" s="54">
        <f t="shared" si="1"/>
        <v>-0.68291983085322128</v>
      </c>
    </row>
    <row r="29" spans="1:7">
      <c r="A29" s="26" t="s">
        <v>77</v>
      </c>
      <c r="B29" s="12">
        <v>354</v>
      </c>
      <c r="C29" s="12">
        <v>-412</v>
      </c>
      <c r="D29" s="12">
        <v>4427</v>
      </c>
      <c r="E29" s="12">
        <v>577</v>
      </c>
      <c r="F29" s="12">
        <v>446</v>
      </c>
      <c r="G29" s="54">
        <f t="shared" si="1"/>
        <v>4.7288462986109003E-2</v>
      </c>
    </row>
    <row r="30" spans="1:7">
      <c r="A30" s="26" t="s">
        <v>76</v>
      </c>
      <c r="B30" s="12">
        <v>-42</v>
      </c>
      <c r="C30" s="12">
        <v>-87</v>
      </c>
      <c r="D30" s="12">
        <v>-11719</v>
      </c>
      <c r="E30" s="12">
        <v>-149</v>
      </c>
      <c r="F30" s="12">
        <v>-445</v>
      </c>
      <c r="G30" s="54">
        <f t="shared" si="1"/>
        <v>0.60332714019294054</v>
      </c>
    </row>
    <row r="31" spans="1:7">
      <c r="A31" s="26" t="s">
        <v>65</v>
      </c>
      <c r="B31" s="12">
        <v>-247</v>
      </c>
      <c r="C31" s="12">
        <v>-372</v>
      </c>
      <c r="D31" s="12">
        <v>0</v>
      </c>
      <c r="E31" s="12">
        <v>0</v>
      </c>
      <c r="F31" s="12">
        <v>0</v>
      </c>
      <c r="G31" s="54">
        <f t="shared" si="1"/>
        <v>-1</v>
      </c>
    </row>
    <row r="32" spans="1:7">
      <c r="A32" s="6" t="s">
        <v>75</v>
      </c>
      <c r="B32" s="15">
        <v>-10708</v>
      </c>
      <c r="C32" s="15">
        <v>-10337</v>
      </c>
      <c r="D32" s="15">
        <v>-8876</v>
      </c>
      <c r="E32" s="15">
        <v>-10191</v>
      </c>
      <c r="F32" s="15">
        <v>-7753</v>
      </c>
      <c r="G32" s="73">
        <f t="shared" si="1"/>
        <v>-6.2540996866095377E-2</v>
      </c>
    </row>
    <row r="33" spans="1:7">
      <c r="A33" s="6"/>
      <c r="B33" s="14"/>
      <c r="C33" s="14"/>
      <c r="D33" s="14"/>
      <c r="E33" s="14"/>
      <c r="F33" s="14"/>
      <c r="G33" s="73"/>
    </row>
    <row r="34" spans="1:7">
      <c r="A34" s="6" t="s">
        <v>64</v>
      </c>
      <c r="B34" s="14"/>
      <c r="C34" s="14"/>
      <c r="D34" s="14"/>
      <c r="E34" s="14"/>
      <c r="F34" s="14"/>
      <c r="G34" s="73"/>
    </row>
    <row r="35" spans="1:7">
      <c r="A35" s="26" t="s">
        <v>74</v>
      </c>
      <c r="B35" s="12">
        <v>-3920</v>
      </c>
      <c r="C35" s="12">
        <v>-4064</v>
      </c>
      <c r="D35" s="12">
        <v>-2296</v>
      </c>
      <c r="E35" s="12">
        <v>-2427</v>
      </c>
      <c r="F35" s="12">
        <v>-2474</v>
      </c>
      <c r="G35" s="54">
        <f t="shared" ref="G35:G52" si="2">(((F35/B35)^(1/5))-1)</f>
        <v>-8.794143591718584E-2</v>
      </c>
    </row>
    <row r="36" spans="1:7">
      <c r="A36" s="26" t="s">
        <v>73</v>
      </c>
      <c r="B36" s="12">
        <v>-758</v>
      </c>
      <c r="C36" s="12">
        <v>7960</v>
      </c>
      <c r="D36" s="12">
        <v>-3607</v>
      </c>
      <c r="E36" s="12">
        <v>-10669</v>
      </c>
      <c r="F36" s="12">
        <v>-2698</v>
      </c>
      <c r="G36" s="54">
        <f t="shared" si="2"/>
        <v>0.28906420187828674</v>
      </c>
    </row>
    <row r="37" spans="1:7">
      <c r="A37" s="26" t="s">
        <v>72</v>
      </c>
      <c r="B37" s="12">
        <v>-534</v>
      </c>
      <c r="C37" s="12">
        <v>-541</v>
      </c>
      <c r="D37" s="12">
        <v>2488</v>
      </c>
      <c r="E37" s="12">
        <v>-2791</v>
      </c>
      <c r="F37" s="12">
        <v>3002</v>
      </c>
      <c r="G37" s="54">
        <f t="shared" si="2"/>
        <v>-2.4124526122789782</v>
      </c>
    </row>
    <row r="38" spans="1:7">
      <c r="A38" s="26" t="s">
        <v>71</v>
      </c>
      <c r="B38" s="12">
        <v>4440</v>
      </c>
      <c r="C38" s="12">
        <v>14681</v>
      </c>
      <c r="D38" s="12">
        <v>9933</v>
      </c>
      <c r="E38" s="12">
        <v>4359</v>
      </c>
      <c r="F38" s="12">
        <v>2548</v>
      </c>
      <c r="G38" s="54">
        <f t="shared" si="2"/>
        <v>-0.10512311403199703</v>
      </c>
    </row>
    <row r="39" spans="1:7">
      <c r="A39" s="26" t="s">
        <v>70</v>
      </c>
      <c r="B39" s="12">
        <v>-4664</v>
      </c>
      <c r="C39" s="12">
        <v>-6180</v>
      </c>
      <c r="D39" s="12">
        <v>-16028</v>
      </c>
      <c r="E39" s="12">
        <v>-12237</v>
      </c>
      <c r="F39" s="12">
        <v>-8248</v>
      </c>
      <c r="G39" s="54">
        <f t="shared" si="2"/>
        <v>0.1207739344096419</v>
      </c>
    </row>
    <row r="40" spans="1:7">
      <c r="A40" s="26" t="s">
        <v>69</v>
      </c>
      <c r="B40" s="12">
        <v>-1746</v>
      </c>
      <c r="C40" s="12">
        <v>-468</v>
      </c>
      <c r="D40" s="12">
        <v>-814</v>
      </c>
      <c r="E40" s="12">
        <v>-57</v>
      </c>
      <c r="F40" s="12">
        <v>-2087</v>
      </c>
      <c r="G40" s="54">
        <f t="shared" si="2"/>
        <v>3.6324205066641024E-2</v>
      </c>
    </row>
    <row r="41" spans="1:7">
      <c r="A41" s="26" t="s">
        <v>68</v>
      </c>
      <c r="B41" s="12">
        <v>20</v>
      </c>
      <c r="C41" s="12">
        <v>7</v>
      </c>
      <c r="D41" s="12">
        <v>7</v>
      </c>
      <c r="E41" s="12">
        <v>5</v>
      </c>
      <c r="F41" s="12">
        <v>0</v>
      </c>
      <c r="G41" s="54">
        <f t="shared" si="2"/>
        <v>-1</v>
      </c>
    </row>
    <row r="42" spans="1:7">
      <c r="A42" s="26" t="s">
        <v>67</v>
      </c>
      <c r="B42" s="12">
        <v>-1766</v>
      </c>
      <c r="C42" s="12">
        <v>-475</v>
      </c>
      <c r="D42" s="12">
        <v>-821</v>
      </c>
      <c r="E42" s="12">
        <v>-62</v>
      </c>
      <c r="F42" s="12">
        <v>-2087</v>
      </c>
      <c r="G42" s="54">
        <f t="shared" si="2"/>
        <v>3.3966218837533591E-2</v>
      </c>
    </row>
    <row r="43" spans="1:7">
      <c r="A43" s="26" t="s">
        <v>66</v>
      </c>
      <c r="B43" s="12">
        <v>483</v>
      </c>
      <c r="C43" s="12">
        <v>3085</v>
      </c>
      <c r="D43" s="12">
        <v>-351</v>
      </c>
      <c r="E43" s="12">
        <v>109</v>
      </c>
      <c r="F43" s="12">
        <v>-643</v>
      </c>
      <c r="G43" s="54">
        <f t="shared" si="2"/>
        <v>-2.0588946850371119</v>
      </c>
    </row>
    <row r="44" spans="1:7">
      <c r="A44" s="26" t="s">
        <v>65</v>
      </c>
      <c r="B44" s="12">
        <v>-302</v>
      </c>
      <c r="C44" s="12">
        <v>-779</v>
      </c>
      <c r="D44" s="12">
        <v>0</v>
      </c>
      <c r="E44" s="12">
        <v>0</v>
      </c>
      <c r="F44" s="12">
        <v>0</v>
      </c>
      <c r="G44" s="54">
        <f t="shared" si="2"/>
        <v>-1</v>
      </c>
    </row>
    <row r="45" spans="1:7">
      <c r="A45" s="6" t="s">
        <v>64</v>
      </c>
      <c r="B45" s="15">
        <v>-6243</v>
      </c>
      <c r="C45" s="15">
        <v>5734</v>
      </c>
      <c r="D45" s="15">
        <v>-7068</v>
      </c>
      <c r="E45" s="15">
        <v>-13044</v>
      </c>
      <c r="F45" s="15">
        <v>-7902</v>
      </c>
      <c r="G45" s="73">
        <f t="shared" si="2"/>
        <v>4.825933377819891E-2</v>
      </c>
    </row>
    <row r="46" spans="1:7">
      <c r="A46" s="6"/>
      <c r="B46" s="14"/>
      <c r="C46" s="14"/>
      <c r="D46" s="14"/>
      <c r="E46" s="14"/>
      <c r="F46" s="14"/>
      <c r="G46" s="73"/>
    </row>
    <row r="47" spans="1:7">
      <c r="A47" s="26" t="s">
        <v>63</v>
      </c>
      <c r="B47" s="12">
        <v>-433</v>
      </c>
      <c r="C47" s="12">
        <v>11</v>
      </c>
      <c r="D47" s="12">
        <v>-256</v>
      </c>
      <c r="E47" s="12">
        <v>-255</v>
      </c>
      <c r="F47" s="12">
        <v>74</v>
      </c>
      <c r="G47" s="54">
        <f t="shared" si="2"/>
        <v>-1.7023422016725336</v>
      </c>
    </row>
    <row r="48" spans="1:7">
      <c r="A48" s="6"/>
      <c r="B48" s="14"/>
      <c r="C48" s="14"/>
      <c r="D48" s="14"/>
      <c r="E48" s="14"/>
      <c r="F48" s="14"/>
      <c r="G48" s="73"/>
    </row>
    <row r="49" spans="1:7">
      <c r="A49" s="6" t="s">
        <v>62</v>
      </c>
      <c r="B49" s="15">
        <v>-2800</v>
      </c>
      <c r="C49" s="15">
        <v>8399</v>
      </c>
      <c r="D49" s="15">
        <v>4531</v>
      </c>
      <c r="E49" s="15">
        <v>-6496</v>
      </c>
      <c r="F49" s="15">
        <v>2006</v>
      </c>
      <c r="G49" s="73">
        <f t="shared" si="2"/>
        <v>-1.935480156140966</v>
      </c>
    </row>
    <row r="50" spans="1:7">
      <c r="A50" s="6"/>
      <c r="B50" s="14"/>
      <c r="C50" s="14"/>
      <c r="D50" s="14"/>
      <c r="E50" s="14"/>
      <c r="F50" s="14"/>
      <c r="G50" s="73"/>
    </row>
    <row r="51" spans="1:7">
      <c r="A51" s="6" t="s">
        <v>61</v>
      </c>
      <c r="B51" s="15">
        <v>1118</v>
      </c>
      <c r="C51" s="15">
        <v>1131</v>
      </c>
      <c r="D51" s="15">
        <v>930</v>
      </c>
      <c r="E51" s="15">
        <v>1020</v>
      </c>
      <c r="F51" s="15">
        <v>925</v>
      </c>
      <c r="G51" s="73">
        <f t="shared" si="2"/>
        <v>-3.7191344550174477E-2</v>
      </c>
    </row>
    <row r="52" spans="1:7">
      <c r="A52" s="6" t="s">
        <v>60</v>
      </c>
      <c r="B52" s="15">
        <v>991</v>
      </c>
      <c r="C52" s="15">
        <v>1297</v>
      </c>
      <c r="D52" s="15">
        <v>2284</v>
      </c>
      <c r="E52" s="15">
        <v>2152</v>
      </c>
      <c r="F52" s="15">
        <v>1804</v>
      </c>
      <c r="G52" s="73">
        <f t="shared" si="2"/>
        <v>0.12728200864994554</v>
      </c>
    </row>
    <row r="53" spans="1:7">
      <c r="A53" s="6"/>
      <c r="B53" s="14"/>
      <c r="C53" s="14"/>
      <c r="D53" s="14"/>
      <c r="E53" s="14"/>
      <c r="F53" s="14"/>
      <c r="G53" s="73"/>
    </row>
    <row r="54" spans="1:7">
      <c r="A54" s="6" t="s">
        <v>2</v>
      </c>
      <c r="B54" s="14"/>
      <c r="C54" s="14"/>
      <c r="D54" s="14"/>
      <c r="E54" s="14"/>
      <c r="F54" s="14"/>
      <c r="G54" s="73"/>
    </row>
    <row r="55" spans="1:7">
      <c r="A55" s="26" t="s">
        <v>59</v>
      </c>
      <c r="B55" s="12">
        <f t="shared" ref="B55:E55" si="3">B16+B23+B20</f>
        <v>9708</v>
      </c>
      <c r="C55" s="12">
        <f t="shared" si="3"/>
        <v>7983</v>
      </c>
      <c r="D55" s="12">
        <f t="shared" si="3"/>
        <v>15610</v>
      </c>
      <c r="E55" s="12">
        <f t="shared" si="3"/>
        <v>11624</v>
      </c>
      <c r="F55" s="12">
        <f>F16+F23+F20</f>
        <v>11822</v>
      </c>
      <c r="G55" s="54">
        <f t="shared" ref="G55:G57" si="4">(((F55/B55)^(1/5))-1)</f>
        <v>4.0188953707521735E-2</v>
      </c>
    </row>
    <row r="56" spans="1:7">
      <c r="A56" s="26" t="s">
        <v>57</v>
      </c>
      <c r="B56" s="32">
        <f>B16/'Income Statement (5-year trend)'!B21</f>
        <v>12.133111480865225</v>
      </c>
      <c r="C56" s="32">
        <f>C16/'Income Statement (5-year trend)'!C21</f>
        <v>8.2903637523931071</v>
      </c>
      <c r="D56" s="32">
        <f>D16/'Income Statement (5-year trend)'!D21</f>
        <v>7.3880969351389876</v>
      </c>
      <c r="E56" s="32">
        <f>E16/'Income Statement (5-year trend)'!E21</f>
        <v>6.6408753419304416</v>
      </c>
      <c r="F56" s="32">
        <f>F16/'Income Statement (5-year trend)'!F21</f>
        <v>7.2884376295068378</v>
      </c>
      <c r="G56" s="54">
        <f t="shared" si="4"/>
        <v>-9.6907052555824658E-2</v>
      </c>
    </row>
    <row r="57" spans="1:7" s="33" customFormat="1">
      <c r="A57" s="31" t="s">
        <v>58</v>
      </c>
      <c r="B57" s="32">
        <f>(1-(('Income Statement (5-year trend)'!B30-'Cash Flow - (5-Years Trend)'!B49)/'Income Statement (5-year trend)'!B30))</f>
        <v>-0.60777078359018888</v>
      </c>
      <c r="C57" s="32">
        <f>(1-(('Income Statement (5-year trend)'!C30-'Cash Flow - (5-Years Trend)'!C49)/'Income Statement (5-year trend)'!C30))</f>
        <v>12.351470588235294</v>
      </c>
      <c r="D57" s="32">
        <f>(1-(('Income Statement (5-year trend)'!D30-'Cash Flow - (5-Years Trend)'!D49)/'Income Statement (5-year trend)'!D30))</f>
        <v>1.0941801497222894</v>
      </c>
      <c r="E57" s="32">
        <f>-(1-(('Income Statement (5-year trend)'!E30-'Cash Flow - (5-Years Trend)'!E49)/'Income Statement (5-year trend)'!E30))</f>
        <v>-7.2825112107623315</v>
      </c>
      <c r="F57" s="32">
        <f>(1-(('Income Statement (5-year trend)'!F30-'Cash Flow - (5-Years Trend)'!F49)/'Income Statement (5-year trend)'!F30))</f>
        <v>0.75272045028142587</v>
      </c>
      <c r="G57" s="54">
        <f t="shared" si="4"/>
        <v>-2.0437074398280526</v>
      </c>
    </row>
    <row r="58" spans="1:7">
      <c r="A58" s="26"/>
      <c r="B58" s="64"/>
      <c r="C58" s="64"/>
      <c r="D58" s="38"/>
      <c r="E58" s="38"/>
      <c r="F58" s="65"/>
      <c r="G58" s="94"/>
    </row>
    <row r="59" spans="1:7">
      <c r="A59" s="26"/>
      <c r="B59" s="64"/>
      <c r="C59" s="64"/>
      <c r="D59" s="38"/>
      <c r="E59" s="38"/>
      <c r="F59" s="65"/>
      <c r="G59" s="94"/>
    </row>
    <row r="60" spans="1:7">
      <c r="A60" s="26" t="s">
        <v>285</v>
      </c>
      <c r="B60" s="64"/>
      <c r="C60" s="64"/>
      <c r="D60" s="38"/>
      <c r="E60" s="38"/>
      <c r="F60" s="65"/>
      <c r="G60" s="94"/>
    </row>
    <row r="61" spans="1:7">
      <c r="A61" s="26" t="s">
        <v>59</v>
      </c>
      <c r="B61" s="12"/>
      <c r="C61" s="12"/>
      <c r="D61" s="12">
        <f>17379-5182+61</f>
        <v>12258</v>
      </c>
      <c r="E61" s="12">
        <f>17215-5413+43</f>
        <v>11845</v>
      </c>
      <c r="F61" s="12">
        <f>18081-5798 + 33</f>
        <v>12316</v>
      </c>
      <c r="G61" s="54"/>
    </row>
    <row r="62" spans="1:7">
      <c r="A62" s="26" t="s">
        <v>57</v>
      </c>
      <c r="B62" s="32"/>
      <c r="C62" s="32"/>
      <c r="D62" s="32">
        <f>17379/(1722+330+626)</f>
        <v>6.4895444361463781</v>
      </c>
      <c r="E62" s="32">
        <f>17215/(374+463+1722)</f>
        <v>6.7272372020320441</v>
      </c>
      <c r="F62" s="32">
        <f>18081/(1546+398+469)</f>
        <v>7.4931620389556572</v>
      </c>
      <c r="G62" s="54"/>
    </row>
    <row r="63" spans="1:7" s="33" customFormat="1">
      <c r="A63" s="31" t="s">
        <v>58</v>
      </c>
      <c r="B63" s="32"/>
      <c r="C63" s="32"/>
      <c r="D63" s="32"/>
      <c r="E63" s="32"/>
      <c r="F63" s="32"/>
      <c r="G63" s="54"/>
    </row>
    <row r="64" spans="1:7">
      <c r="A64" s="7" t="s">
        <v>49</v>
      </c>
      <c r="B64" s="7" t="s">
        <v>3</v>
      </c>
      <c r="C64" s="7"/>
      <c r="D64" s="7"/>
      <c r="E64" s="7"/>
      <c r="F64" s="7"/>
      <c r="G64" s="9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C09F-DD4F-43BE-91B6-E970CA3CDD0F}">
  <dimension ref="A1:H97"/>
  <sheetViews>
    <sheetView tabSelected="1" topLeftCell="A39" zoomScale="115" zoomScaleNormal="115" workbookViewId="0">
      <selection activeCell="M55" sqref="M55"/>
    </sheetView>
  </sheetViews>
  <sheetFormatPr defaultRowHeight="15"/>
  <cols>
    <col min="1" max="1" width="35.140625" customWidth="1"/>
    <col min="2" max="2" width="0" hidden="1" customWidth="1"/>
    <col min="3" max="7" width="11.85546875" customWidth="1"/>
    <col min="8" max="8" width="11.85546875" style="51" customWidth="1"/>
  </cols>
  <sheetData>
    <row r="1" spans="1:8">
      <c r="A1" s="1"/>
      <c r="B1" s="1"/>
      <c r="C1" s="1"/>
      <c r="D1" s="1"/>
      <c r="E1" s="1"/>
      <c r="F1" s="1"/>
      <c r="G1" s="1"/>
      <c r="H1" s="86"/>
    </row>
    <row r="2" spans="1:8" ht="20.25">
      <c r="A2" s="8" t="s">
        <v>97</v>
      </c>
      <c r="B2" s="8"/>
      <c r="C2" s="8"/>
      <c r="D2" s="8"/>
      <c r="E2" s="8"/>
      <c r="F2" s="8"/>
      <c r="G2" s="8"/>
      <c r="H2" s="87"/>
    </row>
    <row r="3" spans="1:8">
      <c r="A3" s="2"/>
      <c r="B3" s="2"/>
      <c r="C3" s="2"/>
      <c r="D3" s="2"/>
      <c r="E3" s="2"/>
      <c r="F3" s="2"/>
      <c r="G3" s="2"/>
      <c r="H3" s="88"/>
    </row>
    <row r="4" spans="1:8">
      <c r="A4" s="3" t="s">
        <v>4</v>
      </c>
      <c r="B4" s="3"/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89" t="s">
        <v>348</v>
      </c>
    </row>
    <row r="5" spans="1:8">
      <c r="A5" s="9" t="s">
        <v>10</v>
      </c>
      <c r="B5" s="9"/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90" t="s">
        <v>349</v>
      </c>
    </row>
    <row r="6" spans="1:8">
      <c r="A6" s="6" t="s">
        <v>178</v>
      </c>
      <c r="B6" s="14"/>
      <c r="C6" s="14"/>
      <c r="D6" s="14"/>
      <c r="E6" s="14"/>
      <c r="F6" s="14"/>
      <c r="G6" s="14"/>
      <c r="H6" s="73"/>
    </row>
    <row r="7" spans="1:8">
      <c r="A7" s="26" t="s">
        <v>239</v>
      </c>
      <c r="B7" s="26" t="s">
        <v>238</v>
      </c>
      <c r="C7" s="12">
        <v>13469</v>
      </c>
      <c r="D7" s="12">
        <v>26649</v>
      </c>
      <c r="E7" s="12">
        <v>20646</v>
      </c>
      <c r="F7" s="12">
        <v>14980</v>
      </c>
      <c r="G7" s="12">
        <v>15427</v>
      </c>
      <c r="H7" s="54">
        <f t="shared" ref="H7:H38" si="0">(((G7/C7)^(1/5))-1)</f>
        <v>2.7517495488415866E-2</v>
      </c>
    </row>
    <row r="8" spans="1:8">
      <c r="A8" s="26" t="s">
        <v>237</v>
      </c>
      <c r="B8" s="26" t="s">
        <v>236</v>
      </c>
      <c r="C8" s="12">
        <v>4674</v>
      </c>
      <c r="D8" s="12">
        <v>13637</v>
      </c>
      <c r="E8" s="12">
        <v>13557</v>
      </c>
      <c r="F8" s="12">
        <v>5821</v>
      </c>
      <c r="G8" s="12">
        <v>7496</v>
      </c>
      <c r="H8" s="54">
        <f t="shared" si="0"/>
        <v>9.9077137497272538E-2</v>
      </c>
    </row>
    <row r="9" spans="1:8">
      <c r="A9" s="26" t="s">
        <v>235</v>
      </c>
      <c r="B9" s="26" t="s">
        <v>234</v>
      </c>
      <c r="C9" s="12">
        <v>8795</v>
      </c>
      <c r="D9" s="12">
        <v>13012</v>
      </c>
      <c r="E9" s="12">
        <v>7089</v>
      </c>
      <c r="F9" s="12">
        <v>9159</v>
      </c>
      <c r="G9" s="12">
        <v>7931</v>
      </c>
      <c r="H9" s="54">
        <f t="shared" si="0"/>
        <v>-2.0468467252262368E-2</v>
      </c>
    </row>
    <row r="10" spans="1:8">
      <c r="A10" s="26" t="s">
        <v>233</v>
      </c>
      <c r="B10" s="26" t="s">
        <v>232</v>
      </c>
      <c r="C10" s="12">
        <v>5491</v>
      </c>
      <c r="D10" s="12">
        <v>4476</v>
      </c>
      <c r="E10" s="12">
        <v>4210</v>
      </c>
      <c r="F10" s="12">
        <v>3809</v>
      </c>
      <c r="G10" s="12">
        <v>3541</v>
      </c>
      <c r="H10" s="54">
        <f t="shared" si="0"/>
        <v>-8.4001217111645876E-2</v>
      </c>
    </row>
    <row r="11" spans="1:8">
      <c r="A11" s="26" t="s">
        <v>231</v>
      </c>
      <c r="B11" s="26" t="s">
        <v>230</v>
      </c>
      <c r="C11" s="12">
        <v>5491</v>
      </c>
      <c r="D11" s="12">
        <v>4476</v>
      </c>
      <c r="E11" s="12">
        <v>4210</v>
      </c>
      <c r="F11" s="12">
        <v>3809</v>
      </c>
      <c r="G11" s="12">
        <v>3541</v>
      </c>
      <c r="H11" s="54">
        <f t="shared" si="0"/>
        <v>-8.4001217111645876E-2</v>
      </c>
    </row>
    <row r="12" spans="1:8">
      <c r="A12" s="26" t="s">
        <v>229</v>
      </c>
      <c r="B12" s="26" t="s">
        <v>228</v>
      </c>
      <c r="C12" s="12">
        <v>0</v>
      </c>
      <c r="D12" s="12">
        <v>0</v>
      </c>
      <c r="E12" s="12">
        <v>3012</v>
      </c>
      <c r="F12" s="12">
        <v>3038</v>
      </c>
      <c r="G12" s="12">
        <v>3056</v>
      </c>
      <c r="H12" s="54"/>
    </row>
    <row r="13" spans="1:8">
      <c r="A13" s="26" t="s">
        <v>227</v>
      </c>
      <c r="B13" s="26" t="s">
        <v>226</v>
      </c>
      <c r="C13" s="12">
        <v>0</v>
      </c>
      <c r="D13" s="12">
        <v>714</v>
      </c>
      <c r="E13" s="12">
        <v>598</v>
      </c>
      <c r="F13" s="12">
        <v>676</v>
      </c>
      <c r="G13" s="12">
        <v>836</v>
      </c>
      <c r="H13" s="54"/>
    </row>
    <row r="14" spans="1:8">
      <c r="A14" s="26" t="s">
        <v>225</v>
      </c>
      <c r="B14" s="26" t="s">
        <v>224</v>
      </c>
      <c r="C14" s="12">
        <v>18991</v>
      </c>
      <c r="D14" s="12">
        <v>7747</v>
      </c>
      <c r="E14" s="12">
        <v>4368</v>
      </c>
      <c r="F14" s="12">
        <v>5767</v>
      </c>
      <c r="G14" s="12">
        <v>5677</v>
      </c>
      <c r="H14" s="54">
        <f t="shared" si="0"/>
        <v>-0.21455783456745359</v>
      </c>
    </row>
    <row r="15" spans="1:8">
      <c r="A15" s="26" t="s">
        <v>223</v>
      </c>
      <c r="B15" s="26" t="s">
        <v>222</v>
      </c>
      <c r="C15" s="12">
        <v>3409</v>
      </c>
      <c r="D15" s="12">
        <v>4898</v>
      </c>
      <c r="E15" s="12">
        <v>953</v>
      </c>
      <c r="F15" s="12">
        <v>1082</v>
      </c>
      <c r="G15" s="12">
        <v>872</v>
      </c>
      <c r="H15" s="54">
        <f t="shared" si="0"/>
        <v>-0.23866131658452394</v>
      </c>
    </row>
    <row r="16" spans="1:8">
      <c r="A16" s="26" t="s">
        <v>188</v>
      </c>
      <c r="B16" s="26" t="s">
        <v>221</v>
      </c>
      <c r="C16" s="12">
        <v>180</v>
      </c>
      <c r="D16" s="12">
        <v>195</v>
      </c>
      <c r="E16" s="12">
        <v>752</v>
      </c>
      <c r="F16" s="12">
        <v>239</v>
      </c>
      <c r="G16" s="12">
        <v>410</v>
      </c>
      <c r="H16" s="54">
        <f t="shared" si="0"/>
        <v>0.1789686864191824</v>
      </c>
    </row>
    <row r="17" spans="1:8">
      <c r="A17" s="26" t="s">
        <v>220</v>
      </c>
      <c r="B17" s="26" t="s">
        <v>219</v>
      </c>
      <c r="C17" s="12">
        <v>13820</v>
      </c>
      <c r="D17" s="12">
        <v>-231</v>
      </c>
      <c r="E17" s="12">
        <v>-412</v>
      </c>
      <c r="F17" s="12">
        <v>1257</v>
      </c>
      <c r="G17" s="12">
        <v>959</v>
      </c>
      <c r="H17" s="54">
        <f t="shared" si="0"/>
        <v>-0.4135079725916474</v>
      </c>
    </row>
    <row r="18" spans="1:8">
      <c r="A18" s="26" t="s">
        <v>218</v>
      </c>
      <c r="B18" s="26" t="s">
        <v>217</v>
      </c>
      <c r="C18" s="12">
        <v>106</v>
      </c>
      <c r="D18" s="12">
        <v>264</v>
      </c>
      <c r="E18" s="12">
        <v>278</v>
      </c>
      <c r="F18" s="12">
        <v>434</v>
      </c>
      <c r="G18" s="12">
        <v>296</v>
      </c>
      <c r="H18" s="54">
        <f t="shared" si="0"/>
        <v>0.22799661357049539</v>
      </c>
    </row>
    <row r="19" spans="1:8">
      <c r="A19" s="26" t="s">
        <v>216</v>
      </c>
      <c r="B19" s="26" t="s">
        <v>215</v>
      </c>
      <c r="C19" s="12">
        <v>1476</v>
      </c>
      <c r="D19" s="12">
        <v>2621</v>
      </c>
      <c r="E19" s="12">
        <v>2797</v>
      </c>
      <c r="F19" s="12">
        <v>2755</v>
      </c>
      <c r="G19" s="12">
        <v>3140</v>
      </c>
      <c r="H19" s="54">
        <f t="shared" si="0"/>
        <v>0.16297039180627615</v>
      </c>
    </row>
    <row r="20" spans="1:8">
      <c r="A20" s="6" t="s">
        <v>214</v>
      </c>
      <c r="B20" s="6" t="s">
        <v>213</v>
      </c>
      <c r="C20" s="15">
        <v>37951</v>
      </c>
      <c r="D20" s="15">
        <v>39586</v>
      </c>
      <c r="E20" s="15">
        <v>32834</v>
      </c>
      <c r="F20" s="15">
        <v>28270</v>
      </c>
      <c r="G20" s="15">
        <v>28537</v>
      </c>
      <c r="H20" s="73">
        <f t="shared" si="0"/>
        <v>-5.5423757422463082E-2</v>
      </c>
    </row>
    <row r="21" spans="1:8">
      <c r="A21" s="26" t="s">
        <v>212</v>
      </c>
      <c r="B21" s="26" t="s">
        <v>211</v>
      </c>
      <c r="C21" s="12">
        <v>28325</v>
      </c>
      <c r="D21" s="12">
        <v>27432</v>
      </c>
      <c r="E21" s="12">
        <v>40113</v>
      </c>
      <c r="F21" s="12">
        <v>41243</v>
      </c>
      <c r="G21" s="12">
        <v>40804</v>
      </c>
      <c r="H21" s="54">
        <f t="shared" si="0"/>
        <v>7.5738133515251604E-2</v>
      </c>
    </row>
    <row r="22" spans="1:8">
      <c r="A22" s="26" t="s">
        <v>210</v>
      </c>
      <c r="B22" s="26" t="s">
        <v>209</v>
      </c>
      <c r="C22" s="12">
        <v>70757</v>
      </c>
      <c r="D22" s="12">
        <v>73649</v>
      </c>
      <c r="E22" s="12">
        <v>86315</v>
      </c>
      <c r="F22" s="12">
        <v>90862</v>
      </c>
      <c r="G22" s="12">
        <v>93682</v>
      </c>
      <c r="H22" s="54">
        <f t="shared" si="0"/>
        <v>5.7736152807634555E-2</v>
      </c>
    </row>
    <row r="23" spans="1:8">
      <c r="A23" s="26" t="s">
        <v>208</v>
      </c>
      <c r="B23" s="26" t="s">
        <v>207</v>
      </c>
      <c r="C23" s="12">
        <v>42432</v>
      </c>
      <c r="D23" s="12">
        <v>46217</v>
      </c>
      <c r="E23" s="12">
        <v>46202</v>
      </c>
      <c r="F23" s="12">
        <v>49619</v>
      </c>
      <c r="G23" s="12">
        <v>52878</v>
      </c>
      <c r="H23" s="54">
        <f t="shared" si="0"/>
        <v>4.5000031704947041E-2</v>
      </c>
    </row>
    <row r="24" spans="1:8">
      <c r="A24" s="26" t="s">
        <v>206</v>
      </c>
      <c r="B24" s="26" t="s">
        <v>205</v>
      </c>
      <c r="C24" s="12">
        <v>3639</v>
      </c>
      <c r="D24" s="12">
        <v>1067</v>
      </c>
      <c r="E24" s="12">
        <v>860</v>
      </c>
      <c r="F24" s="12">
        <v>977</v>
      </c>
      <c r="G24" s="12">
        <v>1107</v>
      </c>
      <c r="H24" s="54">
        <f t="shared" si="0"/>
        <v>-0.211806020847219</v>
      </c>
    </row>
    <row r="25" spans="1:8">
      <c r="A25" s="26" t="s">
        <v>204</v>
      </c>
      <c r="B25" s="26" t="s">
        <v>203</v>
      </c>
      <c r="C25" s="12">
        <v>3204</v>
      </c>
      <c r="D25" s="12">
        <v>870</v>
      </c>
      <c r="E25" s="12">
        <v>792</v>
      </c>
      <c r="F25" s="12">
        <v>925</v>
      </c>
      <c r="G25" s="12">
        <v>1073</v>
      </c>
      <c r="H25" s="54">
        <f t="shared" si="0"/>
        <v>-0.19650821117117045</v>
      </c>
    </row>
    <row r="26" spans="1:8">
      <c r="A26" s="26" t="s">
        <v>202</v>
      </c>
      <c r="B26" s="26" t="s">
        <v>201</v>
      </c>
      <c r="C26" s="12">
        <v>435</v>
      </c>
      <c r="D26" s="12">
        <v>197</v>
      </c>
      <c r="E26" s="12">
        <v>68</v>
      </c>
      <c r="F26" s="12">
        <v>52</v>
      </c>
      <c r="G26" s="12">
        <v>34</v>
      </c>
      <c r="H26" s="54">
        <f t="shared" si="0"/>
        <v>-0.39938256905073488</v>
      </c>
    </row>
    <row r="27" spans="1:8">
      <c r="A27" s="26" t="s">
        <v>200</v>
      </c>
      <c r="B27" s="26" t="s">
        <v>199</v>
      </c>
      <c r="C27" s="12">
        <v>75696</v>
      </c>
      <c r="D27" s="12">
        <v>74777</v>
      </c>
      <c r="E27" s="12">
        <v>94361</v>
      </c>
      <c r="F27" s="12">
        <v>84573</v>
      </c>
      <c r="G27" s="12">
        <v>83505</v>
      </c>
      <c r="H27" s="54">
        <f t="shared" si="0"/>
        <v>1.9830297325235335E-2</v>
      </c>
    </row>
    <row r="28" spans="1:8">
      <c r="A28" s="26" t="s">
        <v>198</v>
      </c>
      <c r="B28" s="26" t="s">
        <v>197</v>
      </c>
      <c r="C28" s="12">
        <v>43257</v>
      </c>
      <c r="D28" s="12">
        <v>41005</v>
      </c>
      <c r="E28" s="12">
        <v>54009</v>
      </c>
      <c r="F28" s="12">
        <v>53549</v>
      </c>
      <c r="G28" s="12">
        <v>53244</v>
      </c>
      <c r="H28" s="54">
        <f t="shared" si="0"/>
        <v>4.2420289064442063E-2</v>
      </c>
    </row>
    <row r="29" spans="1:8">
      <c r="A29" s="27" t="s">
        <v>196</v>
      </c>
      <c r="B29" s="27" t="s">
        <v>195</v>
      </c>
      <c r="C29" s="16">
        <v>26734</v>
      </c>
      <c r="D29" s="16">
        <v>23353</v>
      </c>
      <c r="E29" s="16">
        <v>31378</v>
      </c>
      <c r="F29" s="16">
        <v>31731</v>
      </c>
      <c r="G29" s="16">
        <v>31884</v>
      </c>
      <c r="H29" s="93">
        <f t="shared" si="0"/>
        <v>3.5861689522908469E-2</v>
      </c>
    </row>
    <row r="30" spans="1:8">
      <c r="A30" s="27" t="s">
        <v>194</v>
      </c>
      <c r="B30" s="27" t="s">
        <v>193</v>
      </c>
      <c r="C30" s="16">
        <v>16523</v>
      </c>
      <c r="D30" s="16">
        <v>17652</v>
      </c>
      <c r="E30" s="16">
        <v>22631</v>
      </c>
      <c r="F30" s="16">
        <v>21818</v>
      </c>
      <c r="G30" s="16">
        <v>21360</v>
      </c>
      <c r="H30" s="93">
        <f t="shared" si="0"/>
        <v>5.2694779262551839E-2</v>
      </c>
    </row>
    <row r="31" spans="1:8">
      <c r="A31" s="26" t="s">
        <v>192</v>
      </c>
      <c r="B31" s="26" t="s">
        <v>191</v>
      </c>
      <c r="C31" s="12">
        <v>597</v>
      </c>
      <c r="D31" s="12">
        <v>371</v>
      </c>
      <c r="E31" s="12">
        <v>227</v>
      </c>
      <c r="F31" s="12">
        <v>247</v>
      </c>
      <c r="G31" s="12">
        <v>231</v>
      </c>
      <c r="H31" s="54">
        <f t="shared" si="0"/>
        <v>-0.17295806723813967</v>
      </c>
    </row>
    <row r="32" spans="1:8">
      <c r="A32" s="26" t="s">
        <v>190</v>
      </c>
      <c r="B32" s="26" t="s">
        <v>189</v>
      </c>
      <c r="C32" s="12">
        <v>26200</v>
      </c>
      <c r="D32" s="12">
        <v>24753</v>
      </c>
      <c r="E32" s="12">
        <v>23606</v>
      </c>
      <c r="F32" s="12">
        <v>21569</v>
      </c>
      <c r="G32" s="12">
        <v>19089</v>
      </c>
      <c r="H32" s="54">
        <f t="shared" si="0"/>
        <v>-6.1365792989322987E-2</v>
      </c>
    </row>
    <row r="33" spans="1:8">
      <c r="A33" s="26" t="s">
        <v>188</v>
      </c>
      <c r="B33" s="26" t="s">
        <v>187</v>
      </c>
      <c r="C33" s="12">
        <v>2449</v>
      </c>
      <c r="D33" s="12">
        <v>3439</v>
      </c>
      <c r="E33" s="12">
        <v>8424</v>
      </c>
      <c r="F33" s="12">
        <v>2912</v>
      </c>
      <c r="G33" s="12">
        <v>4216</v>
      </c>
      <c r="H33" s="54">
        <f t="shared" si="0"/>
        <v>0.11476253223303057</v>
      </c>
    </row>
    <row r="34" spans="1:8">
      <c r="A34" s="26" t="s">
        <v>186</v>
      </c>
      <c r="B34" s="26" t="s">
        <v>185</v>
      </c>
      <c r="C34" s="12">
        <v>110</v>
      </c>
      <c r="D34" s="12">
        <v>94</v>
      </c>
      <c r="E34" s="12">
        <v>590</v>
      </c>
      <c r="F34" s="12">
        <v>60</v>
      </c>
      <c r="G34" s="12">
        <v>555</v>
      </c>
      <c r="H34" s="54">
        <f t="shared" si="0"/>
        <v>0.38222918810898721</v>
      </c>
    </row>
    <row r="35" spans="1:8">
      <c r="A35" s="26" t="s">
        <v>184</v>
      </c>
      <c r="B35" s="26" t="s">
        <v>183</v>
      </c>
      <c r="C35" s="12">
        <v>2538</v>
      </c>
      <c r="D35" s="12">
        <v>3952</v>
      </c>
      <c r="E35" s="12">
        <v>5831</v>
      </c>
      <c r="F35" s="12">
        <v>4670</v>
      </c>
      <c r="G35" s="12">
        <v>4268</v>
      </c>
      <c r="H35" s="54">
        <f t="shared" si="0"/>
        <v>0.1095491846026706</v>
      </c>
    </row>
    <row r="36" spans="1:8">
      <c r="A36" s="26" t="s">
        <v>182</v>
      </c>
      <c r="B36" s="26" t="s">
        <v>181</v>
      </c>
      <c r="C36" s="12">
        <v>545</v>
      </c>
      <c r="D36" s="12">
        <v>1163</v>
      </c>
      <c r="E36" s="12">
        <v>1674</v>
      </c>
      <c r="F36" s="12">
        <v>1566</v>
      </c>
      <c r="G36" s="12">
        <v>1902</v>
      </c>
      <c r="H36" s="54">
        <f t="shared" si="0"/>
        <v>0.28399343161291379</v>
      </c>
    </row>
    <row r="37" spans="1:8">
      <c r="A37" s="6" t="s">
        <v>180</v>
      </c>
      <c r="B37" s="6" t="s">
        <v>179</v>
      </c>
      <c r="C37" s="15">
        <v>107660</v>
      </c>
      <c r="D37" s="15">
        <v>103276</v>
      </c>
      <c r="E37" s="15">
        <v>135334</v>
      </c>
      <c r="F37" s="15">
        <v>126793</v>
      </c>
      <c r="G37" s="15">
        <v>125416</v>
      </c>
      <c r="H37" s="73">
        <f t="shared" si="0"/>
        <v>3.1002489550314261E-2</v>
      </c>
    </row>
    <row r="38" spans="1:8">
      <c r="A38" s="6" t="s">
        <v>178</v>
      </c>
      <c r="B38" s="6" t="s">
        <v>177</v>
      </c>
      <c r="C38" s="15">
        <v>145611</v>
      </c>
      <c r="D38" s="15">
        <v>142862</v>
      </c>
      <c r="E38" s="15">
        <v>168168</v>
      </c>
      <c r="F38" s="15">
        <v>155063</v>
      </c>
      <c r="G38" s="15">
        <v>153953</v>
      </c>
      <c r="H38" s="73">
        <f t="shared" si="0"/>
        <v>1.1204036033937603E-2</v>
      </c>
    </row>
    <row r="39" spans="1:8">
      <c r="A39" s="6"/>
      <c r="B39" s="14"/>
      <c r="C39" s="14"/>
      <c r="D39" s="14"/>
      <c r="E39" s="14"/>
      <c r="F39" s="14"/>
      <c r="G39" s="14"/>
      <c r="H39" s="73"/>
    </row>
    <row r="40" spans="1:8">
      <c r="A40" s="6" t="s">
        <v>176</v>
      </c>
      <c r="B40" s="14"/>
      <c r="C40" s="14"/>
      <c r="D40" s="14"/>
      <c r="E40" s="14"/>
      <c r="F40" s="14"/>
      <c r="G40" s="14"/>
      <c r="H40" s="73"/>
    </row>
    <row r="41" spans="1:8">
      <c r="A41" s="26" t="s">
        <v>175</v>
      </c>
      <c r="B41" s="26" t="s">
        <v>174</v>
      </c>
      <c r="C41" s="12">
        <v>14855</v>
      </c>
      <c r="D41" s="12">
        <v>15911</v>
      </c>
      <c r="E41" s="12">
        <v>15785</v>
      </c>
      <c r="F41" s="12">
        <v>16741</v>
      </c>
      <c r="G41" s="12">
        <v>18328</v>
      </c>
      <c r="H41" s="54">
        <f t="shared" ref="H41:H76" si="1">(((G41/C41)^(1/5))-1)</f>
        <v>4.2913967759918625E-2</v>
      </c>
    </row>
    <row r="42" spans="1:8">
      <c r="A42" s="26" t="s">
        <v>173</v>
      </c>
      <c r="B42" s="26" t="s">
        <v>172</v>
      </c>
      <c r="C42" s="12">
        <v>6185</v>
      </c>
      <c r="D42" s="12">
        <v>6541</v>
      </c>
      <c r="E42" s="12">
        <v>6696</v>
      </c>
      <c r="F42" s="12">
        <v>6739</v>
      </c>
      <c r="G42" s="12">
        <v>7327</v>
      </c>
      <c r="H42" s="54">
        <f t="shared" si="1"/>
        <v>3.4468563743245584E-2</v>
      </c>
    </row>
    <row r="43" spans="1:8">
      <c r="A43" s="26" t="s">
        <v>171</v>
      </c>
      <c r="B43" s="26" t="s">
        <v>170</v>
      </c>
      <c r="C43" s="12">
        <v>1718</v>
      </c>
      <c r="D43" s="12">
        <v>1814</v>
      </c>
      <c r="E43" s="12">
        <v>1972</v>
      </c>
      <c r="F43" s="12">
        <v>1965</v>
      </c>
      <c r="G43" s="12">
        <v>1978</v>
      </c>
      <c r="H43" s="54">
        <f t="shared" si="1"/>
        <v>2.858603949222549E-2</v>
      </c>
    </row>
    <row r="44" spans="1:8">
      <c r="A44" s="26" t="s">
        <v>169</v>
      </c>
      <c r="B44" s="26" t="s">
        <v>168</v>
      </c>
      <c r="C44" s="12">
        <v>6952</v>
      </c>
      <c r="D44" s="12">
        <v>7556</v>
      </c>
      <c r="E44" s="12">
        <v>7117</v>
      </c>
      <c r="F44" s="12">
        <v>8037</v>
      </c>
      <c r="G44" s="12">
        <v>9023</v>
      </c>
      <c r="H44" s="54">
        <f t="shared" si="1"/>
        <v>5.35332308088452E-2</v>
      </c>
    </row>
    <row r="45" spans="1:8">
      <c r="A45" s="26" t="s">
        <v>167</v>
      </c>
      <c r="B45" s="26" t="s">
        <v>166</v>
      </c>
      <c r="C45" s="12">
        <v>7348</v>
      </c>
      <c r="D45" s="12">
        <v>4270</v>
      </c>
      <c r="E45" s="12">
        <v>11976</v>
      </c>
      <c r="F45" s="12">
        <v>8488</v>
      </c>
      <c r="G45" s="12">
        <v>11961</v>
      </c>
      <c r="H45" s="54">
        <f t="shared" si="1"/>
        <v>0.10235041148752999</v>
      </c>
    </row>
    <row r="46" spans="1:8">
      <c r="A46" s="26" t="s">
        <v>165</v>
      </c>
      <c r="B46" s="26" t="s">
        <v>164</v>
      </c>
      <c r="C46" s="12">
        <v>7302</v>
      </c>
      <c r="D46" s="12">
        <v>4224</v>
      </c>
      <c r="E46" s="12">
        <v>11632</v>
      </c>
      <c r="F46" s="12">
        <v>8107</v>
      </c>
      <c r="G46" s="12">
        <v>9642</v>
      </c>
      <c r="H46" s="54">
        <f t="shared" si="1"/>
        <v>5.7170558237841007E-2</v>
      </c>
    </row>
    <row r="47" spans="1:8">
      <c r="A47" s="26" t="s">
        <v>163</v>
      </c>
      <c r="B47" s="26" t="s">
        <v>162</v>
      </c>
      <c r="C47" s="12">
        <v>46</v>
      </c>
      <c r="D47" s="12">
        <v>46</v>
      </c>
      <c r="E47" s="12">
        <v>344</v>
      </c>
      <c r="F47" s="12">
        <v>381</v>
      </c>
      <c r="G47" s="12">
        <v>2319</v>
      </c>
      <c r="H47" s="54">
        <f t="shared" si="1"/>
        <v>1.190325117201787</v>
      </c>
    </row>
    <row r="48" spans="1:8">
      <c r="A48" s="27" t="s">
        <v>161</v>
      </c>
      <c r="B48" s="27" t="s">
        <v>160</v>
      </c>
      <c r="C48" s="16">
        <v>46</v>
      </c>
      <c r="D48" s="16">
        <v>46</v>
      </c>
      <c r="E48" s="16">
        <v>344</v>
      </c>
      <c r="F48" s="16">
        <v>381</v>
      </c>
      <c r="G48" s="16">
        <v>2319</v>
      </c>
      <c r="H48" s="93">
        <f t="shared" si="1"/>
        <v>1.190325117201787</v>
      </c>
    </row>
    <row r="49" spans="1:8">
      <c r="A49" s="26" t="s">
        <v>159</v>
      </c>
      <c r="B49" s="26" t="s">
        <v>158</v>
      </c>
      <c r="C49" s="12">
        <v>16821</v>
      </c>
      <c r="D49" s="12">
        <v>5342</v>
      </c>
      <c r="E49" s="12">
        <v>5624</v>
      </c>
      <c r="F49" s="12">
        <v>3482</v>
      </c>
      <c r="G49" s="12">
        <v>3358</v>
      </c>
      <c r="H49" s="54">
        <f t="shared" si="1"/>
        <v>-0.27548767775096639</v>
      </c>
    </row>
    <row r="50" spans="1:8">
      <c r="A50" s="26" t="s">
        <v>137</v>
      </c>
      <c r="B50" s="26" t="s">
        <v>157</v>
      </c>
      <c r="C50" s="12">
        <v>1678</v>
      </c>
      <c r="D50" s="12">
        <v>1818</v>
      </c>
      <c r="E50" s="12">
        <v>2081</v>
      </c>
      <c r="F50" s="12">
        <v>1971</v>
      </c>
      <c r="G50" s="12">
        <v>1991</v>
      </c>
      <c r="H50" s="54">
        <f t="shared" si="1"/>
        <v>3.4798667258833182E-2</v>
      </c>
    </row>
    <row r="51" spans="1:8">
      <c r="A51" s="26" t="s">
        <v>133</v>
      </c>
      <c r="B51" s="26" t="s">
        <v>156</v>
      </c>
      <c r="C51" s="12">
        <v>250</v>
      </c>
      <c r="D51" s="12">
        <v>520</v>
      </c>
      <c r="E51" s="12">
        <v>589</v>
      </c>
      <c r="F51" s="12">
        <v>91</v>
      </c>
      <c r="G51" s="12">
        <v>166</v>
      </c>
      <c r="H51" s="54">
        <f t="shared" si="1"/>
        <v>-7.8630957986255634E-2</v>
      </c>
    </row>
    <row r="52" spans="1:8">
      <c r="A52" s="26" t="s">
        <v>155</v>
      </c>
      <c r="B52" s="26" t="s">
        <v>154</v>
      </c>
      <c r="C52" s="12">
        <v>14893</v>
      </c>
      <c r="D52" s="12">
        <v>3004</v>
      </c>
      <c r="E52" s="12">
        <v>2954</v>
      </c>
      <c r="F52" s="12">
        <v>1420</v>
      </c>
      <c r="G52" s="12">
        <v>1201</v>
      </c>
      <c r="H52" s="54">
        <f t="shared" si="1"/>
        <v>-0.39561710644022829</v>
      </c>
    </row>
    <row r="53" spans="1:8">
      <c r="A53" s="6" t="s">
        <v>153</v>
      </c>
      <c r="B53" s="6" t="s">
        <v>152</v>
      </c>
      <c r="C53" s="15">
        <v>39024</v>
      </c>
      <c r="D53" s="15">
        <v>25523</v>
      </c>
      <c r="E53" s="15">
        <v>33385</v>
      </c>
      <c r="F53" s="15">
        <v>28711</v>
      </c>
      <c r="G53" s="15">
        <v>33647</v>
      </c>
      <c r="H53" s="73">
        <f t="shared" si="1"/>
        <v>-2.9215322356193618E-2</v>
      </c>
    </row>
    <row r="54" spans="1:8">
      <c r="A54" s="26" t="s">
        <v>151</v>
      </c>
      <c r="B54" s="26" t="s">
        <v>150</v>
      </c>
      <c r="C54" s="12">
        <v>32630</v>
      </c>
      <c r="D54" s="12">
        <v>48685</v>
      </c>
      <c r="E54" s="12">
        <v>62949</v>
      </c>
      <c r="F54" s="12">
        <v>59272</v>
      </c>
      <c r="G54" s="12">
        <v>58131</v>
      </c>
      <c r="H54" s="54">
        <f t="shared" si="1"/>
        <v>0.12242710061921969</v>
      </c>
    </row>
    <row r="55" spans="1:8">
      <c r="A55" s="26" t="s">
        <v>149</v>
      </c>
      <c r="B55" s="26" t="s">
        <v>148</v>
      </c>
      <c r="C55" s="12">
        <v>32364</v>
      </c>
      <c r="D55" s="12">
        <v>48429</v>
      </c>
      <c r="E55" s="12">
        <v>59300</v>
      </c>
      <c r="F55" s="12">
        <v>55586</v>
      </c>
      <c r="G55" s="12">
        <v>56770</v>
      </c>
      <c r="H55" s="54">
        <f t="shared" si="1"/>
        <v>0.11895169976285658</v>
      </c>
    </row>
    <row r="56" spans="1:8">
      <c r="A56" s="26" t="s">
        <v>147</v>
      </c>
      <c r="B56" s="26" t="s">
        <v>146</v>
      </c>
      <c r="C56" s="12">
        <v>266</v>
      </c>
      <c r="D56" s="12">
        <v>256</v>
      </c>
      <c r="E56" s="12">
        <v>3649</v>
      </c>
      <c r="F56" s="12">
        <v>3686</v>
      </c>
      <c r="G56" s="12">
        <v>1361</v>
      </c>
      <c r="H56" s="54">
        <f t="shared" si="1"/>
        <v>0.38610234325501569</v>
      </c>
    </row>
    <row r="57" spans="1:8">
      <c r="A57" s="27" t="s">
        <v>145</v>
      </c>
      <c r="B57" s="27" t="s">
        <v>144</v>
      </c>
      <c r="C57" s="16">
        <v>266</v>
      </c>
      <c r="D57" s="16">
        <v>256</v>
      </c>
      <c r="E57" s="16">
        <v>3649</v>
      </c>
      <c r="F57" s="16">
        <v>3686</v>
      </c>
      <c r="G57" s="16">
        <v>1361</v>
      </c>
      <c r="H57" s="93">
        <f t="shared" si="1"/>
        <v>0.38610234325501569</v>
      </c>
    </row>
    <row r="58" spans="1:8">
      <c r="A58" s="26" t="s">
        <v>143</v>
      </c>
      <c r="B58" s="26" t="s">
        <v>142</v>
      </c>
      <c r="C58" s="12">
        <v>5350</v>
      </c>
      <c r="D58" s="12">
        <v>5209</v>
      </c>
      <c r="E58" s="12">
        <v>9209</v>
      </c>
      <c r="F58" s="12">
        <v>9264</v>
      </c>
      <c r="G58" s="12">
        <v>5198</v>
      </c>
      <c r="H58" s="54">
        <f t="shared" si="1"/>
        <v>-5.7479419435068069E-3</v>
      </c>
    </row>
    <row r="59" spans="1:8">
      <c r="A59" s="26" t="s">
        <v>141</v>
      </c>
      <c r="B59" s="26" t="s">
        <v>140</v>
      </c>
      <c r="C59" s="12">
        <v>159</v>
      </c>
      <c r="D59" s="12">
        <v>113</v>
      </c>
      <c r="E59" s="12">
        <v>60</v>
      </c>
      <c r="F59" s="12">
        <v>47</v>
      </c>
      <c r="G59" s="12">
        <v>28</v>
      </c>
      <c r="H59" s="54">
        <f t="shared" si="1"/>
        <v>-0.29343490118709414</v>
      </c>
    </row>
    <row r="60" spans="1:8">
      <c r="A60" s="26" t="s">
        <v>139</v>
      </c>
      <c r="B60" s="26" t="s">
        <v>138</v>
      </c>
      <c r="C60" s="12">
        <v>520</v>
      </c>
      <c r="D60" s="12">
        <v>551</v>
      </c>
      <c r="E60" s="12">
        <v>438</v>
      </c>
      <c r="F60" s="12">
        <v>513</v>
      </c>
      <c r="G60" s="12">
        <v>281</v>
      </c>
      <c r="H60" s="54">
        <f t="shared" si="1"/>
        <v>-0.11582018681451212</v>
      </c>
    </row>
    <row r="61" spans="1:8">
      <c r="A61" s="26" t="s">
        <v>137</v>
      </c>
      <c r="B61" s="26" t="s">
        <v>136</v>
      </c>
      <c r="C61" s="12">
        <v>237</v>
      </c>
      <c r="D61" s="12">
        <v>574</v>
      </c>
      <c r="E61" s="12">
        <v>612</v>
      </c>
      <c r="F61" s="12">
        <v>519</v>
      </c>
      <c r="G61" s="12">
        <v>530</v>
      </c>
      <c r="H61" s="54">
        <f t="shared" si="1"/>
        <v>0.17464194451201509</v>
      </c>
    </row>
    <row r="62" spans="1:8">
      <c r="A62" s="26" t="s">
        <v>135</v>
      </c>
      <c r="B62" s="26" t="s">
        <v>134</v>
      </c>
      <c r="C62" s="12">
        <v>644</v>
      </c>
      <c r="D62" s="12">
        <v>478</v>
      </c>
      <c r="E62" s="12">
        <v>2103</v>
      </c>
      <c r="F62" s="12">
        <v>2095</v>
      </c>
      <c r="G62" s="12">
        <v>520</v>
      </c>
      <c r="H62" s="54">
        <f t="shared" si="1"/>
        <v>-4.1872081115377102E-2</v>
      </c>
    </row>
    <row r="63" spans="1:8">
      <c r="A63" s="26" t="s">
        <v>133</v>
      </c>
      <c r="B63" s="26" t="s">
        <v>132</v>
      </c>
      <c r="C63" s="12">
        <v>2133</v>
      </c>
      <c r="D63" s="12">
        <v>1924</v>
      </c>
      <c r="E63" s="12">
        <v>4177</v>
      </c>
      <c r="F63" s="12">
        <v>3919</v>
      </c>
      <c r="G63" s="12">
        <v>1506</v>
      </c>
      <c r="H63" s="54">
        <f t="shared" si="1"/>
        <v>-6.7246637562110578E-2</v>
      </c>
    </row>
    <row r="64" spans="1:8">
      <c r="A64" s="26" t="s">
        <v>131</v>
      </c>
      <c r="B64" s="26" t="s">
        <v>130</v>
      </c>
      <c r="C64" s="12">
        <v>1657</v>
      </c>
      <c r="D64" s="12">
        <v>1569</v>
      </c>
      <c r="E64" s="12">
        <v>1819</v>
      </c>
      <c r="F64" s="12">
        <v>2171</v>
      </c>
      <c r="G64" s="12">
        <v>2333</v>
      </c>
      <c r="H64" s="54">
        <f t="shared" si="1"/>
        <v>7.0824862395990396E-2</v>
      </c>
    </row>
    <row r="65" spans="1:8">
      <c r="A65" s="6" t="s">
        <v>129</v>
      </c>
      <c r="B65" s="6" t="s">
        <v>128</v>
      </c>
      <c r="C65" s="15">
        <v>37980</v>
      </c>
      <c r="D65" s="15">
        <v>53894</v>
      </c>
      <c r="E65" s="15">
        <v>72158</v>
      </c>
      <c r="F65" s="15">
        <v>68536</v>
      </c>
      <c r="G65" s="15">
        <v>63329</v>
      </c>
      <c r="H65" s="73">
        <f t="shared" si="1"/>
        <v>0.10766780782821939</v>
      </c>
    </row>
    <row r="66" spans="1:8">
      <c r="A66" s="6" t="s">
        <v>127</v>
      </c>
      <c r="B66" s="6" t="s">
        <v>126</v>
      </c>
      <c r="C66" s="15">
        <v>77004</v>
      </c>
      <c r="D66" s="15">
        <v>79417</v>
      </c>
      <c r="E66" s="15">
        <v>105543</v>
      </c>
      <c r="F66" s="15">
        <v>97247</v>
      </c>
      <c r="G66" s="15">
        <v>96976</v>
      </c>
      <c r="H66" s="73">
        <f t="shared" si="1"/>
        <v>4.7201356875676392E-2</v>
      </c>
    </row>
    <row r="67" spans="1:8">
      <c r="A67" s="26" t="s">
        <v>125</v>
      </c>
      <c r="B67" s="26" t="s">
        <v>124</v>
      </c>
      <c r="C67" s="12">
        <v>154993</v>
      </c>
      <c r="D67" s="12">
        <v>157299</v>
      </c>
      <c r="E67" s="12">
        <v>157426</v>
      </c>
      <c r="F67" s="12">
        <v>155609</v>
      </c>
      <c r="G67" s="12">
        <v>153815</v>
      </c>
      <c r="H67" s="54">
        <f t="shared" si="1"/>
        <v>-1.5247110521241503E-3</v>
      </c>
    </row>
    <row r="68" spans="1:8">
      <c r="A68" s="26" t="s">
        <v>123</v>
      </c>
      <c r="B68" s="26" t="s">
        <v>122</v>
      </c>
      <c r="C68" s="12">
        <v>4796</v>
      </c>
      <c r="D68" s="12">
        <v>4796</v>
      </c>
      <c r="E68" s="12">
        <v>4797</v>
      </c>
      <c r="F68" s="12">
        <v>4797</v>
      </c>
      <c r="G68" s="12">
        <v>4797</v>
      </c>
      <c r="H68" s="54">
        <f t="shared" si="1"/>
        <v>4.1697940266649525E-5</v>
      </c>
    </row>
    <row r="69" spans="1:8">
      <c r="A69" s="26" t="s">
        <v>121</v>
      </c>
      <c r="B69" s="26" t="s">
        <v>120</v>
      </c>
      <c r="C69" s="12">
        <v>150197</v>
      </c>
      <c r="D69" s="12">
        <v>152503</v>
      </c>
      <c r="E69" s="12">
        <v>152629</v>
      </c>
      <c r="F69" s="12">
        <v>150812</v>
      </c>
      <c r="G69" s="12">
        <v>149018</v>
      </c>
      <c r="H69" s="54">
        <f t="shared" si="1"/>
        <v>-1.5748909044255299E-3</v>
      </c>
    </row>
    <row r="70" spans="1:8">
      <c r="A70" s="26" t="s">
        <v>119</v>
      </c>
      <c r="B70" s="26" t="s">
        <v>118</v>
      </c>
      <c r="C70" s="12">
        <v>8463</v>
      </c>
      <c r="D70" s="12">
        <v>7875</v>
      </c>
      <c r="E70" s="12">
        <v>7802</v>
      </c>
      <c r="F70" s="12">
        <v>6172</v>
      </c>
      <c r="G70" s="12">
        <v>7278</v>
      </c>
      <c r="H70" s="54">
        <f t="shared" si="1"/>
        <v>-2.971896660708595E-2</v>
      </c>
    </row>
    <row r="71" spans="1:8">
      <c r="A71" s="26" t="s">
        <v>117</v>
      </c>
      <c r="B71" s="26" t="s">
        <v>116</v>
      </c>
      <c r="C71" s="12">
        <v>-106695</v>
      </c>
      <c r="D71" s="12">
        <v>-116725</v>
      </c>
      <c r="E71" s="12">
        <v>-120349</v>
      </c>
      <c r="F71" s="12">
        <v>-121587</v>
      </c>
      <c r="G71" s="12">
        <v>-122118</v>
      </c>
      <c r="H71" s="54">
        <f t="shared" si="1"/>
        <v>2.7370575334009217E-2</v>
      </c>
    </row>
    <row r="72" spans="1:8">
      <c r="A72" s="26" t="s">
        <v>115</v>
      </c>
      <c r="B72" s="26" t="s">
        <v>114</v>
      </c>
      <c r="C72" s="12">
        <v>27805</v>
      </c>
      <c r="D72" s="12">
        <v>29519</v>
      </c>
      <c r="E72" s="12">
        <v>32135</v>
      </c>
      <c r="F72" s="12">
        <v>27954</v>
      </c>
      <c r="G72" s="12">
        <v>30268</v>
      </c>
      <c r="H72" s="54">
        <f t="shared" si="1"/>
        <v>1.7119932292956053E-2</v>
      </c>
    </row>
    <row r="73" spans="1:8">
      <c r="A73" s="6" t="s">
        <v>113</v>
      </c>
      <c r="B73" s="6" t="s">
        <v>112</v>
      </c>
      <c r="C73" s="15">
        <v>67640</v>
      </c>
      <c r="D73" s="15">
        <v>62218</v>
      </c>
      <c r="E73" s="15">
        <v>61410</v>
      </c>
      <c r="F73" s="15">
        <v>55804</v>
      </c>
      <c r="G73" s="15">
        <v>54687</v>
      </c>
      <c r="H73" s="73">
        <f t="shared" si="1"/>
        <v>-4.1623623254239628E-2</v>
      </c>
    </row>
    <row r="74" spans="1:8">
      <c r="A74" s="26" t="s">
        <v>111</v>
      </c>
      <c r="B74" s="26" t="s">
        <v>110</v>
      </c>
      <c r="C74" s="12">
        <v>967</v>
      </c>
      <c r="D74" s="12">
        <v>1227</v>
      </c>
      <c r="E74" s="12">
        <v>1215</v>
      </c>
      <c r="F74" s="12">
        <v>2012</v>
      </c>
      <c r="G74" s="12">
        <v>2290</v>
      </c>
      <c r="H74" s="54">
        <f t="shared" si="1"/>
        <v>0.18817880659770592</v>
      </c>
    </row>
    <row r="75" spans="1:8">
      <c r="A75" s="6" t="s">
        <v>109</v>
      </c>
      <c r="B75" s="6" t="s">
        <v>108</v>
      </c>
      <c r="C75" s="15">
        <v>68607</v>
      </c>
      <c r="D75" s="15">
        <v>63445</v>
      </c>
      <c r="E75" s="15">
        <v>62625</v>
      </c>
      <c r="F75" s="15">
        <v>57816</v>
      </c>
      <c r="G75" s="15">
        <v>56977</v>
      </c>
      <c r="H75" s="73">
        <f t="shared" si="1"/>
        <v>-3.6467806436082384E-2</v>
      </c>
    </row>
    <row r="76" spans="1:8">
      <c r="A76" s="6" t="s">
        <v>107</v>
      </c>
      <c r="B76" s="6" t="s">
        <v>106</v>
      </c>
      <c r="C76" s="15">
        <v>145611</v>
      </c>
      <c r="D76" s="15">
        <v>142862</v>
      </c>
      <c r="E76" s="15">
        <v>168168</v>
      </c>
      <c r="F76" s="15">
        <v>155063</v>
      </c>
      <c r="G76" s="15">
        <v>153953</v>
      </c>
      <c r="H76" s="73">
        <f t="shared" si="1"/>
        <v>1.1204036033937603E-2</v>
      </c>
    </row>
    <row r="77" spans="1:8">
      <c r="A77" s="6"/>
      <c r="B77" s="14"/>
      <c r="C77" s="14"/>
      <c r="D77" s="14"/>
      <c r="E77" s="14"/>
      <c r="F77" s="14"/>
      <c r="G77" s="14"/>
      <c r="H77" s="73"/>
    </row>
    <row r="78" spans="1:8">
      <c r="A78" s="6" t="s">
        <v>2</v>
      </c>
      <c r="B78" s="14"/>
      <c r="C78" s="14"/>
      <c r="D78" s="14"/>
      <c r="E78" s="14"/>
      <c r="F78" s="14"/>
      <c r="G78" s="14"/>
      <c r="H78" s="73"/>
    </row>
    <row r="79" spans="1:8">
      <c r="A79" s="26" t="s">
        <v>105</v>
      </c>
      <c r="B79" s="26" t="s">
        <v>104</v>
      </c>
      <c r="C79" s="12">
        <v>26675.765299999999</v>
      </c>
      <c r="D79" s="12">
        <v>27230.375599999999</v>
      </c>
      <c r="E79" s="12">
        <v>26772.164499999999</v>
      </c>
      <c r="F79" s="12">
        <v>28224.193500000001</v>
      </c>
      <c r="G79" s="12">
        <v>28370.051299999999</v>
      </c>
      <c r="H79" s="54"/>
    </row>
    <row r="80" spans="1:8">
      <c r="A80" s="26" t="s">
        <v>240</v>
      </c>
      <c r="B80" s="26" t="s">
        <v>103</v>
      </c>
      <c r="C80" s="24">
        <f>'Income Statement (5-year trend)'!B30/'Balance Sheet - (5-Years Trend)'!C75</f>
        <v>6.7150582302097458E-2</v>
      </c>
      <c r="D80" s="24">
        <f>'Income Statement (5-year trend)'!C30/'Balance Sheet - (5-Years Trend)'!D75</f>
        <v>1.071794467649145E-2</v>
      </c>
      <c r="E80" s="24">
        <f>'Income Statement (5-year trend)'!D30/'Balance Sheet - (5-Years Trend)'!E75</f>
        <v>6.6123752495009985E-2</v>
      </c>
      <c r="F80" s="24">
        <f>'Income Statement (5-year trend)'!E30/'Balance Sheet - (5-Years Trend)'!F75</f>
        <v>-1.5428255154282552E-2</v>
      </c>
      <c r="G80" s="24">
        <f>'Income Statement (5-year trend)'!F30/'Balance Sheet - (5-Years Trend)'!G75</f>
        <v>4.6773259385366028E-2</v>
      </c>
      <c r="H80" s="54"/>
    </row>
    <row r="81" spans="1:8">
      <c r="A81" s="26" t="s">
        <v>286</v>
      </c>
      <c r="B81" s="26" t="s">
        <v>102</v>
      </c>
      <c r="C81" s="54">
        <f>'Income Statement (5-year trend)'!B6/'Balance Sheet - (5-Years Trend)'!C38</f>
        <v>0.31983160612865785</v>
      </c>
      <c r="D81" s="54">
        <f>'Income Statement (5-year trend)'!C6/'Balance Sheet - (5-Years Trend)'!D38</f>
        <v>0.30565160784533324</v>
      </c>
      <c r="E81" s="54">
        <f>'Income Statement (5-year trend)'!D6/'Balance Sheet - (5-Years Trend)'!E38</f>
        <v>0.26743494600637457</v>
      </c>
      <c r="F81" s="54">
        <f>'Income Statement (5-year trend)'!E6/'Balance Sheet - (5-Years Trend)'!F38</f>
        <v>0.28252387739176982</v>
      </c>
      <c r="G81" s="54">
        <f>'Income Statement (5-year trend)'!F6/'Balance Sheet - (5-Years Trend)'!G38</f>
        <v>0.29606438328580803</v>
      </c>
      <c r="H81" s="54"/>
    </row>
    <row r="82" spans="1:8">
      <c r="A82" s="26" t="s">
        <v>243</v>
      </c>
      <c r="B82" s="26"/>
      <c r="C82" s="25">
        <f>C38/C75</f>
        <v>2.1223927587563951</v>
      </c>
      <c r="D82" s="25">
        <f>D38/D75</f>
        <v>2.2517456064307666</v>
      </c>
      <c r="E82" s="25">
        <f>E38/E75</f>
        <v>2.6853173652694613</v>
      </c>
      <c r="F82" s="25">
        <f>F38/F75</f>
        <v>2.6820084405700846</v>
      </c>
      <c r="G82" s="25">
        <f>G38/G75</f>
        <v>2.7020201133790827</v>
      </c>
      <c r="H82" s="54"/>
    </row>
    <row r="83" spans="1:8">
      <c r="A83" s="26" t="s">
        <v>242</v>
      </c>
      <c r="B83" s="26"/>
      <c r="C83" s="24">
        <f>C82*C81*'Income Statement (5-year trend)'!B56</f>
        <v>6.7150582302097445E-2</v>
      </c>
      <c r="D83" s="24">
        <f>D82*D81*'Income Statement (5-year trend)'!C56</f>
        <v>1.0717944676491448E-2</v>
      </c>
      <c r="E83" s="24">
        <f>E82*E81*'Income Statement (5-year trend)'!D56</f>
        <v>6.6123752495009985E-2</v>
      </c>
      <c r="F83" s="24">
        <f>F82*F81*'Income Statement (5-year trend)'!E56</f>
        <v>-1.5428255154282556E-2</v>
      </c>
      <c r="G83" s="24">
        <f>G82*G81*'Income Statement (5-year trend)'!F56</f>
        <v>4.6773259385366028E-2</v>
      </c>
      <c r="H83" s="54"/>
    </row>
    <row r="84" spans="1:8">
      <c r="A84" s="26" t="s">
        <v>241</v>
      </c>
      <c r="B84" s="26"/>
      <c r="C84" s="68">
        <f>'Income Statement (5-year trend)'!B30/'Balance Sheet - (5-Years Trend)'!C38</f>
        <v>3.1639093200376348E-2</v>
      </c>
      <c r="D84" s="68">
        <f>'Income Statement (5-year trend)'!C30/'Balance Sheet - (5-Years Trend)'!D38</f>
        <v>4.7598381655023728E-3</v>
      </c>
      <c r="E84" s="68">
        <f>'Income Statement (5-year trend)'!D30/'Balance Sheet - (5-Years Trend)'!E38</f>
        <v>2.4624185338471053E-2</v>
      </c>
      <c r="F84" s="68">
        <f>'Income Statement (5-year trend)'!E30/'Balance Sheet - (5-Years Trend)'!F38</f>
        <v>-5.7525005965317327E-3</v>
      </c>
      <c r="G84" s="24">
        <f>'Income Statement (5-year trend)'!F30/'Balance Sheet - (5-Years Trend)'!G38</f>
        <v>1.7310477873117121E-2</v>
      </c>
      <c r="H84" s="54"/>
    </row>
    <row r="85" spans="1:8">
      <c r="A85" s="26"/>
      <c r="B85" s="26"/>
      <c r="C85" s="57"/>
      <c r="D85" s="57"/>
      <c r="E85" s="57"/>
      <c r="F85" s="57"/>
      <c r="G85" s="54"/>
      <c r="H85" s="54"/>
    </row>
    <row r="86" spans="1:8">
      <c r="A86" s="26" t="s">
        <v>244</v>
      </c>
      <c r="B86" s="26"/>
      <c r="C86" s="55">
        <v>0</v>
      </c>
      <c r="D86" s="25">
        <f>(D13/'Income Statement (5-year trend)'!C8)*365</f>
        <v>8.6409151193633953</v>
      </c>
      <c r="E86" s="58">
        <f>(E13/'Income Statement (5-year trend)'!D8)*366</f>
        <v>7.1334332833583209</v>
      </c>
      <c r="F86" s="25">
        <f>(F13/'Income Statement (5-year trend)'!$E$8)*365</f>
        <v>8.2011566841720391</v>
      </c>
      <c r="G86" s="25">
        <f>(G13/'Income Statement (5-year trend)'!F8)*365</f>
        <v>9.980375482436056</v>
      </c>
      <c r="H86" s="54"/>
    </row>
    <row r="87" spans="1:8">
      <c r="A87" s="26" t="s">
        <v>245</v>
      </c>
      <c r="B87" s="26"/>
      <c r="C87" s="55">
        <f>((C26+C11)/'Income Statement (5-year trend)'!B6)*365</f>
        <v>46.444997960103919</v>
      </c>
      <c r="D87" s="25">
        <f>((D26+D11)/'Income Statement (5-year trend)'!C6)*365</f>
        <v>39.061168872807215</v>
      </c>
      <c r="E87" s="58">
        <f>((E26+E11)/'Income Statement (5-year trend)'!D6)*366</f>
        <v>34.814515053141818</v>
      </c>
      <c r="F87" s="25">
        <f>((F26+F11)/'Income Statement (5-year trend)'!$E$6)*365</f>
        <v>32.168390056837637</v>
      </c>
      <c r="G87" s="25">
        <f>((G26+G11)/'Income Statement (5-year trend)'!$F$6)*365</f>
        <v>28.628236068451073</v>
      </c>
      <c r="H87" s="54"/>
    </row>
    <row r="88" spans="1:8">
      <c r="A88" s="26" t="s">
        <v>246</v>
      </c>
      <c r="B88" s="26"/>
      <c r="C88" s="55">
        <f>(C42/'Income Statement (5-year trend)'!B8)*365</f>
        <v>68.88788868206646</v>
      </c>
      <c r="D88" s="25">
        <f>(D42/'Income Statement (5-year trend)'!C8)*365</f>
        <v>79.159980106100789</v>
      </c>
      <c r="E88" s="58">
        <f>(E42/'Income Statement (5-year trend)'!D8)*366</f>
        <v>79.875366664493839</v>
      </c>
      <c r="F88" s="25">
        <f>(F42/'Income Statement (5-year trend)'!$E$8)*365</f>
        <v>81.756797181413276</v>
      </c>
      <c r="G88" s="25">
        <f>(G42/'Income Statement (5-year trend)'!$F$8)*365</f>
        <v>87.471544449532274</v>
      </c>
      <c r="H88" s="54"/>
    </row>
    <row r="89" spans="1:8">
      <c r="A89" s="26" t="s">
        <v>100</v>
      </c>
      <c r="B89" s="26" t="s">
        <v>99</v>
      </c>
      <c r="C89" s="56">
        <f>C86+C87-C88</f>
        <v>-22.442890721962542</v>
      </c>
      <c r="D89" s="13">
        <f>D86+D87-D88</f>
        <v>-31.457896113930175</v>
      </c>
      <c r="E89" s="59">
        <f>E86+E87-E88</f>
        <v>-37.927418327993699</v>
      </c>
      <c r="F89" s="13">
        <f>F86+F87-F88</f>
        <v>-41.387250440403598</v>
      </c>
      <c r="G89" s="13">
        <f>G86+G87-G88</f>
        <v>-48.862932898645141</v>
      </c>
      <c r="H89" s="54"/>
    </row>
    <row r="90" spans="1:8">
      <c r="A90" s="26"/>
      <c r="B90" s="26"/>
      <c r="C90" s="56"/>
      <c r="D90" s="13"/>
      <c r="E90" s="59"/>
      <c r="F90" s="13"/>
      <c r="G90" s="13"/>
      <c r="H90" s="54"/>
    </row>
    <row r="91" spans="1:8">
      <c r="A91" s="26" t="s">
        <v>248</v>
      </c>
      <c r="B91" s="26"/>
      <c r="C91" s="57">
        <f>C54/(C54+C75)</f>
        <v>0.32231298833430466</v>
      </c>
      <c r="D91" s="54">
        <f>D54/(D54+D75)</f>
        <v>0.43418353696602158</v>
      </c>
      <c r="E91" s="60">
        <f>E54/(E54+E75)</f>
        <v>0.5012900759711405</v>
      </c>
      <c r="F91" s="54">
        <f>F54/(F54+F75)</f>
        <v>0.50621754577753486</v>
      </c>
      <c r="G91" s="54">
        <f>G54/(G54+G75)</f>
        <v>0.50501268374048724</v>
      </c>
      <c r="H91" s="54"/>
    </row>
    <row r="92" spans="1:8">
      <c r="A92" s="26" t="s">
        <v>282</v>
      </c>
      <c r="B92" s="26"/>
      <c r="C92" s="57">
        <f>C66/C75</f>
        <v>1.1223927587563951</v>
      </c>
      <c r="D92" s="54">
        <f>D66/D75</f>
        <v>1.2517456064307668</v>
      </c>
      <c r="E92" s="60">
        <f>E66/E75</f>
        <v>1.6853173652694611</v>
      </c>
      <c r="F92" s="54">
        <f>F66/F75</f>
        <v>1.6820084405700844</v>
      </c>
      <c r="G92" s="54">
        <f>G66/G75</f>
        <v>1.7020201133790829</v>
      </c>
      <c r="H92" s="54"/>
    </row>
    <row r="93" spans="1:8">
      <c r="A93" s="26"/>
      <c r="B93" s="26"/>
      <c r="C93" s="55"/>
      <c r="D93" s="25"/>
      <c r="E93" s="58"/>
      <c r="F93" s="25"/>
      <c r="G93" s="25"/>
      <c r="H93" s="54"/>
    </row>
    <row r="94" spans="1:8">
      <c r="A94" s="26" t="s">
        <v>101</v>
      </c>
      <c r="B94" s="26"/>
      <c r="C94" s="57">
        <f>C20/C53</f>
        <v>0.97250410004100041</v>
      </c>
      <c r="D94" s="57">
        <f t="shared" ref="D94:G94" si="2">D20/D53</f>
        <v>1.5509932217999451</v>
      </c>
      <c r="E94" s="57">
        <f t="shared" si="2"/>
        <v>0.98349558184813535</v>
      </c>
      <c r="F94" s="57">
        <f t="shared" si="2"/>
        <v>0.98464003343666195</v>
      </c>
      <c r="G94" s="54">
        <f t="shared" si="2"/>
        <v>0.84812910512081319</v>
      </c>
      <c r="H94" s="54"/>
    </row>
    <row r="95" spans="1:8">
      <c r="A95" s="26" t="s">
        <v>283</v>
      </c>
      <c r="B95" s="26"/>
      <c r="C95" s="57">
        <f>(C20-C13)/C53</f>
        <v>0.97250410004100041</v>
      </c>
      <c r="D95" s="57">
        <f t="shared" ref="D95:G95" si="3">(D20-D13)/D53</f>
        <v>1.5230184539435019</v>
      </c>
      <c r="E95" s="57">
        <f t="shared" si="3"/>
        <v>0.9655833458139883</v>
      </c>
      <c r="F95" s="57">
        <f t="shared" si="3"/>
        <v>0.96109505067744072</v>
      </c>
      <c r="G95" s="54">
        <f t="shared" si="3"/>
        <v>0.82328290783725144</v>
      </c>
      <c r="H95" s="54"/>
    </row>
    <row r="96" spans="1:8">
      <c r="A96" s="26" t="s">
        <v>284</v>
      </c>
      <c r="C96" s="62">
        <f>C8/C53</f>
        <v>0.11977244772447725</v>
      </c>
      <c r="D96" s="62">
        <f>D8/D53</f>
        <v>0.53430239391921008</v>
      </c>
      <c r="E96" s="62">
        <f>E8/E53</f>
        <v>0.4060805751085817</v>
      </c>
      <c r="F96" s="62">
        <f>F8/F53</f>
        <v>0.2027445926648323</v>
      </c>
      <c r="G96" s="66">
        <f>G8/G53</f>
        <v>0.22278360626504592</v>
      </c>
      <c r="H96" s="66"/>
    </row>
    <row r="97" spans="1:8">
      <c r="A97" s="7" t="s">
        <v>49</v>
      </c>
      <c r="B97" s="7"/>
      <c r="C97" s="7" t="s">
        <v>3</v>
      </c>
      <c r="D97" s="7"/>
      <c r="E97" s="7"/>
      <c r="F97" s="7"/>
      <c r="G97" s="7"/>
      <c r="H97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8799-A094-4D0C-8A28-63D5257D3CF6}">
  <dimension ref="A1:L38"/>
  <sheetViews>
    <sheetView topLeftCell="A15" workbookViewId="0">
      <selection activeCell="G35" sqref="G35"/>
    </sheetView>
  </sheetViews>
  <sheetFormatPr defaultRowHeight="15"/>
  <cols>
    <col min="1" max="1" width="35.140625" customWidth="1"/>
    <col min="2" max="2" width="0" hidden="1" customWidth="1"/>
    <col min="3" max="3" width="11.85546875" customWidth="1"/>
    <col min="4" max="4" width="7" customWidth="1"/>
    <col min="5" max="5" width="11.85546875" customWidth="1"/>
    <col min="6" max="6" width="7" customWidth="1"/>
    <col min="7" max="7" width="11.85546875" customWidth="1"/>
    <col min="8" max="8" width="7" customWidth="1"/>
    <col min="9" max="9" width="11.85546875" customWidth="1"/>
    <col min="10" max="10" width="7" customWidth="1"/>
    <col min="11" max="11" width="11.85546875" customWidth="1"/>
    <col min="12" max="12" width="7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271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4</v>
      </c>
      <c r="B4" s="3"/>
      <c r="C4" s="49" t="s">
        <v>5</v>
      </c>
      <c r="D4" s="49"/>
      <c r="E4" s="49" t="s">
        <v>6</v>
      </c>
      <c r="F4" s="49"/>
      <c r="G4" s="49" t="s">
        <v>7</v>
      </c>
      <c r="H4" s="49"/>
      <c r="I4" s="49" t="s">
        <v>8</v>
      </c>
      <c r="J4" s="49"/>
      <c r="K4" s="49" t="s">
        <v>9</v>
      </c>
      <c r="L4" s="49"/>
    </row>
    <row r="5" spans="1:12">
      <c r="A5" s="9" t="s">
        <v>10</v>
      </c>
      <c r="B5" s="9"/>
      <c r="C5" s="48" t="s">
        <v>11</v>
      </c>
      <c r="D5" s="48"/>
      <c r="E5" s="48" t="s">
        <v>12</v>
      </c>
      <c r="F5" s="48"/>
      <c r="G5" s="48" t="s">
        <v>13</v>
      </c>
      <c r="H5" s="48"/>
      <c r="I5" s="48" t="s">
        <v>14</v>
      </c>
      <c r="J5" s="48"/>
      <c r="K5" s="48" t="s">
        <v>15</v>
      </c>
      <c r="L5" s="48"/>
    </row>
    <row r="6" spans="1:12">
      <c r="A6" s="6" t="s">
        <v>0</v>
      </c>
      <c r="B6" s="6"/>
      <c r="C6" s="47">
        <v>46571</v>
      </c>
      <c r="D6" s="46">
        <v>1</v>
      </c>
      <c r="E6" s="47">
        <v>43666</v>
      </c>
      <c r="F6" s="46">
        <v>1</v>
      </c>
      <c r="G6" s="47">
        <v>44974</v>
      </c>
      <c r="H6" s="46">
        <v>1</v>
      </c>
      <c r="I6" s="47">
        <v>43809</v>
      </c>
      <c r="J6" s="46">
        <v>1</v>
      </c>
      <c r="K6" s="47">
        <v>45580</v>
      </c>
      <c r="L6" s="46">
        <v>1</v>
      </c>
    </row>
    <row r="7" spans="1:12">
      <c r="A7" s="26" t="s">
        <v>270</v>
      </c>
      <c r="B7" s="26"/>
      <c r="C7" s="45">
        <v>33888</v>
      </c>
      <c r="D7" s="44">
        <v>0.72766313800433702</v>
      </c>
      <c r="E7" s="45">
        <v>31038</v>
      </c>
      <c r="F7" s="44">
        <v>0.71080474511061198</v>
      </c>
      <c r="G7" s="45">
        <v>33793</v>
      </c>
      <c r="H7" s="44">
        <v>0.75138969182194204</v>
      </c>
      <c r="I7" s="45">
        <v>33773</v>
      </c>
      <c r="J7" s="44">
        <v>0.77091465224040701</v>
      </c>
      <c r="K7" s="45">
        <v>35824</v>
      </c>
      <c r="L7" s="44">
        <v>0.78595875383940295</v>
      </c>
    </row>
    <row r="8" spans="1:12">
      <c r="A8" s="26" t="s">
        <v>263</v>
      </c>
      <c r="B8" s="26"/>
      <c r="C8" s="45">
        <v>30713</v>
      </c>
      <c r="D8" s="44">
        <v>0.65948766399690795</v>
      </c>
      <c r="E8" s="45">
        <v>27680</v>
      </c>
      <c r="F8" s="44">
        <v>0.63390280767645302</v>
      </c>
      <c r="G8" s="45">
        <v>29210</v>
      </c>
      <c r="H8" s="44">
        <v>0.64948636990261099</v>
      </c>
      <c r="I8" s="45">
        <v>29382</v>
      </c>
      <c r="J8" s="44">
        <v>0.67068410600561501</v>
      </c>
      <c r="K8" s="45">
        <v>31116</v>
      </c>
      <c r="L8" s="44">
        <v>0.68266783677051301</v>
      </c>
    </row>
    <row r="9" spans="1:12">
      <c r="A9" s="26" t="s">
        <v>269</v>
      </c>
      <c r="B9" s="26"/>
      <c r="C9" s="45">
        <v>10262</v>
      </c>
      <c r="D9" s="44">
        <v>0.22035172102810799</v>
      </c>
      <c r="E9" s="45">
        <v>9145</v>
      </c>
      <c r="F9" s="44">
        <v>0.20943067833096701</v>
      </c>
      <c r="G9" s="45">
        <v>10696</v>
      </c>
      <c r="H9" s="44">
        <v>0.23782629963979199</v>
      </c>
      <c r="I9" s="45">
        <v>11520</v>
      </c>
      <c r="J9" s="44">
        <v>0.26295966582209102</v>
      </c>
      <c r="K9" s="45">
        <v>11616</v>
      </c>
      <c r="L9" s="44">
        <v>0.25484861781483098</v>
      </c>
    </row>
    <row r="10" spans="1:12">
      <c r="A10" s="26" t="s">
        <v>268</v>
      </c>
      <c r="B10" s="26"/>
      <c r="C10" s="45">
        <v>6094</v>
      </c>
      <c r="D10" s="44">
        <v>0.13085396491378801</v>
      </c>
      <c r="E10" s="45">
        <v>4952</v>
      </c>
      <c r="F10" s="44">
        <v>0.113406311546741</v>
      </c>
      <c r="G10" s="45">
        <v>5020</v>
      </c>
      <c r="H10" s="44">
        <v>0.111620047138347</v>
      </c>
      <c r="I10" s="45">
        <v>4848</v>
      </c>
      <c r="J10" s="44">
        <v>0.11066219270013</v>
      </c>
      <c r="K10" s="45">
        <v>5154</v>
      </c>
      <c r="L10" s="44">
        <v>0.11307591048705599</v>
      </c>
    </row>
    <row r="11" spans="1:12">
      <c r="A11" s="26" t="s">
        <v>267</v>
      </c>
      <c r="B11" s="26"/>
      <c r="C11" s="45">
        <v>5302</v>
      </c>
      <c r="D11" s="44">
        <v>0.113847673444848</v>
      </c>
      <c r="E11" s="45">
        <v>5030</v>
      </c>
      <c r="F11" s="44">
        <v>0.11519259836027999</v>
      </c>
      <c r="G11" s="45">
        <v>4833</v>
      </c>
      <c r="H11" s="44">
        <v>0.107462089207097</v>
      </c>
      <c r="I11" s="45">
        <v>4458</v>
      </c>
      <c r="J11" s="44">
        <v>0.101759912346778</v>
      </c>
      <c r="K11" s="45">
        <v>4379</v>
      </c>
      <c r="L11" s="44">
        <v>9.6072838964458104E-2</v>
      </c>
    </row>
    <row r="12" spans="1:12">
      <c r="A12" s="26" t="s">
        <v>266</v>
      </c>
      <c r="B12" s="26"/>
      <c r="C12" s="45">
        <v>4587</v>
      </c>
      <c r="D12" s="44">
        <v>9.84947714242769E-2</v>
      </c>
      <c r="E12" s="45">
        <v>4203</v>
      </c>
      <c r="F12" s="44">
        <v>9.6253377914166605E-2</v>
      </c>
      <c r="G12" s="45">
        <v>3904</v>
      </c>
      <c r="H12" s="44">
        <v>8.6805709965757996E-2</v>
      </c>
      <c r="I12" s="45">
        <v>3788</v>
      </c>
      <c r="J12" s="44">
        <v>8.6466251226916799E-2</v>
      </c>
      <c r="K12" s="45">
        <v>3714</v>
      </c>
      <c r="L12" s="44">
        <v>8.1483106625712995E-2</v>
      </c>
    </row>
    <row r="13" spans="1:12">
      <c r="A13" s="26" t="s">
        <v>265</v>
      </c>
      <c r="B13" s="26"/>
      <c r="C13" s="45">
        <v>4625</v>
      </c>
      <c r="D13" s="44">
        <v>9.9310729853342203E-2</v>
      </c>
      <c r="E13" s="45">
        <v>4460</v>
      </c>
      <c r="F13" s="44">
        <v>0.10213896395364799</v>
      </c>
      <c r="G13" s="45">
        <v>4890</v>
      </c>
      <c r="H13" s="44">
        <v>0.108729488148708</v>
      </c>
      <c r="I13" s="45">
        <v>4859</v>
      </c>
      <c r="J13" s="44">
        <v>0.11091328265881401</v>
      </c>
      <c r="K13" s="45">
        <v>5001</v>
      </c>
      <c r="L13" s="44">
        <v>0.10971917507678799</v>
      </c>
    </row>
    <row r="14" spans="1:12">
      <c r="A14" s="26" t="s">
        <v>260</v>
      </c>
      <c r="B14" s="26"/>
      <c r="C14" s="45">
        <v>-157</v>
      </c>
      <c r="D14" s="44">
        <v>-3.371196667454E-3</v>
      </c>
      <c r="E14" s="45">
        <v>-110</v>
      </c>
      <c r="F14" s="44">
        <v>-2.5191224293500702E-3</v>
      </c>
      <c r="G14" s="45">
        <v>-133</v>
      </c>
      <c r="H14" s="44">
        <v>-2.9572641970916501E-3</v>
      </c>
      <c r="I14" s="45">
        <v>-91</v>
      </c>
      <c r="J14" s="44">
        <v>-2.0771987491154799E-3</v>
      </c>
      <c r="K14" s="45">
        <v>1252</v>
      </c>
      <c r="L14" s="44">
        <v>2.7468187801667401E-2</v>
      </c>
    </row>
    <row r="15" spans="1:12">
      <c r="A15" s="26" t="s">
        <v>259</v>
      </c>
      <c r="B15" s="26"/>
      <c r="C15" s="45">
        <v>3175</v>
      </c>
      <c r="D15" s="44">
        <v>6.8175474007429501E-2</v>
      </c>
      <c r="E15" s="45">
        <v>3358</v>
      </c>
      <c r="F15" s="44">
        <v>7.6901937434159295E-2</v>
      </c>
      <c r="G15" s="45">
        <v>4583</v>
      </c>
      <c r="H15" s="44">
        <v>0.10190332191933101</v>
      </c>
      <c r="I15" s="45">
        <v>4391</v>
      </c>
      <c r="J15" s="44">
        <v>0.100230546234792</v>
      </c>
      <c r="K15" s="45">
        <v>4708</v>
      </c>
      <c r="L15" s="44">
        <v>0.10329091706889</v>
      </c>
    </row>
    <row r="16" spans="1:12">
      <c r="A16" s="26" t="s">
        <v>269</v>
      </c>
      <c r="B16" s="26"/>
      <c r="C16" s="45">
        <v>585</v>
      </c>
      <c r="D16" s="44">
        <v>1.2561465289557899E-2</v>
      </c>
      <c r="E16" s="45">
        <v>646</v>
      </c>
      <c r="F16" s="44">
        <v>1.4794118994183101E-2</v>
      </c>
      <c r="G16" s="45">
        <v>1380</v>
      </c>
      <c r="H16" s="44">
        <v>3.0684395428469801E-2</v>
      </c>
      <c r="I16" s="45">
        <v>1464</v>
      </c>
      <c r="J16" s="44">
        <v>3.3417790864890801E-2</v>
      </c>
      <c r="K16" s="45">
        <v>1512</v>
      </c>
      <c r="L16" s="44">
        <v>3.3172444054409798E-2</v>
      </c>
    </row>
    <row r="17" spans="1:12">
      <c r="A17" s="26" t="s">
        <v>268</v>
      </c>
      <c r="B17" s="26"/>
      <c r="C17" s="45">
        <v>984</v>
      </c>
      <c r="D17" s="44">
        <v>2.1129028794743501E-2</v>
      </c>
      <c r="E17" s="45">
        <v>1024</v>
      </c>
      <c r="F17" s="44">
        <v>2.34507397059497E-2</v>
      </c>
      <c r="G17" s="45">
        <v>1464</v>
      </c>
      <c r="H17" s="44">
        <v>3.2552141237159299E-2</v>
      </c>
      <c r="I17" s="45">
        <v>1303</v>
      </c>
      <c r="J17" s="44">
        <v>2.9742746924148002E-2</v>
      </c>
      <c r="K17" s="45">
        <v>1435</v>
      </c>
      <c r="L17" s="44">
        <v>3.1483106625712999E-2</v>
      </c>
    </row>
    <row r="18" spans="1:12">
      <c r="A18" s="26" t="s">
        <v>267</v>
      </c>
      <c r="B18" s="26"/>
      <c r="C18" s="45">
        <v>902</v>
      </c>
      <c r="D18" s="44">
        <v>1.9368276395181599E-2</v>
      </c>
      <c r="E18" s="45">
        <v>903</v>
      </c>
      <c r="F18" s="44">
        <v>2.0679705033664599E-2</v>
      </c>
      <c r="G18" s="45">
        <v>696</v>
      </c>
      <c r="H18" s="44">
        <v>1.54756081291413E-2</v>
      </c>
      <c r="I18" s="45">
        <v>556</v>
      </c>
      <c r="J18" s="44">
        <v>1.2691456093496801E-2</v>
      </c>
      <c r="K18" s="45">
        <v>643</v>
      </c>
      <c r="L18" s="44">
        <v>1.4107064501974499E-2</v>
      </c>
    </row>
    <row r="19" spans="1:12">
      <c r="A19" s="26" t="s">
        <v>266</v>
      </c>
      <c r="B19" s="26"/>
      <c r="C19" s="45">
        <v>391</v>
      </c>
      <c r="D19" s="44">
        <v>8.3957827832771507E-3</v>
      </c>
      <c r="E19" s="45">
        <v>413</v>
      </c>
      <c r="F19" s="44">
        <v>9.4581596665597907E-3</v>
      </c>
      <c r="G19" s="45">
        <v>392</v>
      </c>
      <c r="H19" s="44">
        <v>8.7161471072174992E-3</v>
      </c>
      <c r="I19" s="45">
        <v>378</v>
      </c>
      <c r="J19" s="44">
        <v>8.6283640347873704E-3</v>
      </c>
      <c r="K19" s="45">
        <v>466</v>
      </c>
      <c r="L19" s="44">
        <v>1.02237823606845E-2</v>
      </c>
    </row>
    <row r="20" spans="1:12">
      <c r="A20" s="26" t="s">
        <v>265</v>
      </c>
      <c r="B20" s="26"/>
      <c r="C20" s="45">
        <v>316</v>
      </c>
      <c r="D20" s="44">
        <v>6.7853385153851097E-3</v>
      </c>
      <c r="E20" s="45">
        <v>378</v>
      </c>
      <c r="F20" s="44">
        <v>8.6566207117665904E-3</v>
      </c>
      <c r="G20" s="45">
        <v>651</v>
      </c>
      <c r="H20" s="44">
        <v>1.4475030017343401E-2</v>
      </c>
      <c r="I20" s="45">
        <v>690</v>
      </c>
      <c r="J20" s="44">
        <v>1.5750188317469001E-2</v>
      </c>
      <c r="K20" s="45">
        <v>652</v>
      </c>
      <c r="L20" s="44">
        <v>1.43045195261079E-2</v>
      </c>
    </row>
    <row r="21" spans="1:12">
      <c r="A21" s="26" t="s">
        <v>260</v>
      </c>
      <c r="B21" s="26"/>
      <c r="C21" s="45">
        <v>-3</v>
      </c>
      <c r="D21" s="44">
        <v>-6.4417770715681396E-5</v>
      </c>
      <c r="E21" s="45">
        <v>-6</v>
      </c>
      <c r="F21" s="44">
        <v>-1.3740667796454899E-4</v>
      </c>
      <c r="G21" s="45" t="s">
        <v>50</v>
      </c>
      <c r="H21" s="44"/>
      <c r="I21" s="45" t="s">
        <v>50</v>
      </c>
      <c r="J21" s="44"/>
      <c r="K21" s="45" t="s">
        <v>50</v>
      </c>
      <c r="L21" s="44"/>
    </row>
    <row r="22" spans="1:12">
      <c r="A22" s="26" t="s">
        <v>264</v>
      </c>
      <c r="B22" s="26"/>
      <c r="C22" s="45">
        <v>11462</v>
      </c>
      <c r="D22" s="44">
        <v>0.24611882931438001</v>
      </c>
      <c r="E22" s="45">
        <v>10524</v>
      </c>
      <c r="F22" s="44">
        <v>0.241011313149819</v>
      </c>
      <c r="G22" s="45">
        <v>9917</v>
      </c>
      <c r="H22" s="44">
        <v>0.220505180771112</v>
      </c>
      <c r="I22" s="45">
        <v>8668</v>
      </c>
      <c r="J22" s="44">
        <v>0.197858887443219</v>
      </c>
      <c r="K22" s="45">
        <v>8342</v>
      </c>
      <c r="L22" s="44">
        <v>0.18301886792452801</v>
      </c>
    </row>
    <row r="23" spans="1:12">
      <c r="A23" s="26" t="s">
        <v>263</v>
      </c>
      <c r="B23" s="26"/>
      <c r="C23" s="45">
        <v>9501</v>
      </c>
      <c r="D23" s="44">
        <v>0.204011079856563</v>
      </c>
      <c r="E23" s="45">
        <v>8743</v>
      </c>
      <c r="F23" s="44">
        <v>0.20022443090734199</v>
      </c>
      <c r="G23" s="45">
        <v>8266</v>
      </c>
      <c r="H23" s="44">
        <v>0.183795081602704</v>
      </c>
      <c r="I23" s="45">
        <v>7117</v>
      </c>
      <c r="J23" s="44">
        <v>0.162455203268735</v>
      </c>
      <c r="K23" s="45">
        <v>6574</v>
      </c>
      <c r="L23" s="44">
        <v>0.14422992540588001</v>
      </c>
    </row>
    <row r="24" spans="1:12">
      <c r="A24" s="26" t="s">
        <v>262</v>
      </c>
      <c r="B24" s="26"/>
      <c r="C24" s="45">
        <v>4656</v>
      </c>
      <c r="D24" s="44">
        <v>9.9976380150737607E-2</v>
      </c>
      <c r="E24" s="45">
        <v>4391</v>
      </c>
      <c r="F24" s="44">
        <v>0.100558787157056</v>
      </c>
      <c r="G24" s="45">
        <v>4470</v>
      </c>
      <c r="H24" s="44">
        <v>9.9390759105260795E-2</v>
      </c>
      <c r="I24" s="45">
        <v>4083</v>
      </c>
      <c r="J24" s="44">
        <v>9.3200027391631898E-2</v>
      </c>
      <c r="K24" s="45">
        <v>4635</v>
      </c>
      <c r="L24" s="44">
        <v>0.101689337428697</v>
      </c>
    </row>
    <row r="25" spans="1:12">
      <c r="A25" s="26" t="s">
        <v>261</v>
      </c>
      <c r="B25" s="26"/>
      <c r="C25" s="45">
        <v>4845</v>
      </c>
      <c r="D25" s="44">
        <v>0.104034699705826</v>
      </c>
      <c r="E25" s="45">
        <v>4083</v>
      </c>
      <c r="F25" s="44">
        <v>9.3505244354875602E-2</v>
      </c>
      <c r="G25" s="45">
        <v>3796</v>
      </c>
      <c r="H25" s="44">
        <v>8.4404322497442993E-2</v>
      </c>
      <c r="I25" s="45">
        <v>3312</v>
      </c>
      <c r="J25" s="44">
        <v>7.5600903923851298E-2</v>
      </c>
      <c r="K25" s="45">
        <v>3420</v>
      </c>
      <c r="L25" s="44">
        <v>7.5032909170688902E-2</v>
      </c>
    </row>
    <row r="26" spans="1:12">
      <c r="A26" s="26" t="s">
        <v>260</v>
      </c>
      <c r="B26" s="26"/>
      <c r="C26" s="45">
        <v>0</v>
      </c>
      <c r="D26" s="44"/>
      <c r="E26" s="45">
        <v>0</v>
      </c>
      <c r="F26" s="44"/>
      <c r="G26" s="45">
        <v>0</v>
      </c>
      <c r="H26" s="44"/>
      <c r="I26" s="45">
        <v>-278</v>
      </c>
      <c r="J26" s="44">
        <v>-6.3457280467483796E-3</v>
      </c>
      <c r="K26" s="45">
        <v>-1481</v>
      </c>
      <c r="L26" s="44">
        <v>-3.2492321193505903E-2</v>
      </c>
    </row>
    <row r="27" spans="1:12">
      <c r="A27" s="26" t="s">
        <v>259</v>
      </c>
      <c r="B27" s="26"/>
      <c r="C27" s="45">
        <v>1961</v>
      </c>
      <c r="D27" s="44">
        <v>4.2107749457817097E-2</v>
      </c>
      <c r="E27" s="45">
        <v>1781</v>
      </c>
      <c r="F27" s="44">
        <v>4.0786882242477E-2</v>
      </c>
      <c r="G27" s="45">
        <v>1651</v>
      </c>
      <c r="H27" s="44">
        <v>3.6710099168408401E-2</v>
      </c>
      <c r="I27" s="45">
        <v>1551</v>
      </c>
      <c r="J27" s="44">
        <v>3.5403684174484702E-2</v>
      </c>
      <c r="K27" s="45">
        <v>1768</v>
      </c>
      <c r="L27" s="44">
        <v>3.8788942518648499E-2</v>
      </c>
    </row>
    <row r="28" spans="1:12">
      <c r="A28" s="6" t="s">
        <v>258</v>
      </c>
      <c r="B28" s="6"/>
      <c r="C28" s="43" t="s">
        <v>50</v>
      </c>
      <c r="D28" s="42"/>
      <c r="E28" s="43" t="s">
        <v>50</v>
      </c>
      <c r="F28" s="42"/>
      <c r="G28" s="43" t="s">
        <v>50</v>
      </c>
      <c r="H28" s="42"/>
      <c r="I28" s="43" t="s">
        <v>50</v>
      </c>
      <c r="J28" s="42"/>
      <c r="K28" s="43" t="s">
        <v>50</v>
      </c>
      <c r="L28" s="42"/>
    </row>
    <row r="29" spans="1:12">
      <c r="A29" s="26" t="s">
        <v>257</v>
      </c>
      <c r="B29" s="26"/>
      <c r="C29" s="41">
        <v>50.1</v>
      </c>
      <c r="D29" s="40"/>
      <c r="E29" s="41">
        <v>46.3</v>
      </c>
      <c r="F29" s="40"/>
      <c r="G29" s="41">
        <v>46.2</v>
      </c>
      <c r="H29" s="40"/>
      <c r="I29" s="41">
        <v>40</v>
      </c>
      <c r="J29" s="40"/>
      <c r="K29" s="41" t="s">
        <v>50</v>
      </c>
      <c r="L29" s="40"/>
    </row>
    <row r="30" spans="1:12">
      <c r="A30" s="26" t="s">
        <v>256</v>
      </c>
      <c r="B30" s="26"/>
      <c r="C30" s="41">
        <v>33.6</v>
      </c>
      <c r="D30" s="40"/>
      <c r="E30" s="41">
        <v>33.6</v>
      </c>
      <c r="F30" s="40"/>
      <c r="G30" s="41" t="s">
        <v>50</v>
      </c>
      <c r="H30" s="40"/>
      <c r="I30" s="41" t="s">
        <v>50</v>
      </c>
      <c r="J30" s="40"/>
      <c r="K30" s="41" t="s">
        <v>50</v>
      </c>
      <c r="L30" s="40"/>
    </row>
    <row r="31" spans="1:12">
      <c r="A31" s="26" t="s">
        <v>255</v>
      </c>
      <c r="B31" s="26"/>
      <c r="C31" s="41">
        <v>19</v>
      </c>
      <c r="D31" s="40"/>
      <c r="E31" s="41">
        <v>17.399999999999999</v>
      </c>
      <c r="F31" s="40"/>
      <c r="G31" s="41" t="s">
        <v>50</v>
      </c>
      <c r="H31" s="40"/>
      <c r="I31" s="41" t="s">
        <v>50</v>
      </c>
      <c r="J31" s="40"/>
      <c r="K31" s="41" t="s">
        <v>50</v>
      </c>
      <c r="L31" s="40"/>
    </row>
    <row r="32" spans="1:12">
      <c r="A32" s="26" t="s">
        <v>254</v>
      </c>
      <c r="B32" s="26"/>
      <c r="C32" s="41">
        <v>7.1</v>
      </c>
      <c r="D32" s="40"/>
      <c r="E32" s="41">
        <v>31.1</v>
      </c>
      <c r="F32" s="40"/>
      <c r="G32" s="41" t="s">
        <v>50</v>
      </c>
      <c r="H32" s="40"/>
      <c r="I32" s="41" t="s">
        <v>50</v>
      </c>
      <c r="J32" s="40"/>
      <c r="K32" s="41" t="s">
        <v>50</v>
      </c>
      <c r="L32" s="40"/>
    </row>
    <row r="33" spans="1:12">
      <c r="A33" s="26" t="s">
        <v>253</v>
      </c>
      <c r="B33" s="26"/>
      <c r="C33" s="41">
        <v>22</v>
      </c>
      <c r="D33" s="40"/>
      <c r="E33" s="41">
        <v>21.3</v>
      </c>
      <c r="F33" s="40"/>
      <c r="G33" s="41" t="s">
        <v>50</v>
      </c>
      <c r="H33" s="40"/>
      <c r="I33" s="41" t="s">
        <v>50</v>
      </c>
      <c r="J33" s="40"/>
      <c r="K33" s="41" t="s">
        <v>50</v>
      </c>
      <c r="L33" s="40"/>
    </row>
    <row r="34" spans="1:12">
      <c r="A34" s="26" t="s">
        <v>252</v>
      </c>
      <c r="B34" s="26"/>
      <c r="C34" s="41">
        <v>19</v>
      </c>
      <c r="D34" s="40"/>
      <c r="E34" s="41">
        <v>17.399999999999999</v>
      </c>
      <c r="F34" s="40"/>
      <c r="G34" s="41" t="s">
        <v>50</v>
      </c>
      <c r="H34" s="40"/>
      <c r="I34" s="41" t="s">
        <v>50</v>
      </c>
      <c r="J34" s="40"/>
      <c r="K34" s="41" t="s">
        <v>50</v>
      </c>
      <c r="L34" s="40"/>
    </row>
    <row r="35" spans="1:12">
      <c r="A35" s="26" t="s">
        <v>251</v>
      </c>
      <c r="B35" s="26"/>
      <c r="C35" s="41">
        <v>32.700000000000003</v>
      </c>
      <c r="D35" s="40"/>
      <c r="E35" s="41">
        <v>9.3000000000000007</v>
      </c>
      <c r="F35" s="40"/>
      <c r="G35" s="41" t="s">
        <v>50</v>
      </c>
      <c r="H35" s="40"/>
      <c r="I35" s="41" t="s">
        <v>50</v>
      </c>
      <c r="J35" s="40"/>
      <c r="K35" s="41" t="s">
        <v>50</v>
      </c>
      <c r="L35" s="40"/>
    </row>
    <row r="36" spans="1:12">
      <c r="A36" s="26" t="s">
        <v>250</v>
      </c>
      <c r="B36" s="26"/>
      <c r="C36" s="41">
        <v>4.9000000000000004</v>
      </c>
      <c r="D36" s="40"/>
      <c r="E36" s="41">
        <v>6.8</v>
      </c>
      <c r="F36" s="40"/>
      <c r="G36" s="41" t="s">
        <v>50</v>
      </c>
      <c r="H36" s="40"/>
      <c r="I36" s="41" t="s">
        <v>50</v>
      </c>
      <c r="J36" s="40"/>
      <c r="K36" s="41" t="s">
        <v>50</v>
      </c>
      <c r="L36" s="40"/>
    </row>
    <row r="37" spans="1:12">
      <c r="A37" s="26" t="s">
        <v>249</v>
      </c>
      <c r="B37" s="26"/>
      <c r="C37" s="41">
        <v>21.3</v>
      </c>
      <c r="D37" s="40"/>
      <c r="E37" s="41">
        <v>21.4</v>
      </c>
      <c r="F37" s="40"/>
      <c r="G37" s="41" t="s">
        <v>50</v>
      </c>
      <c r="H37" s="40"/>
      <c r="I37" s="41" t="s">
        <v>50</v>
      </c>
      <c r="J37" s="40"/>
      <c r="K37" s="41" t="s">
        <v>50</v>
      </c>
      <c r="L37" s="40"/>
    </row>
    <row r="38" spans="1:12">
      <c r="A38" s="7" t="s">
        <v>49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D754-B88A-433F-94FF-06AAD6C3A902}">
  <dimension ref="A1:I18"/>
  <sheetViews>
    <sheetView workbookViewId="0">
      <selection activeCell="H13" sqref="H13"/>
    </sheetView>
  </sheetViews>
  <sheetFormatPr defaultRowHeight="15"/>
  <cols>
    <col min="1" max="1" width="35.140625" customWidth="1"/>
    <col min="2" max="2" width="0" hidden="1" customWidth="1"/>
    <col min="3" max="7" width="11.85546875" customWidth="1"/>
  </cols>
  <sheetData>
    <row r="1" spans="1:9">
      <c r="A1" s="1"/>
      <c r="B1" s="1"/>
      <c r="C1" s="1"/>
      <c r="D1" s="1"/>
      <c r="E1" s="1"/>
      <c r="F1" s="1"/>
      <c r="G1" s="1"/>
    </row>
    <row r="2" spans="1:9" ht="20.25">
      <c r="A2" s="8" t="s">
        <v>281</v>
      </c>
      <c r="B2" s="8"/>
      <c r="C2" s="8"/>
      <c r="D2" s="8"/>
      <c r="E2" s="8"/>
      <c r="F2" s="8"/>
      <c r="G2" s="8"/>
    </row>
    <row r="3" spans="1:9">
      <c r="A3" s="2"/>
      <c r="B3" s="2"/>
      <c r="C3" s="2"/>
      <c r="D3" s="2"/>
      <c r="E3" s="2"/>
      <c r="F3" s="2"/>
      <c r="G3" s="2"/>
    </row>
    <row r="4" spans="1:9">
      <c r="A4" s="53" t="s">
        <v>4</v>
      </c>
      <c r="B4" s="53"/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spans="1:9">
      <c r="A5" s="52" t="s">
        <v>10</v>
      </c>
      <c r="B5" s="52"/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spans="1:9">
      <c r="A6" s="50" t="s">
        <v>280</v>
      </c>
      <c r="B6" s="14"/>
      <c r="C6" s="14"/>
      <c r="D6" s="14"/>
      <c r="E6" s="14"/>
      <c r="F6" s="14"/>
      <c r="G6" s="14"/>
    </row>
    <row r="7" spans="1:9">
      <c r="A7" s="26" t="s">
        <v>277</v>
      </c>
      <c r="B7" s="26"/>
      <c r="C7" s="12">
        <v>41066</v>
      </c>
      <c r="D7" s="12">
        <v>36458</v>
      </c>
      <c r="E7" s="12">
        <v>37871</v>
      </c>
      <c r="F7" s="12">
        <v>37141</v>
      </c>
      <c r="G7" s="12">
        <v>38203</v>
      </c>
      <c r="H7" s="51">
        <f>(G7-F7)/F7</f>
        <v>2.8593737379176649E-2</v>
      </c>
      <c r="I7" s="51"/>
    </row>
    <row r="8" spans="1:9">
      <c r="A8" s="26" t="s">
        <v>276</v>
      </c>
      <c r="B8" s="26"/>
      <c r="C8" s="12">
        <v>41066</v>
      </c>
      <c r="D8" s="12">
        <v>36458</v>
      </c>
      <c r="E8" s="12">
        <v>37871</v>
      </c>
      <c r="F8" s="12">
        <v>37141</v>
      </c>
      <c r="G8" s="12">
        <v>38203</v>
      </c>
    </row>
    <row r="9" spans="1:9">
      <c r="A9" s="26" t="s">
        <v>279</v>
      </c>
      <c r="B9" s="26"/>
      <c r="C9" s="13">
        <v>1.8</v>
      </c>
      <c r="D9" s="13">
        <v>-0.9</v>
      </c>
      <c r="E9" s="13">
        <v>1.5</v>
      </c>
      <c r="F9" s="13">
        <v>-1.9</v>
      </c>
      <c r="G9" s="13">
        <v>2.9</v>
      </c>
    </row>
    <row r="10" spans="1:9">
      <c r="A10" s="50" t="s">
        <v>278</v>
      </c>
      <c r="B10" s="14"/>
      <c r="C10" s="14"/>
      <c r="D10" s="14"/>
      <c r="E10" s="14"/>
      <c r="F10" s="14"/>
      <c r="G10" s="14"/>
    </row>
    <row r="11" spans="1:9">
      <c r="A11" s="26" t="s">
        <v>277</v>
      </c>
      <c r="B11" s="26"/>
      <c r="C11" s="12">
        <v>5505</v>
      </c>
      <c r="D11" s="12">
        <v>7208</v>
      </c>
      <c r="E11" s="12">
        <v>7103</v>
      </c>
      <c r="F11" s="12">
        <v>6668</v>
      </c>
      <c r="G11" s="12">
        <v>7377</v>
      </c>
      <c r="H11" s="51">
        <f>(G11-F11)/F11</f>
        <v>0.10632873425314937</v>
      </c>
    </row>
    <row r="12" spans="1:9">
      <c r="A12" s="26" t="s">
        <v>276</v>
      </c>
      <c r="B12" s="26"/>
      <c r="C12" s="12">
        <v>5505</v>
      </c>
      <c r="D12" s="12">
        <v>7208</v>
      </c>
      <c r="E12" s="12">
        <v>7103</v>
      </c>
      <c r="F12" s="12">
        <v>6668</v>
      </c>
      <c r="G12" s="12">
        <v>7377</v>
      </c>
    </row>
    <row r="13" spans="1:9">
      <c r="A13" s="29" t="s">
        <v>275</v>
      </c>
      <c r="B13" s="26"/>
      <c r="C13" s="12">
        <f>C15+C17</f>
        <v>273433</v>
      </c>
      <c r="D13" s="12">
        <f>D15+D17</f>
        <v>273874</v>
      </c>
      <c r="E13" s="12">
        <f>E15+E17</f>
        <v>266627</v>
      </c>
      <c r="F13" s="12">
        <f>F15+F17</f>
        <v>269790</v>
      </c>
      <c r="G13" s="12">
        <f>G15+G17</f>
        <v>275248</v>
      </c>
      <c r="H13" s="51">
        <f>(G13-F13)/F13</f>
        <v>2.0230549686793432E-2</v>
      </c>
      <c r="I13" s="67">
        <f>((G13/C13)^(1/5))-1</f>
        <v>1.3240538224943421E-3</v>
      </c>
    </row>
    <row r="14" spans="1:9">
      <c r="A14" s="50" t="s">
        <v>274</v>
      </c>
      <c r="B14" s="14"/>
      <c r="C14" s="14"/>
      <c r="D14" s="14"/>
      <c r="E14" s="14"/>
      <c r="F14" s="14"/>
      <c r="G14" s="14"/>
    </row>
    <row r="15" spans="1:9">
      <c r="A15" s="26" t="s">
        <v>272</v>
      </c>
      <c r="B15" s="26"/>
      <c r="C15" s="12">
        <v>192834</v>
      </c>
      <c r="D15" s="12">
        <v>190233.92</v>
      </c>
      <c r="E15" s="12">
        <v>181453.8</v>
      </c>
      <c r="F15" s="12">
        <v>182138.65</v>
      </c>
      <c r="G15" s="12">
        <v>184915.20000000001</v>
      </c>
      <c r="I15" s="67">
        <f>((G15/C15)^(1/5))-1</f>
        <v>-8.3514063355976109E-3</v>
      </c>
    </row>
    <row r="16" spans="1:9">
      <c r="A16" s="50" t="s">
        <v>273</v>
      </c>
      <c r="B16" s="14"/>
      <c r="C16" s="14"/>
      <c r="D16" s="14"/>
      <c r="E16" s="14"/>
      <c r="F16" s="14"/>
      <c r="G16" s="14"/>
    </row>
    <row r="17" spans="1:7">
      <c r="A17" s="26" t="s">
        <v>272</v>
      </c>
      <c r="B17" s="26"/>
      <c r="C17" s="12">
        <v>80599</v>
      </c>
      <c r="D17" s="12">
        <v>83640.08</v>
      </c>
      <c r="E17" s="12">
        <v>85173.2</v>
      </c>
      <c r="F17" s="12">
        <v>87651.35</v>
      </c>
      <c r="G17" s="12">
        <v>90332.800000000003</v>
      </c>
    </row>
    <row r="18" spans="1:7">
      <c r="A18" s="7" t="s">
        <v>49</v>
      </c>
      <c r="B18" s="7"/>
      <c r="C18" s="7"/>
      <c r="D18" s="7"/>
      <c r="E18" s="7"/>
      <c r="F18" s="7"/>
      <c r="G18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A0E-B91B-43F9-A607-AD1F769458BD}">
  <dimension ref="A1:G35"/>
  <sheetViews>
    <sheetView showGridLines="0" topLeftCell="A3" workbookViewId="0">
      <selection activeCell="C32" sqref="C32"/>
    </sheetView>
  </sheetViews>
  <sheetFormatPr defaultRowHeight="15"/>
  <cols>
    <col min="1" max="1" width="89.42578125" bestFit="1" customWidth="1"/>
    <col min="2" max="2" width="11.85546875" customWidth="1"/>
    <col min="3" max="3" width="10.140625" bestFit="1" customWidth="1"/>
    <col min="4" max="4" width="14" bestFit="1" customWidth="1"/>
    <col min="5" max="6" width="22.140625" bestFit="1" customWidth="1"/>
    <col min="7" max="7" width="24.5703125" bestFit="1" customWidth="1"/>
  </cols>
  <sheetData>
    <row r="1" spans="1:7">
      <c r="A1" s="1"/>
      <c r="B1" s="1"/>
      <c r="C1" s="1"/>
    </row>
    <row r="2" spans="1:7" ht="20.25">
      <c r="A2" s="8" t="s">
        <v>288</v>
      </c>
      <c r="B2" s="8"/>
      <c r="C2" s="8"/>
    </row>
    <row r="3" spans="1:7">
      <c r="A3" s="2"/>
      <c r="B3" s="2"/>
      <c r="C3" s="2"/>
    </row>
    <row r="4" spans="1:7">
      <c r="A4" s="69" t="s">
        <v>298</v>
      </c>
      <c r="B4" s="70" t="s">
        <v>8</v>
      </c>
      <c r="C4" s="70" t="s">
        <v>9</v>
      </c>
      <c r="D4" s="70" t="s">
        <v>299</v>
      </c>
      <c r="E4" s="76" t="s">
        <v>297</v>
      </c>
      <c r="F4" s="76" t="s">
        <v>297</v>
      </c>
      <c r="G4" s="76" t="s">
        <v>346</v>
      </c>
    </row>
    <row r="5" spans="1:7">
      <c r="A5" s="71" t="s">
        <v>10</v>
      </c>
      <c r="B5" s="72" t="s">
        <v>14</v>
      </c>
      <c r="C5" s="72" t="s">
        <v>15</v>
      </c>
      <c r="D5" s="72"/>
      <c r="E5" s="72" t="s">
        <v>341</v>
      </c>
      <c r="F5" s="72" t="s">
        <v>340</v>
      </c>
      <c r="G5" s="72" t="s">
        <v>347</v>
      </c>
    </row>
    <row r="6" spans="1:7">
      <c r="A6" s="6" t="s">
        <v>0</v>
      </c>
      <c r="B6" s="15">
        <v>43809</v>
      </c>
      <c r="C6" s="15">
        <v>45580</v>
      </c>
      <c r="D6" s="74">
        <f>(C6-B6)/B6</f>
        <v>4.042548334817047E-2</v>
      </c>
      <c r="E6" s="79">
        <f>B6/B6</f>
        <v>1</v>
      </c>
      <c r="F6" s="79">
        <f>C6/C6</f>
        <v>1</v>
      </c>
      <c r="G6" s="79"/>
    </row>
    <row r="7" spans="1:7">
      <c r="A7" s="10" t="s">
        <v>16</v>
      </c>
      <c r="B7" s="12">
        <v>43809</v>
      </c>
      <c r="C7" s="12">
        <v>45580</v>
      </c>
      <c r="D7" s="74">
        <f t="shared" ref="D7:D25" si="0">(C7-B7)/B7</f>
        <v>4.042548334817047E-2</v>
      </c>
      <c r="E7" s="38"/>
      <c r="F7" s="38"/>
      <c r="G7" s="38"/>
    </row>
    <row r="8" spans="1:7">
      <c r="A8" s="10" t="s">
        <v>17</v>
      </c>
      <c r="B8" s="12">
        <v>30086</v>
      </c>
      <c r="C8" s="12">
        <v>30574</v>
      </c>
      <c r="D8" s="74">
        <f t="shared" si="0"/>
        <v>1.6220168849298677E-2</v>
      </c>
      <c r="E8" s="79">
        <f>B8/$B$6</f>
        <v>0.68675386336140976</v>
      </c>
      <c r="F8" s="79">
        <f>C8/$C$6</f>
        <v>0.67077665642825801</v>
      </c>
      <c r="G8" s="79">
        <f>F8-E8</f>
        <v>-1.5977206933151744E-2</v>
      </c>
    </row>
    <row r="9" spans="1:7">
      <c r="A9" s="10" t="s">
        <v>18</v>
      </c>
      <c r="B9" s="12">
        <v>30086</v>
      </c>
      <c r="C9" s="12">
        <v>30574</v>
      </c>
      <c r="D9" s="74">
        <f t="shared" si="0"/>
        <v>1.6220168849298677E-2</v>
      </c>
      <c r="E9" s="38"/>
      <c r="F9" s="38"/>
      <c r="G9" s="38"/>
    </row>
    <row r="10" spans="1:7">
      <c r="A10" s="6" t="s">
        <v>1</v>
      </c>
      <c r="B10" s="15">
        <v>13723</v>
      </c>
      <c r="C10" s="15">
        <v>15006</v>
      </c>
      <c r="D10" s="74">
        <f t="shared" si="0"/>
        <v>9.3492676528455873E-2</v>
      </c>
      <c r="E10" s="79">
        <f>B10/$B$6</f>
        <v>0.31324613663859024</v>
      </c>
      <c r="F10" s="79">
        <f>C10/$C$6</f>
        <v>0.32922334357174199</v>
      </c>
      <c r="G10" s="79">
        <f>F10-E10</f>
        <v>1.5977206933151744E-2</v>
      </c>
    </row>
    <row r="11" spans="1:7">
      <c r="A11" s="10" t="s">
        <v>19</v>
      </c>
      <c r="B11" s="12">
        <v>568</v>
      </c>
      <c r="C11" s="12">
        <v>79</v>
      </c>
      <c r="D11" s="74">
        <f t="shared" si="0"/>
        <v>-0.8609154929577465</v>
      </c>
      <c r="E11" s="38"/>
      <c r="F11" s="38"/>
      <c r="G11" s="38"/>
    </row>
    <row r="12" spans="1:7">
      <c r="A12" s="10" t="s">
        <v>291</v>
      </c>
      <c r="B12" s="12">
        <v>342</v>
      </c>
      <c r="C12" s="12">
        <v>211</v>
      </c>
      <c r="D12" s="74">
        <f t="shared" si="0"/>
        <v>-0.38304093567251463</v>
      </c>
      <c r="E12" s="79">
        <f>B12/$B$6</f>
        <v>7.8066150790933372E-3</v>
      </c>
      <c r="F12" s="79">
        <f>C12/$C$6</f>
        <v>4.6292233435717423E-3</v>
      </c>
      <c r="G12" s="79">
        <f>F12-E12</f>
        <v>-3.1773917355215949E-3</v>
      </c>
    </row>
    <row r="13" spans="1:7">
      <c r="A13" s="10" t="s">
        <v>20</v>
      </c>
      <c r="B13" s="12">
        <f>SUM(B14:B16)</f>
        <v>9536</v>
      </c>
      <c r="C13" s="12">
        <f>SUM(C14:C16)</f>
        <v>9632</v>
      </c>
      <c r="D13" s="74">
        <f t="shared" si="0"/>
        <v>1.0067114093959731E-2</v>
      </c>
      <c r="E13" s="38"/>
      <c r="F13" s="38"/>
      <c r="G13" s="38"/>
    </row>
    <row r="14" spans="1:7">
      <c r="A14" s="11" t="s">
        <v>22</v>
      </c>
      <c r="B14" s="16">
        <v>3522</v>
      </c>
      <c r="C14" s="16">
        <v>3358</v>
      </c>
      <c r="D14" s="74">
        <f t="shared" si="0"/>
        <v>-4.6564452015900058E-2</v>
      </c>
      <c r="E14" s="79">
        <f>B14/$B$6</f>
        <v>8.0394439498733136E-2</v>
      </c>
      <c r="F14" s="79">
        <f>C14/$C$6</f>
        <v>7.3672663448881084E-2</v>
      </c>
      <c r="G14" s="79">
        <f t="shared" ref="G14:G17" si="1">F14-E14</f>
        <v>-6.7217760498520518E-3</v>
      </c>
    </row>
    <row r="15" spans="1:7">
      <c r="A15" s="11" t="s">
        <v>289</v>
      </c>
      <c r="B15" s="16">
        <v>5350</v>
      </c>
      <c r="C15" s="16">
        <v>5713</v>
      </c>
      <c r="D15" s="74">
        <f t="shared" si="0"/>
        <v>6.7850467289719621E-2</v>
      </c>
      <c r="E15" s="79">
        <f>B15/$B$6</f>
        <v>0.12212102536008583</v>
      </c>
      <c r="F15" s="79">
        <f>C15/$C$6</f>
        <v>0.12534006143045195</v>
      </c>
      <c r="G15" s="79">
        <f t="shared" si="1"/>
        <v>3.2190360703661242E-3</v>
      </c>
    </row>
    <row r="16" spans="1:7">
      <c r="A16" s="18" t="s">
        <v>290</v>
      </c>
      <c r="B16" s="19">
        <v>664</v>
      </c>
      <c r="C16" s="19">
        <v>561</v>
      </c>
      <c r="D16" s="74">
        <f t="shared" si="0"/>
        <v>-0.15512048192771086</v>
      </c>
      <c r="E16" s="79">
        <f>B16/$B$6</f>
        <v>1.5156702960578876E-2</v>
      </c>
      <c r="F16" s="79">
        <f>C16/$C$6</f>
        <v>1.2308029837648091E-2</v>
      </c>
      <c r="G16" s="79">
        <f t="shared" si="1"/>
        <v>-2.8486731229307848E-3</v>
      </c>
    </row>
    <row r="17" spans="1:7">
      <c r="A17" s="20" t="s">
        <v>308</v>
      </c>
      <c r="B17" s="21">
        <f>B10+B11+B12-B13</f>
        <v>5097</v>
      </c>
      <c r="C17" s="21">
        <f>C10+C11+C12-C13</f>
        <v>5664</v>
      </c>
      <c r="D17" s="74">
        <f t="shared" si="0"/>
        <v>0.11124190700412007</v>
      </c>
      <c r="E17" s="79">
        <f>B17/$B$6</f>
        <v>0.11634595631034719</v>
      </c>
      <c r="F17" s="79">
        <f>C17/$C$6</f>
        <v>0.12426502852128127</v>
      </c>
      <c r="G17" s="79">
        <f t="shared" si="1"/>
        <v>7.919072210934075E-3</v>
      </c>
    </row>
    <row r="18" spans="1:7">
      <c r="A18" s="18" t="s">
        <v>27</v>
      </c>
      <c r="B18" s="19">
        <f>SUM(B19:B20)</f>
        <v>697</v>
      </c>
      <c r="C18" s="19">
        <f>SUM(C19:C20)</f>
        <v>1710</v>
      </c>
      <c r="D18" s="74">
        <f t="shared" si="0"/>
        <v>1.4533715925394548</v>
      </c>
      <c r="E18" s="38"/>
      <c r="F18" s="38"/>
      <c r="G18" s="38"/>
    </row>
    <row r="19" spans="1:7">
      <c r="A19" s="22" t="s">
        <v>29</v>
      </c>
      <c r="B19" s="23">
        <v>1027</v>
      </c>
      <c r="C19" s="23">
        <v>1964</v>
      </c>
      <c r="D19" s="74">
        <f t="shared" si="0"/>
        <v>0.91236611489776043</v>
      </c>
      <c r="E19" s="79">
        <f>B19/$B$6</f>
        <v>2.3442671597160399E-2</v>
      </c>
      <c r="F19" s="79">
        <f>C19/$C$6</f>
        <v>4.3089074155331288E-2</v>
      </c>
      <c r="G19" s="79">
        <f t="shared" ref="G19" si="2">F19-E19</f>
        <v>1.9646402558170888E-2</v>
      </c>
    </row>
    <row r="20" spans="1:7">
      <c r="A20" s="10" t="s">
        <v>292</v>
      </c>
      <c r="B20" s="12">
        <v>-330</v>
      </c>
      <c r="C20" s="12">
        <v>-254</v>
      </c>
      <c r="D20" s="74">
        <f t="shared" si="0"/>
        <v>-0.23030303030303031</v>
      </c>
      <c r="E20" s="38"/>
      <c r="F20" s="38"/>
      <c r="G20" s="38"/>
    </row>
    <row r="21" spans="1:7">
      <c r="A21" s="6" t="s">
        <v>302</v>
      </c>
      <c r="B21" s="15">
        <f>B17-B18</f>
        <v>4400</v>
      </c>
      <c r="C21" s="15">
        <f>C17-C18</f>
        <v>3954</v>
      </c>
      <c r="D21" s="74">
        <f t="shared" si="0"/>
        <v>-0.10136363636363636</v>
      </c>
      <c r="E21" s="38"/>
      <c r="F21" s="38"/>
      <c r="G21" s="38"/>
    </row>
    <row r="22" spans="1:7">
      <c r="A22" s="10" t="s">
        <v>40</v>
      </c>
      <c r="B22" s="12">
        <v>3864</v>
      </c>
      <c r="C22" s="12">
        <v>1330</v>
      </c>
      <c r="D22" s="74">
        <f t="shared" si="0"/>
        <v>-0.65579710144927539</v>
      </c>
      <c r="E22" s="79">
        <f>B22/$B$6</f>
        <v>8.8201054577826468E-2</v>
      </c>
      <c r="F22" s="79">
        <f>C22/$C$6</f>
        <v>2.9179464677490129E-2</v>
      </c>
      <c r="G22" s="79">
        <f t="shared" ref="G22:G25" si="3">F22-E22</f>
        <v>-5.902158990033634E-2</v>
      </c>
    </row>
    <row r="23" spans="1:7">
      <c r="A23" s="6" t="s">
        <v>303</v>
      </c>
      <c r="B23" s="15">
        <f>B21-B22</f>
        <v>536</v>
      </c>
      <c r="C23" s="15">
        <f>C21-C22</f>
        <v>2624</v>
      </c>
      <c r="D23" s="74">
        <f t="shared" si="0"/>
        <v>3.8955223880597014</v>
      </c>
      <c r="E23" s="38"/>
      <c r="F23" s="38"/>
      <c r="G23" s="38"/>
    </row>
    <row r="24" spans="1:7">
      <c r="A24" s="6" t="s">
        <v>294</v>
      </c>
      <c r="B24" s="14">
        <f>'Cash Flow - (5-Years Trend)'!E8</f>
        <v>14101</v>
      </c>
      <c r="C24" s="14">
        <f>'Cash Flow - (5-Years Trend)'!F8</f>
        <v>13845</v>
      </c>
      <c r="D24" s="74">
        <f t="shared" si="0"/>
        <v>-1.8154740798524926E-2</v>
      </c>
      <c r="E24" s="79">
        <f>B24/$B$6</f>
        <v>0.32187450067337764</v>
      </c>
      <c r="F24" s="79">
        <f>C24/$C$6</f>
        <v>0.30375164545853445</v>
      </c>
      <c r="G24" s="79">
        <f t="shared" si="3"/>
        <v>-1.8122855214843192E-2</v>
      </c>
    </row>
    <row r="25" spans="1:7">
      <c r="A25" s="6" t="s">
        <v>295</v>
      </c>
      <c r="B25" s="14">
        <f>B17+B24</f>
        <v>19198</v>
      </c>
      <c r="C25" s="14">
        <f>C17+C24</f>
        <v>19509</v>
      </c>
      <c r="D25" s="74">
        <f t="shared" si="0"/>
        <v>1.6199604125429732E-2</v>
      </c>
      <c r="E25" s="79">
        <f>B25/$B$6</f>
        <v>0.4382204569837248</v>
      </c>
      <c r="F25" s="79">
        <f>C25/$C$6</f>
        <v>0.42801667397981569</v>
      </c>
      <c r="G25" s="79">
        <f t="shared" si="3"/>
        <v>-1.0203783003909117E-2</v>
      </c>
    </row>
    <row r="26" spans="1:7">
      <c r="A26" s="6"/>
      <c r="B26" s="14"/>
      <c r="C26" s="14"/>
      <c r="D26" s="14"/>
      <c r="E26" s="14"/>
      <c r="F26" s="38"/>
      <c r="G26" s="38"/>
    </row>
    <row r="27" spans="1:7">
      <c r="A27" s="6"/>
      <c r="B27" s="73"/>
      <c r="C27" s="73"/>
      <c r="D27" s="14"/>
      <c r="E27" s="14"/>
      <c r="F27" s="38"/>
      <c r="G27" s="38"/>
    </row>
    <row r="28" spans="1:7">
      <c r="A28" s="6" t="s">
        <v>2</v>
      </c>
      <c r="B28" s="14"/>
      <c r="C28" s="14"/>
      <c r="D28" s="14"/>
      <c r="E28" s="14"/>
      <c r="F28" s="38"/>
      <c r="G28" s="38"/>
    </row>
    <row r="29" spans="1:7">
      <c r="A29" s="10" t="s">
        <v>300</v>
      </c>
      <c r="B29" s="24">
        <f>B25/B7</f>
        <v>0.4382204569837248</v>
      </c>
      <c r="C29" s="24">
        <f>C25/C7</f>
        <v>0.42801667397981569</v>
      </c>
      <c r="D29" s="24"/>
      <c r="E29" s="24"/>
      <c r="F29" s="38"/>
      <c r="G29" s="38"/>
    </row>
    <row r="30" spans="1:7">
      <c r="A30" s="10" t="s">
        <v>48</v>
      </c>
      <c r="B30" s="24">
        <f>B10/B6</f>
        <v>0.31324613663859024</v>
      </c>
      <c r="C30" s="24">
        <f>C10/C6</f>
        <v>0.32922334357174199</v>
      </c>
      <c r="D30" s="24"/>
      <c r="E30" s="24"/>
      <c r="F30" s="38"/>
      <c r="G30" s="38"/>
    </row>
    <row r="31" spans="1:7">
      <c r="A31" s="10" t="s">
        <v>301</v>
      </c>
      <c r="B31" s="24">
        <f>B17/B7</f>
        <v>0.11634595631034719</v>
      </c>
      <c r="C31" s="24">
        <f>C17/C7</f>
        <v>0.12426502852128127</v>
      </c>
      <c r="D31" s="24"/>
      <c r="E31" s="24"/>
      <c r="F31" s="38"/>
      <c r="G31" s="38"/>
    </row>
    <row r="32" spans="1:7">
      <c r="A32" s="10" t="s">
        <v>293</v>
      </c>
      <c r="B32" s="24">
        <f>B23/B7</f>
        <v>1.2234928895888973E-2</v>
      </c>
      <c r="C32" s="24">
        <f>C23/C7</f>
        <v>5.7569109258446688E-2</v>
      </c>
      <c r="D32" s="24"/>
      <c r="E32" s="24"/>
      <c r="F32" s="38"/>
      <c r="G32" s="38"/>
    </row>
    <row r="33" spans="1:7">
      <c r="A33" s="10" t="s">
        <v>57</v>
      </c>
      <c r="B33" s="32">
        <f>B17/B19</f>
        <v>4.9629990262901655</v>
      </c>
      <c r="C33" s="32">
        <f>C17/C19</f>
        <v>2.8839103869653768</v>
      </c>
      <c r="D33" s="32"/>
      <c r="E33" s="32"/>
      <c r="F33" s="38"/>
      <c r="G33" s="38"/>
    </row>
    <row r="34" spans="1:7">
      <c r="A34" s="10"/>
      <c r="B34" s="24"/>
      <c r="C34" s="24"/>
      <c r="D34" s="75"/>
      <c r="E34" s="75"/>
      <c r="F34" s="61"/>
      <c r="G34" s="61"/>
    </row>
    <row r="35" spans="1:7">
      <c r="A35" s="7" t="s">
        <v>49</v>
      </c>
      <c r="B35" s="7"/>
      <c r="C35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112E-18BA-4E72-9B56-CE4E52D8248F}">
  <dimension ref="A1:D69"/>
  <sheetViews>
    <sheetView showGridLines="0" topLeftCell="A39" zoomScale="115" zoomScaleNormal="115" workbookViewId="0">
      <selection activeCell="D64" sqref="D64"/>
    </sheetView>
  </sheetViews>
  <sheetFormatPr defaultRowHeight="15"/>
  <cols>
    <col min="1" max="1" width="41.7109375" customWidth="1"/>
    <col min="2" max="2" width="11.85546875" customWidth="1"/>
    <col min="3" max="3" width="10.140625" bestFit="1" customWidth="1"/>
    <col min="4" max="4" width="11.85546875" bestFit="1" customWidth="1"/>
  </cols>
  <sheetData>
    <row r="1" spans="1:4">
      <c r="A1" s="1"/>
      <c r="B1" s="1"/>
      <c r="C1" s="1"/>
      <c r="D1" s="1"/>
    </row>
    <row r="2" spans="1:4" ht="20.25">
      <c r="A2" s="8" t="s">
        <v>287</v>
      </c>
      <c r="B2" s="8"/>
      <c r="C2" s="8"/>
      <c r="D2" s="8"/>
    </row>
    <row r="3" spans="1:4">
      <c r="A3" s="2"/>
      <c r="B3" s="2"/>
      <c r="C3" s="2"/>
      <c r="D3" s="2"/>
    </row>
    <row r="4" spans="1:4">
      <c r="A4" s="3" t="s">
        <v>4</v>
      </c>
      <c r="B4" s="4" t="s">
        <v>8</v>
      </c>
      <c r="C4" s="4" t="s">
        <v>9</v>
      </c>
      <c r="D4" s="4" t="s">
        <v>296</v>
      </c>
    </row>
    <row r="5" spans="1:4">
      <c r="A5" s="9" t="s">
        <v>10</v>
      </c>
      <c r="B5" s="5" t="s">
        <v>14</v>
      </c>
      <c r="C5" s="5" t="s">
        <v>15</v>
      </c>
      <c r="D5" s="5"/>
    </row>
    <row r="6" spans="1:4">
      <c r="A6" s="6" t="s">
        <v>88</v>
      </c>
      <c r="B6" s="34"/>
      <c r="C6" s="34"/>
      <c r="D6" s="34"/>
    </row>
    <row r="7" spans="1:4">
      <c r="A7" s="26" t="s">
        <v>96</v>
      </c>
      <c r="B7" s="38">
        <v>536</v>
      </c>
      <c r="C7" s="35">
        <v>2624</v>
      </c>
      <c r="D7" s="79">
        <f>(C7-B7)/B7</f>
        <v>3.8955223880597014</v>
      </c>
    </row>
    <row r="8" spans="1:4">
      <c r="A8" s="26" t="s">
        <v>306</v>
      </c>
      <c r="B8" s="12">
        <v>-330</v>
      </c>
      <c r="C8" s="12">
        <v>-254</v>
      </c>
      <c r="D8" s="79">
        <f t="shared" ref="D8:D11" si="0">(C8-B8)/B8</f>
        <v>-0.23030303030303031</v>
      </c>
    </row>
    <row r="9" spans="1:4">
      <c r="A9" s="26" t="s">
        <v>305</v>
      </c>
      <c r="B9" s="12">
        <v>1027</v>
      </c>
      <c r="C9" s="12">
        <v>1964</v>
      </c>
      <c r="D9" s="79">
        <f t="shared" si="0"/>
        <v>0.91236611489776043</v>
      </c>
    </row>
    <row r="10" spans="1:4">
      <c r="A10" s="26" t="s">
        <v>307</v>
      </c>
      <c r="B10" s="12">
        <v>3864</v>
      </c>
      <c r="C10" s="12">
        <v>1330</v>
      </c>
      <c r="D10" s="79">
        <f t="shared" si="0"/>
        <v>-0.65579710144927539</v>
      </c>
    </row>
    <row r="11" spans="1:4">
      <c r="A11" s="6" t="s">
        <v>309</v>
      </c>
      <c r="B11" s="12">
        <f>SUM(B7:B10)</f>
        <v>5097</v>
      </c>
      <c r="C11" s="12">
        <f>SUM(C7:C10)</f>
        <v>5664</v>
      </c>
      <c r="D11" s="79">
        <f t="shared" si="0"/>
        <v>0.11124190700412007</v>
      </c>
    </row>
    <row r="12" spans="1:4">
      <c r="A12" s="26" t="s">
        <v>310</v>
      </c>
      <c r="B12" s="12"/>
      <c r="C12" s="12"/>
      <c r="D12" s="12"/>
    </row>
    <row r="13" spans="1:4" ht="26.25">
      <c r="A13" s="83" t="s">
        <v>311</v>
      </c>
      <c r="B13" s="12">
        <v>146</v>
      </c>
      <c r="C13" s="12">
        <v>173</v>
      </c>
      <c r="D13" s="79">
        <f t="shared" ref="D13:D23" si="1">(C13-B13)/B13</f>
        <v>0.18493150684931506</v>
      </c>
    </row>
    <row r="14" spans="1:4">
      <c r="A14" s="26" t="s">
        <v>312</v>
      </c>
      <c r="B14" s="12">
        <v>14101</v>
      </c>
      <c r="C14" s="12">
        <v>13845</v>
      </c>
      <c r="D14" s="79">
        <f t="shared" si="1"/>
        <v>-1.8154740798524926E-2</v>
      </c>
    </row>
    <row r="15" spans="1:4" ht="26.25">
      <c r="A15" s="83" t="s">
        <v>313</v>
      </c>
      <c r="B15" s="12">
        <v>17</v>
      </c>
      <c r="C15" s="12">
        <v>30</v>
      </c>
      <c r="D15" s="79">
        <f t="shared" si="1"/>
        <v>0.76470588235294112</v>
      </c>
    </row>
    <row r="16" spans="1:4" ht="26.25">
      <c r="A16" s="83" t="s">
        <v>314</v>
      </c>
      <c r="B16" s="12">
        <v>-342</v>
      </c>
      <c r="C16" s="12">
        <v>-211</v>
      </c>
      <c r="D16" s="79">
        <f t="shared" si="1"/>
        <v>-0.38304093567251463</v>
      </c>
    </row>
    <row r="17" spans="1:4">
      <c r="A17" s="26" t="s">
        <v>315</v>
      </c>
      <c r="B17" s="12">
        <v>-568</v>
      </c>
      <c r="C17" s="12">
        <v>-79</v>
      </c>
      <c r="D17" s="79">
        <f t="shared" si="1"/>
        <v>-0.8609154929577465</v>
      </c>
    </row>
    <row r="18" spans="1:4">
      <c r="A18" s="26" t="s">
        <v>316</v>
      </c>
      <c r="B18" s="12">
        <v>-68</v>
      </c>
      <c r="C18" s="12">
        <v>-162</v>
      </c>
      <c r="D18" s="79">
        <f t="shared" si="1"/>
        <v>1.3823529411764706</v>
      </c>
    </row>
    <row r="19" spans="1:4" ht="26.25">
      <c r="A19" s="84" t="s">
        <v>317</v>
      </c>
      <c r="B19" s="12">
        <v>582</v>
      </c>
      <c r="C19" s="12">
        <v>-638</v>
      </c>
      <c r="D19" s="79">
        <f t="shared" si="1"/>
        <v>-2.0962199312714778</v>
      </c>
    </row>
    <row r="20" spans="1:4">
      <c r="A20" s="83" t="s">
        <v>318</v>
      </c>
      <c r="B20" s="12">
        <v>-730</v>
      </c>
      <c r="C20" s="12">
        <v>384</v>
      </c>
      <c r="D20" s="79">
        <f t="shared" si="1"/>
        <v>-1.526027397260274</v>
      </c>
    </row>
    <row r="21" spans="1:4">
      <c r="A21" s="6" t="s">
        <v>319</v>
      </c>
      <c r="B21" s="30">
        <f>SUM(B11:B20)</f>
        <v>18235</v>
      </c>
      <c r="C21" s="30">
        <f>SUM(C11:C20)</f>
        <v>19006</v>
      </c>
      <c r="D21" s="79">
        <f t="shared" si="1"/>
        <v>4.2281327118179328E-2</v>
      </c>
    </row>
    <row r="22" spans="1:4">
      <c r="A22" s="26" t="s">
        <v>320</v>
      </c>
      <c r="B22" s="12">
        <v>-1020</v>
      </c>
      <c r="C22" s="12">
        <v>-925</v>
      </c>
      <c r="D22" s="79">
        <f t="shared" si="1"/>
        <v>-9.3137254901960786E-2</v>
      </c>
    </row>
    <row r="23" spans="1:4">
      <c r="A23" s="6" t="s">
        <v>88</v>
      </c>
      <c r="B23" s="15">
        <f>SUM(B21:B22)</f>
        <v>17215</v>
      </c>
      <c r="C23" s="15">
        <f>SUM(C21:C22)</f>
        <v>18081</v>
      </c>
      <c r="D23" s="79">
        <f t="shared" si="1"/>
        <v>5.0304966598896314E-2</v>
      </c>
    </row>
    <row r="24" spans="1:4">
      <c r="A24" s="6"/>
      <c r="B24" s="14"/>
      <c r="C24" s="14"/>
      <c r="D24" s="14"/>
    </row>
    <row r="25" spans="1:4">
      <c r="A25" s="6" t="s">
        <v>75</v>
      </c>
      <c r="B25" s="14"/>
      <c r="C25" s="14"/>
      <c r="D25" s="14"/>
    </row>
    <row r="26" spans="1:4" ht="26.25">
      <c r="A26" s="83" t="s">
        <v>321</v>
      </c>
      <c r="B26" s="12">
        <v>-136</v>
      </c>
      <c r="C26" s="12"/>
      <c r="D26" s="79">
        <f t="shared" ref="D26:D57" si="2">(C26-B26)/B26</f>
        <v>-1</v>
      </c>
    </row>
    <row r="27" spans="1:4" ht="26.25">
      <c r="A27" s="83" t="s">
        <v>322</v>
      </c>
      <c r="B27" s="12">
        <v>-13</v>
      </c>
      <c r="C27" s="12">
        <v>-445</v>
      </c>
      <c r="D27" s="79">
        <f t="shared" si="2"/>
        <v>33.230769230769234</v>
      </c>
    </row>
    <row r="28" spans="1:4">
      <c r="A28" s="85" t="s">
        <v>323</v>
      </c>
      <c r="B28" s="16">
        <v>-3227</v>
      </c>
      <c r="C28" s="16">
        <v>-3262</v>
      </c>
      <c r="D28" s="79">
        <f t="shared" si="2"/>
        <v>1.0845986984815618E-2</v>
      </c>
    </row>
    <row r="29" spans="1:4">
      <c r="A29" s="83" t="s">
        <v>324</v>
      </c>
      <c r="B29" s="12">
        <v>-5413</v>
      </c>
      <c r="C29" s="12">
        <v>-5798</v>
      </c>
      <c r="D29" s="79">
        <f t="shared" si="2"/>
        <v>7.1125069277664876E-2</v>
      </c>
    </row>
    <row r="30" spans="1:4">
      <c r="A30" s="85" t="s">
        <v>325</v>
      </c>
      <c r="B30" s="16">
        <v>-3726</v>
      </c>
      <c r="C30" s="16">
        <v>-2009</v>
      </c>
      <c r="D30" s="79">
        <f t="shared" si="2"/>
        <v>-0.46081588835212023</v>
      </c>
    </row>
    <row r="31" spans="1:4" ht="26.25">
      <c r="A31" s="85" t="s">
        <v>326</v>
      </c>
      <c r="B31" s="16">
        <v>157</v>
      </c>
      <c r="C31" s="16"/>
      <c r="D31" s="79">
        <f t="shared" si="2"/>
        <v>-1</v>
      </c>
    </row>
    <row r="32" spans="1:4" ht="26.25">
      <c r="A32" s="83" t="s">
        <v>327</v>
      </c>
      <c r="B32" s="12">
        <v>420</v>
      </c>
      <c r="C32" s="12">
        <v>446</v>
      </c>
      <c r="D32" s="79">
        <f t="shared" si="2"/>
        <v>6.1904761904761907E-2</v>
      </c>
    </row>
    <row r="33" spans="1:4" ht="26.25">
      <c r="A33" s="83" t="s">
        <v>328</v>
      </c>
      <c r="B33" s="12">
        <v>43</v>
      </c>
      <c r="C33" s="12">
        <v>33</v>
      </c>
      <c r="D33" s="79">
        <f t="shared" si="2"/>
        <v>-0.23255813953488372</v>
      </c>
    </row>
    <row r="34" spans="1:4">
      <c r="A34" s="83" t="s">
        <v>329</v>
      </c>
      <c r="B34" s="12">
        <v>1704</v>
      </c>
      <c r="C34" s="12">
        <v>3282</v>
      </c>
      <c r="D34" s="79">
        <f t="shared" si="2"/>
        <v>0.926056338028169</v>
      </c>
    </row>
    <row r="35" spans="1:4" ht="26.25">
      <c r="A35" s="83" t="s">
        <v>330</v>
      </c>
      <c r="B35" s="12">
        <v>628</v>
      </c>
      <c r="C35" s="12">
        <v>638</v>
      </c>
      <c r="D35" s="79">
        <f t="shared" si="2"/>
        <v>1.5923566878980892E-2</v>
      </c>
    </row>
    <row r="36" spans="1:4">
      <c r="A36" s="83" t="s">
        <v>331</v>
      </c>
      <c r="B36" s="12">
        <v>301</v>
      </c>
      <c r="C36" s="12">
        <v>247</v>
      </c>
      <c r="D36" s="79">
        <f t="shared" si="2"/>
        <v>-0.17940199335548174</v>
      </c>
    </row>
    <row r="37" spans="1:4">
      <c r="A37" s="6" t="s">
        <v>75</v>
      </c>
      <c r="B37" s="15">
        <f>SUM(B26:B36)</f>
        <v>-9262</v>
      </c>
      <c r="C37" s="15">
        <f>SUM(C26:C36)</f>
        <v>-6868</v>
      </c>
      <c r="D37" s="79">
        <f t="shared" si="2"/>
        <v>-0.25847549125458863</v>
      </c>
    </row>
    <row r="38" spans="1:4">
      <c r="A38" s="6"/>
      <c r="B38" s="14"/>
      <c r="C38" s="14"/>
      <c r="D38" s="79"/>
    </row>
    <row r="39" spans="1:4">
      <c r="A39" s="6" t="s">
        <v>64</v>
      </c>
      <c r="B39" s="14"/>
      <c r="C39" s="14"/>
      <c r="D39" s="79"/>
    </row>
    <row r="40" spans="1:4">
      <c r="A40" s="26" t="s">
        <v>332</v>
      </c>
      <c r="B40" s="12">
        <v>4359</v>
      </c>
      <c r="C40" s="12">
        <v>2548</v>
      </c>
      <c r="D40" s="79">
        <f t="shared" si="2"/>
        <v>-0.41546226198669417</v>
      </c>
    </row>
    <row r="41" spans="1:4">
      <c r="A41" s="26" t="s">
        <v>333</v>
      </c>
      <c r="B41" s="12">
        <v>-12237</v>
      </c>
      <c r="C41" s="12">
        <v>-8248</v>
      </c>
      <c r="D41" s="79">
        <f t="shared" si="2"/>
        <v>-0.32597858952357606</v>
      </c>
    </row>
    <row r="42" spans="1:4">
      <c r="A42" s="26" t="s">
        <v>334</v>
      </c>
      <c r="B42" s="12">
        <v>-2791</v>
      </c>
      <c r="C42" s="12">
        <v>3002</v>
      </c>
      <c r="D42" s="79">
        <f t="shared" si="2"/>
        <v>-2.0756001433178071</v>
      </c>
    </row>
    <row r="43" spans="1:4">
      <c r="A43" s="26" t="s">
        <v>335</v>
      </c>
      <c r="B43" s="12">
        <v>279</v>
      </c>
      <c r="C43" s="12">
        <v>-293</v>
      </c>
      <c r="D43" s="79">
        <f t="shared" si="2"/>
        <v>-2.0501792114695339</v>
      </c>
    </row>
    <row r="44" spans="1:4">
      <c r="A44" s="26" t="s">
        <v>336</v>
      </c>
      <c r="B44" s="12">
        <v>-2152</v>
      </c>
      <c r="C44" s="12">
        <v>-1804</v>
      </c>
      <c r="D44" s="79">
        <f t="shared" si="2"/>
        <v>-0.16171003717472118</v>
      </c>
    </row>
    <row r="45" spans="1:4">
      <c r="A45" s="26" t="s">
        <v>345</v>
      </c>
      <c r="B45" s="12">
        <v>-1482</v>
      </c>
      <c r="C45" s="12"/>
      <c r="D45" s="79">
        <f t="shared" si="2"/>
        <v>-1</v>
      </c>
    </row>
    <row r="46" spans="1:4">
      <c r="A46" s="26" t="s">
        <v>337</v>
      </c>
      <c r="B46" s="12">
        <v>-62</v>
      </c>
      <c r="C46" s="12">
        <v>-2087</v>
      </c>
      <c r="D46" s="79">
        <f t="shared" si="2"/>
        <v>32.661290322580648</v>
      </c>
    </row>
    <row r="47" spans="1:4" ht="26.25">
      <c r="A47" s="83" t="s">
        <v>338</v>
      </c>
      <c r="B47" s="12">
        <v>5</v>
      </c>
      <c r="C47" s="12"/>
      <c r="D47" s="79">
        <f t="shared" si="2"/>
        <v>-1</v>
      </c>
    </row>
    <row r="48" spans="1:4">
      <c r="A48" s="26" t="s">
        <v>339</v>
      </c>
      <c r="B48" s="12">
        <v>-2427</v>
      </c>
      <c r="C48" s="12">
        <v>-2474</v>
      </c>
      <c r="D48" s="79">
        <f t="shared" si="2"/>
        <v>1.9365471775854966E-2</v>
      </c>
    </row>
    <row r="49" spans="1:4" ht="26.25">
      <c r="A49" s="83" t="s">
        <v>342</v>
      </c>
      <c r="B49" s="12">
        <v>-391</v>
      </c>
      <c r="C49" s="12">
        <v>-539</v>
      </c>
      <c r="D49" s="79">
        <f t="shared" si="2"/>
        <v>0.37851662404092073</v>
      </c>
    </row>
    <row r="50" spans="1:4" ht="26.25">
      <c r="A50" s="83" t="s">
        <v>343</v>
      </c>
      <c r="B50" s="12">
        <v>1663</v>
      </c>
      <c r="C50" s="12">
        <v>189</v>
      </c>
      <c r="D50" s="79">
        <f t="shared" si="2"/>
        <v>-0.88634996993385451</v>
      </c>
    </row>
    <row r="51" spans="1:4" ht="26.25">
      <c r="A51" s="83" t="s">
        <v>344</v>
      </c>
      <c r="B51" s="12">
        <v>40</v>
      </c>
      <c r="C51" s="12"/>
      <c r="D51" s="79">
        <f t="shared" si="2"/>
        <v>-1</v>
      </c>
    </row>
    <row r="52" spans="1:4">
      <c r="A52" s="6" t="s">
        <v>64</v>
      </c>
      <c r="B52" s="15">
        <f>SUM(B40:B51)</f>
        <v>-15196</v>
      </c>
      <c r="C52" s="15">
        <f>SUM(C40:C51)</f>
        <v>-9706</v>
      </c>
      <c r="D52" s="79">
        <f t="shared" si="2"/>
        <v>-0.36127928402211107</v>
      </c>
    </row>
    <row r="53" spans="1:4">
      <c r="A53" s="6"/>
      <c r="B53" s="14"/>
      <c r="C53" s="14"/>
      <c r="D53" s="79"/>
    </row>
    <row r="54" spans="1:4">
      <c r="A54" s="6" t="s">
        <v>62</v>
      </c>
      <c r="B54" s="15">
        <f>B52+B37+B23</f>
        <v>-7243</v>
      </c>
      <c r="C54" s="15">
        <f>C52+C37+C23</f>
        <v>1507</v>
      </c>
      <c r="D54" s="79">
        <f t="shared" si="2"/>
        <v>-1.2080629573381196</v>
      </c>
    </row>
    <row r="55" spans="1:4">
      <c r="A55" s="6"/>
      <c r="B55" s="14"/>
      <c r="C55" s="14"/>
      <c r="D55" s="79"/>
    </row>
    <row r="56" spans="1:4">
      <c r="A56" s="6" t="s">
        <v>61</v>
      </c>
      <c r="B56" s="15">
        <v>1020</v>
      </c>
      <c r="C56" s="15">
        <v>925</v>
      </c>
      <c r="D56" s="79">
        <f t="shared" si="2"/>
        <v>-9.3137254901960786E-2</v>
      </c>
    </row>
    <row r="57" spans="1:4">
      <c r="A57" s="6" t="s">
        <v>60</v>
      </c>
      <c r="B57" s="15">
        <v>2152</v>
      </c>
      <c r="C57" s="15">
        <v>1804</v>
      </c>
      <c r="D57" s="79">
        <f t="shared" si="2"/>
        <v>-0.16171003717472118</v>
      </c>
    </row>
    <row r="58" spans="1:4">
      <c r="A58" s="6"/>
      <c r="B58" s="14"/>
      <c r="C58" s="14"/>
      <c r="D58" s="14"/>
    </row>
    <row r="59" spans="1:4">
      <c r="A59" s="6" t="s">
        <v>2</v>
      </c>
      <c r="B59" s="14"/>
      <c r="C59" s="14"/>
      <c r="D59" s="14"/>
    </row>
    <row r="60" spans="1:4">
      <c r="A60" s="26" t="s">
        <v>59</v>
      </c>
      <c r="B60" s="12">
        <f>B23+(B29+B33+B28)</f>
        <v>8618</v>
      </c>
      <c r="C60" s="12">
        <f>C23+(C29+C33+C28)</f>
        <v>9054</v>
      </c>
      <c r="D60" s="12"/>
    </row>
    <row r="61" spans="1:4">
      <c r="A61" s="26" t="s">
        <v>57</v>
      </c>
      <c r="B61" s="32">
        <f>B23/'Income Statement (5-year trend)'!E21</f>
        <v>6.7272372020320441</v>
      </c>
      <c r="C61" s="32">
        <f>C23/'Income Statement (5-year trend)'!F21</f>
        <v>7.4931620389556572</v>
      </c>
      <c r="D61" s="32"/>
    </row>
    <row r="62" spans="1:4" s="33" customFormat="1">
      <c r="A62" s="31" t="s">
        <v>58</v>
      </c>
      <c r="B62" s="32">
        <f>B54/'Annual Report(Income Statement)'!B23</f>
        <v>-13.513059701492537</v>
      </c>
      <c r="C62" s="32">
        <f>C54/'Annual Report(Income Statement)'!C23</f>
        <v>0.57431402439024393</v>
      </c>
      <c r="D62" s="32"/>
    </row>
    <row r="63" spans="1:4">
      <c r="A63" s="26"/>
      <c r="B63" s="38"/>
      <c r="C63" s="65"/>
      <c r="D63" s="65"/>
    </row>
    <row r="64" spans="1:4">
      <c r="A64" s="26"/>
      <c r="B64" s="38"/>
      <c r="C64" s="65"/>
      <c r="D64" s="65"/>
    </row>
    <row r="65" spans="1:4">
      <c r="A65" s="26" t="s">
        <v>285</v>
      </c>
      <c r="B65" s="38"/>
      <c r="C65" s="65"/>
      <c r="D65" s="65"/>
    </row>
    <row r="66" spans="1:4">
      <c r="A66" s="26" t="s">
        <v>59</v>
      </c>
      <c r="B66" s="12">
        <f>17215-5413+43</f>
        <v>11845</v>
      </c>
      <c r="C66" s="12">
        <f>18081-5798 + 33</f>
        <v>12316</v>
      </c>
      <c r="D66" s="12"/>
    </row>
    <row r="67" spans="1:4">
      <c r="A67" s="26" t="s">
        <v>57</v>
      </c>
      <c r="B67" s="32">
        <f>17215/(374+463+1722)</f>
        <v>6.7272372020320441</v>
      </c>
      <c r="C67" s="32">
        <f>18081/(1546+398+469)</f>
        <v>7.4931620389556572</v>
      </c>
      <c r="D67" s="32"/>
    </row>
    <row r="68" spans="1:4" s="33" customFormat="1">
      <c r="A68" s="31" t="s">
        <v>58</v>
      </c>
      <c r="B68" s="32"/>
      <c r="C68" s="32"/>
      <c r="D68" s="32"/>
    </row>
    <row r="69" spans="1:4">
      <c r="A69" s="7" t="s">
        <v>49</v>
      </c>
      <c r="B69" s="7"/>
      <c r="C69" s="7"/>
      <c r="D69" s="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AF42-FFA5-497C-80C9-A520A5415EB6}">
  <dimension ref="A1:E97"/>
  <sheetViews>
    <sheetView topLeftCell="A46" workbookViewId="0">
      <selection activeCell="C54" sqref="C54"/>
    </sheetView>
  </sheetViews>
  <sheetFormatPr defaultRowHeight="15"/>
  <cols>
    <col min="1" max="1" width="35.140625" customWidth="1"/>
    <col min="2" max="3" width="11.85546875" customWidth="1"/>
    <col min="4" max="4" width="14" bestFit="1" customWidth="1"/>
    <col min="5" max="5" width="22.140625" bestFit="1" customWidth="1"/>
  </cols>
  <sheetData>
    <row r="1" spans="1:5">
      <c r="A1" s="1"/>
      <c r="B1" s="1"/>
      <c r="C1" s="1"/>
    </row>
    <row r="2" spans="1:5" ht="20.25">
      <c r="A2" s="8" t="s">
        <v>97</v>
      </c>
      <c r="B2" s="8"/>
      <c r="C2" s="8"/>
    </row>
    <row r="3" spans="1:5">
      <c r="A3" s="2"/>
      <c r="B3" s="2"/>
      <c r="C3" s="2"/>
    </row>
    <row r="4" spans="1:5">
      <c r="A4" s="3" t="s">
        <v>4</v>
      </c>
      <c r="B4" s="4" t="s">
        <v>8</v>
      </c>
      <c r="C4" s="4" t="s">
        <v>9</v>
      </c>
      <c r="D4" s="81" t="s">
        <v>299</v>
      </c>
      <c r="E4" s="76" t="s">
        <v>297</v>
      </c>
    </row>
    <row r="5" spans="1:5">
      <c r="A5" s="9" t="s">
        <v>10</v>
      </c>
      <c r="B5" s="5" t="s">
        <v>14</v>
      </c>
      <c r="C5" s="5" t="s">
        <v>15</v>
      </c>
      <c r="D5" s="82" t="s">
        <v>347</v>
      </c>
      <c r="E5" s="72" t="s">
        <v>304</v>
      </c>
    </row>
    <row r="6" spans="1:5">
      <c r="A6" s="6" t="s">
        <v>178</v>
      </c>
      <c r="B6" s="14"/>
      <c r="C6" s="14"/>
      <c r="D6" s="77"/>
      <c r="E6" s="38"/>
    </row>
    <row r="7" spans="1:5">
      <c r="A7" s="26" t="s">
        <v>239</v>
      </c>
      <c r="B7" s="12">
        <v>14980</v>
      </c>
      <c r="C7" s="12">
        <v>15427</v>
      </c>
      <c r="D7" s="80">
        <f>(C7-B7)/B7</f>
        <v>2.9839786381842457E-2</v>
      </c>
      <c r="E7" s="38"/>
    </row>
    <row r="8" spans="1:5">
      <c r="A8" s="26" t="s">
        <v>237</v>
      </c>
      <c r="B8" s="12">
        <v>5821</v>
      </c>
      <c r="C8" s="12">
        <v>7496</v>
      </c>
      <c r="D8" s="80">
        <f t="shared" ref="D8:D38" si="0">(C8-B8)/B8</f>
        <v>0.28775124549046555</v>
      </c>
      <c r="E8" s="38"/>
    </row>
    <row r="9" spans="1:5">
      <c r="A9" s="26" t="s">
        <v>235</v>
      </c>
      <c r="B9" s="12">
        <v>9159</v>
      </c>
      <c r="C9" s="12">
        <v>7931</v>
      </c>
      <c r="D9" s="80">
        <f t="shared" si="0"/>
        <v>-0.13407577246424282</v>
      </c>
      <c r="E9" s="38"/>
    </row>
    <row r="10" spans="1:5">
      <c r="A10" s="26" t="s">
        <v>233</v>
      </c>
      <c r="B10" s="12">
        <v>3809</v>
      </c>
      <c r="C10" s="12">
        <v>3541</v>
      </c>
      <c r="D10" s="80">
        <f t="shared" si="0"/>
        <v>-7.0359674455237595E-2</v>
      </c>
      <c r="E10" s="38"/>
    </row>
    <row r="11" spans="1:5">
      <c r="A11" s="26" t="s">
        <v>231</v>
      </c>
      <c r="B11" s="12">
        <v>3809</v>
      </c>
      <c r="C11" s="12">
        <v>3541</v>
      </c>
      <c r="D11" s="80">
        <f t="shared" si="0"/>
        <v>-7.0359674455237595E-2</v>
      </c>
      <c r="E11" s="38"/>
    </row>
    <row r="12" spans="1:5">
      <c r="A12" s="26" t="s">
        <v>229</v>
      </c>
      <c r="B12" s="12">
        <v>3038</v>
      </c>
      <c r="C12" s="12">
        <v>3056</v>
      </c>
      <c r="D12" s="80">
        <f t="shared" si="0"/>
        <v>5.9249506254114553E-3</v>
      </c>
      <c r="E12" s="38"/>
    </row>
    <row r="13" spans="1:5">
      <c r="A13" s="26" t="s">
        <v>227</v>
      </c>
      <c r="B13" s="12">
        <v>676</v>
      </c>
      <c r="C13" s="12">
        <v>836</v>
      </c>
      <c r="D13" s="80">
        <f t="shared" si="0"/>
        <v>0.23668639053254437</v>
      </c>
      <c r="E13" s="38"/>
    </row>
    <row r="14" spans="1:5">
      <c r="A14" s="26" t="s">
        <v>225</v>
      </c>
      <c r="B14" s="12">
        <v>5767</v>
      </c>
      <c r="C14" s="12">
        <v>5677</v>
      </c>
      <c r="D14" s="80">
        <f t="shared" si="0"/>
        <v>-1.5606034333275533E-2</v>
      </c>
      <c r="E14" s="38"/>
    </row>
    <row r="15" spans="1:5">
      <c r="A15" s="26" t="s">
        <v>223</v>
      </c>
      <c r="B15" s="12">
        <v>1082</v>
      </c>
      <c r="C15" s="12">
        <v>872</v>
      </c>
      <c r="D15" s="80">
        <f t="shared" si="0"/>
        <v>-0.19408502772643252</v>
      </c>
      <c r="E15" s="38"/>
    </row>
    <row r="16" spans="1:5">
      <c r="A16" s="26" t="s">
        <v>188</v>
      </c>
      <c r="B16" s="12">
        <v>239</v>
      </c>
      <c r="C16" s="12">
        <v>410</v>
      </c>
      <c r="D16" s="80">
        <f t="shared" si="0"/>
        <v>0.71548117154811719</v>
      </c>
      <c r="E16" s="38"/>
    </row>
    <row r="17" spans="1:5">
      <c r="A17" s="26" t="s">
        <v>220</v>
      </c>
      <c r="B17" s="12">
        <v>1257</v>
      </c>
      <c r="C17" s="12">
        <v>959</v>
      </c>
      <c r="D17" s="80">
        <f t="shared" si="0"/>
        <v>-0.23707239459029436</v>
      </c>
      <c r="E17" s="38"/>
    </row>
    <row r="18" spans="1:5">
      <c r="A18" s="26" t="s">
        <v>218</v>
      </c>
      <c r="B18" s="12">
        <v>434</v>
      </c>
      <c r="C18" s="12">
        <v>296</v>
      </c>
      <c r="D18" s="80">
        <f t="shared" si="0"/>
        <v>-0.31797235023041476</v>
      </c>
      <c r="E18" s="38"/>
    </row>
    <row r="19" spans="1:5">
      <c r="A19" s="26" t="s">
        <v>216</v>
      </c>
      <c r="B19" s="12">
        <v>2755</v>
      </c>
      <c r="C19" s="12">
        <v>3140</v>
      </c>
      <c r="D19" s="80">
        <f t="shared" si="0"/>
        <v>0.1397459165154265</v>
      </c>
      <c r="E19" s="38"/>
    </row>
    <row r="20" spans="1:5">
      <c r="A20" s="6" t="s">
        <v>214</v>
      </c>
      <c r="B20" s="15">
        <v>28270</v>
      </c>
      <c r="C20" s="15">
        <v>28537</v>
      </c>
      <c r="D20" s="80">
        <f t="shared" si="0"/>
        <v>9.4446409621506897E-3</v>
      </c>
      <c r="E20" s="38"/>
    </row>
    <row r="21" spans="1:5">
      <c r="A21" s="26" t="s">
        <v>212</v>
      </c>
      <c r="B21" s="12">
        <v>41243</v>
      </c>
      <c r="C21" s="12">
        <v>40804</v>
      </c>
      <c r="D21" s="80">
        <f t="shared" si="0"/>
        <v>-1.0644230536090973E-2</v>
      </c>
      <c r="E21" s="38"/>
    </row>
    <row r="22" spans="1:5">
      <c r="A22" s="26" t="s">
        <v>210</v>
      </c>
      <c r="B22" s="12">
        <v>90862</v>
      </c>
      <c r="C22" s="12">
        <v>93682</v>
      </c>
      <c r="D22" s="80">
        <f t="shared" si="0"/>
        <v>3.1036076687724241E-2</v>
      </c>
      <c r="E22" s="38"/>
    </row>
    <row r="23" spans="1:5">
      <c r="A23" s="26" t="s">
        <v>208</v>
      </c>
      <c r="B23" s="12">
        <v>49619</v>
      </c>
      <c r="C23" s="12">
        <v>52878</v>
      </c>
      <c r="D23" s="80">
        <f t="shared" si="0"/>
        <v>6.5680485297970534E-2</v>
      </c>
      <c r="E23" s="38"/>
    </row>
    <row r="24" spans="1:5">
      <c r="A24" s="26" t="s">
        <v>206</v>
      </c>
      <c r="B24" s="12">
        <v>977</v>
      </c>
      <c r="C24" s="12">
        <v>1107</v>
      </c>
      <c r="D24" s="80">
        <f t="shared" si="0"/>
        <v>0.13306038894575231</v>
      </c>
      <c r="E24" s="38"/>
    </row>
    <row r="25" spans="1:5">
      <c r="A25" s="26" t="s">
        <v>204</v>
      </c>
      <c r="B25" s="12">
        <v>925</v>
      </c>
      <c r="C25" s="12">
        <v>1073</v>
      </c>
      <c r="D25" s="80">
        <f t="shared" si="0"/>
        <v>0.16</v>
      </c>
      <c r="E25" s="38"/>
    </row>
    <row r="26" spans="1:5">
      <c r="A26" s="26" t="s">
        <v>202</v>
      </c>
      <c r="B26" s="12">
        <v>52</v>
      </c>
      <c r="C26" s="12">
        <v>34</v>
      </c>
      <c r="D26" s="80">
        <f t="shared" si="0"/>
        <v>-0.34615384615384615</v>
      </c>
      <c r="E26" s="38"/>
    </row>
    <row r="27" spans="1:5">
      <c r="A27" s="26" t="s">
        <v>200</v>
      </c>
      <c r="B27" s="12">
        <v>84573</v>
      </c>
      <c r="C27" s="12">
        <v>83505</v>
      </c>
      <c r="D27" s="80">
        <f t="shared" si="0"/>
        <v>-1.2628143733815756E-2</v>
      </c>
      <c r="E27" s="38"/>
    </row>
    <row r="28" spans="1:5">
      <c r="A28" s="26" t="s">
        <v>198</v>
      </c>
      <c r="B28" s="12">
        <v>53549</v>
      </c>
      <c r="C28" s="12">
        <v>53244</v>
      </c>
      <c r="D28" s="80">
        <f t="shared" si="0"/>
        <v>-5.6957179405777887E-3</v>
      </c>
      <c r="E28" s="38"/>
    </row>
    <row r="29" spans="1:5">
      <c r="A29" s="27" t="s">
        <v>196</v>
      </c>
      <c r="B29" s="16">
        <v>31731</v>
      </c>
      <c r="C29" s="16">
        <v>31884</v>
      </c>
      <c r="D29" s="80">
        <f t="shared" si="0"/>
        <v>4.8217831143046236E-3</v>
      </c>
      <c r="E29" s="38"/>
    </row>
    <row r="30" spans="1:5">
      <c r="A30" s="27" t="s">
        <v>194</v>
      </c>
      <c r="B30" s="16">
        <v>21818</v>
      </c>
      <c r="C30" s="16">
        <v>21360</v>
      </c>
      <c r="D30" s="80">
        <f t="shared" si="0"/>
        <v>-2.0991841598679988E-2</v>
      </c>
      <c r="E30" s="38"/>
    </row>
    <row r="31" spans="1:5">
      <c r="A31" s="26" t="s">
        <v>192</v>
      </c>
      <c r="B31" s="12">
        <v>247</v>
      </c>
      <c r="C31" s="12">
        <v>231</v>
      </c>
      <c r="D31" s="80">
        <f t="shared" si="0"/>
        <v>-6.4777327935222673E-2</v>
      </c>
      <c r="E31" s="38"/>
    </row>
    <row r="32" spans="1:5">
      <c r="A32" s="26" t="s">
        <v>190</v>
      </c>
      <c r="B32" s="12">
        <v>21569</v>
      </c>
      <c r="C32" s="12">
        <v>19089</v>
      </c>
      <c r="D32" s="80">
        <f t="shared" si="0"/>
        <v>-0.1149798321665353</v>
      </c>
      <c r="E32" s="38"/>
    </row>
    <row r="33" spans="1:5">
      <c r="A33" s="26" t="s">
        <v>188</v>
      </c>
      <c r="B33" s="12">
        <v>2912</v>
      </c>
      <c r="C33" s="12">
        <v>4216</v>
      </c>
      <c r="D33" s="80">
        <f t="shared" si="0"/>
        <v>0.44780219780219782</v>
      </c>
      <c r="E33" s="38"/>
    </row>
    <row r="34" spans="1:5">
      <c r="A34" s="26" t="s">
        <v>186</v>
      </c>
      <c r="B34" s="12">
        <v>60</v>
      </c>
      <c r="C34" s="12">
        <v>555</v>
      </c>
      <c r="D34" s="80">
        <f t="shared" si="0"/>
        <v>8.25</v>
      </c>
      <c r="E34" s="38"/>
    </row>
    <row r="35" spans="1:5">
      <c r="A35" s="26" t="s">
        <v>184</v>
      </c>
      <c r="B35" s="12">
        <v>4670</v>
      </c>
      <c r="C35" s="12">
        <v>4268</v>
      </c>
      <c r="D35" s="80">
        <f t="shared" si="0"/>
        <v>-8.6081370449678798E-2</v>
      </c>
      <c r="E35" s="38"/>
    </row>
    <row r="36" spans="1:5">
      <c r="A36" s="26" t="s">
        <v>182</v>
      </c>
      <c r="B36" s="12">
        <v>1566</v>
      </c>
      <c r="C36" s="12">
        <v>1902</v>
      </c>
      <c r="D36" s="80">
        <f t="shared" si="0"/>
        <v>0.21455938697318008</v>
      </c>
      <c r="E36" s="38"/>
    </row>
    <row r="37" spans="1:5">
      <c r="A37" s="6" t="s">
        <v>180</v>
      </c>
      <c r="B37" s="15">
        <v>126793</v>
      </c>
      <c r="C37" s="15">
        <v>125416</v>
      </c>
      <c r="D37" s="80">
        <f t="shared" si="0"/>
        <v>-1.086022099011775E-2</v>
      </c>
      <c r="E37" s="38"/>
    </row>
    <row r="38" spans="1:5">
      <c r="A38" s="6" t="s">
        <v>178</v>
      </c>
      <c r="B38" s="15">
        <v>155063</v>
      </c>
      <c r="C38" s="15">
        <v>153953</v>
      </c>
      <c r="D38" s="80">
        <f t="shared" si="0"/>
        <v>-7.1583807871639267E-3</v>
      </c>
      <c r="E38" s="38"/>
    </row>
    <row r="39" spans="1:5">
      <c r="A39" s="6"/>
      <c r="B39" s="14"/>
      <c r="C39" s="14"/>
      <c r="D39" s="77"/>
      <c r="E39" s="38"/>
    </row>
    <row r="40" spans="1:5">
      <c r="A40" s="6" t="s">
        <v>176</v>
      </c>
      <c r="B40" s="14"/>
      <c r="C40" s="14"/>
      <c r="D40" s="77"/>
      <c r="E40" s="38"/>
    </row>
    <row r="41" spans="1:5">
      <c r="A41" s="26" t="s">
        <v>175</v>
      </c>
      <c r="B41" s="12">
        <v>16741</v>
      </c>
      <c r="C41" s="12">
        <v>18328</v>
      </c>
      <c r="D41" s="80">
        <f t="shared" ref="D41:D76" si="1">(C41-B41)/B41</f>
        <v>9.4797204468072396E-2</v>
      </c>
      <c r="E41" s="79">
        <v>0.11904932024708839</v>
      </c>
    </row>
    <row r="42" spans="1:5">
      <c r="A42" s="26" t="s">
        <v>173</v>
      </c>
      <c r="B42" s="12">
        <v>6739</v>
      </c>
      <c r="C42" s="12">
        <v>7327</v>
      </c>
      <c r="D42" s="80">
        <f t="shared" si="1"/>
        <v>8.7253301676806644E-2</v>
      </c>
      <c r="E42" s="79">
        <v>4.7592447045526884E-2</v>
      </c>
    </row>
    <row r="43" spans="1:5">
      <c r="A43" s="26" t="s">
        <v>171</v>
      </c>
      <c r="B43" s="12">
        <v>1965</v>
      </c>
      <c r="C43" s="12">
        <v>1978</v>
      </c>
      <c r="D43" s="80">
        <f t="shared" si="1"/>
        <v>6.6157760814249365E-3</v>
      </c>
      <c r="E43" s="79">
        <v>1.2848077010516197E-2</v>
      </c>
    </row>
    <row r="44" spans="1:5">
      <c r="A44" s="26" t="s">
        <v>169</v>
      </c>
      <c r="B44" s="12">
        <v>8037</v>
      </c>
      <c r="C44" s="12">
        <v>9023</v>
      </c>
      <c r="D44" s="80">
        <f t="shared" si="1"/>
        <v>0.12268259300734105</v>
      </c>
      <c r="E44" s="79">
        <v>5.8608796191045316E-2</v>
      </c>
    </row>
    <row r="45" spans="1:5">
      <c r="A45" s="26" t="s">
        <v>167</v>
      </c>
      <c r="B45" s="12">
        <v>8488</v>
      </c>
      <c r="C45" s="12">
        <v>11961</v>
      </c>
      <c r="D45" s="80">
        <f t="shared" si="1"/>
        <v>0.40916588124410935</v>
      </c>
      <c r="E45" s="79">
        <v>7.7692542529213468E-2</v>
      </c>
    </row>
    <row r="46" spans="1:5">
      <c r="A46" s="26" t="s">
        <v>165</v>
      </c>
      <c r="B46" s="12">
        <v>8107</v>
      </c>
      <c r="C46" s="12">
        <v>9642</v>
      </c>
      <c r="D46" s="80">
        <f t="shared" si="1"/>
        <v>0.1893425434809424</v>
      </c>
      <c r="E46" s="79">
        <v>6.2629503809604234E-2</v>
      </c>
    </row>
    <row r="47" spans="1:5">
      <c r="A47" s="26" t="s">
        <v>163</v>
      </c>
      <c r="B47" s="12">
        <v>381</v>
      </c>
      <c r="C47" s="12">
        <v>2319</v>
      </c>
      <c r="D47" s="80">
        <f t="shared" si="1"/>
        <v>5.0866141732283463</v>
      </c>
      <c r="E47" s="79">
        <v>1.5063038719609231E-2</v>
      </c>
    </row>
    <row r="48" spans="1:5">
      <c r="A48" s="27" t="s">
        <v>161</v>
      </c>
      <c r="B48" s="16">
        <v>381</v>
      </c>
      <c r="C48" s="16">
        <v>2319</v>
      </c>
      <c r="D48" s="80">
        <f t="shared" si="1"/>
        <v>5.0866141732283463</v>
      </c>
      <c r="E48" s="79">
        <v>1.5063038719609231E-2</v>
      </c>
    </row>
    <row r="49" spans="1:5">
      <c r="A49" s="26" t="s">
        <v>159</v>
      </c>
      <c r="B49" s="12">
        <v>3482</v>
      </c>
      <c r="C49" s="12">
        <v>3358</v>
      </c>
      <c r="D49" s="80">
        <f t="shared" si="1"/>
        <v>-3.5611717403790925E-2</v>
      </c>
      <c r="E49" s="79">
        <v>2.1811851669015867E-2</v>
      </c>
    </row>
    <row r="50" spans="1:5">
      <c r="A50" s="26" t="s">
        <v>137</v>
      </c>
      <c r="B50" s="12">
        <v>1971</v>
      </c>
      <c r="C50" s="12">
        <v>1991</v>
      </c>
      <c r="D50" s="80">
        <f t="shared" si="1"/>
        <v>1.0147133434804667E-2</v>
      </c>
      <c r="E50" s="79">
        <v>1.2932518365994817E-2</v>
      </c>
    </row>
    <row r="51" spans="1:5">
      <c r="A51" s="26" t="s">
        <v>133</v>
      </c>
      <c r="B51" s="12">
        <v>91</v>
      </c>
      <c r="C51" s="12">
        <v>166</v>
      </c>
      <c r="D51" s="80">
        <f t="shared" si="1"/>
        <v>0.82417582417582413</v>
      </c>
      <c r="E51" s="79">
        <v>1.0782511545731489E-3</v>
      </c>
    </row>
    <row r="52" spans="1:5">
      <c r="A52" s="26" t="s">
        <v>155</v>
      </c>
      <c r="B52" s="12">
        <v>1420</v>
      </c>
      <c r="C52" s="12">
        <v>1201</v>
      </c>
      <c r="D52" s="80">
        <f t="shared" si="1"/>
        <v>-0.15422535211267605</v>
      </c>
      <c r="E52" s="79">
        <v>7.8010821484479033E-3</v>
      </c>
    </row>
    <row r="53" spans="1:5">
      <c r="A53" s="6" t="s">
        <v>153</v>
      </c>
      <c r="B53" s="15">
        <v>28711</v>
      </c>
      <c r="C53" s="15">
        <v>33647</v>
      </c>
      <c r="D53" s="80">
        <f t="shared" si="1"/>
        <v>0.17192016996969803</v>
      </c>
      <c r="E53" s="79">
        <v>0.21855371444531774</v>
      </c>
    </row>
    <row r="54" spans="1:5">
      <c r="A54" s="26" t="s">
        <v>151</v>
      </c>
      <c r="B54" s="12">
        <v>59272</v>
      </c>
      <c r="C54" s="12">
        <v>58131</v>
      </c>
      <c r="D54" s="80">
        <f t="shared" si="1"/>
        <v>-1.9250236199217167E-2</v>
      </c>
      <c r="E54" s="79">
        <v>0.37758926425597422</v>
      </c>
    </row>
    <row r="55" spans="1:5">
      <c r="A55" s="26" t="s">
        <v>149</v>
      </c>
      <c r="B55" s="12">
        <v>55586</v>
      </c>
      <c r="C55" s="12">
        <v>56770</v>
      </c>
      <c r="D55" s="80">
        <f t="shared" si="1"/>
        <v>2.1300327420573525E-2</v>
      </c>
      <c r="E55" s="79">
        <v>0.36874890388625098</v>
      </c>
    </row>
    <row r="56" spans="1:5">
      <c r="A56" s="26" t="s">
        <v>147</v>
      </c>
      <c r="B56" s="12">
        <v>3686</v>
      </c>
      <c r="C56" s="12">
        <v>1361</v>
      </c>
      <c r="D56" s="80">
        <f t="shared" si="1"/>
        <v>-0.63076505697232776</v>
      </c>
      <c r="E56" s="79">
        <v>8.840360369723228E-3</v>
      </c>
    </row>
    <row r="57" spans="1:5">
      <c r="A57" s="27" t="s">
        <v>145</v>
      </c>
      <c r="B57" s="16">
        <v>3686</v>
      </c>
      <c r="C57" s="16">
        <v>1361</v>
      </c>
      <c r="D57" s="80">
        <f t="shared" si="1"/>
        <v>-0.63076505697232776</v>
      </c>
      <c r="E57" s="79">
        <v>8.840360369723228E-3</v>
      </c>
    </row>
    <row r="58" spans="1:5">
      <c r="A58" s="26" t="s">
        <v>143</v>
      </c>
      <c r="B58" s="12">
        <v>9264</v>
      </c>
      <c r="C58" s="12">
        <v>5198</v>
      </c>
      <c r="D58" s="80">
        <f t="shared" si="1"/>
        <v>-0.43890328151986185</v>
      </c>
      <c r="E58" s="79">
        <v>3.3763551213682096E-2</v>
      </c>
    </row>
    <row r="59" spans="1:5">
      <c r="A59" s="26" t="s">
        <v>141</v>
      </c>
      <c r="B59" s="12">
        <v>47</v>
      </c>
      <c r="C59" s="12">
        <v>28</v>
      </c>
      <c r="D59" s="80">
        <f t="shared" si="1"/>
        <v>-0.40425531914893614</v>
      </c>
      <c r="E59" s="79">
        <v>1.8187368872318174E-4</v>
      </c>
    </row>
    <row r="60" spans="1:5">
      <c r="A60" s="26" t="s">
        <v>139</v>
      </c>
      <c r="B60" s="12">
        <v>513</v>
      </c>
      <c r="C60" s="12">
        <v>281</v>
      </c>
      <c r="D60" s="80">
        <f t="shared" si="1"/>
        <v>-0.45224171539961011</v>
      </c>
      <c r="E60" s="79">
        <v>1.8252323761147884E-3</v>
      </c>
    </row>
    <row r="61" spans="1:5">
      <c r="A61" s="26" t="s">
        <v>137</v>
      </c>
      <c r="B61" s="12">
        <v>519</v>
      </c>
      <c r="C61" s="12">
        <v>530</v>
      </c>
      <c r="D61" s="80">
        <f t="shared" si="1"/>
        <v>2.119460500963391E-2</v>
      </c>
      <c r="E61" s="79">
        <v>3.4426091079745118E-3</v>
      </c>
    </row>
    <row r="62" spans="1:5">
      <c r="A62" s="26" t="s">
        <v>135</v>
      </c>
      <c r="B62" s="12">
        <v>2095</v>
      </c>
      <c r="C62" s="12">
        <v>520</v>
      </c>
      <c r="D62" s="80">
        <f t="shared" si="1"/>
        <v>-0.75178997613365151</v>
      </c>
      <c r="E62" s="79">
        <v>3.3776542191448038E-3</v>
      </c>
    </row>
    <row r="63" spans="1:5">
      <c r="A63" s="26" t="s">
        <v>133</v>
      </c>
      <c r="B63" s="12">
        <v>3919</v>
      </c>
      <c r="C63" s="12">
        <v>1506</v>
      </c>
      <c r="D63" s="80">
        <f t="shared" si="1"/>
        <v>-0.61571829548354173</v>
      </c>
      <c r="E63" s="79">
        <v>9.7822062577539899E-3</v>
      </c>
    </row>
    <row r="64" spans="1:5">
      <c r="A64" s="26" t="s">
        <v>131</v>
      </c>
      <c r="B64" s="12">
        <v>2171</v>
      </c>
      <c r="C64" s="12">
        <v>2333</v>
      </c>
      <c r="D64" s="80">
        <f t="shared" si="1"/>
        <v>7.4619990787655452E-2</v>
      </c>
      <c r="E64" s="79">
        <v>1.5153975563970822E-2</v>
      </c>
    </row>
    <row r="65" spans="1:5">
      <c r="A65" s="6" t="s">
        <v>129</v>
      </c>
      <c r="B65" s="15">
        <v>68536</v>
      </c>
      <c r="C65" s="15">
        <v>63329</v>
      </c>
      <c r="D65" s="80">
        <f t="shared" si="1"/>
        <v>-7.5974670246293924E-2</v>
      </c>
      <c r="E65" s="79">
        <v>0.4113528154696563</v>
      </c>
    </row>
    <row r="66" spans="1:5">
      <c r="A66" s="6" t="s">
        <v>127</v>
      </c>
      <c r="B66" s="15">
        <v>97247</v>
      </c>
      <c r="C66" s="15">
        <v>96976</v>
      </c>
      <c r="D66" s="80">
        <f t="shared" si="1"/>
        <v>-2.7867183563503243E-3</v>
      </c>
      <c r="E66" s="79">
        <v>0.62990652991497409</v>
      </c>
    </row>
    <row r="67" spans="1:5">
      <c r="A67" s="26" t="s">
        <v>125</v>
      </c>
      <c r="B67" s="12">
        <v>155609</v>
      </c>
      <c r="C67" s="12">
        <v>153815</v>
      </c>
      <c r="D67" s="80">
        <f t="shared" si="1"/>
        <v>-1.1528896143539255E-2</v>
      </c>
      <c r="E67" s="79">
        <v>0.99910362253415008</v>
      </c>
    </row>
    <row r="68" spans="1:5">
      <c r="A68" s="26" t="s">
        <v>123</v>
      </c>
      <c r="B68" s="12">
        <v>4797</v>
      </c>
      <c r="C68" s="12">
        <v>4797</v>
      </c>
      <c r="D68" s="80">
        <f t="shared" si="1"/>
        <v>0</v>
      </c>
      <c r="E68" s="79">
        <v>3.1158860171610816E-2</v>
      </c>
    </row>
    <row r="69" spans="1:5">
      <c r="A69" s="26" t="s">
        <v>121</v>
      </c>
      <c r="B69" s="12">
        <v>150812</v>
      </c>
      <c r="C69" s="12">
        <v>149018</v>
      </c>
      <c r="D69" s="80">
        <f t="shared" si="1"/>
        <v>-1.189560512426067E-2</v>
      </c>
      <c r="E69" s="79">
        <v>0.96794476236253923</v>
      </c>
    </row>
    <row r="70" spans="1:5">
      <c r="A70" s="26" t="s">
        <v>119</v>
      </c>
      <c r="B70" s="12">
        <v>6172</v>
      </c>
      <c r="C70" s="12">
        <v>7278</v>
      </c>
      <c r="D70" s="80">
        <f t="shared" si="1"/>
        <v>0.17919637070641609</v>
      </c>
      <c r="E70" s="79">
        <v>4.7274168090261311E-2</v>
      </c>
    </row>
    <row r="71" spans="1:5">
      <c r="A71" s="26" t="s">
        <v>117</v>
      </c>
      <c r="B71" s="12">
        <v>-121587</v>
      </c>
      <c r="C71" s="12">
        <v>-122118</v>
      </c>
      <c r="D71" s="80">
        <f t="shared" si="1"/>
        <v>4.3672432085667054E-3</v>
      </c>
      <c r="E71" s="79">
        <v>-0.79321611141062531</v>
      </c>
    </row>
    <row r="72" spans="1:5">
      <c r="A72" s="26" t="s">
        <v>115</v>
      </c>
      <c r="B72" s="12">
        <v>27954</v>
      </c>
      <c r="C72" s="12">
        <v>30268</v>
      </c>
      <c r="D72" s="80">
        <f t="shared" si="1"/>
        <v>8.2778850969449813E-2</v>
      </c>
      <c r="E72" s="79">
        <v>0.19660545750975947</v>
      </c>
    </row>
    <row r="73" spans="1:5">
      <c r="A73" s="6" t="s">
        <v>113</v>
      </c>
      <c r="B73" s="15">
        <v>55804</v>
      </c>
      <c r="C73" s="15">
        <v>54687</v>
      </c>
      <c r="D73" s="80">
        <f t="shared" si="1"/>
        <v>-2.0016486273385422E-2</v>
      </c>
      <c r="E73" s="79">
        <v>0.35521880054302285</v>
      </c>
    </row>
    <row r="74" spans="1:5">
      <c r="A74" s="26" t="s">
        <v>111</v>
      </c>
      <c r="B74" s="12">
        <v>2012</v>
      </c>
      <c r="C74" s="12">
        <v>2290</v>
      </c>
      <c r="D74" s="80">
        <f t="shared" si="1"/>
        <v>0.13817097415506957</v>
      </c>
      <c r="E74" s="79">
        <v>1.487466954200308E-2</v>
      </c>
    </row>
    <row r="75" spans="1:5">
      <c r="A75" s="6" t="s">
        <v>109</v>
      </c>
      <c r="B75" s="15">
        <v>57816</v>
      </c>
      <c r="C75" s="15">
        <v>56977</v>
      </c>
      <c r="D75" s="80">
        <f t="shared" si="1"/>
        <v>-1.4511553895115539E-2</v>
      </c>
      <c r="E75" s="79">
        <v>0.37009347008502597</v>
      </c>
    </row>
    <row r="76" spans="1:5">
      <c r="A76" s="6" t="s">
        <v>107</v>
      </c>
      <c r="B76" s="15">
        <v>155063</v>
      </c>
      <c r="C76" s="15">
        <v>153953</v>
      </c>
      <c r="D76" s="80">
        <f t="shared" si="1"/>
        <v>-7.1583807871639267E-3</v>
      </c>
      <c r="E76" s="79">
        <v>1</v>
      </c>
    </row>
    <row r="77" spans="1:5">
      <c r="A77" s="6"/>
      <c r="B77" s="14"/>
      <c r="C77" s="14"/>
      <c r="D77" s="77"/>
      <c r="E77" s="38"/>
    </row>
    <row r="78" spans="1:5">
      <c r="A78" s="6" t="s">
        <v>2</v>
      </c>
      <c r="B78" s="14"/>
      <c r="C78" s="14"/>
      <c r="D78" s="77"/>
      <c r="E78" s="38"/>
    </row>
    <row r="79" spans="1:5">
      <c r="A79" s="26" t="s">
        <v>105</v>
      </c>
      <c r="B79" s="12">
        <v>28224.193500000001</v>
      </c>
      <c r="C79" s="12">
        <v>28370.051299999999</v>
      </c>
      <c r="D79" s="77"/>
      <c r="E79" s="38"/>
    </row>
    <row r="80" spans="1:5">
      <c r="A80" s="26" t="s">
        <v>240</v>
      </c>
      <c r="B80" s="24">
        <f>'Annual Report(Income Statement)'!B23/'(Annual Report) Balance Sheet'!B75</f>
        <v>9.2707900927079014E-3</v>
      </c>
      <c r="C80" s="24">
        <f>'Annual Report(Income Statement)'!C23/'(Annual Report) Balance Sheet'!C75</f>
        <v>4.6053670779437318E-2</v>
      </c>
      <c r="D80" s="178">
        <f>C80-B80</f>
        <v>3.6782880686729413E-2</v>
      </c>
      <c r="E80" s="38"/>
    </row>
    <row r="81" spans="1:5">
      <c r="A81" s="26" t="s">
        <v>286</v>
      </c>
      <c r="B81" s="54">
        <f>'Annual Report(Income Statement)'!B6/'(Annual Report) Balance Sheet'!B38</f>
        <v>0.28252387739176982</v>
      </c>
      <c r="C81" s="54">
        <f>'Annual Report(Income Statement)'!C6/'(Annual Report) Balance Sheet'!C38</f>
        <v>0.29606438328580803</v>
      </c>
      <c r="D81" s="178">
        <f t="shared" ref="D81:D84" si="2">C81-B81</f>
        <v>1.3540505894038213E-2</v>
      </c>
      <c r="E81" s="38"/>
    </row>
    <row r="82" spans="1:5">
      <c r="A82" s="26" t="s">
        <v>243</v>
      </c>
      <c r="B82" s="25">
        <f>B38/B75</f>
        <v>2.6820084405700846</v>
      </c>
      <c r="C82" s="25">
        <f>C38/C75</f>
        <v>2.7020201133790827</v>
      </c>
      <c r="D82" s="178">
        <f t="shared" si="2"/>
        <v>2.0011672808998071E-2</v>
      </c>
      <c r="E82" s="38"/>
    </row>
    <row r="83" spans="1:5">
      <c r="A83" s="26" t="s">
        <v>242</v>
      </c>
      <c r="B83" s="24">
        <f>B82*B81*'Annual Report(Income Statement)'!B32</f>
        <v>9.2707900927079031E-3</v>
      </c>
      <c r="C83" s="24">
        <f>C82*C81*'Annual Report(Income Statement)'!C32</f>
        <v>4.6053670779437318E-2</v>
      </c>
      <c r="D83" s="178">
        <f t="shared" si="2"/>
        <v>3.6782880686729413E-2</v>
      </c>
      <c r="E83" s="38"/>
    </row>
    <row r="84" spans="1:5">
      <c r="A84" s="26" t="s">
        <v>241</v>
      </c>
      <c r="B84" s="68">
        <f>'Annual Report(Income Statement)'!B23/'(Annual Report) Balance Sheet'!B38</f>
        <v>3.4566595512791577E-3</v>
      </c>
      <c r="C84" s="68">
        <f>'Annual Report(Income Statement)'!C23/'(Annual Report) Balance Sheet'!C38</f>
        <v>1.704416282891532E-2</v>
      </c>
      <c r="D84" s="178">
        <f t="shared" si="2"/>
        <v>1.3587503277636161E-2</v>
      </c>
      <c r="E84" s="38"/>
    </row>
    <row r="85" spans="1:5">
      <c r="A85" s="26"/>
      <c r="B85" s="57"/>
      <c r="C85" s="54"/>
      <c r="D85" s="77"/>
      <c r="E85" s="38"/>
    </row>
    <row r="86" spans="1:5">
      <c r="A86" s="26" t="s">
        <v>244</v>
      </c>
      <c r="B86" s="25">
        <f>(B13/'Income Statement (5-year trend)'!E8)*365</f>
        <v>8.2011566841720391</v>
      </c>
      <c r="C86" s="25">
        <f>(C13/'Income Statement (5-year trend)'!F8)*365</f>
        <v>9.980375482436056</v>
      </c>
      <c r="D86" s="77"/>
      <c r="E86" s="38"/>
    </row>
    <row r="87" spans="1:5">
      <c r="A87" s="26" t="s">
        <v>245</v>
      </c>
      <c r="B87" s="25">
        <f>((B26+B11)/'Income Statement (5-year trend)'!$E$6)*365</f>
        <v>32.168390056837637</v>
      </c>
      <c r="C87" s="25">
        <f>((C26+C11)/'Income Statement (5-year trend)'!$F$6)*365</f>
        <v>28.628236068451073</v>
      </c>
      <c r="D87" s="77"/>
      <c r="E87" s="38"/>
    </row>
    <row r="88" spans="1:5">
      <c r="A88" s="26" t="s">
        <v>246</v>
      </c>
      <c r="B88" s="25">
        <f>(B42/'Income Statement (5-year trend)'!$E$8)*365</f>
        <v>81.756797181413276</v>
      </c>
      <c r="C88" s="25">
        <f>(C42/'Income Statement (5-year trend)'!$F$8)*365</f>
        <v>87.471544449532274</v>
      </c>
      <c r="D88" s="77"/>
      <c r="E88" s="38"/>
    </row>
    <row r="89" spans="1:5">
      <c r="A89" s="26" t="s">
        <v>100</v>
      </c>
      <c r="B89" s="13">
        <f>B86+B87-B88</f>
        <v>-41.387250440403598</v>
      </c>
      <c r="C89" s="13">
        <f>C86+C87-C88</f>
        <v>-48.862932898645141</v>
      </c>
      <c r="D89" s="77"/>
      <c r="E89" s="38"/>
    </row>
    <row r="90" spans="1:5">
      <c r="A90" s="26"/>
      <c r="B90" s="13"/>
      <c r="C90" s="13"/>
      <c r="D90" s="77"/>
      <c r="E90" s="38"/>
    </row>
    <row r="91" spans="1:5">
      <c r="A91" s="26" t="s">
        <v>248</v>
      </c>
      <c r="B91" s="54">
        <f>B54/(B54+B75)</f>
        <v>0.50621754577753486</v>
      </c>
      <c r="C91" s="54">
        <f>C54/(C54+C75)</f>
        <v>0.50501268374048724</v>
      </c>
      <c r="D91" s="77"/>
      <c r="E91" s="38"/>
    </row>
    <row r="92" spans="1:5">
      <c r="A92" s="26" t="s">
        <v>282</v>
      </c>
      <c r="B92" s="54">
        <f>B66/B75</f>
        <v>1.6820084405700844</v>
      </c>
      <c r="C92" s="54">
        <f>C66/C75</f>
        <v>1.7020201133790829</v>
      </c>
      <c r="D92" s="77"/>
      <c r="E92" s="38"/>
    </row>
    <row r="93" spans="1:5">
      <c r="A93" s="26"/>
      <c r="B93" s="25"/>
      <c r="C93" s="25"/>
      <c r="D93" s="77"/>
      <c r="E93" s="38"/>
    </row>
    <row r="94" spans="1:5">
      <c r="A94" s="26" t="s">
        <v>101</v>
      </c>
      <c r="B94" s="57">
        <f t="shared" ref="B94:C94" si="3">B20/B53</f>
        <v>0.98464003343666195</v>
      </c>
      <c r="C94" s="54">
        <f t="shared" si="3"/>
        <v>0.84812910512081319</v>
      </c>
      <c r="D94" s="77"/>
      <c r="E94" s="38"/>
    </row>
    <row r="95" spans="1:5">
      <c r="A95" s="26" t="s">
        <v>283</v>
      </c>
      <c r="B95" s="57">
        <f t="shared" ref="B95:C95" si="4">(B20-B13)/B53</f>
        <v>0.96109505067744072</v>
      </c>
      <c r="C95" s="54">
        <f t="shared" si="4"/>
        <v>0.82328290783725144</v>
      </c>
      <c r="D95" s="77"/>
      <c r="E95" s="38"/>
    </row>
    <row r="96" spans="1:5">
      <c r="A96" s="26" t="s">
        <v>284</v>
      </c>
      <c r="B96" s="62">
        <f>B8/B53</f>
        <v>0.2027445926648323</v>
      </c>
      <c r="C96" s="66">
        <f>C8/C53</f>
        <v>0.22278360626504592</v>
      </c>
      <c r="D96" s="78"/>
      <c r="E96" s="61"/>
    </row>
    <row r="97" spans="1:3">
      <c r="A97" s="7" t="s">
        <v>49</v>
      </c>
      <c r="B97" s="7"/>
      <c r="C97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DCDA-8289-4E45-94E5-95E0841DAD58}">
  <dimension ref="A1:N46"/>
  <sheetViews>
    <sheetView showGridLines="0" workbookViewId="0">
      <selection activeCell="D4" sqref="D4"/>
    </sheetView>
  </sheetViews>
  <sheetFormatPr defaultRowHeight="15"/>
  <cols>
    <col min="1" max="1" width="41.42578125" bestFit="1" customWidth="1"/>
    <col min="2" max="3" width="10.140625" bestFit="1" customWidth="1"/>
    <col min="4" max="4" width="14" style="51" bestFit="1" customWidth="1"/>
    <col min="5" max="6" width="22.140625" style="51" bestFit="1" customWidth="1"/>
    <col min="7" max="7" width="24.5703125" style="51" bestFit="1" customWidth="1"/>
  </cols>
  <sheetData>
    <row r="1" spans="1:8" ht="15.75">
      <c r="A1" s="168" t="s">
        <v>371</v>
      </c>
      <c r="B1" s="101"/>
      <c r="C1" s="101"/>
      <c r="D1" s="102"/>
      <c r="E1" s="102"/>
      <c r="F1" s="102"/>
      <c r="G1" s="102"/>
    </row>
    <row r="2" spans="1:8" ht="15.75" thickBot="1">
      <c r="A2" s="161" t="s">
        <v>10</v>
      </c>
      <c r="B2" s="160" t="s">
        <v>367</v>
      </c>
      <c r="C2" s="160" t="s">
        <v>368</v>
      </c>
      <c r="D2" s="162" t="s">
        <v>299</v>
      </c>
      <c r="E2" s="162" t="s">
        <v>297</v>
      </c>
      <c r="F2" s="162" t="s">
        <v>297</v>
      </c>
      <c r="G2" s="163" t="s">
        <v>346</v>
      </c>
    </row>
    <row r="3" spans="1:8">
      <c r="A3" s="164" t="s">
        <v>298</v>
      </c>
      <c r="B3" s="165" t="s">
        <v>7</v>
      </c>
      <c r="C3" s="156" t="s">
        <v>8</v>
      </c>
      <c r="D3" s="166"/>
      <c r="E3" s="166" t="s">
        <v>369</v>
      </c>
      <c r="F3" s="166" t="s">
        <v>341</v>
      </c>
      <c r="G3" s="167" t="s">
        <v>408</v>
      </c>
    </row>
    <row r="4" spans="1:8">
      <c r="A4" s="105" t="s">
        <v>350</v>
      </c>
      <c r="B4" s="106">
        <v>43076</v>
      </c>
      <c r="C4" s="107">
        <v>39277</v>
      </c>
      <c r="D4" s="108">
        <f>(C4-B4)/B4</f>
        <v>-8.8192961277741663E-2</v>
      </c>
      <c r="E4" s="109">
        <f>B4/$B$4</f>
        <v>1</v>
      </c>
      <c r="F4" s="109">
        <f>C4/$C$4</f>
        <v>1</v>
      </c>
      <c r="G4" s="110">
        <f>F4-E4</f>
        <v>0</v>
      </c>
      <c r="H4" s="104"/>
    </row>
    <row r="5" spans="1:8">
      <c r="A5" s="105" t="s">
        <v>366</v>
      </c>
      <c r="B5" s="106">
        <v>1587</v>
      </c>
      <c r="C5" s="107">
        <v>12673</v>
      </c>
      <c r="D5" s="109">
        <f>(C5-B5)/B5</f>
        <v>6.9855072463768115</v>
      </c>
      <c r="E5" s="109">
        <f>B5/$B$4</f>
        <v>3.684186089701922E-2</v>
      </c>
      <c r="F5" s="109">
        <f>C5/$C$4</f>
        <v>0.32265702574025512</v>
      </c>
      <c r="G5" s="110">
        <f>F5-E5</f>
        <v>0.28581516484323588</v>
      </c>
      <c r="H5" s="104"/>
    </row>
    <row r="6" spans="1:8">
      <c r="A6" s="105" t="s">
        <v>351</v>
      </c>
      <c r="B6" s="106">
        <v>-13014</v>
      </c>
      <c r="C6" s="107">
        <v>-12258</v>
      </c>
      <c r="D6" s="109">
        <f t="shared" ref="D6:D8" si="0">(C6-B6)/B6</f>
        <v>-5.8091286307053944E-2</v>
      </c>
      <c r="E6" s="109">
        <f t="shared" ref="E6:E8" si="1">B6/$B$4</f>
        <v>-0.30211718822546196</v>
      </c>
      <c r="F6" s="109">
        <f t="shared" ref="F6:F8" si="2">C6/$C$4</f>
        <v>-0.31209104565012602</v>
      </c>
      <c r="G6" s="110">
        <f t="shared" ref="G6:G8" si="3">F6-E6</f>
        <v>-9.9738574246640566E-3</v>
      </c>
      <c r="H6" s="104"/>
    </row>
    <row r="7" spans="1:8">
      <c r="A7" s="105" t="s">
        <v>352</v>
      </c>
      <c r="B7" s="106">
        <v>-5280</v>
      </c>
      <c r="C7" s="107">
        <v>-6733</v>
      </c>
      <c r="D7" s="109">
        <f t="shared" si="0"/>
        <v>0.27518939393939396</v>
      </c>
      <c r="E7" s="109">
        <f t="shared" si="1"/>
        <v>-0.12257405515832483</v>
      </c>
      <c r="F7" s="109">
        <f t="shared" si="2"/>
        <v>-0.17142347938997377</v>
      </c>
      <c r="G7" s="110">
        <f t="shared" si="3"/>
        <v>-4.8849424231648939E-2</v>
      </c>
      <c r="H7" s="104"/>
    </row>
    <row r="8" spans="1:8">
      <c r="A8" s="105" t="s">
        <v>353</v>
      </c>
      <c r="B8" s="106">
        <v>-12871</v>
      </c>
      <c r="C8" s="107">
        <v>-10976</v>
      </c>
      <c r="D8" s="109">
        <f t="shared" si="0"/>
        <v>-0.14723020744308912</v>
      </c>
      <c r="E8" s="109">
        <f t="shared" si="1"/>
        <v>-0.2987974742315907</v>
      </c>
      <c r="F8" s="109">
        <f t="shared" si="2"/>
        <v>-0.27945107823917303</v>
      </c>
      <c r="G8" s="110">
        <f t="shared" si="3"/>
        <v>1.9346395992417664E-2</v>
      </c>
      <c r="H8" s="104"/>
    </row>
    <row r="9" spans="1:8" ht="24.75">
      <c r="A9" s="111" t="s">
        <v>354</v>
      </c>
      <c r="B9" s="112">
        <f>SUM(B4:B8)</f>
        <v>13498</v>
      </c>
      <c r="C9" s="113">
        <f>SUM(C4:C8)</f>
        <v>21983</v>
      </c>
      <c r="D9" s="114">
        <f t="shared" ref="D9:D19" si="4">(C9-B9)/B9</f>
        <v>0.62861164616980292</v>
      </c>
      <c r="E9" s="114">
        <f t="shared" ref="E9:E19" si="5">B9/$B$4</f>
        <v>0.31335314328164177</v>
      </c>
      <c r="F9" s="114">
        <f t="shared" ref="F9:F19" si="6">C9/$C$4</f>
        <v>0.55969142246098225</v>
      </c>
      <c r="G9" s="115">
        <f t="shared" ref="G9:G19" si="7">F9-E9</f>
        <v>0.24633827917934048</v>
      </c>
      <c r="H9" s="104"/>
    </row>
    <row r="10" spans="1:8">
      <c r="A10" s="105" t="s">
        <v>355</v>
      </c>
      <c r="B10" s="106">
        <v>-9359</v>
      </c>
      <c r="C10" s="107">
        <v>-8397</v>
      </c>
      <c r="D10" s="109">
        <f t="shared" si="4"/>
        <v>-0.10278875948285073</v>
      </c>
      <c r="E10" s="109">
        <f t="shared" si="5"/>
        <v>-0.21726715572476554</v>
      </c>
      <c r="F10" s="109">
        <f t="shared" si="6"/>
        <v>-0.21378924052244316</v>
      </c>
      <c r="G10" s="110">
        <f t="shared" si="7"/>
        <v>3.4779152023223792E-3</v>
      </c>
      <c r="H10" s="104"/>
    </row>
    <row r="11" spans="1:8">
      <c r="A11" s="116" t="s">
        <v>356</v>
      </c>
      <c r="B11" s="117">
        <v>4139</v>
      </c>
      <c r="C11" s="118">
        <f>C9+C10</f>
        <v>13586</v>
      </c>
      <c r="D11" s="119">
        <f t="shared" si="4"/>
        <v>2.2824353708625273</v>
      </c>
      <c r="E11" s="119">
        <f t="shared" si="5"/>
        <v>9.6085987556876223E-2</v>
      </c>
      <c r="F11" s="119">
        <f t="shared" si="6"/>
        <v>0.34590218193853911</v>
      </c>
      <c r="G11" s="120">
        <f t="shared" si="7"/>
        <v>0.24981619438166289</v>
      </c>
      <c r="H11" s="104"/>
    </row>
    <row r="12" spans="1:8" ht="24.75">
      <c r="A12" s="111" t="s">
        <v>357</v>
      </c>
      <c r="B12" s="112">
        <v>2</v>
      </c>
      <c r="C12" s="113">
        <v>-127</v>
      </c>
      <c r="D12" s="114">
        <f t="shared" si="4"/>
        <v>-64.5</v>
      </c>
      <c r="E12" s="114">
        <f t="shared" si="5"/>
        <v>4.6429566347850309E-5</v>
      </c>
      <c r="F12" s="114">
        <f t="shared" si="6"/>
        <v>-3.233444509509382E-3</v>
      </c>
      <c r="G12" s="115">
        <f t="shared" si="7"/>
        <v>-3.2798740758572323E-3</v>
      </c>
      <c r="H12" s="104"/>
    </row>
    <row r="13" spans="1:8">
      <c r="A13" s="105" t="s">
        <v>358</v>
      </c>
      <c r="B13" s="106">
        <v>677</v>
      </c>
      <c r="C13" s="107">
        <v>614</v>
      </c>
      <c r="D13" s="109">
        <f t="shared" si="4"/>
        <v>-9.3057607090103397E-2</v>
      </c>
      <c r="E13" s="109">
        <f t="shared" si="5"/>
        <v>1.571640820874733E-2</v>
      </c>
      <c r="F13" s="109">
        <f t="shared" si="6"/>
        <v>1.5632558494793392E-2</v>
      </c>
      <c r="G13" s="110">
        <f t="shared" si="7"/>
        <v>-8.384971395393806E-5</v>
      </c>
      <c r="H13" s="104"/>
    </row>
    <row r="14" spans="1:8">
      <c r="A14" s="105" t="s">
        <v>359</v>
      </c>
      <c r="B14" s="106">
        <v>3847</v>
      </c>
      <c r="C14" s="107">
        <v>2801</v>
      </c>
      <c r="D14" s="109">
        <f t="shared" si="4"/>
        <v>-0.27190018195996879</v>
      </c>
      <c r="E14" s="109">
        <f t="shared" si="5"/>
        <v>8.9307270870090077E-2</v>
      </c>
      <c r="F14" s="109">
        <f t="shared" si="6"/>
        <v>7.1314000560124241E-2</v>
      </c>
      <c r="G14" s="110">
        <f t="shared" si="7"/>
        <v>-1.7993270309965836E-2</v>
      </c>
      <c r="H14" s="104"/>
    </row>
    <row r="15" spans="1:8">
      <c r="A15" s="105" t="s">
        <v>360</v>
      </c>
      <c r="B15" s="106">
        <v>-2417</v>
      </c>
      <c r="C15" s="107">
        <v>-2028</v>
      </c>
      <c r="D15" s="109">
        <f t="shared" si="4"/>
        <v>-0.16094331816301199</v>
      </c>
      <c r="E15" s="109">
        <f t="shared" si="5"/>
        <v>-5.6110130931377102E-2</v>
      </c>
      <c r="F15" s="109">
        <f t="shared" si="6"/>
        <v>-5.1633271380197063E-2</v>
      </c>
      <c r="G15" s="110">
        <f t="shared" si="7"/>
        <v>4.4768595511800388E-3</v>
      </c>
      <c r="H15" s="104"/>
    </row>
    <row r="16" spans="1:8">
      <c r="A16" s="105" t="s">
        <v>361</v>
      </c>
      <c r="B16" s="106">
        <v>-3665</v>
      </c>
      <c r="C16" s="107">
        <v>-2751</v>
      </c>
      <c r="D16" s="109">
        <f t="shared" si="4"/>
        <v>-0.24938608458390177</v>
      </c>
      <c r="E16" s="109">
        <f t="shared" si="5"/>
        <v>-8.5082180332435697E-2</v>
      </c>
      <c r="F16" s="109">
        <f t="shared" si="6"/>
        <v>-7.0040990910711101E-2</v>
      </c>
      <c r="G16" s="110">
        <f t="shared" si="7"/>
        <v>1.5041189421724596E-2</v>
      </c>
      <c r="H16" s="104"/>
    </row>
    <row r="17" spans="1:14">
      <c r="A17" s="116" t="s">
        <v>362</v>
      </c>
      <c r="B17" s="117">
        <f>SUM(B13:B16)</f>
        <v>-1558</v>
      </c>
      <c r="C17" s="118">
        <f>SUM(C13:C16)</f>
        <v>-1364</v>
      </c>
      <c r="D17" s="119">
        <f t="shared" si="4"/>
        <v>-0.1245186136071887</v>
      </c>
      <c r="E17" s="119">
        <f t="shared" si="5"/>
        <v>-3.6168632184975395E-2</v>
      </c>
      <c r="F17" s="119">
        <f t="shared" si="6"/>
        <v>-3.4727703235990531E-2</v>
      </c>
      <c r="G17" s="120">
        <f t="shared" si="7"/>
        <v>1.440928948984864E-3</v>
      </c>
      <c r="H17" s="104"/>
    </row>
    <row r="18" spans="1:14">
      <c r="A18" s="116" t="s">
        <v>363</v>
      </c>
      <c r="B18" s="117">
        <f>B11+B17+B12</f>
        <v>2583</v>
      </c>
      <c r="C18" s="118">
        <f>C11+C17+C12</f>
        <v>12095</v>
      </c>
      <c r="D18" s="119">
        <f t="shared" si="4"/>
        <v>3.6825396825396823</v>
      </c>
      <c r="E18" s="119">
        <f t="shared" si="5"/>
        <v>5.9963784938248679E-2</v>
      </c>
      <c r="F18" s="119">
        <f t="shared" si="6"/>
        <v>0.3079410341930392</v>
      </c>
      <c r="G18" s="120">
        <f t="shared" si="7"/>
        <v>0.24797724925479053</v>
      </c>
      <c r="H18" s="104"/>
    </row>
    <row r="19" spans="1:14">
      <c r="A19" s="105" t="s">
        <v>364</v>
      </c>
      <c r="B19" s="106">
        <v>-626</v>
      </c>
      <c r="C19" s="107">
        <v>-1378</v>
      </c>
      <c r="D19" s="109">
        <f t="shared" si="4"/>
        <v>1.2012779552715656</v>
      </c>
      <c r="E19" s="109">
        <f t="shared" si="5"/>
        <v>-1.4532454266877147E-2</v>
      </c>
      <c r="F19" s="109">
        <f t="shared" si="6"/>
        <v>-3.508414593782621E-2</v>
      </c>
      <c r="G19" s="110">
        <f t="shared" si="7"/>
        <v>-2.0551691670949064E-2</v>
      </c>
      <c r="H19" s="104"/>
    </row>
    <row r="20" spans="1:14" ht="15.75" thickBot="1">
      <c r="A20" s="121" t="s">
        <v>365</v>
      </c>
      <c r="B20" s="122">
        <f>B18+B19</f>
        <v>1957</v>
      </c>
      <c r="C20" s="122">
        <f>C18+C19</f>
        <v>10717</v>
      </c>
      <c r="D20" s="123">
        <f t="shared" ref="D20" si="8">(C20-B20)/B20</f>
        <v>4.4762391415431786</v>
      </c>
      <c r="E20" s="123">
        <f t="shared" ref="E20" si="9">B20/$B$4</f>
        <v>4.5431330671371527E-2</v>
      </c>
      <c r="F20" s="123">
        <f t="shared" ref="F20" si="10">C20/$C$4</f>
        <v>0.27285688825521298</v>
      </c>
      <c r="G20" s="124">
        <f t="shared" ref="G20" si="11">F20-E20</f>
        <v>0.22742555758384145</v>
      </c>
      <c r="H20" s="104"/>
    </row>
    <row r="21" spans="1:14">
      <c r="A21" s="105"/>
      <c r="B21" s="106"/>
      <c r="C21" s="107"/>
      <c r="D21" s="109"/>
      <c r="E21" s="109"/>
      <c r="F21" s="109"/>
      <c r="G21" s="110"/>
      <c r="H21" s="104"/>
    </row>
    <row r="22" spans="1:14">
      <c r="A22" s="105"/>
      <c r="B22" s="106"/>
      <c r="C22" s="107"/>
      <c r="D22" s="109"/>
      <c r="E22" s="109"/>
      <c r="F22" s="109"/>
      <c r="G22" s="110"/>
      <c r="H22" s="104"/>
    </row>
    <row r="23" spans="1:14">
      <c r="A23" s="105"/>
      <c r="B23" s="106"/>
      <c r="C23" s="107"/>
      <c r="D23" s="109"/>
      <c r="E23" s="109"/>
      <c r="F23" s="109"/>
      <c r="G23" s="110"/>
      <c r="H23" s="104"/>
    </row>
    <row r="24" spans="1:14">
      <c r="A24" s="105"/>
      <c r="B24" s="106"/>
      <c r="C24" s="107"/>
      <c r="D24" s="109"/>
      <c r="E24" s="109"/>
      <c r="F24" s="109"/>
      <c r="G24" s="110"/>
      <c r="H24" s="104"/>
    </row>
    <row r="25" spans="1:14">
      <c r="A25" s="105"/>
      <c r="B25" s="106"/>
      <c r="C25" s="107"/>
      <c r="D25" s="109"/>
      <c r="E25" s="109"/>
      <c r="F25" s="109"/>
      <c r="G25" s="110"/>
      <c r="H25" s="104"/>
    </row>
    <row r="26" spans="1:14" ht="15.75" thickBot="1">
      <c r="A26" s="105"/>
      <c r="B26" s="106"/>
      <c r="C26" s="107"/>
      <c r="D26" s="125" t="s">
        <v>370</v>
      </c>
      <c r="E26" s="109"/>
      <c r="F26" s="109"/>
      <c r="G26" s="110"/>
      <c r="H26" s="104"/>
    </row>
    <row r="27" spans="1:14">
      <c r="A27" s="126" t="s">
        <v>2</v>
      </c>
      <c r="B27" s="127"/>
      <c r="C27" s="127"/>
      <c r="D27" s="128"/>
      <c r="E27" s="128"/>
      <c r="F27" s="128"/>
      <c r="G27" s="127"/>
      <c r="H27" s="104"/>
    </row>
    <row r="28" spans="1:14">
      <c r="A28" s="129" t="s">
        <v>300</v>
      </c>
      <c r="B28" s="110">
        <f>B9/B4</f>
        <v>0.31335314328164177</v>
      </c>
      <c r="C28" s="110">
        <f>C9/C4</f>
        <v>0.55969142246098225</v>
      </c>
      <c r="D28" s="109">
        <f>C28-B28</f>
        <v>0.24633827917934048</v>
      </c>
      <c r="E28" s="109"/>
      <c r="F28" s="109"/>
      <c r="G28" s="110"/>
      <c r="H28" s="104"/>
      <c r="N28" s="98"/>
    </row>
    <row r="29" spans="1:14">
      <c r="A29" s="129" t="s">
        <v>48</v>
      </c>
      <c r="B29" s="106"/>
      <c r="C29" s="107"/>
      <c r="D29" s="109"/>
      <c r="E29" s="109"/>
      <c r="F29" s="109"/>
      <c r="G29" s="110"/>
      <c r="H29" s="104"/>
      <c r="N29" s="97"/>
    </row>
    <row r="30" spans="1:14">
      <c r="A30" s="129" t="s">
        <v>301</v>
      </c>
      <c r="B30" s="110">
        <f>B11/B4</f>
        <v>9.6085987556876223E-2</v>
      </c>
      <c r="C30" s="110">
        <f>C11/C4</f>
        <v>0.34590218193853911</v>
      </c>
      <c r="D30" s="109">
        <f>C30-B30</f>
        <v>0.24981619438166289</v>
      </c>
      <c r="E30" s="109"/>
      <c r="F30" s="109"/>
      <c r="G30" s="110"/>
      <c r="H30" s="104"/>
    </row>
    <row r="31" spans="1:14">
      <c r="A31" s="129" t="s">
        <v>293</v>
      </c>
      <c r="B31" s="110">
        <f>B20/B4</f>
        <v>4.5431330671371527E-2</v>
      </c>
      <c r="C31" s="110">
        <f>C20/C4</f>
        <v>0.27285688825521298</v>
      </c>
      <c r="D31" s="109">
        <f>C31-B31</f>
        <v>0.22742555758384145</v>
      </c>
      <c r="E31" s="109"/>
      <c r="F31" s="109"/>
      <c r="G31" s="110"/>
      <c r="H31" s="104"/>
    </row>
    <row r="32" spans="1:14" ht="15.75" thickBot="1">
      <c r="A32" s="130" t="s">
        <v>57</v>
      </c>
      <c r="B32" s="122"/>
      <c r="C32" s="131"/>
      <c r="D32" s="123"/>
      <c r="E32" s="123"/>
      <c r="F32" s="123"/>
      <c r="G32" s="124"/>
      <c r="H32" s="104"/>
    </row>
    <row r="33" spans="1:8">
      <c r="A33" s="103"/>
      <c r="B33" s="104"/>
      <c r="C33" s="104"/>
      <c r="D33" s="132"/>
      <c r="E33" s="132"/>
      <c r="F33" s="132"/>
      <c r="G33" s="132"/>
      <c r="H33" s="104"/>
    </row>
    <row r="34" spans="1:8">
      <c r="A34" s="104"/>
      <c r="B34" s="104"/>
      <c r="C34" s="104"/>
      <c r="D34" s="132"/>
      <c r="E34" s="132"/>
      <c r="F34" s="132"/>
      <c r="G34" s="132"/>
      <c r="H34" s="104"/>
    </row>
    <row r="35" spans="1:8">
      <c r="A35" s="104"/>
      <c r="B35" s="104"/>
      <c r="C35" s="104"/>
      <c r="D35" s="132"/>
      <c r="E35" s="132"/>
      <c r="F35" s="132"/>
      <c r="G35" s="132"/>
      <c r="H35" s="104"/>
    </row>
    <row r="36" spans="1:8">
      <c r="A36" s="104"/>
      <c r="B36" s="104"/>
      <c r="C36" s="104"/>
      <c r="D36" s="132"/>
      <c r="E36" s="132"/>
      <c r="F36" s="132"/>
      <c r="G36" s="132"/>
      <c r="H36" s="104"/>
    </row>
    <row r="37" spans="1:8">
      <c r="A37" s="104"/>
      <c r="B37" s="104"/>
      <c r="C37" s="104"/>
      <c r="D37" s="132"/>
      <c r="E37" s="132"/>
      <c r="F37" s="132"/>
      <c r="G37" s="132"/>
      <c r="H37" s="104"/>
    </row>
    <row r="38" spans="1:8">
      <c r="A38" s="104"/>
      <c r="B38" s="104"/>
      <c r="C38" s="104"/>
      <c r="D38" s="132"/>
      <c r="E38" s="132"/>
      <c r="F38" s="132"/>
      <c r="G38" s="132"/>
      <c r="H38" s="104"/>
    </row>
    <row r="39" spans="1:8">
      <c r="A39" s="104"/>
      <c r="B39" s="104"/>
      <c r="C39" s="104"/>
      <c r="D39" s="132"/>
      <c r="E39" s="132"/>
      <c r="F39" s="132"/>
      <c r="G39" s="132"/>
      <c r="H39" s="104"/>
    </row>
    <row r="40" spans="1:8">
      <c r="A40" s="104"/>
      <c r="B40" s="104"/>
      <c r="C40" s="104"/>
      <c r="D40" s="132"/>
      <c r="E40" s="132"/>
      <c r="F40" s="132"/>
      <c r="G40" s="132"/>
      <c r="H40" s="104"/>
    </row>
    <row r="41" spans="1:8">
      <c r="A41" s="104"/>
      <c r="B41" s="104"/>
      <c r="C41" s="104"/>
      <c r="D41" s="132"/>
      <c r="E41" s="132"/>
      <c r="F41" s="132"/>
      <c r="G41" s="132"/>
      <c r="H41" s="104"/>
    </row>
    <row r="42" spans="1:8">
      <c r="A42" s="104"/>
      <c r="B42" s="104"/>
      <c r="C42" s="104"/>
      <c r="D42" s="132"/>
      <c r="E42" s="132"/>
      <c r="F42" s="132"/>
      <c r="G42" s="132"/>
      <c r="H42" s="104"/>
    </row>
    <row r="43" spans="1:8">
      <c r="A43" s="104"/>
      <c r="B43" s="104"/>
      <c r="C43" s="104"/>
      <c r="D43" s="132"/>
      <c r="E43" s="132"/>
      <c r="F43" s="132"/>
      <c r="G43" s="132"/>
      <c r="H43" s="104"/>
    </row>
    <row r="44" spans="1:8">
      <c r="A44" s="104"/>
      <c r="B44" s="104"/>
      <c r="C44" s="104"/>
      <c r="D44" s="132"/>
      <c r="E44" s="132"/>
      <c r="F44" s="132"/>
      <c r="G44" s="132"/>
      <c r="H44" s="104"/>
    </row>
    <row r="45" spans="1:8">
      <c r="A45" s="104"/>
      <c r="B45" s="104"/>
      <c r="C45" s="104"/>
      <c r="D45" s="132"/>
      <c r="E45" s="132"/>
      <c r="F45" s="132"/>
      <c r="G45" s="132"/>
      <c r="H45" s="104"/>
    </row>
    <row r="46" spans="1:8">
      <c r="A46" s="104"/>
      <c r="B46" s="104"/>
      <c r="C46" s="104"/>
      <c r="D46" s="132"/>
      <c r="E46" s="132"/>
      <c r="F46" s="132"/>
      <c r="G46" s="132"/>
      <c r="H46" s="104"/>
    </row>
  </sheetData>
  <pageMargins left="0.7" right="0.7" top="0.75" bottom="0.75" header="0.3" footer="0.3"/>
  <pageSetup paperSize="9" orientation="portrait" r:id="rId1"/>
  <ignoredErrors>
    <ignoredError sqref="B9 B17:C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 Statement (5-year trend)</vt:lpstr>
      <vt:lpstr>Cash Flow - (5-Years Trend)</vt:lpstr>
      <vt:lpstr>Balance Sheet - (5-Years Trend)</vt:lpstr>
      <vt:lpstr>By Geography</vt:lpstr>
      <vt:lpstr>By Segment</vt:lpstr>
      <vt:lpstr>Annual Report(Income Statement)</vt:lpstr>
      <vt:lpstr>Cash Flow </vt:lpstr>
      <vt:lpstr>(Annual Report) Balance Sheet</vt:lpstr>
      <vt:lpstr>Telefonica income statement</vt:lpstr>
      <vt:lpstr>Telefonica Balance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Oluwaseyi Taiwo</cp:lastModifiedBy>
  <dcterms:created xsi:type="dcterms:W3CDTF">2013-04-03T15:49:21Z</dcterms:created>
  <dcterms:modified xsi:type="dcterms:W3CDTF">2022-11-27T10:09:28Z</dcterms:modified>
</cp:coreProperties>
</file>