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resourcepro.sharepoint.com/Tech/productivityaccelerator/Shared Documents/COE/EB COE/Tech Enabled Solution/"/>
    </mc:Choice>
  </mc:AlternateContent>
  <bookViews>
    <workbookView xWindow="0" yWindow="0" windowWidth="28800" windowHeight="11880"/>
  </bookViews>
  <sheets>
    <sheet name="Data Capture Template" sheetId="1" r:id="rId1"/>
    <sheet name="Config" sheetId="3" r:id="rId2"/>
    <sheet name="Dropdown list" sheetId="6" r:id="rId3"/>
    <sheet name="Data Allocation in EN" sheetId="9" state="hidden" r:id="rId4"/>
  </sheets>
  <definedNames>
    <definedName name="_xlnm._FilterDatabase" localSheetId="1" hidden="1">Config!$AB$2:$AG$50</definedName>
    <definedName name="_xlnm._FilterDatabase" localSheetId="3" hidden="1">'Data Allocation in EN'!$A$2:$L$125</definedName>
    <definedName name="_xlnm._FilterDatabase" localSheetId="0" hidden="1">'Data Capture Template'!#REF!</definedName>
    <definedName name="_xlnm._FilterDatabase" localSheetId="2" hidden="1">'Dropdown list'!$A$9:$AQ$9</definedName>
    <definedName name="BilledCategoryIutpt">OFFSET(Config!$Y$2,MATCH('Data Capture Template'!$I$7,Config!$X:$X,0)-2,0,COUNTIF(Config!$X:$X,'Data Capture Template'!$I$7))</definedName>
    <definedName name="BilledCategoryOutpt">OFFSET(Config!$Z$2,MATCH('Data Capture Template'!$I$7,Config!$X:$X,0)-2,0,COUNTIF(Config!$X:$X,'Data Capture Template'!$I$7))</definedName>
    <definedName name="DentalProduct">OFFSET(Config!$F$2,MATCH('Data Capture Template'!$I$7&amp;" - "&amp;'Data Capture Template'!$I$77,Config!$J:$J,0)-2,0,COUNTIF(Config!$J:$J,'Data Capture Template'!$I$7&amp;" - "&amp;'Data Capture Template'!$I$77))</definedName>
    <definedName name="DentalProductType">OFFSET(Config!$V$2,MATCH('Data Capture Template'!$I$7,Config!$U:$U,0)-2,0,COUNTIF(Config!$U:$U,'Data Capture Template'!$I$7),1)</definedName>
    <definedName name="MedicalProduct">OFFSET(Config!$F$2,MATCH('Data Capture Template'!$I$7&amp;" - "&amp;'Data Capture Template'!$I$67,Config!$J:$J,0)-2,0,COUNTIF(Config!$J:$J,'Data Capture Template'!$I$7&amp;" - "&amp;'Data Capture Template'!$I$67))</definedName>
    <definedName name="MedicalProductType">OFFSET(Config!$S$2,MATCH('Data Capture Template'!$I$7,Config!$R:$R,0)-2,0,COUNTIF(Config!$R:$R,'Data Capture Template'!$I$7),1)</definedName>
    <definedName name="PPO">INDEX(Config!XEX:XEX,MATCH("PPO",Config!XEW:XEW,0),1)</definedName>
    <definedName name="Z_12AB5EE6_DB6E_4E52_BD76_333E166D128F_.wvu.FilterData" localSheetId="0" hidden="1">'Data Capture Template'!#REF!</definedName>
    <definedName name="Z_2F0EE798_70DA_460A_B90E_645A10A87AEC_.wvu.Cols" localSheetId="0" hidden="1">'Data Capture Template'!#REF!</definedName>
    <definedName name="Z_2F0EE798_70DA_460A_B90E_645A10A87AEC_.wvu.FilterData" localSheetId="1" hidden="1">Config!$D$2:$K$162</definedName>
    <definedName name="Z_2F0EE798_70DA_460A_B90E_645A10A87AEC_.wvu.FilterData" localSheetId="3" hidden="1">'Data Allocation in EN'!$A$2:$L$125</definedName>
    <definedName name="Z_2F0EE798_70DA_460A_B90E_645A10A87AEC_.wvu.FilterData" localSheetId="0" hidden="1">'Data Capture Template'!#REF!</definedName>
    <definedName name="Z_2F0EE798_70DA_460A_B90E_645A10A87AEC_.wvu.FilterData" localSheetId="2" hidden="1">'Dropdown list'!$A$9:$AQ$9</definedName>
    <definedName name="Z_828EB9A1_8BE7_4ABD_A239_C9A642305F4C_.wvu.FilterData" localSheetId="0" hidden="1">'Data Capture Template'!#REF!</definedName>
    <definedName name="Z_8C123AE9_D542_4429_9721_2B6F521D1D99_.wvu.FilterData" localSheetId="0" hidden="1">'Data Capture Template'!#REF!</definedName>
    <definedName name="Z_D3F78401_2A5B_4AA3_A27D_A6F2A4AC0172_.wvu.Cols" localSheetId="0" hidden="1">'Data Capture Template'!#REF!</definedName>
    <definedName name="Z_D3F78401_2A5B_4AA3_A27D_A6F2A4AC0172_.wvu.FilterData" localSheetId="1" hidden="1">Config!$D$2:$K$162</definedName>
    <definedName name="Z_D3F78401_2A5B_4AA3_A27D_A6F2A4AC0172_.wvu.FilterData" localSheetId="3" hidden="1">'Data Allocation in EN'!$A$2:$L$125</definedName>
    <definedName name="Z_D3F78401_2A5B_4AA3_A27D_A6F2A4AC0172_.wvu.FilterData" localSheetId="0" hidden="1">'Data Capture Template'!#REF!</definedName>
    <definedName name="Z_D3F78401_2A5B_4AA3_A27D_A6F2A4AC0172_.wvu.FilterData" localSheetId="2" hidden="1">'Dropdown list'!$A$9:$AQ$9</definedName>
    <definedName name="Z_ED2EED40_F8AC_4648_97B6_D9A8015C7E7A_.wvu.FilterData" localSheetId="0" hidden="1">'Data Capture Template'!#REF!</definedName>
    <definedName name="Z_FA908D98_1172_425F_B24A_7B23795776F7_.wvu.FilterData" localSheetId="0" hidden="1">'Data Capture Template'!#REF!</definedName>
  </definedNames>
  <calcPr calcId="162913"/>
  <customWorkbookViews>
    <customWorkbookView name="Angel Chen - Personal View" guid="{2F0EE798-70DA-460A-B90E-645A10A87AEC}" mergeInterval="0" personalView="1" maximized="1" xWindow="1912" yWindow="-8" windowWidth="1936" windowHeight="1048" activeSheetId="1"/>
    <customWorkbookView name="Catherine Guo - Personal View" guid="{D3F78401-2A5B-4AA3-A27D-A6F2A4AC0172}" mergeInterval="0" personalView="1" maximized="1" xWindow="-8" yWindow="-8" windowWidth="1936" windowHeight="1048"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4" i="1" l="1"/>
  <c r="J153" i="1"/>
  <c r="J179" i="1"/>
  <c r="J178" i="1"/>
  <c r="J204" i="1"/>
  <c r="J203" i="1"/>
  <c r="J229" i="1"/>
  <c r="J228" i="1"/>
  <c r="J254" i="1"/>
  <c r="J253" i="1"/>
  <c r="J279" i="1"/>
  <c r="J278" i="1"/>
  <c r="J304" i="1"/>
  <c r="J303" i="1"/>
  <c r="J329" i="1"/>
  <c r="J328" i="1"/>
  <c r="J354" i="1"/>
  <c r="J353" i="1"/>
  <c r="J379" i="1"/>
  <c r="J378" i="1"/>
  <c r="J404" i="1"/>
  <c r="J403" i="1"/>
  <c r="J429" i="1"/>
  <c r="J428" i="1"/>
  <c r="J454" i="1"/>
  <c r="J453" i="1"/>
  <c r="J479" i="1"/>
  <c r="J478" i="1"/>
  <c r="J129" i="1"/>
  <c r="J128" i="1"/>
  <c r="I67" i="1" l="1"/>
  <c r="I77" i="1" s="1"/>
  <c r="I50" i="1" l="1"/>
  <c r="C40" i="1" l="1"/>
  <c r="I78" i="1" l="1"/>
  <c r="I23" i="1"/>
  <c r="I85" i="1" l="1"/>
  <c r="J77" i="1"/>
  <c r="I79" i="1"/>
  <c r="AK4" i="3"/>
  <c r="AK5" i="3"/>
  <c r="AK6" i="3"/>
  <c r="AK7" i="3"/>
  <c r="AK8" i="3"/>
  <c r="AK9" i="3"/>
  <c r="AK10" i="3"/>
  <c r="AK11" i="3"/>
  <c r="AK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3" i="3"/>
  <c r="I68" i="1" l="1"/>
  <c r="I69" i="1" s="1"/>
  <c r="J67" i="1" s="1"/>
  <c r="C140" i="1"/>
  <c r="C161" i="1" l="1"/>
  <c r="I165" i="1" s="1"/>
  <c r="C461" i="1"/>
  <c r="I465" i="1" s="1"/>
  <c r="C111" i="1"/>
  <c r="I115" i="1" s="1"/>
  <c r="I129" i="1" l="1"/>
  <c r="I128" i="1"/>
  <c r="I479" i="1"/>
  <c r="I478" i="1"/>
  <c r="I179" i="1"/>
  <c r="I178" i="1"/>
  <c r="I161" i="1"/>
  <c r="I170" i="1"/>
  <c r="I461" i="1"/>
  <c r="I163" i="1"/>
  <c r="I176" i="1"/>
  <c r="I177" i="1"/>
  <c r="I463" i="1"/>
  <c r="I473" i="1"/>
  <c r="I174" i="1"/>
  <c r="I173" i="1"/>
  <c r="I477" i="1"/>
  <c r="I175" i="1"/>
  <c r="I168" i="1"/>
  <c r="I475" i="1"/>
  <c r="I476" i="1"/>
  <c r="I474" i="1"/>
  <c r="I470" i="1"/>
  <c r="I468" i="1"/>
  <c r="I126" i="1"/>
  <c r="I125" i="1"/>
  <c r="I120" i="1"/>
  <c r="I124" i="1"/>
  <c r="I118" i="1"/>
  <c r="I127" i="1"/>
  <c r="I123" i="1"/>
  <c r="I111" i="1"/>
  <c r="I113" i="1"/>
  <c r="J4" i="3" l="1"/>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3" i="3"/>
  <c r="K346" i="3" l="1"/>
  <c r="L346" i="3"/>
  <c r="K347" i="3"/>
  <c r="L347" i="3"/>
  <c r="K348" i="3"/>
  <c r="L348" i="3"/>
  <c r="K349" i="3"/>
  <c r="L349" i="3"/>
  <c r="K350" i="3"/>
  <c r="L350" i="3"/>
  <c r="K351" i="3"/>
  <c r="L351" i="3"/>
  <c r="K352" i="3"/>
  <c r="L352" i="3"/>
  <c r="K353" i="3"/>
  <c r="L353" i="3"/>
  <c r="K354" i="3"/>
  <c r="L354" i="3"/>
  <c r="K355" i="3"/>
  <c r="L355" i="3"/>
  <c r="K356" i="3"/>
  <c r="L356" i="3"/>
  <c r="K357" i="3"/>
  <c r="L357" i="3"/>
  <c r="K358" i="3"/>
  <c r="L358" i="3"/>
  <c r="K359" i="3"/>
  <c r="L359" i="3"/>
  <c r="K360" i="3"/>
  <c r="L360" i="3"/>
  <c r="K361" i="3"/>
  <c r="L361" i="3"/>
  <c r="K362" i="3"/>
  <c r="L362" i="3"/>
  <c r="K363" i="3"/>
  <c r="L363" i="3"/>
  <c r="K364" i="3"/>
  <c r="L364" i="3"/>
  <c r="K365" i="3"/>
  <c r="L365" i="3"/>
  <c r="K366" i="3"/>
  <c r="L366" i="3"/>
  <c r="K367" i="3"/>
  <c r="L367" i="3"/>
  <c r="K368" i="3"/>
  <c r="L368" i="3"/>
  <c r="K369" i="3"/>
  <c r="L369" i="3"/>
  <c r="K370" i="3"/>
  <c r="L370" i="3"/>
  <c r="K371" i="3"/>
  <c r="L371" i="3"/>
  <c r="K372" i="3"/>
  <c r="L372" i="3"/>
  <c r="K373" i="3"/>
  <c r="L373" i="3"/>
  <c r="K374" i="3"/>
  <c r="L374" i="3"/>
  <c r="K375" i="3"/>
  <c r="L375" i="3"/>
  <c r="K376" i="3"/>
  <c r="L376" i="3"/>
  <c r="K377" i="3"/>
  <c r="L377" i="3"/>
  <c r="K378" i="3"/>
  <c r="L378" i="3"/>
  <c r="K379" i="3"/>
  <c r="L379" i="3"/>
  <c r="K380" i="3"/>
  <c r="L380" i="3"/>
  <c r="K381" i="3"/>
  <c r="L381" i="3"/>
  <c r="K382" i="3"/>
  <c r="L382" i="3"/>
  <c r="K383" i="3"/>
  <c r="L383" i="3"/>
  <c r="K384" i="3"/>
  <c r="L384" i="3"/>
  <c r="K385" i="3"/>
  <c r="L385" i="3"/>
  <c r="K386" i="3"/>
  <c r="L386" i="3"/>
  <c r="K387" i="3"/>
  <c r="L387" i="3"/>
  <c r="K388" i="3"/>
  <c r="L388" i="3"/>
  <c r="K389" i="3"/>
  <c r="L389" i="3"/>
  <c r="K390" i="3"/>
  <c r="L390" i="3"/>
  <c r="K391" i="3"/>
  <c r="L391" i="3"/>
  <c r="K392" i="3"/>
  <c r="L392" i="3"/>
  <c r="K393" i="3"/>
  <c r="L393" i="3"/>
  <c r="K394" i="3"/>
  <c r="L394" i="3"/>
  <c r="K395" i="3"/>
  <c r="L395" i="3"/>
  <c r="K396" i="3"/>
  <c r="L396" i="3"/>
  <c r="K397" i="3"/>
  <c r="L397" i="3"/>
  <c r="K398" i="3"/>
  <c r="L398" i="3"/>
  <c r="K399" i="3"/>
  <c r="L399" i="3"/>
  <c r="K400" i="3"/>
  <c r="L400" i="3"/>
  <c r="K401" i="3"/>
  <c r="L401" i="3"/>
  <c r="K402" i="3"/>
  <c r="L402" i="3"/>
  <c r="K403" i="3"/>
  <c r="L403" i="3"/>
  <c r="K404" i="3"/>
  <c r="L404" i="3"/>
  <c r="K405" i="3"/>
  <c r="L405" i="3"/>
  <c r="K406" i="3"/>
  <c r="L406" i="3"/>
  <c r="K407" i="3"/>
  <c r="L407" i="3"/>
  <c r="K408" i="3"/>
  <c r="L408" i="3"/>
  <c r="K409" i="3"/>
  <c r="L409" i="3"/>
  <c r="K410" i="3"/>
  <c r="L410" i="3"/>
  <c r="K411" i="3"/>
  <c r="L411" i="3"/>
  <c r="K412" i="3"/>
  <c r="L412" i="3"/>
  <c r="K413" i="3"/>
  <c r="L413" i="3"/>
  <c r="K414" i="3"/>
  <c r="L414" i="3"/>
  <c r="K415" i="3"/>
  <c r="L415" i="3"/>
  <c r="K416" i="3"/>
  <c r="L416" i="3"/>
  <c r="K417" i="3"/>
  <c r="L417" i="3"/>
  <c r="K418" i="3"/>
  <c r="L418" i="3"/>
  <c r="K419" i="3"/>
  <c r="L419" i="3"/>
  <c r="K420" i="3"/>
  <c r="L420" i="3"/>
  <c r="K421" i="3"/>
  <c r="L421" i="3"/>
  <c r="K422" i="3"/>
  <c r="L422" i="3"/>
  <c r="K423" i="3"/>
  <c r="L423" i="3"/>
  <c r="K424" i="3"/>
  <c r="L424" i="3"/>
  <c r="K425" i="3"/>
  <c r="L425" i="3"/>
  <c r="K426" i="3"/>
  <c r="L426" i="3"/>
  <c r="K427" i="3"/>
  <c r="L427" i="3"/>
  <c r="K428" i="3"/>
  <c r="L428" i="3"/>
  <c r="K429" i="3"/>
  <c r="L429" i="3"/>
  <c r="K430" i="3"/>
  <c r="L430" i="3"/>
  <c r="K431" i="3"/>
  <c r="L431" i="3"/>
  <c r="K432" i="3"/>
  <c r="L432" i="3"/>
  <c r="K433" i="3"/>
  <c r="L433" i="3"/>
  <c r="K434" i="3"/>
  <c r="L434" i="3"/>
  <c r="K435" i="3"/>
  <c r="L435" i="3"/>
  <c r="K436" i="3"/>
  <c r="L436" i="3"/>
  <c r="K437" i="3"/>
  <c r="L437" i="3"/>
  <c r="K438" i="3"/>
  <c r="L438" i="3"/>
  <c r="K439" i="3"/>
  <c r="L439" i="3"/>
  <c r="K440" i="3"/>
  <c r="L440" i="3"/>
  <c r="K441" i="3"/>
  <c r="L441" i="3"/>
  <c r="K442" i="3"/>
  <c r="L442" i="3"/>
  <c r="K443" i="3"/>
  <c r="L443" i="3"/>
  <c r="K444" i="3"/>
  <c r="L444" i="3"/>
  <c r="K445" i="3"/>
  <c r="L445" i="3"/>
  <c r="K446" i="3"/>
  <c r="L446" i="3"/>
  <c r="K447" i="3"/>
  <c r="L447" i="3"/>
  <c r="K448" i="3"/>
  <c r="L448" i="3"/>
  <c r="K449" i="3"/>
  <c r="L449" i="3"/>
  <c r="K450" i="3"/>
  <c r="L450" i="3"/>
  <c r="K451" i="3"/>
  <c r="L451" i="3"/>
  <c r="K452" i="3"/>
  <c r="L452" i="3"/>
  <c r="K453" i="3"/>
  <c r="L453" i="3"/>
  <c r="K454" i="3"/>
  <c r="L454" i="3"/>
  <c r="K455" i="3"/>
  <c r="L455" i="3"/>
  <c r="K456" i="3"/>
  <c r="L456" i="3"/>
  <c r="K457" i="3"/>
  <c r="L457" i="3"/>
  <c r="K458" i="3"/>
  <c r="L458" i="3"/>
  <c r="K459" i="3"/>
  <c r="L459" i="3"/>
  <c r="K460" i="3"/>
  <c r="L460" i="3"/>
  <c r="K461" i="3"/>
  <c r="L461" i="3"/>
  <c r="K462" i="3"/>
  <c r="L462" i="3"/>
  <c r="K463" i="3"/>
  <c r="L463" i="3"/>
  <c r="K464" i="3"/>
  <c r="L464" i="3"/>
  <c r="K465" i="3"/>
  <c r="L465" i="3"/>
  <c r="K466" i="3"/>
  <c r="L466" i="3"/>
  <c r="K467" i="3"/>
  <c r="L467" i="3"/>
  <c r="K468" i="3"/>
  <c r="L468" i="3"/>
  <c r="K469" i="3"/>
  <c r="L469" i="3"/>
  <c r="K470" i="3"/>
  <c r="L470" i="3"/>
  <c r="K471" i="3"/>
  <c r="L471" i="3"/>
  <c r="K472" i="3"/>
  <c r="L472" i="3"/>
  <c r="K473" i="3"/>
  <c r="L473" i="3"/>
  <c r="K474" i="3"/>
  <c r="L474" i="3"/>
  <c r="K475" i="3"/>
  <c r="L475" i="3"/>
  <c r="K476" i="3"/>
  <c r="L476" i="3"/>
  <c r="K477" i="3"/>
  <c r="L477" i="3"/>
  <c r="K478" i="3"/>
  <c r="L478" i="3"/>
  <c r="K479" i="3"/>
  <c r="L479" i="3"/>
  <c r="K480" i="3"/>
  <c r="L480" i="3"/>
  <c r="K481" i="3"/>
  <c r="L481" i="3"/>
  <c r="K482" i="3"/>
  <c r="L482" i="3"/>
  <c r="K483" i="3"/>
  <c r="L483" i="3"/>
  <c r="K484" i="3"/>
  <c r="L484" i="3"/>
  <c r="K485" i="3"/>
  <c r="L485" i="3"/>
  <c r="K486" i="3"/>
  <c r="L486" i="3"/>
  <c r="K487" i="3"/>
  <c r="L487" i="3"/>
  <c r="K488" i="3"/>
  <c r="L488" i="3"/>
  <c r="K489" i="3"/>
  <c r="L489" i="3"/>
  <c r="K490" i="3"/>
  <c r="L490" i="3"/>
  <c r="K491" i="3"/>
  <c r="L491" i="3"/>
  <c r="K492" i="3"/>
  <c r="L492" i="3"/>
  <c r="K493" i="3"/>
  <c r="L493" i="3"/>
  <c r="K494" i="3"/>
  <c r="L494" i="3"/>
  <c r="K495" i="3"/>
  <c r="L495" i="3"/>
  <c r="K496" i="3"/>
  <c r="L496" i="3"/>
  <c r="K497" i="3"/>
  <c r="L497" i="3"/>
  <c r="K498" i="3"/>
  <c r="L498" i="3"/>
  <c r="K499" i="3"/>
  <c r="L499" i="3"/>
  <c r="K500" i="3"/>
  <c r="L500" i="3"/>
  <c r="K501" i="3"/>
  <c r="L501" i="3"/>
  <c r="K502" i="3"/>
  <c r="L502" i="3"/>
  <c r="K503" i="3"/>
  <c r="L503" i="3"/>
  <c r="K504" i="3"/>
  <c r="L504" i="3"/>
  <c r="K505" i="3"/>
  <c r="L505" i="3"/>
  <c r="K506" i="3"/>
  <c r="L506" i="3"/>
  <c r="K507" i="3"/>
  <c r="L507" i="3"/>
  <c r="K508" i="3"/>
  <c r="L508" i="3"/>
  <c r="K509" i="3"/>
  <c r="L509" i="3"/>
  <c r="K510" i="3"/>
  <c r="L510" i="3"/>
  <c r="K511" i="3"/>
  <c r="L511" i="3"/>
  <c r="K512" i="3"/>
  <c r="L512" i="3"/>
  <c r="K513" i="3"/>
  <c r="L513" i="3"/>
  <c r="K514" i="3"/>
  <c r="L514" i="3"/>
  <c r="K515" i="3"/>
  <c r="L515" i="3"/>
  <c r="K516" i="3"/>
  <c r="L516" i="3"/>
  <c r="K517" i="3"/>
  <c r="L517" i="3"/>
  <c r="K518" i="3"/>
  <c r="L518" i="3"/>
  <c r="K519" i="3"/>
  <c r="L519" i="3"/>
  <c r="K520" i="3"/>
  <c r="L520" i="3"/>
  <c r="K521" i="3"/>
  <c r="L521" i="3"/>
  <c r="K522" i="3"/>
  <c r="L522" i="3"/>
  <c r="K523" i="3"/>
  <c r="L523" i="3"/>
  <c r="K524" i="3"/>
  <c r="L524" i="3"/>
  <c r="K525" i="3"/>
  <c r="L525" i="3"/>
  <c r="K526" i="3"/>
  <c r="L526" i="3"/>
  <c r="K527" i="3"/>
  <c r="L527" i="3"/>
  <c r="K528" i="3"/>
  <c r="L528" i="3"/>
  <c r="K529" i="3"/>
  <c r="L529" i="3"/>
  <c r="K530" i="3"/>
  <c r="L530" i="3"/>
  <c r="K531" i="3"/>
  <c r="L531" i="3"/>
  <c r="K532" i="3"/>
  <c r="L532" i="3"/>
  <c r="K533" i="3"/>
  <c r="L533" i="3"/>
  <c r="K534" i="3"/>
  <c r="L534" i="3"/>
  <c r="K535" i="3"/>
  <c r="L535" i="3"/>
  <c r="K536" i="3"/>
  <c r="L536" i="3"/>
  <c r="K537" i="3"/>
  <c r="L537" i="3"/>
  <c r="K538" i="3"/>
  <c r="L538" i="3"/>
  <c r="K539" i="3"/>
  <c r="L539" i="3"/>
  <c r="K540" i="3"/>
  <c r="L540" i="3"/>
  <c r="K541" i="3"/>
  <c r="L541" i="3"/>
  <c r="K542" i="3"/>
  <c r="L542" i="3"/>
  <c r="K543" i="3"/>
  <c r="L543" i="3"/>
  <c r="K544" i="3"/>
  <c r="L544" i="3"/>
  <c r="K545" i="3"/>
  <c r="L545" i="3"/>
  <c r="K546" i="3"/>
  <c r="L546" i="3"/>
  <c r="K547" i="3"/>
  <c r="L547" i="3"/>
  <c r="K548" i="3"/>
  <c r="L548" i="3"/>
  <c r="K549" i="3"/>
  <c r="L549" i="3"/>
  <c r="K550" i="3"/>
  <c r="L550" i="3"/>
  <c r="K551" i="3"/>
  <c r="L551" i="3"/>
  <c r="K552" i="3"/>
  <c r="L552" i="3"/>
  <c r="K553" i="3"/>
  <c r="L553" i="3"/>
  <c r="K554" i="3"/>
  <c r="L554" i="3"/>
  <c r="K555" i="3"/>
  <c r="L555" i="3"/>
  <c r="K556" i="3"/>
  <c r="L556" i="3"/>
  <c r="K557" i="3"/>
  <c r="L557" i="3"/>
  <c r="K558" i="3"/>
  <c r="L558" i="3"/>
  <c r="K559" i="3"/>
  <c r="L559" i="3"/>
  <c r="K560" i="3"/>
  <c r="L560" i="3"/>
  <c r="K561" i="3"/>
  <c r="L561" i="3"/>
  <c r="K562" i="3"/>
  <c r="L562" i="3"/>
  <c r="K563" i="3"/>
  <c r="L563" i="3"/>
  <c r="K564" i="3"/>
  <c r="L564" i="3"/>
  <c r="K565" i="3"/>
  <c r="L565" i="3"/>
  <c r="K566" i="3"/>
  <c r="L566" i="3"/>
  <c r="K567" i="3"/>
  <c r="L567" i="3"/>
  <c r="K568" i="3"/>
  <c r="L568" i="3"/>
  <c r="K569" i="3"/>
  <c r="L569" i="3"/>
  <c r="K570" i="3"/>
  <c r="L570" i="3"/>
  <c r="K571" i="3"/>
  <c r="L571" i="3"/>
  <c r="K572" i="3"/>
  <c r="L572" i="3"/>
  <c r="K573" i="3"/>
  <c r="L573" i="3"/>
  <c r="K574" i="3"/>
  <c r="L574" i="3"/>
  <c r="K575" i="3"/>
  <c r="L575" i="3"/>
  <c r="K576" i="3"/>
  <c r="L576" i="3"/>
  <c r="K577" i="3"/>
  <c r="L577" i="3"/>
  <c r="K578" i="3"/>
  <c r="L578" i="3"/>
  <c r="K579" i="3"/>
  <c r="L579" i="3"/>
  <c r="K580" i="3"/>
  <c r="L580" i="3"/>
  <c r="K581" i="3"/>
  <c r="L581" i="3"/>
  <c r="K582" i="3"/>
  <c r="L582" i="3"/>
  <c r="K583" i="3"/>
  <c r="L583" i="3"/>
  <c r="K584" i="3"/>
  <c r="L584" i="3"/>
  <c r="K585" i="3"/>
  <c r="L585" i="3"/>
  <c r="K586" i="3"/>
  <c r="L586" i="3"/>
  <c r="K587" i="3"/>
  <c r="L587" i="3"/>
  <c r="K588" i="3"/>
  <c r="L588" i="3"/>
  <c r="K589" i="3"/>
  <c r="L589" i="3"/>
  <c r="K590" i="3"/>
  <c r="L590" i="3"/>
  <c r="K591" i="3"/>
  <c r="L591" i="3"/>
  <c r="K592" i="3"/>
  <c r="L592" i="3"/>
  <c r="K593" i="3"/>
  <c r="L593" i="3"/>
  <c r="K594" i="3"/>
  <c r="L594" i="3"/>
  <c r="K595" i="3"/>
  <c r="L595" i="3"/>
  <c r="K596" i="3"/>
  <c r="L596" i="3"/>
  <c r="K597" i="3"/>
  <c r="L597" i="3"/>
  <c r="K598" i="3"/>
  <c r="L598" i="3"/>
  <c r="K599" i="3"/>
  <c r="L599" i="3"/>
  <c r="K600" i="3"/>
  <c r="L600" i="3"/>
  <c r="K601" i="3"/>
  <c r="L601" i="3"/>
  <c r="K602" i="3"/>
  <c r="L602" i="3"/>
  <c r="K603" i="3"/>
  <c r="L603" i="3"/>
  <c r="K604" i="3"/>
  <c r="L604" i="3"/>
  <c r="K605" i="3"/>
  <c r="L605" i="3"/>
  <c r="K606" i="3"/>
  <c r="L606" i="3"/>
  <c r="K607" i="3"/>
  <c r="L607" i="3"/>
  <c r="K608" i="3"/>
  <c r="L608" i="3"/>
  <c r="K609" i="3"/>
  <c r="L609" i="3"/>
  <c r="K610" i="3"/>
  <c r="L610" i="3"/>
  <c r="K611" i="3"/>
  <c r="L611" i="3"/>
  <c r="K612" i="3"/>
  <c r="L612" i="3"/>
  <c r="K613" i="3"/>
  <c r="L613" i="3"/>
  <c r="K614" i="3"/>
  <c r="L614" i="3"/>
  <c r="K615" i="3"/>
  <c r="L615" i="3"/>
  <c r="K616" i="3"/>
  <c r="L616" i="3"/>
  <c r="K617" i="3"/>
  <c r="L617" i="3"/>
  <c r="K618" i="3"/>
  <c r="L618" i="3"/>
  <c r="K619" i="3"/>
  <c r="L619" i="3"/>
  <c r="K620" i="3"/>
  <c r="L620" i="3"/>
  <c r="K621" i="3"/>
  <c r="L621" i="3"/>
  <c r="K622" i="3"/>
  <c r="L622" i="3"/>
  <c r="K623" i="3"/>
  <c r="L623" i="3"/>
  <c r="K624" i="3"/>
  <c r="L624" i="3"/>
  <c r="K625" i="3"/>
  <c r="L625" i="3"/>
  <c r="K626" i="3"/>
  <c r="L626" i="3"/>
  <c r="K627" i="3"/>
  <c r="L627" i="3"/>
  <c r="K628" i="3"/>
  <c r="L628" i="3"/>
  <c r="K629" i="3"/>
  <c r="L629" i="3"/>
  <c r="K630" i="3"/>
  <c r="L630" i="3"/>
  <c r="K631" i="3"/>
  <c r="L631" i="3"/>
  <c r="K632" i="3"/>
  <c r="L632" i="3"/>
  <c r="K633" i="3"/>
  <c r="L633" i="3"/>
  <c r="K634" i="3"/>
  <c r="L634" i="3"/>
  <c r="K635" i="3"/>
  <c r="L635" i="3"/>
  <c r="K636" i="3"/>
  <c r="L636" i="3"/>
  <c r="K637" i="3"/>
  <c r="L637" i="3"/>
  <c r="K638" i="3"/>
  <c r="L638" i="3"/>
  <c r="K639" i="3"/>
  <c r="L639" i="3"/>
  <c r="K640" i="3"/>
  <c r="L640" i="3"/>
  <c r="K641" i="3"/>
  <c r="L641" i="3"/>
  <c r="K642" i="3"/>
  <c r="L642" i="3"/>
  <c r="K643" i="3"/>
  <c r="L643" i="3"/>
  <c r="K644" i="3"/>
  <c r="L644" i="3"/>
  <c r="K645" i="3"/>
  <c r="L645" i="3"/>
  <c r="K646" i="3"/>
  <c r="L646" i="3"/>
  <c r="K647" i="3"/>
  <c r="L647" i="3"/>
  <c r="K648" i="3"/>
  <c r="L648" i="3"/>
  <c r="K649" i="3"/>
  <c r="L649" i="3"/>
  <c r="K650" i="3"/>
  <c r="L650" i="3"/>
  <c r="K651" i="3"/>
  <c r="L651" i="3"/>
  <c r="K652" i="3"/>
  <c r="L652" i="3"/>
  <c r="K653" i="3"/>
  <c r="L653" i="3"/>
  <c r="K654" i="3"/>
  <c r="L654" i="3"/>
  <c r="K655" i="3"/>
  <c r="L655" i="3"/>
  <c r="K656" i="3"/>
  <c r="L656" i="3"/>
  <c r="K657" i="3"/>
  <c r="L657" i="3"/>
  <c r="K658" i="3"/>
  <c r="L658" i="3"/>
  <c r="K659" i="3"/>
  <c r="L659" i="3"/>
  <c r="K660" i="3"/>
  <c r="L660" i="3"/>
  <c r="K661" i="3"/>
  <c r="L661" i="3"/>
  <c r="K662" i="3"/>
  <c r="L662" i="3"/>
  <c r="K663" i="3"/>
  <c r="L663" i="3"/>
  <c r="K664" i="3"/>
  <c r="L664" i="3"/>
  <c r="K665" i="3"/>
  <c r="L665" i="3"/>
  <c r="K666" i="3"/>
  <c r="L666" i="3"/>
  <c r="K667" i="3"/>
  <c r="L667" i="3"/>
  <c r="K668" i="3"/>
  <c r="L668" i="3"/>
  <c r="K669" i="3"/>
  <c r="L669" i="3"/>
  <c r="K670" i="3"/>
  <c r="L670" i="3"/>
  <c r="K671" i="3"/>
  <c r="L671" i="3"/>
  <c r="K672" i="3"/>
  <c r="L672" i="3"/>
  <c r="K673" i="3"/>
  <c r="L673" i="3"/>
  <c r="K674" i="3"/>
  <c r="L674" i="3"/>
  <c r="K675" i="3"/>
  <c r="L675" i="3"/>
  <c r="K676" i="3"/>
  <c r="L676" i="3"/>
  <c r="K677" i="3"/>
  <c r="L677" i="3"/>
  <c r="K678" i="3"/>
  <c r="L678" i="3"/>
  <c r="K679" i="3"/>
  <c r="L679" i="3"/>
  <c r="K680" i="3"/>
  <c r="L680" i="3"/>
  <c r="K681" i="3"/>
  <c r="L681" i="3"/>
  <c r="K682" i="3"/>
  <c r="L682" i="3"/>
  <c r="K683" i="3"/>
  <c r="L683" i="3"/>
  <c r="K684" i="3"/>
  <c r="L684" i="3"/>
  <c r="K685" i="3"/>
  <c r="L685" i="3"/>
  <c r="K686" i="3"/>
  <c r="L686" i="3"/>
  <c r="K687" i="3"/>
  <c r="L687" i="3"/>
  <c r="K688" i="3"/>
  <c r="L688" i="3"/>
  <c r="K689" i="3"/>
  <c r="L689" i="3"/>
  <c r="K690" i="3"/>
  <c r="L690" i="3"/>
  <c r="K691" i="3"/>
  <c r="L691" i="3"/>
  <c r="K692" i="3"/>
  <c r="L692" i="3"/>
  <c r="K693" i="3"/>
  <c r="L693" i="3"/>
  <c r="K694" i="3"/>
  <c r="L694" i="3"/>
  <c r="K695" i="3"/>
  <c r="L695" i="3"/>
  <c r="K696" i="3"/>
  <c r="L696" i="3"/>
  <c r="K697" i="3"/>
  <c r="L697" i="3"/>
  <c r="K698" i="3"/>
  <c r="L698" i="3"/>
  <c r="K699" i="3"/>
  <c r="L699" i="3"/>
  <c r="K700" i="3"/>
  <c r="L700" i="3"/>
  <c r="K701" i="3"/>
  <c r="L701" i="3"/>
  <c r="K702" i="3"/>
  <c r="L702" i="3"/>
  <c r="K703" i="3"/>
  <c r="L703" i="3"/>
  <c r="K704" i="3"/>
  <c r="L704" i="3"/>
  <c r="K705" i="3"/>
  <c r="L705" i="3"/>
  <c r="K706" i="3"/>
  <c r="L706" i="3"/>
  <c r="K707" i="3"/>
  <c r="L707" i="3"/>
  <c r="K708" i="3"/>
  <c r="L708" i="3"/>
  <c r="K709" i="3"/>
  <c r="L709" i="3"/>
  <c r="K710" i="3"/>
  <c r="L710" i="3"/>
  <c r="K711" i="3"/>
  <c r="L711" i="3"/>
  <c r="K712" i="3"/>
  <c r="L712" i="3"/>
  <c r="K713" i="3"/>
  <c r="L713" i="3"/>
  <c r="K714" i="3"/>
  <c r="L714" i="3"/>
  <c r="K715" i="3"/>
  <c r="L715" i="3"/>
  <c r="K716" i="3"/>
  <c r="L716" i="3"/>
  <c r="K717" i="3"/>
  <c r="L717" i="3"/>
  <c r="K718" i="3"/>
  <c r="L718" i="3"/>
  <c r="K719" i="3"/>
  <c r="L719" i="3"/>
  <c r="K720" i="3"/>
  <c r="L720" i="3"/>
  <c r="K721" i="3"/>
  <c r="L721" i="3"/>
  <c r="K722" i="3"/>
  <c r="L722" i="3"/>
  <c r="K723" i="3"/>
  <c r="L723" i="3"/>
  <c r="K724" i="3"/>
  <c r="L724" i="3"/>
  <c r="K725" i="3"/>
  <c r="L725" i="3"/>
  <c r="K726" i="3"/>
  <c r="L726" i="3"/>
  <c r="K727" i="3"/>
  <c r="L727" i="3"/>
  <c r="K728" i="3"/>
  <c r="L728" i="3"/>
  <c r="K729" i="3"/>
  <c r="L729" i="3"/>
  <c r="K730" i="3"/>
  <c r="L730" i="3"/>
  <c r="K731" i="3"/>
  <c r="L731" i="3"/>
  <c r="K732" i="3"/>
  <c r="L732" i="3"/>
  <c r="K733" i="3"/>
  <c r="L733" i="3"/>
  <c r="K734" i="3"/>
  <c r="L734" i="3"/>
  <c r="K735" i="3"/>
  <c r="L735" i="3"/>
  <c r="K736" i="3"/>
  <c r="L736" i="3"/>
  <c r="K737" i="3"/>
  <c r="L737" i="3"/>
  <c r="K738" i="3"/>
  <c r="L738" i="3"/>
  <c r="K739" i="3"/>
  <c r="L739" i="3"/>
  <c r="K740" i="3"/>
  <c r="L740" i="3"/>
  <c r="K741" i="3"/>
  <c r="L741" i="3"/>
  <c r="K742" i="3"/>
  <c r="L742" i="3"/>
  <c r="K743" i="3"/>
  <c r="L743" i="3"/>
  <c r="K744" i="3"/>
  <c r="L744" i="3"/>
  <c r="K313" i="3"/>
  <c r="L313" i="3"/>
  <c r="K314" i="3"/>
  <c r="L314" i="3"/>
  <c r="K315" i="3"/>
  <c r="L315" i="3"/>
  <c r="K316" i="3"/>
  <c r="L316" i="3"/>
  <c r="K317" i="3"/>
  <c r="L317" i="3"/>
  <c r="K318" i="3"/>
  <c r="L318" i="3"/>
  <c r="K319" i="3"/>
  <c r="L319" i="3"/>
  <c r="K320" i="3"/>
  <c r="L320" i="3"/>
  <c r="K321" i="3"/>
  <c r="L321" i="3"/>
  <c r="K322" i="3"/>
  <c r="L322" i="3"/>
  <c r="K323" i="3"/>
  <c r="L323" i="3"/>
  <c r="K324" i="3"/>
  <c r="L324" i="3"/>
  <c r="K325" i="3"/>
  <c r="L325" i="3"/>
  <c r="K326" i="3"/>
  <c r="L326" i="3"/>
  <c r="K327" i="3"/>
  <c r="L327" i="3"/>
  <c r="K328" i="3"/>
  <c r="L328" i="3"/>
  <c r="K329" i="3"/>
  <c r="L329" i="3"/>
  <c r="K330" i="3"/>
  <c r="L330" i="3"/>
  <c r="K331" i="3"/>
  <c r="L331" i="3"/>
  <c r="K332" i="3"/>
  <c r="L332" i="3"/>
  <c r="K333" i="3"/>
  <c r="L333" i="3"/>
  <c r="K334" i="3"/>
  <c r="L334" i="3"/>
  <c r="K335" i="3"/>
  <c r="L335" i="3"/>
  <c r="K336" i="3"/>
  <c r="L336" i="3"/>
  <c r="K337" i="3"/>
  <c r="L337" i="3"/>
  <c r="K338" i="3"/>
  <c r="L338" i="3"/>
  <c r="K339" i="3"/>
  <c r="L339" i="3"/>
  <c r="K340" i="3"/>
  <c r="L340" i="3"/>
  <c r="K341" i="3"/>
  <c r="L341" i="3"/>
  <c r="K342" i="3"/>
  <c r="L342" i="3"/>
  <c r="K343" i="3"/>
  <c r="L343" i="3"/>
  <c r="K344" i="3"/>
  <c r="L344" i="3"/>
  <c r="K345" i="3"/>
  <c r="L345" i="3"/>
  <c r="I13" i="1" l="1"/>
  <c r="I48" i="1" l="1"/>
  <c r="I49" i="1" s="1"/>
  <c r="I54" i="1"/>
  <c r="I64" i="1"/>
  <c r="C31" i="1"/>
  <c r="C32" i="1"/>
  <c r="C30" i="1"/>
  <c r="C35" i="1"/>
  <c r="I15" i="1"/>
  <c r="I25" i="1" l="1"/>
  <c r="I11" i="1" l="1"/>
  <c r="I12" i="1"/>
  <c r="I14" i="1" l="1"/>
  <c r="I34" i="1" l="1"/>
  <c r="I37" i="1" l="1"/>
  <c r="I28" i="1"/>
  <c r="J32" i="1" l="1"/>
  <c r="J30" i="1"/>
  <c r="J111" i="1"/>
  <c r="C113" i="1"/>
  <c r="C463" i="1"/>
  <c r="C136" i="1"/>
  <c r="I140" i="1" s="1"/>
  <c r="C138" i="1"/>
  <c r="I154" i="1" l="1"/>
  <c r="I153" i="1"/>
  <c r="I152" i="1"/>
  <c r="I150" i="1"/>
  <c r="I138" i="1"/>
  <c r="I136" i="1"/>
  <c r="I149" i="1"/>
  <c r="I145" i="1"/>
  <c r="I143" i="1"/>
  <c r="I148" i="1"/>
  <c r="I151" i="1"/>
  <c r="J113" i="1"/>
  <c r="J138" i="1"/>
  <c r="J136" i="1"/>
  <c r="B79" i="1"/>
  <c r="B77" i="1"/>
  <c r="B69" i="1"/>
  <c r="B78" i="1"/>
  <c r="B68" i="1"/>
  <c r="B67" i="1"/>
  <c r="C261" i="1" l="1"/>
  <c r="I265" i="1" s="1"/>
  <c r="I279" i="1" l="1"/>
  <c r="I278" i="1"/>
  <c r="I268" i="1"/>
  <c r="I275" i="1"/>
  <c r="I273" i="1"/>
  <c r="I274" i="1"/>
  <c r="I276" i="1"/>
  <c r="I277" i="1"/>
  <c r="I263" i="1"/>
  <c r="I261" i="1"/>
  <c r="I270" i="1"/>
  <c r="J261" i="1"/>
  <c r="S68" i="1"/>
  <c r="S67" i="1"/>
  <c r="S54" i="1"/>
  <c r="S52" i="1"/>
  <c r="S50" i="1"/>
  <c r="S53" i="1" s="1"/>
  <c r="S48" i="1"/>
  <c r="C118" i="1"/>
  <c r="C115" i="1"/>
  <c r="I38" i="1"/>
  <c r="I36" i="1"/>
  <c r="I40" i="1" l="1"/>
  <c r="J48" i="1"/>
  <c r="S56" i="1"/>
  <c r="I51" i="1"/>
  <c r="I52" i="1" l="1"/>
  <c r="I35" i="1"/>
  <c r="I30" i="1"/>
  <c r="I32" i="1"/>
  <c r="I59" i="1" l="1"/>
  <c r="I56" i="1"/>
  <c r="K97" i="3" l="1"/>
  <c r="L97" i="3"/>
  <c r="K98" i="3"/>
  <c r="L98" i="3"/>
  <c r="K99" i="3"/>
  <c r="L99" i="3"/>
  <c r="K100" i="3"/>
  <c r="L100" i="3"/>
  <c r="K101" i="3"/>
  <c r="L101" i="3"/>
  <c r="K102" i="3"/>
  <c r="L102" i="3"/>
  <c r="K103" i="3"/>
  <c r="L103" i="3"/>
  <c r="K104" i="3"/>
  <c r="L104" i="3"/>
  <c r="K105" i="3"/>
  <c r="L105" i="3"/>
  <c r="K106" i="3"/>
  <c r="L106" i="3"/>
  <c r="K107" i="3"/>
  <c r="L107" i="3"/>
  <c r="K108" i="3"/>
  <c r="L108" i="3"/>
  <c r="K109" i="3"/>
  <c r="L109" i="3"/>
  <c r="K110" i="3"/>
  <c r="L110" i="3"/>
  <c r="K111" i="3"/>
  <c r="L111" i="3"/>
  <c r="K112" i="3"/>
  <c r="L112" i="3"/>
  <c r="K113" i="3"/>
  <c r="L113" i="3"/>
  <c r="K114" i="3"/>
  <c r="L114" i="3"/>
  <c r="K115" i="3"/>
  <c r="L115" i="3"/>
  <c r="K116" i="3"/>
  <c r="L116" i="3"/>
  <c r="K117" i="3"/>
  <c r="L117" i="3"/>
  <c r="K118" i="3"/>
  <c r="L118" i="3"/>
  <c r="K119" i="3"/>
  <c r="L119" i="3"/>
  <c r="K120" i="3"/>
  <c r="L120" i="3"/>
  <c r="K121" i="3"/>
  <c r="L121" i="3"/>
  <c r="K122" i="3"/>
  <c r="L122" i="3"/>
  <c r="K123" i="3"/>
  <c r="L123" i="3"/>
  <c r="K124" i="3"/>
  <c r="L124" i="3"/>
  <c r="K125" i="3"/>
  <c r="L125" i="3"/>
  <c r="K126" i="3"/>
  <c r="L126" i="3"/>
  <c r="K127" i="3"/>
  <c r="L127" i="3"/>
  <c r="K128" i="3"/>
  <c r="L128" i="3"/>
  <c r="K129" i="3"/>
  <c r="L129" i="3"/>
  <c r="K130" i="3"/>
  <c r="L130" i="3"/>
  <c r="K131" i="3"/>
  <c r="L131" i="3"/>
  <c r="K132" i="3"/>
  <c r="L132" i="3"/>
  <c r="K133" i="3"/>
  <c r="L133" i="3"/>
  <c r="K134" i="3"/>
  <c r="L134" i="3"/>
  <c r="K135" i="3"/>
  <c r="L135" i="3"/>
  <c r="K136" i="3"/>
  <c r="L136" i="3"/>
  <c r="K137" i="3"/>
  <c r="L137" i="3"/>
  <c r="K138" i="3"/>
  <c r="L138" i="3"/>
  <c r="K139" i="3"/>
  <c r="L139" i="3"/>
  <c r="K140" i="3"/>
  <c r="L140" i="3"/>
  <c r="K141" i="3"/>
  <c r="L141" i="3"/>
  <c r="K142" i="3"/>
  <c r="L142" i="3"/>
  <c r="K143" i="3"/>
  <c r="L143" i="3"/>
  <c r="K144" i="3"/>
  <c r="L144" i="3"/>
  <c r="K145" i="3"/>
  <c r="L145" i="3"/>
  <c r="K146" i="3"/>
  <c r="L146" i="3"/>
  <c r="K147" i="3"/>
  <c r="L147" i="3"/>
  <c r="K148" i="3"/>
  <c r="L148" i="3"/>
  <c r="K149" i="3"/>
  <c r="L149" i="3"/>
  <c r="K150" i="3"/>
  <c r="L150" i="3"/>
  <c r="K151" i="3"/>
  <c r="L151" i="3"/>
  <c r="K152" i="3"/>
  <c r="L152" i="3"/>
  <c r="K153" i="3"/>
  <c r="L153" i="3"/>
  <c r="K154" i="3"/>
  <c r="L154" i="3"/>
  <c r="K155" i="3"/>
  <c r="L155" i="3"/>
  <c r="K156" i="3"/>
  <c r="L156" i="3"/>
  <c r="K157" i="3"/>
  <c r="L157" i="3"/>
  <c r="K158" i="3"/>
  <c r="L158" i="3"/>
  <c r="K159" i="3"/>
  <c r="L159" i="3"/>
  <c r="K160" i="3"/>
  <c r="L160" i="3"/>
  <c r="K161" i="3"/>
  <c r="L161" i="3"/>
  <c r="K162" i="3"/>
  <c r="L162" i="3"/>
  <c r="K163" i="3"/>
  <c r="L163" i="3"/>
  <c r="K164" i="3"/>
  <c r="L164" i="3"/>
  <c r="K165" i="3"/>
  <c r="L165" i="3"/>
  <c r="K166" i="3"/>
  <c r="L166" i="3"/>
  <c r="K167" i="3"/>
  <c r="L167" i="3"/>
  <c r="K168" i="3"/>
  <c r="L168" i="3"/>
  <c r="K169" i="3"/>
  <c r="L169" i="3"/>
  <c r="K170" i="3"/>
  <c r="L170" i="3"/>
  <c r="K171" i="3"/>
  <c r="L171" i="3"/>
  <c r="K172" i="3"/>
  <c r="L172" i="3"/>
  <c r="K173" i="3"/>
  <c r="L173" i="3"/>
  <c r="K174" i="3"/>
  <c r="L174" i="3"/>
  <c r="K175" i="3"/>
  <c r="L175" i="3"/>
  <c r="K176" i="3"/>
  <c r="L176" i="3"/>
  <c r="K177" i="3"/>
  <c r="L177" i="3"/>
  <c r="K178" i="3"/>
  <c r="L178" i="3"/>
  <c r="K179" i="3"/>
  <c r="L179" i="3"/>
  <c r="K180" i="3"/>
  <c r="L180" i="3"/>
  <c r="K181" i="3"/>
  <c r="L181" i="3"/>
  <c r="K182" i="3"/>
  <c r="L182" i="3"/>
  <c r="K183" i="3"/>
  <c r="L183" i="3"/>
  <c r="K184" i="3"/>
  <c r="L184" i="3"/>
  <c r="K185" i="3"/>
  <c r="L185" i="3"/>
  <c r="K186" i="3"/>
  <c r="L186" i="3"/>
  <c r="K187" i="3"/>
  <c r="L187" i="3"/>
  <c r="K188" i="3"/>
  <c r="L188" i="3"/>
  <c r="K189" i="3"/>
  <c r="L189" i="3"/>
  <c r="K190" i="3"/>
  <c r="L190" i="3"/>
  <c r="K191" i="3"/>
  <c r="L191" i="3"/>
  <c r="K192" i="3"/>
  <c r="L192" i="3"/>
  <c r="K193" i="3"/>
  <c r="L193" i="3"/>
  <c r="K194" i="3"/>
  <c r="L194" i="3"/>
  <c r="K195" i="3"/>
  <c r="L195" i="3"/>
  <c r="K196" i="3"/>
  <c r="L196" i="3"/>
  <c r="K197" i="3"/>
  <c r="L197" i="3"/>
  <c r="K198" i="3"/>
  <c r="L198" i="3"/>
  <c r="K199" i="3"/>
  <c r="L199" i="3"/>
  <c r="K200" i="3"/>
  <c r="L200" i="3"/>
  <c r="K201" i="3"/>
  <c r="L201" i="3"/>
  <c r="K202" i="3"/>
  <c r="L202" i="3"/>
  <c r="K203" i="3"/>
  <c r="L203" i="3"/>
  <c r="K204" i="3"/>
  <c r="L204" i="3"/>
  <c r="K205" i="3"/>
  <c r="L205" i="3"/>
  <c r="K206" i="3"/>
  <c r="L206" i="3"/>
  <c r="K207" i="3"/>
  <c r="L207" i="3"/>
  <c r="K208" i="3"/>
  <c r="L208" i="3"/>
  <c r="K209" i="3"/>
  <c r="L209" i="3"/>
  <c r="K210" i="3"/>
  <c r="L210" i="3"/>
  <c r="K211" i="3"/>
  <c r="L211" i="3"/>
  <c r="K212" i="3"/>
  <c r="L212" i="3"/>
  <c r="K213" i="3"/>
  <c r="L213" i="3"/>
  <c r="K214" i="3"/>
  <c r="L214" i="3"/>
  <c r="K215" i="3"/>
  <c r="L215" i="3"/>
  <c r="K216" i="3"/>
  <c r="L216" i="3"/>
  <c r="K217" i="3"/>
  <c r="L217" i="3"/>
  <c r="K218" i="3"/>
  <c r="L218" i="3"/>
  <c r="K219" i="3"/>
  <c r="L219" i="3"/>
  <c r="K220" i="3"/>
  <c r="L220" i="3"/>
  <c r="K221" i="3"/>
  <c r="L221" i="3"/>
  <c r="K222" i="3"/>
  <c r="L222" i="3"/>
  <c r="K223" i="3"/>
  <c r="L223" i="3"/>
  <c r="K224" i="3"/>
  <c r="L224" i="3"/>
  <c r="K225" i="3"/>
  <c r="L225" i="3"/>
  <c r="K226" i="3"/>
  <c r="L226" i="3"/>
  <c r="K227" i="3"/>
  <c r="L227" i="3"/>
  <c r="K228" i="3"/>
  <c r="L228" i="3"/>
  <c r="K229" i="3"/>
  <c r="L229" i="3"/>
  <c r="K230" i="3"/>
  <c r="L230" i="3"/>
  <c r="K231" i="3"/>
  <c r="L231" i="3"/>
  <c r="K232" i="3"/>
  <c r="L232" i="3"/>
  <c r="K233" i="3"/>
  <c r="L233" i="3"/>
  <c r="K234" i="3"/>
  <c r="L234" i="3"/>
  <c r="K235" i="3"/>
  <c r="L235" i="3"/>
  <c r="K236" i="3"/>
  <c r="L236" i="3"/>
  <c r="K237" i="3"/>
  <c r="L237" i="3"/>
  <c r="K238" i="3"/>
  <c r="L238" i="3"/>
  <c r="K239" i="3"/>
  <c r="L239" i="3"/>
  <c r="K240" i="3"/>
  <c r="L240" i="3"/>
  <c r="K241" i="3"/>
  <c r="L241" i="3"/>
  <c r="K242" i="3"/>
  <c r="L242" i="3"/>
  <c r="K243" i="3"/>
  <c r="L243" i="3"/>
  <c r="K244" i="3"/>
  <c r="L244" i="3"/>
  <c r="K245" i="3"/>
  <c r="L245" i="3"/>
  <c r="K246" i="3"/>
  <c r="L246" i="3"/>
  <c r="K247" i="3"/>
  <c r="L247" i="3"/>
  <c r="K248" i="3"/>
  <c r="L248" i="3"/>
  <c r="K249" i="3"/>
  <c r="L249" i="3"/>
  <c r="K250" i="3"/>
  <c r="L250" i="3"/>
  <c r="K251" i="3"/>
  <c r="L251" i="3"/>
  <c r="K252" i="3"/>
  <c r="L252" i="3"/>
  <c r="K253" i="3"/>
  <c r="L253" i="3"/>
  <c r="K254" i="3"/>
  <c r="L254" i="3"/>
  <c r="K255" i="3"/>
  <c r="L255" i="3"/>
  <c r="K256" i="3"/>
  <c r="L256" i="3"/>
  <c r="K257" i="3"/>
  <c r="L257" i="3"/>
  <c r="K258" i="3"/>
  <c r="L258" i="3"/>
  <c r="K259" i="3"/>
  <c r="L259" i="3"/>
  <c r="K260" i="3"/>
  <c r="L260" i="3"/>
  <c r="K261" i="3"/>
  <c r="L261" i="3"/>
  <c r="K262" i="3"/>
  <c r="L262" i="3"/>
  <c r="K263" i="3"/>
  <c r="L263" i="3"/>
  <c r="K264" i="3"/>
  <c r="L264" i="3"/>
  <c r="K265" i="3"/>
  <c r="L265" i="3"/>
  <c r="K266" i="3"/>
  <c r="L266" i="3"/>
  <c r="K267" i="3"/>
  <c r="L267" i="3"/>
  <c r="K268" i="3"/>
  <c r="L268" i="3"/>
  <c r="K269" i="3"/>
  <c r="L269" i="3"/>
  <c r="K270" i="3"/>
  <c r="L270" i="3"/>
  <c r="K271" i="3"/>
  <c r="L271" i="3"/>
  <c r="K272" i="3"/>
  <c r="L272" i="3"/>
  <c r="K273" i="3"/>
  <c r="L273" i="3"/>
  <c r="K274" i="3"/>
  <c r="L274" i="3"/>
  <c r="K275" i="3"/>
  <c r="L275" i="3"/>
  <c r="K276" i="3"/>
  <c r="L276" i="3"/>
  <c r="K277" i="3"/>
  <c r="L277" i="3"/>
  <c r="K278" i="3"/>
  <c r="L278" i="3"/>
  <c r="K279" i="3"/>
  <c r="L279" i="3"/>
  <c r="K280" i="3"/>
  <c r="L280" i="3"/>
  <c r="K281" i="3"/>
  <c r="L281" i="3"/>
  <c r="K282" i="3"/>
  <c r="L282" i="3"/>
  <c r="K283" i="3"/>
  <c r="L283" i="3"/>
  <c r="K284" i="3"/>
  <c r="L284" i="3"/>
  <c r="K285" i="3"/>
  <c r="L285" i="3"/>
  <c r="K286" i="3"/>
  <c r="L286" i="3"/>
  <c r="K287" i="3"/>
  <c r="L287" i="3"/>
  <c r="K288" i="3"/>
  <c r="L288" i="3"/>
  <c r="K289" i="3"/>
  <c r="L289" i="3"/>
  <c r="K290" i="3"/>
  <c r="L290" i="3"/>
  <c r="K291" i="3"/>
  <c r="L291" i="3"/>
  <c r="K292" i="3"/>
  <c r="L292" i="3"/>
  <c r="K293" i="3"/>
  <c r="L293" i="3"/>
  <c r="K294" i="3"/>
  <c r="L294" i="3"/>
  <c r="K295" i="3"/>
  <c r="L295" i="3"/>
  <c r="K296" i="3"/>
  <c r="L296" i="3"/>
  <c r="K297" i="3"/>
  <c r="L297" i="3"/>
  <c r="K298" i="3"/>
  <c r="L298" i="3"/>
  <c r="K299" i="3"/>
  <c r="L299" i="3"/>
  <c r="K300" i="3"/>
  <c r="L300" i="3"/>
  <c r="K301" i="3"/>
  <c r="L301" i="3"/>
  <c r="K302" i="3"/>
  <c r="L302" i="3"/>
  <c r="K303" i="3"/>
  <c r="L303" i="3"/>
  <c r="K304" i="3"/>
  <c r="L304" i="3"/>
  <c r="K305" i="3"/>
  <c r="L305" i="3"/>
  <c r="K306" i="3"/>
  <c r="L306" i="3"/>
  <c r="K307" i="3"/>
  <c r="L307" i="3"/>
  <c r="K308" i="3"/>
  <c r="L308" i="3"/>
  <c r="K309" i="3"/>
  <c r="L309" i="3"/>
  <c r="K310" i="3"/>
  <c r="L310" i="3"/>
  <c r="K311" i="3"/>
  <c r="L311" i="3"/>
  <c r="K312" i="3"/>
  <c r="L312" i="3"/>
  <c r="K51" i="3"/>
  <c r="L51" i="3"/>
  <c r="K68" i="3"/>
  <c r="L68" i="3"/>
  <c r="K69" i="3"/>
  <c r="L69" i="3"/>
  <c r="K52" i="3"/>
  <c r="L52" i="3"/>
  <c r="K53" i="3"/>
  <c r="L53" i="3"/>
  <c r="K63" i="3"/>
  <c r="L63" i="3"/>
  <c r="L76" i="3" l="1"/>
  <c r="L77" i="3"/>
  <c r="L54" i="3"/>
  <c r="L78" i="3"/>
  <c r="L79" i="3"/>
  <c r="L80" i="3"/>
  <c r="L70" i="3"/>
  <c r="L71" i="3"/>
  <c r="L3" i="3"/>
  <c r="L10" i="3"/>
  <c r="L81" i="3"/>
  <c r="L23" i="3"/>
  <c r="L72" i="3"/>
  <c r="L24" i="3"/>
  <c r="L11" i="3"/>
  <c r="L25" i="3"/>
  <c r="L12" i="3"/>
  <c r="L4" i="3"/>
  <c r="L26" i="3"/>
  <c r="L27" i="3"/>
  <c r="L13" i="3"/>
  <c r="L14" i="3"/>
  <c r="L82" i="3"/>
  <c r="L28" i="3"/>
  <c r="L55" i="3"/>
  <c r="L83" i="3"/>
  <c r="L84" i="3"/>
  <c r="L15" i="3"/>
  <c r="L5" i="3"/>
  <c r="L85" i="3"/>
  <c r="L29" i="3"/>
  <c r="L86" i="3"/>
  <c r="L87" i="3"/>
  <c r="L56" i="3"/>
  <c r="L30" i="3"/>
  <c r="L88" i="3"/>
  <c r="L16" i="3"/>
  <c r="L17" i="3"/>
  <c r="L31" i="3"/>
  <c r="L32" i="3"/>
  <c r="L57" i="3"/>
  <c r="L33" i="3"/>
  <c r="L34" i="3"/>
  <c r="L58" i="3"/>
  <c r="L35" i="3"/>
  <c r="L64" i="3"/>
  <c r="L36" i="3"/>
  <c r="L65" i="3"/>
  <c r="L59" i="3"/>
  <c r="L6" i="3"/>
  <c r="L89" i="3"/>
  <c r="L90" i="3"/>
  <c r="L37" i="3"/>
  <c r="L60" i="3"/>
  <c r="L38" i="3"/>
  <c r="L7" i="3"/>
  <c r="L39" i="3"/>
  <c r="L91" i="3"/>
  <c r="L18" i="3"/>
  <c r="L92" i="3"/>
  <c r="L93" i="3"/>
  <c r="L40" i="3"/>
  <c r="L94" i="3"/>
  <c r="L61" i="3"/>
  <c r="L41" i="3"/>
  <c r="L75" i="3"/>
  <c r="L73" i="3"/>
  <c r="L8" i="3"/>
  <c r="L42" i="3"/>
  <c r="L43" i="3"/>
  <c r="L19" i="3"/>
  <c r="L95" i="3"/>
  <c r="L44" i="3"/>
  <c r="L20" i="3"/>
  <c r="L9" i="3"/>
  <c r="L21" i="3"/>
  <c r="L74" i="3"/>
  <c r="L45" i="3"/>
  <c r="L46" i="3"/>
  <c r="L96" i="3"/>
  <c r="L62" i="3"/>
  <c r="L47" i="3"/>
  <c r="L48" i="3"/>
  <c r="L49" i="3"/>
  <c r="L66" i="3"/>
  <c r="L50" i="3"/>
  <c r="L67" i="3"/>
  <c r="L22" i="3"/>
  <c r="K76" i="3"/>
  <c r="K77" i="3"/>
  <c r="K54" i="3"/>
  <c r="K78" i="3"/>
  <c r="K79" i="3"/>
  <c r="K80" i="3"/>
  <c r="K70" i="3"/>
  <c r="K71" i="3"/>
  <c r="K3" i="3"/>
  <c r="K10" i="3"/>
  <c r="K81" i="3"/>
  <c r="K23" i="3"/>
  <c r="K72" i="3"/>
  <c r="K24" i="3"/>
  <c r="K11" i="3"/>
  <c r="K25" i="3"/>
  <c r="K12" i="3"/>
  <c r="K4" i="3"/>
  <c r="K26" i="3"/>
  <c r="K27" i="3"/>
  <c r="K13" i="3"/>
  <c r="K14" i="3"/>
  <c r="K82" i="3"/>
  <c r="K28" i="3"/>
  <c r="K55" i="3"/>
  <c r="K83" i="3"/>
  <c r="K84" i="3"/>
  <c r="K15" i="3"/>
  <c r="K5" i="3"/>
  <c r="K85" i="3"/>
  <c r="K29" i="3"/>
  <c r="K86" i="3"/>
  <c r="K87" i="3"/>
  <c r="K56" i="3"/>
  <c r="K30" i="3"/>
  <c r="K88" i="3"/>
  <c r="K16" i="3"/>
  <c r="K17" i="3"/>
  <c r="K31" i="3"/>
  <c r="K32" i="3"/>
  <c r="K57" i="3"/>
  <c r="K33" i="3"/>
  <c r="K34" i="3"/>
  <c r="K58" i="3"/>
  <c r="K35" i="3"/>
  <c r="K64" i="3"/>
  <c r="K36" i="3"/>
  <c r="K65" i="3"/>
  <c r="K59" i="3"/>
  <c r="K6" i="3"/>
  <c r="K89" i="3"/>
  <c r="K90" i="3"/>
  <c r="K37" i="3"/>
  <c r="K60" i="3"/>
  <c r="K38" i="3"/>
  <c r="K7" i="3"/>
  <c r="K39" i="3"/>
  <c r="K91" i="3"/>
  <c r="K18" i="3"/>
  <c r="K92" i="3"/>
  <c r="K93" i="3"/>
  <c r="K40" i="3"/>
  <c r="K94" i="3"/>
  <c r="K61" i="3"/>
  <c r="K41" i="3"/>
  <c r="K75" i="3"/>
  <c r="K73" i="3"/>
  <c r="K8" i="3"/>
  <c r="K42" i="3"/>
  <c r="K43" i="3"/>
  <c r="K19" i="3"/>
  <c r="K95" i="3"/>
  <c r="K44" i="3"/>
  <c r="K20" i="3"/>
  <c r="K9" i="3"/>
  <c r="K21" i="3"/>
  <c r="K74" i="3"/>
  <c r="K45" i="3"/>
  <c r="K46" i="3"/>
  <c r="K96" i="3"/>
  <c r="K62" i="3"/>
  <c r="K47" i="3"/>
  <c r="K48" i="3"/>
  <c r="K49" i="3"/>
  <c r="K66" i="3"/>
  <c r="K50" i="3"/>
  <c r="K67" i="3"/>
  <c r="K22" i="3"/>
  <c r="C112" i="1" l="1"/>
  <c r="C114" i="1"/>
  <c r="I114" i="1" s="1"/>
  <c r="C116" i="1"/>
  <c r="C117" i="1"/>
  <c r="C484" i="1"/>
  <c r="C483" i="1"/>
  <c r="C482" i="1"/>
  <c r="C481" i="1"/>
  <c r="C480" i="1"/>
  <c r="C478" i="1"/>
  <c r="C471" i="1"/>
  <c r="I471" i="1" s="1"/>
  <c r="C470" i="1"/>
  <c r="C468" i="1"/>
  <c r="C467" i="1"/>
  <c r="C466" i="1"/>
  <c r="C465" i="1"/>
  <c r="C464" i="1"/>
  <c r="I464" i="1" s="1"/>
  <c r="C462" i="1"/>
  <c r="C459" i="1"/>
  <c r="C458" i="1"/>
  <c r="C457" i="1"/>
  <c r="C456" i="1"/>
  <c r="C455" i="1"/>
  <c r="C453" i="1"/>
  <c r="C446" i="1"/>
  <c r="C445" i="1"/>
  <c r="C443" i="1"/>
  <c r="C442" i="1"/>
  <c r="C441" i="1"/>
  <c r="C440" i="1"/>
  <c r="C439" i="1"/>
  <c r="C438" i="1"/>
  <c r="C437" i="1"/>
  <c r="C436" i="1"/>
  <c r="I440" i="1" s="1"/>
  <c r="C434" i="1"/>
  <c r="C433" i="1"/>
  <c r="C432" i="1"/>
  <c r="C431" i="1"/>
  <c r="C430" i="1"/>
  <c r="C428" i="1"/>
  <c r="C421" i="1"/>
  <c r="C420" i="1"/>
  <c r="C418" i="1"/>
  <c r="C417" i="1"/>
  <c r="C416" i="1"/>
  <c r="C415" i="1"/>
  <c r="C414" i="1"/>
  <c r="C413" i="1"/>
  <c r="C412" i="1"/>
  <c r="C411" i="1"/>
  <c r="I415" i="1" s="1"/>
  <c r="C409" i="1"/>
  <c r="C408" i="1"/>
  <c r="C407" i="1"/>
  <c r="C406" i="1"/>
  <c r="C405" i="1"/>
  <c r="C403" i="1"/>
  <c r="C396" i="1"/>
  <c r="C395" i="1"/>
  <c r="C393" i="1"/>
  <c r="C392" i="1"/>
  <c r="C391" i="1"/>
  <c r="C390" i="1"/>
  <c r="C389" i="1"/>
  <c r="C388" i="1"/>
  <c r="C387" i="1"/>
  <c r="C386" i="1"/>
  <c r="I390" i="1" s="1"/>
  <c r="C384" i="1"/>
  <c r="C383" i="1"/>
  <c r="C382" i="1"/>
  <c r="C381" i="1"/>
  <c r="C380" i="1"/>
  <c r="C378" i="1"/>
  <c r="C371" i="1"/>
  <c r="C370" i="1"/>
  <c r="C368" i="1"/>
  <c r="C367" i="1"/>
  <c r="C366" i="1"/>
  <c r="C365" i="1"/>
  <c r="C364" i="1"/>
  <c r="C363" i="1"/>
  <c r="C362" i="1"/>
  <c r="C361" i="1"/>
  <c r="I365" i="1" s="1"/>
  <c r="C359" i="1"/>
  <c r="C358" i="1"/>
  <c r="C357" i="1"/>
  <c r="C356" i="1"/>
  <c r="C355" i="1"/>
  <c r="C353" i="1"/>
  <c r="C346" i="1"/>
  <c r="C345" i="1"/>
  <c r="C343" i="1"/>
  <c r="C342" i="1"/>
  <c r="C341" i="1"/>
  <c r="C340" i="1"/>
  <c r="C339" i="1"/>
  <c r="C338" i="1"/>
  <c r="C337" i="1"/>
  <c r="C336" i="1"/>
  <c r="I340" i="1" s="1"/>
  <c r="C334" i="1"/>
  <c r="C333" i="1"/>
  <c r="C332" i="1"/>
  <c r="C331" i="1"/>
  <c r="C330" i="1"/>
  <c r="C328" i="1"/>
  <c r="C321" i="1"/>
  <c r="C320" i="1"/>
  <c r="C318" i="1"/>
  <c r="C317" i="1"/>
  <c r="C316" i="1"/>
  <c r="C315" i="1"/>
  <c r="C314" i="1"/>
  <c r="C313" i="1"/>
  <c r="C312" i="1"/>
  <c r="C311" i="1"/>
  <c r="I315" i="1" s="1"/>
  <c r="C309" i="1"/>
  <c r="C308" i="1"/>
  <c r="C307" i="1"/>
  <c r="C306" i="1"/>
  <c r="C305" i="1"/>
  <c r="C303" i="1"/>
  <c r="C296" i="1"/>
  <c r="C295" i="1"/>
  <c r="C293" i="1"/>
  <c r="C292" i="1"/>
  <c r="C291" i="1"/>
  <c r="C290" i="1"/>
  <c r="C289" i="1"/>
  <c r="C288" i="1"/>
  <c r="C287" i="1"/>
  <c r="C286" i="1"/>
  <c r="I290" i="1" s="1"/>
  <c r="C284" i="1"/>
  <c r="C283" i="1"/>
  <c r="C282" i="1"/>
  <c r="C281" i="1"/>
  <c r="C280" i="1"/>
  <c r="C278" i="1"/>
  <c r="C271" i="1"/>
  <c r="I271" i="1" s="1"/>
  <c r="C270" i="1"/>
  <c r="C268" i="1"/>
  <c r="C267" i="1"/>
  <c r="C266" i="1"/>
  <c r="C265" i="1"/>
  <c r="C264" i="1"/>
  <c r="I264" i="1" s="1"/>
  <c r="C263" i="1"/>
  <c r="C262" i="1"/>
  <c r="C259" i="1"/>
  <c r="C258" i="1"/>
  <c r="C257" i="1"/>
  <c r="C256" i="1"/>
  <c r="C255" i="1"/>
  <c r="C253" i="1"/>
  <c r="C246" i="1"/>
  <c r="C245" i="1"/>
  <c r="C243" i="1"/>
  <c r="C242" i="1"/>
  <c r="C241" i="1"/>
  <c r="C240" i="1"/>
  <c r="C239" i="1"/>
  <c r="C238" i="1"/>
  <c r="C237" i="1"/>
  <c r="C236" i="1"/>
  <c r="I240" i="1" s="1"/>
  <c r="C234" i="1"/>
  <c r="C233" i="1"/>
  <c r="C232" i="1"/>
  <c r="C231" i="1"/>
  <c r="C230" i="1"/>
  <c r="C228" i="1"/>
  <c r="C221" i="1"/>
  <c r="C220" i="1"/>
  <c r="C218" i="1"/>
  <c r="C217" i="1"/>
  <c r="C216" i="1"/>
  <c r="C215" i="1"/>
  <c r="C214" i="1"/>
  <c r="C213" i="1"/>
  <c r="C212" i="1"/>
  <c r="C211" i="1"/>
  <c r="I215" i="1" s="1"/>
  <c r="C209" i="1"/>
  <c r="C208" i="1"/>
  <c r="C207" i="1"/>
  <c r="C206" i="1"/>
  <c r="C205" i="1"/>
  <c r="C203" i="1"/>
  <c r="C196" i="1"/>
  <c r="C195" i="1"/>
  <c r="C193" i="1"/>
  <c r="C192" i="1"/>
  <c r="C191" i="1"/>
  <c r="C190" i="1"/>
  <c r="C189" i="1"/>
  <c r="C188" i="1"/>
  <c r="C187" i="1"/>
  <c r="C186" i="1"/>
  <c r="I190" i="1" s="1"/>
  <c r="C184" i="1"/>
  <c r="C183" i="1"/>
  <c r="C182" i="1"/>
  <c r="C181" i="1"/>
  <c r="C180" i="1"/>
  <c r="C178" i="1"/>
  <c r="C171" i="1"/>
  <c r="I171" i="1" s="1"/>
  <c r="C170" i="1"/>
  <c r="C168" i="1"/>
  <c r="C167" i="1"/>
  <c r="C166" i="1"/>
  <c r="C165" i="1"/>
  <c r="C164" i="1"/>
  <c r="I164" i="1" s="1"/>
  <c r="C163" i="1"/>
  <c r="C162" i="1"/>
  <c r="C159" i="1"/>
  <c r="C158" i="1"/>
  <c r="C157" i="1"/>
  <c r="C156" i="1"/>
  <c r="C155" i="1"/>
  <c r="C153" i="1"/>
  <c r="C146" i="1"/>
  <c r="I146" i="1" s="1"/>
  <c r="C145" i="1"/>
  <c r="C143" i="1"/>
  <c r="C142" i="1"/>
  <c r="C141" i="1"/>
  <c r="C139" i="1"/>
  <c r="I139" i="1" s="1"/>
  <c r="C137" i="1"/>
  <c r="I296" i="1" l="1"/>
  <c r="I303" i="1"/>
  <c r="I304" i="1"/>
  <c r="I321" i="1"/>
  <c r="I329" i="1"/>
  <c r="I328" i="1"/>
  <c r="I346" i="1"/>
  <c r="I354" i="1"/>
  <c r="I353" i="1"/>
  <c r="I371" i="1"/>
  <c r="I379" i="1"/>
  <c r="I378" i="1"/>
  <c r="I396" i="1"/>
  <c r="I403" i="1"/>
  <c r="I404" i="1"/>
  <c r="I421" i="1"/>
  <c r="I429" i="1"/>
  <c r="I428" i="1"/>
  <c r="I446" i="1"/>
  <c r="I453" i="1"/>
  <c r="I454" i="1"/>
  <c r="I196" i="1"/>
  <c r="I203" i="1"/>
  <c r="I204" i="1"/>
  <c r="I221" i="1"/>
  <c r="I229" i="1"/>
  <c r="I228" i="1"/>
  <c r="I246" i="1"/>
  <c r="I253" i="1"/>
  <c r="I254" i="1"/>
  <c r="I252" i="1"/>
  <c r="I249" i="1"/>
  <c r="I250" i="1"/>
  <c r="I239" i="1"/>
  <c r="I248" i="1"/>
  <c r="I236" i="1"/>
  <c r="I238" i="1"/>
  <c r="I251" i="1"/>
  <c r="I243" i="1"/>
  <c r="I245" i="1"/>
  <c r="I198" i="1"/>
  <c r="I199" i="1"/>
  <c r="I200" i="1"/>
  <c r="I189" i="1"/>
  <c r="I202" i="1"/>
  <c r="I186" i="1"/>
  <c r="I188" i="1"/>
  <c r="I201" i="1"/>
  <c r="I193" i="1"/>
  <c r="I195" i="1"/>
  <c r="I224" i="1"/>
  <c r="I226" i="1"/>
  <c r="I225" i="1"/>
  <c r="I227" i="1"/>
  <c r="I223" i="1"/>
  <c r="I211" i="1"/>
  <c r="I214" i="1"/>
  <c r="I213" i="1"/>
  <c r="I218" i="1"/>
  <c r="I220" i="1"/>
  <c r="I301" i="1"/>
  <c r="I299" i="1"/>
  <c r="I300" i="1"/>
  <c r="I302" i="1"/>
  <c r="I298" i="1"/>
  <c r="I289" i="1"/>
  <c r="I286" i="1"/>
  <c r="I288" i="1"/>
  <c r="I293" i="1"/>
  <c r="I295" i="1"/>
  <c r="I311" i="1"/>
  <c r="I314" i="1"/>
  <c r="I325" i="1"/>
  <c r="I323" i="1"/>
  <c r="I318" i="1"/>
  <c r="I326" i="1"/>
  <c r="I327" i="1"/>
  <c r="I324" i="1"/>
  <c r="I313" i="1"/>
  <c r="I320" i="1"/>
  <c r="I349" i="1"/>
  <c r="I350" i="1"/>
  <c r="I348" i="1"/>
  <c r="I351" i="1"/>
  <c r="I352" i="1"/>
  <c r="I336" i="1"/>
  <c r="I338" i="1"/>
  <c r="I339" i="1"/>
  <c r="I343" i="1"/>
  <c r="I345" i="1"/>
  <c r="I361" i="1"/>
  <c r="I364" i="1"/>
  <c r="I375" i="1"/>
  <c r="I373" i="1"/>
  <c r="I368" i="1"/>
  <c r="I376" i="1"/>
  <c r="I377" i="1"/>
  <c r="I374" i="1"/>
  <c r="I363" i="1"/>
  <c r="I370" i="1"/>
  <c r="I399" i="1"/>
  <c r="I401" i="1"/>
  <c r="I400" i="1"/>
  <c r="I402" i="1"/>
  <c r="I398" i="1"/>
  <c r="I386" i="1"/>
  <c r="I389" i="1"/>
  <c r="I388" i="1"/>
  <c r="I393" i="1"/>
  <c r="I395" i="1"/>
  <c r="I427" i="1"/>
  <c r="I425" i="1"/>
  <c r="I414" i="1"/>
  <c r="I411" i="1"/>
  <c r="I423" i="1"/>
  <c r="I418" i="1"/>
  <c r="I413" i="1"/>
  <c r="I426" i="1"/>
  <c r="I424" i="1"/>
  <c r="I420" i="1"/>
  <c r="I443" i="1"/>
  <c r="I445" i="1"/>
  <c r="I449" i="1"/>
  <c r="I451" i="1"/>
  <c r="I450" i="1"/>
  <c r="I452" i="1"/>
  <c r="I448" i="1"/>
  <c r="I436" i="1"/>
  <c r="I439" i="1"/>
  <c r="I438" i="1"/>
  <c r="J263" i="1"/>
  <c r="J288" i="1"/>
  <c r="J313" i="1"/>
  <c r="J338" i="1"/>
  <c r="J363" i="1"/>
  <c r="J388" i="1"/>
  <c r="J413" i="1"/>
  <c r="J438" i="1"/>
  <c r="J163" i="1"/>
  <c r="J188" i="1"/>
  <c r="J213" i="1"/>
  <c r="J238" i="1"/>
  <c r="J361" i="1"/>
  <c r="J386" i="1"/>
  <c r="J411" i="1"/>
  <c r="J436" i="1"/>
  <c r="J286" i="1"/>
  <c r="J311" i="1"/>
  <c r="J336" i="1"/>
  <c r="J161" i="1"/>
  <c r="J186" i="1"/>
  <c r="J211" i="1"/>
  <c r="J236" i="1"/>
  <c r="J463" i="1"/>
  <c r="J461" i="1"/>
  <c r="J1" i="1" l="1"/>
  <c r="I18" i="1"/>
  <c r="I17" i="1" l="1"/>
  <c r="AG14" i="6" l="1"/>
  <c r="AG13" i="6"/>
  <c r="AG12" i="6"/>
  <c r="AG11" i="6"/>
  <c r="C134" i="1"/>
  <c r="C133" i="1"/>
  <c r="C132" i="1"/>
  <c r="C131" i="1"/>
  <c r="C130" i="1"/>
  <c r="C128" i="1"/>
  <c r="C121" i="1"/>
  <c r="I121" i="1" s="1"/>
  <c r="C120" i="1"/>
  <c r="I86" i="1" l="1"/>
  <c r="I88" i="1"/>
  <c r="I96" i="1"/>
  <c r="I93" i="1"/>
  <c r="I90" i="1"/>
  <c r="I102" i="1"/>
  <c r="I98" i="1"/>
  <c r="I99" i="1"/>
  <c r="I89" i="1"/>
  <c r="I101" i="1"/>
  <c r="I100" i="1"/>
  <c r="I95" i="1"/>
  <c r="B479" i="1"/>
  <c r="B477" i="1"/>
  <c r="B476" i="1"/>
  <c r="B475" i="1"/>
  <c r="B474" i="1"/>
  <c r="B473" i="1"/>
  <c r="B472" i="1"/>
  <c r="B469" i="1"/>
  <c r="B454" i="1"/>
  <c r="B452" i="1"/>
  <c r="B451" i="1"/>
  <c r="B450" i="1"/>
  <c r="B449" i="1"/>
  <c r="B448" i="1"/>
  <c r="B447" i="1"/>
  <c r="B444" i="1"/>
  <c r="B429" i="1"/>
  <c r="B427" i="1"/>
  <c r="B426" i="1"/>
  <c r="B425" i="1"/>
  <c r="B424" i="1"/>
  <c r="B423" i="1"/>
  <c r="B422" i="1"/>
  <c r="B419" i="1"/>
  <c r="B404" i="1"/>
  <c r="B402" i="1"/>
  <c r="B401" i="1"/>
  <c r="B400" i="1"/>
  <c r="B399" i="1"/>
  <c r="B398" i="1"/>
  <c r="B397" i="1"/>
  <c r="B394" i="1"/>
  <c r="B379" i="1"/>
  <c r="B377" i="1"/>
  <c r="B376" i="1"/>
  <c r="B375" i="1"/>
  <c r="B374" i="1"/>
  <c r="B373" i="1"/>
  <c r="B372" i="1"/>
  <c r="B369" i="1"/>
  <c r="B354" i="1"/>
  <c r="B352" i="1"/>
  <c r="B351" i="1"/>
  <c r="B350" i="1"/>
  <c r="B349" i="1"/>
  <c r="B348" i="1"/>
  <c r="B347" i="1"/>
  <c r="B344" i="1"/>
  <c r="B329" i="1"/>
  <c r="B327" i="1"/>
  <c r="B326" i="1"/>
  <c r="B325" i="1"/>
  <c r="B324" i="1"/>
  <c r="B323" i="1"/>
  <c r="B322" i="1"/>
  <c r="B319" i="1"/>
  <c r="B304" i="1"/>
  <c r="B302" i="1"/>
  <c r="B301" i="1"/>
  <c r="B300" i="1"/>
  <c r="B299" i="1"/>
  <c r="B298" i="1"/>
  <c r="B297" i="1"/>
  <c r="B294" i="1"/>
  <c r="B279" i="1"/>
  <c r="B277" i="1"/>
  <c r="B276" i="1"/>
  <c r="B275" i="1"/>
  <c r="B274" i="1"/>
  <c r="B273" i="1"/>
  <c r="B272" i="1"/>
  <c r="B269" i="1"/>
  <c r="B254" i="1"/>
  <c r="B252" i="1"/>
  <c r="B251" i="1"/>
  <c r="B250" i="1"/>
  <c r="B249" i="1"/>
  <c r="B248" i="1"/>
  <c r="B247" i="1"/>
  <c r="B244" i="1"/>
  <c r="B229" i="1"/>
  <c r="B227" i="1"/>
  <c r="B226" i="1"/>
  <c r="B225" i="1"/>
  <c r="B224" i="1"/>
  <c r="B223" i="1"/>
  <c r="B222" i="1"/>
  <c r="B219" i="1"/>
  <c r="B204" i="1"/>
  <c r="B202" i="1"/>
  <c r="B201" i="1"/>
  <c r="B200" i="1"/>
  <c r="B199" i="1"/>
  <c r="B198" i="1"/>
  <c r="B197" i="1"/>
  <c r="B194" i="1"/>
  <c r="B179" i="1"/>
  <c r="B177" i="1"/>
  <c r="B176" i="1"/>
  <c r="B175" i="1"/>
  <c r="B174" i="1"/>
  <c r="B173" i="1"/>
  <c r="B172" i="1"/>
  <c r="B169" i="1"/>
  <c r="B154" i="1"/>
  <c r="B152" i="1"/>
  <c r="B151" i="1"/>
  <c r="B150" i="1"/>
  <c r="B149" i="1"/>
  <c r="B148" i="1"/>
  <c r="B147" i="1"/>
  <c r="B144" i="1"/>
  <c r="B486" i="1"/>
  <c r="I104" i="1" l="1"/>
  <c r="I103" i="1"/>
  <c r="I498" i="1"/>
  <c r="I497" i="1"/>
  <c r="I496" i="1"/>
  <c r="I492" i="1"/>
  <c r="I493" i="1"/>
  <c r="I491" i="1"/>
  <c r="B129" i="1" l="1"/>
  <c r="B127" i="1"/>
  <c r="B126" i="1"/>
  <c r="B125" i="1"/>
  <c r="B124" i="1"/>
  <c r="B123" i="1"/>
  <c r="B122" i="1"/>
  <c r="B119" i="1"/>
  <c r="I53" i="1"/>
  <c r="I31" i="1"/>
  <c r="I20" i="1"/>
  <c r="I19" i="1"/>
  <c r="B63" i="1" l="1"/>
  <c r="B80" i="1" l="1"/>
  <c r="B104" i="1" l="1"/>
  <c r="B41" i="1" l="1"/>
  <c r="B83" i="1" l="1"/>
  <c r="B82" i="1"/>
  <c r="B47" i="1"/>
  <c r="B43" i="1"/>
  <c r="B42" i="1"/>
  <c r="B39" i="1"/>
  <c r="B27" i="1"/>
  <c r="B26" i="1"/>
  <c r="B24" i="1"/>
  <c r="B64" i="1"/>
  <c r="B61" i="1"/>
  <c r="B94" i="1"/>
  <c r="B97" i="1"/>
  <c r="B99" i="1"/>
  <c r="B98" i="1"/>
  <c r="B100" i="1"/>
  <c r="B101" i="1"/>
  <c r="B102" i="1"/>
  <c r="B672" i="1" l="1"/>
  <c r="B802" i="1" l="1"/>
  <c r="B797" i="1"/>
  <c r="B796" i="1"/>
  <c r="B794" i="1"/>
  <c r="B793" i="1"/>
  <c r="B792" i="1"/>
  <c r="B791" i="1"/>
  <c r="B790" i="1"/>
  <c r="B789" i="1"/>
  <c r="B788" i="1"/>
  <c r="B787" i="1"/>
  <c r="B759" i="1"/>
  <c r="B725" i="1"/>
  <c r="B549" i="1"/>
  <c r="B548" i="1"/>
  <c r="B62" i="1"/>
  <c r="B58" i="1"/>
  <c r="B29" i="1"/>
  <c r="B684" i="1"/>
  <c r="B718" i="1"/>
  <c r="B721" i="1"/>
  <c r="B543" i="1"/>
  <c r="B542" i="1"/>
  <c r="B541" i="1"/>
  <c r="B717" i="1"/>
  <c r="B701" i="1" l="1"/>
  <c r="B702" i="1"/>
  <c r="B703" i="1"/>
  <c r="B704" i="1"/>
  <c r="B700" i="1"/>
  <c r="B699" i="1"/>
  <c r="B693" i="1"/>
  <c r="B688" i="1"/>
  <c r="B504" i="1"/>
  <c r="B502" i="1"/>
  <c r="B550" i="1" s="1"/>
  <c r="B686" i="1" l="1"/>
  <c r="B492" i="1"/>
  <c r="B497" i="1" s="1"/>
  <c r="B75" i="1" l="1"/>
  <c r="B71" i="1" l="1"/>
  <c r="B36" i="1" l="1"/>
  <c r="B687" i="1" l="1"/>
  <c r="B73" i="1" l="1"/>
  <c r="B493" i="1" l="1"/>
  <c r="B510" i="1"/>
  <c r="B506" i="1" l="1"/>
  <c r="B503" i="1"/>
  <c r="B724" i="1" l="1"/>
  <c r="B722" i="1" l="1"/>
  <c r="B713" i="1"/>
  <c r="B714" i="1"/>
  <c r="B715" i="1"/>
  <c r="B716" i="1"/>
  <c r="B719" i="1"/>
  <c r="B712" i="1"/>
  <c r="B690" i="1"/>
  <c r="B685" i="1"/>
  <c r="B689" i="1"/>
  <c r="B517" i="1"/>
  <c r="B516" i="1"/>
  <c r="B514" i="1"/>
  <c r="B513" i="1"/>
  <c r="B512" i="1"/>
  <c r="B511" i="1"/>
  <c r="B509" i="1"/>
  <c r="B35" i="1" l="1"/>
</calcChain>
</file>

<file path=xl/comments1.xml><?xml version="1.0" encoding="utf-8"?>
<comments xmlns="http://schemas.openxmlformats.org/spreadsheetml/2006/main">
  <authors>
    <author>Catherine Guo</author>
  </authors>
  <commentList>
    <comment ref="I23" authorId="0" shapeId="0">
      <text>
        <r>
          <rPr>
            <b/>
            <sz val="9"/>
            <color indexed="81"/>
            <rFont val="Tahoma"/>
            <family val="2"/>
          </rPr>
          <t>Catherine Guo:</t>
        </r>
        <r>
          <rPr>
            <sz val="9"/>
            <color indexed="81"/>
            <rFont val="Tahoma"/>
            <family val="2"/>
          </rPr>
          <t xml:space="preserve">
If there are 2 effective dates which are extracted by automation in input field, please remove one of them after confirm with AM before upload to BCBS</t>
        </r>
      </text>
    </comment>
  </commentList>
</comments>
</file>

<file path=xl/sharedStrings.xml><?xml version="1.0" encoding="utf-8"?>
<sst xmlns="http://schemas.openxmlformats.org/spreadsheetml/2006/main" count="11513" uniqueCount="2913">
  <si>
    <t>Age</t>
  </si>
  <si>
    <t>SSN or ID Number</t>
  </si>
  <si>
    <t>Gender</t>
  </si>
  <si>
    <t>SSN</t>
  </si>
  <si>
    <t>Date of Birth</t>
  </si>
  <si>
    <t>Marital Status</t>
  </si>
  <si>
    <t>City</t>
  </si>
  <si>
    <t>State</t>
  </si>
  <si>
    <t>DOB</t>
  </si>
  <si>
    <t>Group Name</t>
  </si>
  <si>
    <t>EE Name</t>
  </si>
  <si>
    <t>Enrollment Start Date (per Plan)</t>
  </si>
  <si>
    <t>Enrolled Due to</t>
  </si>
  <si>
    <t>Common Section</t>
  </si>
  <si>
    <t>Field</t>
  </si>
  <si>
    <t>Change Date and Time</t>
  </si>
  <si>
    <t>Date of Hire</t>
  </si>
  <si>
    <t>Home Address 1</t>
  </si>
  <si>
    <t>Home Address 2</t>
  </si>
  <si>
    <t>Zip</t>
  </si>
  <si>
    <t>Home Phone</t>
  </si>
  <si>
    <t>Work Phone</t>
  </si>
  <si>
    <t>Judgement</t>
  </si>
  <si>
    <t>Will this employee be covering their spouse and/or dependents?</t>
  </si>
  <si>
    <t>PCP</t>
  </si>
  <si>
    <t>Dependent Name</t>
  </si>
  <si>
    <t>Relationship</t>
  </si>
  <si>
    <t>Sex</t>
  </si>
  <si>
    <t>Dependent</t>
  </si>
  <si>
    <t>Drop Down List</t>
  </si>
  <si>
    <t>Check box</t>
  </si>
  <si>
    <t>Reinstate</t>
  </si>
  <si>
    <t>COBRA</t>
  </si>
  <si>
    <t>Illinois Dependent Continuation</t>
  </si>
  <si>
    <t>Illinois State Senate Continuation</t>
  </si>
  <si>
    <t>Il State Continuation</t>
  </si>
  <si>
    <t>OBRA</t>
  </si>
  <si>
    <t>Public Health Service Act</t>
  </si>
  <si>
    <t>Illinois Spousal Continuation</t>
  </si>
  <si>
    <t>Initial</t>
  </si>
  <si>
    <t>New Hire</t>
  </si>
  <si>
    <t>Birth</t>
  </si>
  <si>
    <t>Court Order</t>
  </si>
  <si>
    <t>Discontinuance &amp; Replacement</t>
  </si>
  <si>
    <t>Job Status Change</t>
  </si>
  <si>
    <t>Legal Guardianship</t>
  </si>
  <si>
    <t>Loss Of Eligibility For Other Coverage</t>
  </si>
  <si>
    <t>Lost Other Insurance Coverage</t>
  </si>
  <si>
    <t>Marriage</t>
  </si>
  <si>
    <t>New Applicant</t>
  </si>
  <si>
    <t>Open Enrollment</t>
  </si>
  <si>
    <t>Originally Declined Coverage</t>
  </si>
  <si>
    <t>Placement For Adoption</t>
  </si>
  <si>
    <t>Previously Denied Coverage</t>
  </si>
  <si>
    <t>Retiree</t>
  </si>
  <si>
    <t>Surviving Spouse</t>
  </si>
  <si>
    <t>Transfer Business Location</t>
  </si>
  <si>
    <t>Adoption</t>
  </si>
  <si>
    <t>Active</t>
  </si>
  <si>
    <t>C - COBRA</t>
  </si>
  <si>
    <t>R - Retired</t>
  </si>
  <si>
    <t>A - Active</t>
  </si>
  <si>
    <t>0002 - B03572 8888</t>
  </si>
  <si>
    <t>0004 - P03572 8888</t>
  </si>
  <si>
    <t>0003 - P03572 0000</t>
  </si>
  <si>
    <t>0001 - B03572 0000</t>
  </si>
  <si>
    <t>0001 - Active etc. (other example)</t>
  </si>
  <si>
    <t>BLUECP</t>
  </si>
  <si>
    <t>PPO (other example)</t>
  </si>
  <si>
    <t>BLUE ADV HMO (other example)</t>
  </si>
  <si>
    <t>BLUE OPTIONS</t>
  </si>
  <si>
    <t>No Coverage</t>
  </si>
  <si>
    <t>0017 S532BCE (When Product type is BLUECP)</t>
  </si>
  <si>
    <t>0021 G506OPT (When Product type is BLUE OPTIONS)</t>
  </si>
  <si>
    <t>0022 S5060PT (When Product type is BLUE OPTIONS)</t>
  </si>
  <si>
    <t>Yes</t>
  </si>
  <si>
    <t>No</t>
  </si>
  <si>
    <t>Ex-Spouse</t>
  </si>
  <si>
    <t>Dependent Child</t>
  </si>
  <si>
    <t>Student</t>
  </si>
  <si>
    <t>Disabled Dependent</t>
  </si>
  <si>
    <t>Domestic Partner</t>
  </si>
  <si>
    <t>Civil Union Spouse</t>
  </si>
  <si>
    <t>Ex-Civil Union Spouse</t>
  </si>
  <si>
    <t>Spouse</t>
  </si>
  <si>
    <t xml:space="preserve">Unknown </t>
  </si>
  <si>
    <t>Account Name:</t>
  </si>
  <si>
    <t>First Name</t>
  </si>
  <si>
    <t>Last Name</t>
  </si>
  <si>
    <t>Effective Date:</t>
  </si>
  <si>
    <t>Type of Enrollment:</t>
  </si>
  <si>
    <t>Reason for Enrollment:</t>
  </si>
  <si>
    <t>Signature Date:</t>
  </si>
  <si>
    <t>First:</t>
  </si>
  <si>
    <t>MI:</t>
  </si>
  <si>
    <t>Last:</t>
  </si>
  <si>
    <t>Gender:</t>
  </si>
  <si>
    <t>SSN:</t>
  </si>
  <si>
    <t>Date of Birth:</t>
  </si>
  <si>
    <t>Marital Status:</t>
  </si>
  <si>
    <t>Hire Date:</t>
  </si>
  <si>
    <t>Status:</t>
  </si>
  <si>
    <t>Medicare Eligibility:</t>
  </si>
  <si>
    <t>Street 1:</t>
  </si>
  <si>
    <t>Street 2:</t>
  </si>
  <si>
    <t>City:</t>
  </si>
  <si>
    <t>State:</t>
  </si>
  <si>
    <t>Zip Code:</t>
  </si>
  <si>
    <t>Home:</t>
  </si>
  <si>
    <t>Mobile:</t>
  </si>
  <si>
    <t>Business:</t>
  </si>
  <si>
    <t>Ext:</t>
  </si>
  <si>
    <t>Fax:</t>
  </si>
  <si>
    <t>Email:</t>
  </si>
  <si>
    <t>CMS Employee Status Code:</t>
  </si>
  <si>
    <t>Actively Employed:</t>
  </si>
  <si>
    <r>
      <t>Default as Yes. Not editable</t>
    </r>
    <r>
      <rPr>
        <sz val="11"/>
        <color rgb="FFFF0000"/>
        <rFont val="Calibri"/>
        <family val="2"/>
        <scheme val="minor"/>
      </rPr>
      <t>???</t>
    </r>
  </si>
  <si>
    <t>This employee will be billed with all other employees with this criteria:</t>
  </si>
  <si>
    <t>0007 NHHB103 (When Product type is BLUE ADV HMO)</t>
  </si>
  <si>
    <t>Product Type:</t>
  </si>
  <si>
    <t>Product:</t>
  </si>
  <si>
    <t>Provider Number:
(Primary Provider section)</t>
  </si>
  <si>
    <t>Provider Number:
(WPHCP Provider section)</t>
  </si>
  <si>
    <t>Relation:</t>
  </si>
  <si>
    <t>Medical Group:
(Primary Provider section)</t>
  </si>
  <si>
    <t>DOB:</t>
  </si>
  <si>
    <t>Field Type</t>
  </si>
  <si>
    <t>Judgement Point and Action</t>
  </si>
  <si>
    <t>can ONLY run under 'group', one group at a time…</t>
  </si>
  <si>
    <t>&gt;= Item in '...' in Timeline per EE</t>
  </si>
  <si>
    <t>Configured under 'Setting' -&gt; 'Company' -&gt; 'HRIS Field Tracking'?</t>
  </si>
  <si>
    <t>Missing Ended Plans</t>
  </si>
  <si>
    <t>Info</t>
  </si>
  <si>
    <t>Wall Notification</t>
  </si>
  <si>
    <t>Event Report</t>
  </si>
  <si>
    <t>Timeline</t>
  </si>
  <si>
    <t>Timeline (…)</t>
  </si>
  <si>
    <t>Enrollment Changes Report</t>
  </si>
  <si>
    <t>Demographic Changes Report</t>
  </si>
  <si>
    <t>Wall Notification - View Detail (Enroll Changes)</t>
  </si>
  <si>
    <t>Benefit Summary</t>
  </si>
  <si>
    <t>Profile Section</t>
  </si>
  <si>
    <t>Event Report - per EE (not printable but JS)</t>
  </si>
  <si>
    <t>Group Name (per selected Company)</t>
  </si>
  <si>
    <t>(within Single Group)</t>
  </si>
  <si>
    <t>Company Name: (in Employment Information)</t>
  </si>
  <si>
    <t>n/a</t>
  </si>
  <si>
    <t>Last Name | First Name</t>
  </si>
  <si>
    <t>(per EE)</t>
  </si>
  <si>
    <t>First Name | Last Name</t>
  </si>
  <si>
    <t>First Name: | Last Name: | Middle: (in Employee Information)
Employee Name: (in Event Details)</t>
  </si>
  <si>
    <t>EE Name (on top)</t>
  </si>
  <si>
    <t>First name | Middle name | Last name (in Profile)</t>
  </si>
  <si>
    <t>Preferred name</t>
  </si>
  <si>
    <t>Preferred name (in Profile)</t>
  </si>
  <si>
    <t>Suffix</t>
  </si>
  <si>
    <t>Suffix: (in Employee Information)</t>
  </si>
  <si>
    <t>Suffix (in Profile)</t>
  </si>
  <si>
    <t>Event Type</t>
  </si>
  <si>
    <t>Event Name (per selected Triggers-EventGroup&amp;Benefit Categories)</t>
  </si>
  <si>
    <t>Event</t>
  </si>
  <si>
    <t>(within a single event)</t>
  </si>
  <si>
    <t>Event (Event Type in Setting)</t>
  </si>
  <si>
    <t>(which scope???)</t>
  </si>
  <si>
    <t>Event Name: (in Event Details)</t>
  </si>
  <si>
    <t>Event Reason
Reason (in each carrier)</t>
  </si>
  <si>
    <t>Change Description</t>
  </si>
  <si>
    <t>Description (after Event Name)</t>
  </si>
  <si>
    <t>Details</t>
  </si>
  <si>
    <t>Description</t>
  </si>
  <si>
    <t>Plan Name</t>
  </si>
  <si>
    <t>Plan</t>
  </si>
  <si>
    <t>Plan Name: (Expanded Plan in Enrollment Details)</t>
  </si>
  <si>
    <t>Plan Name (in Enrolled Plans)
Plan Name (Cafeteria Plans)
Plan Name (in Declined Coverage)</t>
  </si>
  <si>
    <t>Date (and Time)</t>
  </si>
  <si>
    <t>Date</t>
  </si>
  <si>
    <t>On</t>
  </si>
  <si>
    <t>Change (Date and Time)</t>
  </si>
  <si>
    <t>Changed On (Date and Time)</t>
  </si>
  <si>
    <t>Changed (Date)</t>
  </si>
  <si>
    <t>Event Date: (and time) (in Event Details)</t>
  </si>
  <si>
    <t>Request Date?</t>
  </si>
  <si>
    <t>Feed Name</t>
  </si>
  <si>
    <t>Feed Name (Customized)</t>
  </si>
  <si>
    <t>Feed Name: (in Event Details)</t>
  </si>
  <si>
    <t>Event Date</t>
  </si>
  <si>
    <t>Event Date?</t>
  </si>
  <si>
    <t>Changed By Whom</t>
  </si>
  <si>
    <t>Who</t>
  </si>
  <si>
    <t>By</t>
  </si>
  <si>
    <t>Modified By</t>
  </si>
  <si>
    <t>Changed By</t>
  </si>
  <si>
    <t>Last Modified By: (Name and Date) (Expanded Plan in Enrollment Details)</t>
  </si>
  <si>
    <t>SSN: (in Employee Information)</t>
  </si>
  <si>
    <t>Social security number (in Profile)</t>
  </si>
  <si>
    <t>EE Name (after "-" after EE name)</t>
  </si>
  <si>
    <t>Work Email Address</t>
  </si>
  <si>
    <t>Email: (in Employee Information)</t>
  </si>
  <si>
    <t>WorkEmailAddress? (in Contact?)</t>
  </si>
  <si>
    <t>Email</t>
  </si>
  <si>
    <t>Personal Email Address</t>
  </si>
  <si>
    <t>PersonalEmailAddress? (in Contact?)</t>
  </si>
  <si>
    <t>Class</t>
  </si>
  <si>
    <t>Class: (e.g. Full Time) (optional) (in Employment Information)</t>
  </si>
  <si>
    <t>Class (in Profile)</t>
  </si>
  <si>
    <t>Department</t>
  </si>
  <si>
    <t>Department: (optional) (in Employment Information)</t>
  </si>
  <si>
    <t>Department (in Profile)</t>
  </si>
  <si>
    <t>Division</t>
  </si>
  <si>
    <t>Division: (optional) (in Employment Information)</t>
  </si>
  <si>
    <t>Division (in Profile)</t>
  </si>
  <si>
    <t>Business Unit</t>
  </si>
  <si>
    <t>Business Unit: (optional) (in Employment Information)</t>
  </si>
  <si>
    <t>Business unit (in Profile)</t>
  </si>
  <si>
    <t>Sex: (in Employee Information)</t>
  </si>
  <si>
    <t>Gender (in Personal)</t>
  </si>
  <si>
    <t>DOB: (in Employee Information)</t>
  </si>
  <si>
    <t>DOB (in Personal)</t>
  </si>
  <si>
    <t>Age (in Personal)</t>
  </si>
  <si>
    <t>Job Title</t>
  </si>
  <si>
    <t>Job Title: (in Employment Information)</t>
  </si>
  <si>
    <t>Job title (in Profile)</t>
  </si>
  <si>
    <t>Date of Hire: (in Employment Information)</t>
  </si>
  <si>
    <t>Hire date (in Employment)</t>
  </si>
  <si>
    <t>Hire Date</t>
  </si>
  <si>
    <t>Affiliate hire date</t>
  </si>
  <si>
    <t>Affiliate hire date (in Employment)</t>
  </si>
  <si>
    <t>Original hire date</t>
  </si>
  <si>
    <t>Original hire date (in Employment) (optional)</t>
  </si>
  <si>
    <t>Termination date</t>
  </si>
  <si>
    <t>Termination date (in Employment) (optional)</t>
  </si>
  <si>
    <t>Term Date</t>
  </si>
  <si>
    <t>Termination reason</t>
  </si>
  <si>
    <t>Termination reason (in Employment) (optional)</t>
  </si>
  <si>
    <t>Retired</t>
  </si>
  <si>
    <t>Retired (in Employment)</t>
  </si>
  <si>
    <t>Office</t>
  </si>
  <si>
    <t>Office (in Profile)</t>
  </si>
  <si>
    <t>Benefit work state</t>
  </si>
  <si>
    <t>Benefit work state (in Profile)</t>
  </si>
  <si>
    <t>Payroll work state</t>
  </si>
  <si>
    <t>Payroll work state (in Profile)</t>
  </si>
  <si>
    <t>Cost center</t>
  </si>
  <si>
    <t>Cost center (in Profile)</t>
  </si>
  <si>
    <t>Is collectively bargained</t>
  </si>
  <si>
    <t>Is collectively bargained (in Profile)</t>
  </si>
  <si>
    <t>Manager</t>
  </si>
  <si>
    <t>Manager (in Profile)</t>
  </si>
  <si>
    <t>Employee ID</t>
  </si>
  <si>
    <t>Employee ID (in Employment)</t>
  </si>
  <si>
    <t>Payroll ID</t>
  </si>
  <si>
    <t>Payroll ID (in Employment) (optional)</t>
  </si>
  <si>
    <t>Payroll Integrations</t>
  </si>
  <si>
    <t>Payroll Integrations (in Employment) (optional)</t>
  </si>
  <si>
    <t>Statutory class</t>
  </si>
  <si>
    <t>Statutory class (in Employment)</t>
  </si>
  <si>
    <t>Time clock ID</t>
  </si>
  <si>
    <t>Time clock ID (in Employment)</t>
  </si>
  <si>
    <t>Employment status</t>
  </si>
  <si>
    <t>Employment status (in Employment)</t>
  </si>
  <si>
    <t>Annual review date</t>
  </si>
  <si>
    <t>Annual review date (in Employment)</t>
  </si>
  <si>
    <t>EEO Job Category</t>
  </si>
  <si>
    <t>EEO Job Category (in Employment)</t>
  </si>
  <si>
    <t>Decision maker</t>
  </si>
  <si>
    <t>Decision maker (in Employment)</t>
  </si>
  <si>
    <t>Is exempt</t>
  </si>
  <si>
    <t>Is exempt (in Employment)</t>
  </si>
  <si>
    <t>Is full-time</t>
  </si>
  <si>
    <t>Is full-time (in Employment)</t>
  </si>
  <si>
    <t>Annual Salary</t>
  </si>
  <si>
    <t>Base Salary: (in Employment Information)</t>
  </si>
  <si>
    <t>Annual base salary (in Compensation)</t>
  </si>
  <si>
    <t>Salary</t>
  </si>
  <si>
    <t>Hourly rate</t>
  </si>
  <si>
    <t>Hourly rate (in Compensation)</t>
  </si>
  <si>
    <t>Annual benefit salary</t>
  </si>
  <si>
    <t>Annual benefit salary (in Compensation)</t>
  </si>
  <si>
    <t>Annual benefit salary effective date</t>
  </si>
  <si>
    <t>Annual benefit salary effective date (in Compensation)</t>
  </si>
  <si>
    <t>Reporting year W2 earnings</t>
  </si>
  <si>
    <t>Reporting year W2 earnings (in Compensation)</t>
  </si>
  <si>
    <t>Salary review date</t>
  </si>
  <si>
    <t>Salary review date (in Compensation)</t>
  </si>
  <si>
    <t>Next salary review date</t>
  </si>
  <si>
    <t>Next salary review date (in Compensation)</t>
  </si>
  <si>
    <t>Override pay frequency</t>
  </si>
  <si>
    <t>Override pay frequency (in Compensation)</t>
  </si>
  <si>
    <t>Ownership percentage</t>
  </si>
  <si>
    <t>Ownership percentage (in Compensation)</t>
  </si>
  <si>
    <t>Employee compensation billable</t>
  </si>
  <si>
    <t>Employee compensation billable (in Compensation)</t>
  </si>
  <si>
    <t>Employee post-tax deduction</t>
  </si>
  <si>
    <t>Employee post-tax deduction (in Compensation)</t>
  </si>
  <si>
    <t>Salary effective date</t>
  </si>
  <si>
    <t>Salary effective date (in Compensation)</t>
  </si>
  <si>
    <t>Pay freq (payroll group)</t>
  </si>
  <si>
    <t>Payroll group (in Profile)</t>
  </si>
  <si>
    <t>Pay Freq</t>
  </si>
  <si>
    <t>Home Address 1: (in Employee Information)</t>
  </si>
  <si>
    <t>HomeAddress1? (in Addresses?)</t>
  </si>
  <si>
    <t>Address (street city, state zip xxxxx-xxxx)</t>
  </si>
  <si>
    <t>Home Address 2: (in Employee Information)</t>
  </si>
  <si>
    <t>HomeAddress2? (in Addresses?)</t>
  </si>
  <si>
    <t>City: (in Employee Information)</t>
  </si>
  <si>
    <t>City? (in Addresses?)</t>
  </si>
  <si>
    <t>State: (in Employee Information)</t>
  </si>
  <si>
    <t>State? (in Addresses?)</t>
  </si>
  <si>
    <t>Zip: (in Employee Information)</t>
  </si>
  <si>
    <t>Zip? (in Addresses?)</t>
  </si>
  <si>
    <t>County</t>
  </si>
  <si>
    <t>County: (in Employee Information)</t>
  </si>
  <si>
    <t>Hours Worked Per Week</t>
  </si>
  <si>
    <t>Hours Worked Per Week: (in Employment Information)</t>
  </si>
  <si>
    <t>Hours per week (in Compensation)</t>
  </si>
  <si>
    <t>Pay basis</t>
  </si>
  <si>
    <t>Pay basis (in Compensation)</t>
  </si>
  <si>
    <t>Marital Status: (in Employee Information)</t>
  </si>
  <si>
    <t>Marital status (in Personal)</t>
  </si>
  <si>
    <t>Date of marriage</t>
  </si>
  <si>
    <t>Date of marriage (in Personal)</t>
  </si>
  <si>
    <t>Veteran status</t>
  </si>
  <si>
    <t>Veteran status (in Personal)</t>
  </si>
  <si>
    <t>Military reserve status</t>
  </si>
  <si>
    <t>Military reserve status (in Personal)</t>
  </si>
  <si>
    <t>Race/Ethnicity</t>
  </si>
  <si>
    <t>Race/Ethnicity (in Personal)</t>
  </si>
  <si>
    <t>U.S. citizen</t>
  </si>
  <si>
    <t>U.S. citizen (in Personal)</t>
  </si>
  <si>
    <t>Alien visa status</t>
  </si>
  <si>
    <t>Alien visa status (in Personal)</t>
  </si>
  <si>
    <t>Alien country of origin</t>
  </si>
  <si>
    <t>Alien country of origin (in Personal)</t>
  </si>
  <si>
    <t>Home Phone: (in Employee Information)</t>
  </si>
  <si>
    <t>HomePhone (Optional)? (in Contact?)</t>
  </si>
  <si>
    <t>Work Phone: (in Employee Information)</t>
  </si>
  <si>
    <t>WorkPhone (Optional)? (in Contact?)</t>
  </si>
  <si>
    <t>Description for Demo (field name)? (not found in screenshot)</t>
  </si>
  <si>
    <t>Plan Type</t>
  </si>
  <si>
    <t>Subtotal Names AFTER ( - ) under Enrollment Details (Plan Type)
Plan Type (in Declined Coverage)</t>
  </si>
  <si>
    <t>Plan Type (in Enrolled Plans)
Plan Type (in Declined Coverage)
PlanType (in Health Savings Account)</t>
  </si>
  <si>
    <t>Decline Reason</t>
  </si>
  <si>
    <t>Reason (in Declined Coverage)</t>
  </si>
  <si>
    <t>Carrier</t>
  </si>
  <si>
    <t>Subtotal Names BEFORE ( - ) under Enrollment Details (Carrier Name)</t>
  </si>
  <si>
    <t>Carrier (in Enrolled Plans)</t>
  </si>
  <si>
    <t>Type*</t>
  </si>
  <si>
    <t>Type (Current)</t>
  </si>
  <si>
    <t>Enrollment Start Date</t>
  </si>
  <si>
    <t>Coverage Start Date: (Expanded Plan in Enrollment Details)</t>
  </si>
  <si>
    <t>Effective (in Enrolled Plans)
Start Date (in Cafeteria Plans)
Started (in Health Savings Account)</t>
  </si>
  <si>
    <t>Coverage Start</t>
  </si>
  <si>
    <t>Enrollment End Date (per Plan)</t>
  </si>
  <si>
    <t>Enrollment End Date</t>
  </si>
  <si>
    <t>End Date (in Cafeteria Plans)
Ended (in Health Savings Account)</t>
  </si>
  <si>
    <t>Coverage End</t>
  </si>
  <si>
    <t>Tobacco User</t>
  </si>
  <si>
    <t>Tobacco User: (in Employee Information)</t>
  </si>
  <si>
    <t>Changed Field Name</t>
  </si>
  <si>
    <t>Changed Field</t>
  </si>
  <si>
    <t>Display Name (could be any info under 'Profile', 'Dependent' (need to click EDIT to access under profile screen), 'Employment', 'Qualification')</t>
  </si>
  <si>
    <t>Data Value Changed From (per Field)</t>
  </si>
  <si>
    <t>From (data value)</t>
  </si>
  <si>
    <t>Old Value</t>
  </si>
  <si>
    <t>Data Value Changed To (per Field)</t>
  </si>
  <si>
    <t>To (data value)</t>
  </si>
  <si>
    <t>New Value</t>
  </si>
  <si>
    <t>Changed by What Type of Person/Approach</t>
  </si>
  <si>
    <t>Change Written By (e.g. HRIS/Employee/Import)</t>
  </si>
  <si>
    <t>Change Coverage Level</t>
  </si>
  <si>
    <t>Coverage Level: (e.g. Employee) (Expanded Plan in Enrollment Details)</t>
  </si>
  <si>
    <t>Coverage (in Enrolled Plans)</t>
  </si>
  <si>
    <t>Current Coverage</t>
  </si>
  <si>
    <t>Enrolled Due To: (e.g. New Hire) (Expanded Plan in Enrollment Details)</t>
  </si>
  <si>
    <t>Cost per Pay</t>
  </si>
  <si>
    <t>Cost Per Pay (in Enrolled Plans); Per Pay Amount (in Cafeteria Plans); Estimated Per Pay (in Health Savings Account)</t>
  </si>
  <si>
    <t>Benefit (limit?)</t>
  </si>
  <si>
    <t>Benefit (limit? $150,000) (in Enrolled Plans)</t>
  </si>
  <si>
    <t>Current Benefit</t>
  </si>
  <si>
    <t>Annual Election</t>
  </si>
  <si>
    <t>Annual Election (in Cafeteria Plans)</t>
  </si>
  <si>
    <t>Total Cost Per Pay Period</t>
  </si>
  <si>
    <t>Total Cost Per Pay Period (in Enrolled Plans)</t>
  </si>
  <si>
    <t>Yearly Contribution</t>
  </si>
  <si>
    <t>Yearly Contribution (in Health Savings Account)</t>
  </si>
  <si>
    <t>Monthly Plan Cost</t>
  </si>
  <si>
    <t>Monthly Plan Cost: (Expanded Plan in Enrollment Details)</t>
  </si>
  <si>
    <t>Monthly Employee Cost</t>
  </si>
  <si>
    <t>Monthly Employee Cost: (Expanded Plan in Enrollment Details)</t>
  </si>
  <si>
    <t>Per Pay Deduction</t>
  </si>
  <si>
    <t>Per Pay Deduction: (optional) (Expanded Plan in Enrollment Details)</t>
  </si>
  <si>
    <t>Action</t>
  </si>
  <si>
    <t>Dependent (Detailed info is not required on carrier portal)</t>
  </si>
  <si>
    <t>Dependent (Last Name, First Name)</t>
  </si>
  <si>
    <t>First Name: | Last Name: | Middle: (in Dependent Information); Name (in Enrollment Details - Enrolled Dependents)</t>
  </si>
  <si>
    <t>Name (in Dependents)</t>
  </si>
  <si>
    <t>Suffix: (in Dependent Information)</t>
  </si>
  <si>
    <t>DOB: (in Dependent Information)</t>
  </si>
  <si>
    <t>DOB (in Dependents)</t>
  </si>
  <si>
    <t>Age (in Dependents)</t>
  </si>
  <si>
    <t>SSN: (in Dependent Information)</t>
  </si>
  <si>
    <t>SSN (in Dependents)</t>
  </si>
  <si>
    <t>Relationship: (in Dependent Information)
Relationship (in Enrollment Details - Enrolled Dependents)</t>
  </si>
  <si>
    <t>Name (after dependent name in '()' ) (in Dependents)</t>
  </si>
  <si>
    <t>Relationship (in Dependents)</t>
  </si>
  <si>
    <t>Sex: (in Dependent Information)</t>
  </si>
  <si>
    <t>Gender (in Dependents) (optional)
Sex (in Dependents) (optional)</t>
  </si>
  <si>
    <t>Sequence number</t>
  </si>
  <si>
    <t>Sequence number (in Dependents)</t>
  </si>
  <si>
    <t>Disabled</t>
  </si>
  <si>
    <t>Disabled: (in Dependent Information)</t>
  </si>
  <si>
    <t>Tobacco User: (in Dependent Information)</t>
  </si>
  <si>
    <t>Medicare Eligible</t>
  </si>
  <si>
    <t>Medicare Eligible: (in Dependent Information)</t>
  </si>
  <si>
    <t>Separate Address 1</t>
  </si>
  <si>
    <t>Separate Address 1: (displayed ONLY when it's different from EE's Addr - Rare) (in Dependent Information)</t>
  </si>
  <si>
    <t>Separate Address 2</t>
  </si>
  <si>
    <t>Separate Address 2: (displayed ONLY when it's different from EE's Addr - Rare)</t>
  </si>
  <si>
    <t>City: (displayed ONLY when it's different from EE's Addr - Rare) (in Dependent Information)</t>
  </si>
  <si>
    <t>State: (displayed ONLY when it's different from EE's Addr - Rare) (in Dependent Information)</t>
  </si>
  <si>
    <t>Zip: (displayed ONLY when it's different from EE's Addr - Rare) (in Dependent Information)</t>
  </si>
  <si>
    <t>Benefit Amount</t>
  </si>
  <si>
    <t>Benefit Amount (in Enrollment Details - Enrolled Dependents)</t>
  </si>
  <si>
    <t>Coverage Start Date</t>
  </si>
  <si>
    <t>Coverage Start Date (in Enrollment Details - Enrolled Dependents)</t>
  </si>
  <si>
    <t>Coverage End Date</t>
  </si>
  <si>
    <t>Coverage End Date (in Enrollment Details - Enrolled Dependents)</t>
  </si>
  <si>
    <t>Plan Types</t>
  </si>
  <si>
    <t>Plan Types (in Dependents)</t>
  </si>
  <si>
    <t>Phone (Never seen separate info for Dependent)</t>
  </si>
  <si>
    <t>Email (Never seen separate info for Dependent)</t>
  </si>
  <si>
    <t>Class (e.g. Student/Full time worker) (cannot find in EN)</t>
  </si>
  <si>
    <t>As default, Dependent's last name is same as EE, need modify it as required</t>
  </si>
  <si>
    <t>BCBS IL</t>
  </si>
  <si>
    <t>Find an Employee/Dependent</t>
  </si>
  <si>
    <t>Check Box</t>
  </si>
  <si>
    <t>Employee</t>
  </si>
  <si>
    <t xml:space="preserve">Enrollment </t>
  </si>
  <si>
    <t>Add Dependent</t>
  </si>
  <si>
    <t>In Care of:</t>
  </si>
  <si>
    <t>Other Dependent:</t>
  </si>
  <si>
    <t>Type:</t>
  </si>
  <si>
    <t>Country Type:</t>
  </si>
  <si>
    <t>Event Date:</t>
  </si>
  <si>
    <t>New Effective Date:</t>
  </si>
  <si>
    <t>Policy Holder</t>
  </si>
  <si>
    <t>Covered</t>
  </si>
  <si>
    <t>Employee Status:</t>
  </si>
  <si>
    <t>Continuation Type:</t>
  </si>
  <si>
    <t>Continuation Reason:</t>
  </si>
  <si>
    <t>Cobra Effective Date:</t>
  </si>
  <si>
    <t>Select Maintenance Option:</t>
  </si>
  <si>
    <t>Date:</t>
  </si>
  <si>
    <t>Reason:</t>
  </si>
  <si>
    <t>Change Employees’ information</t>
  </si>
  <si>
    <t>Single</t>
  </si>
  <si>
    <t>Change Plan Information</t>
  </si>
  <si>
    <t>Enter Effective Date of Change:</t>
  </si>
  <si>
    <t>Court Order Dependent</t>
  </si>
  <si>
    <t>Leave blank when it is not available</t>
  </si>
  <si>
    <t>Input signature date</t>
  </si>
  <si>
    <t>Male</t>
  </si>
  <si>
    <t>Female</t>
  </si>
  <si>
    <t>General Info</t>
  </si>
  <si>
    <t>Employee Info</t>
  </si>
  <si>
    <t>Coverage Info</t>
  </si>
  <si>
    <t>Dependents</t>
  </si>
  <si>
    <t>Signature Date</t>
  </si>
  <si>
    <t>Coverage</t>
  </si>
  <si>
    <t>Leave COBRA as it is</t>
  </si>
  <si>
    <t xml:space="preserve">Input "C“. </t>
  </si>
  <si>
    <t>Suffix:</t>
  </si>
  <si>
    <t>YYYY</t>
  </si>
  <si>
    <t>HIPPA Certification:</t>
  </si>
  <si>
    <t>Other Insurance:</t>
  </si>
  <si>
    <t>Unknown</t>
  </si>
  <si>
    <t>Default as No</t>
  </si>
  <si>
    <t>MM</t>
  </si>
  <si>
    <t>Prefix:</t>
  </si>
  <si>
    <t>xxx</t>
  </si>
  <si>
    <t>xxxx</t>
  </si>
  <si>
    <t>Married</t>
  </si>
  <si>
    <t>Divorced</t>
  </si>
  <si>
    <t>Widowed</t>
  </si>
  <si>
    <t>Native Language:</t>
  </si>
  <si>
    <t>English</t>
  </si>
  <si>
    <t>Preferred Written Language:</t>
  </si>
  <si>
    <t>Preferred Spoken Language:</t>
  </si>
  <si>
    <t>Ethnicity (select all that apply):</t>
  </si>
  <si>
    <t>Checkbox</t>
  </si>
  <si>
    <t>Hispanic or Latino</t>
  </si>
  <si>
    <t>Not Hispanic or Latino</t>
  </si>
  <si>
    <t>Race (select all that apply):</t>
  </si>
  <si>
    <t>American Indian or Alaska Native</t>
  </si>
  <si>
    <t>Asian</t>
  </si>
  <si>
    <t>Black or African American</t>
  </si>
  <si>
    <t>Native Hawaiian or Other Pacific Islander</t>
  </si>
  <si>
    <t>White</t>
  </si>
  <si>
    <t>Other Race</t>
  </si>
  <si>
    <t>Preferred not to answer</t>
  </si>
  <si>
    <t>Keep default as English</t>
  </si>
  <si>
    <t>Keep default as Unknown</t>
  </si>
  <si>
    <t>United States</t>
  </si>
  <si>
    <t>In care of:</t>
  </si>
  <si>
    <t>Group Number:
(Prior Coverage:section)</t>
  </si>
  <si>
    <t>Employee ID Number:
(Prior Coverage:section)</t>
  </si>
  <si>
    <t>Multiple Birth:</t>
  </si>
  <si>
    <t>Keep check box as uncheck</t>
  </si>
  <si>
    <t>Different address information than the employee?</t>
  </si>
  <si>
    <t>Application Info</t>
  </si>
  <si>
    <t>Date of Death</t>
  </si>
  <si>
    <t>Relation/Marital Status Effective Date:</t>
  </si>
  <si>
    <t>Employee Search</t>
  </si>
  <si>
    <t>Is your employee an existing patient with this PCP?
(WPHCP Provider section)</t>
  </si>
  <si>
    <t>Is your employee an existing patient with this PCP?
(Primary Provider section)</t>
  </si>
  <si>
    <t>Dependents (If Any)</t>
  </si>
  <si>
    <t>Enrollment</t>
  </si>
  <si>
    <t>No Need Input</t>
  </si>
  <si>
    <t>Type</t>
  </si>
  <si>
    <t>Country Type</t>
  </si>
  <si>
    <t>In Care of</t>
  </si>
  <si>
    <t>Street 1</t>
  </si>
  <si>
    <t>Street 2</t>
  </si>
  <si>
    <t>Zip Code</t>
  </si>
  <si>
    <t>Default, Not selectable</t>
  </si>
  <si>
    <t>HIPAA Certificate:</t>
  </si>
  <si>
    <t>Keep default Unknown</t>
  </si>
  <si>
    <t>Keep default No</t>
  </si>
  <si>
    <t>Prefix</t>
  </si>
  <si>
    <t>Status</t>
  </si>
  <si>
    <t>Default Active, no need change</t>
  </si>
  <si>
    <t>Ext</t>
  </si>
  <si>
    <t>Fax</t>
  </si>
  <si>
    <t>Select according to roster file</t>
  </si>
  <si>
    <r>
      <t>Address (</t>
    </r>
    <r>
      <rPr>
        <b/>
        <sz val="12"/>
        <color rgb="FFFF0000"/>
        <rFont val="Calibri"/>
        <family val="2"/>
        <scheme val="minor"/>
      </rPr>
      <t>Just need maintain for Add Dependent due to Court Order - Email request</t>
    </r>
    <r>
      <rPr>
        <b/>
        <sz val="12"/>
        <color theme="1"/>
        <rFont val="Calibri"/>
        <family val="2"/>
        <scheme val="minor"/>
      </rPr>
      <t>)</t>
    </r>
  </si>
  <si>
    <t>Reinstate Employee/Dependent</t>
  </si>
  <si>
    <t>If Male = Male
If Female = Female</t>
  </si>
  <si>
    <t>Do any dependents have: Medicare information?</t>
  </si>
  <si>
    <t>If Court Order Dependent, select Court Order Dependent (Email request)
If Input Other dependent =" ", leave it as blank</t>
  </si>
  <si>
    <t>Do any dependents have: 
Medicare information?</t>
  </si>
  <si>
    <t>Product
(Health Benefit)</t>
  </si>
  <si>
    <t>Product
(Dental Benefit)</t>
  </si>
  <si>
    <t>Auto feed as new effective date</t>
  </si>
  <si>
    <t>Cancel Date:</t>
  </si>
  <si>
    <t>Cancel Reason:</t>
  </si>
  <si>
    <t>Select "A - Active"?</t>
  </si>
  <si>
    <t>General Information</t>
  </si>
  <si>
    <t>1. If available, fill out as required
2. If not available, leave it as blank</t>
  </si>
  <si>
    <t>1. If no gap between cancel date and new effective date, just need input new effective date and click Submit to finish
2.If have gap between cancel date and new effective date, input new effective date and click submit to check employee/dependent information per the indication on the form. If any changes, update per the form</t>
  </si>
  <si>
    <t>CMS Employee Status Code</t>
  </si>
  <si>
    <t>Check Box (Single Selection)</t>
  </si>
  <si>
    <t>Primary Email</t>
  </si>
  <si>
    <t>Middle</t>
  </si>
  <si>
    <t>If M = Male 
If F = Female</t>
  </si>
  <si>
    <t>Changed On</t>
  </si>
  <si>
    <t>Hire_Date</t>
  </si>
  <si>
    <t>Address1</t>
  </si>
  <si>
    <t>Address2</t>
  </si>
  <si>
    <t>Checkbox (Multiple selection)</t>
  </si>
  <si>
    <t>Checkbox (Single Selection)</t>
  </si>
  <si>
    <t>General Info &amp; Dependents</t>
  </si>
  <si>
    <t>Checkbox (Single selection)</t>
  </si>
  <si>
    <t>TM need manual select task type in Worklog, automation extact data from Worklog?</t>
  </si>
  <si>
    <t>Group Number:
(Prior Coverage section)</t>
  </si>
  <si>
    <t>Employee ID Number:
(Prior Coverage section)</t>
  </si>
  <si>
    <t>Keep default as blank</t>
  </si>
  <si>
    <t>Product Type
(Health Benefit)</t>
  </si>
  <si>
    <t>Product Type
(Dental Benefit)</t>
  </si>
  <si>
    <t>Default and No Need Change Field in BCBS - Not Editable Field</t>
  </si>
  <si>
    <t>Canada</t>
  </si>
  <si>
    <t>Foreign Country</t>
  </si>
  <si>
    <r>
      <t>Change the Type to Custodial.</t>
    </r>
    <r>
      <rPr>
        <sz val="11"/>
        <color rgb="FFFF0000"/>
        <rFont val="Calibri"/>
        <family val="2"/>
        <scheme val="minor"/>
      </rPr>
      <t xml:space="preserve"> </t>
    </r>
  </si>
  <si>
    <t>1. Add dependent due to court order only exists in email request
2. For other refer to Worklog</t>
  </si>
  <si>
    <r>
      <t xml:space="preserve">1. For Add Dependent Due to Court Order: Signature Date = sign date,  email request
2. For Add Dependent Due to other reasons:
</t>
    </r>
    <r>
      <rPr>
        <b/>
        <sz val="11"/>
        <color theme="1"/>
        <rFont val="Calibri"/>
        <family val="2"/>
        <scheme val="minor"/>
      </rPr>
      <t>For Email Request:</t>
    </r>
    <r>
      <rPr>
        <sz val="11"/>
        <color theme="1"/>
        <rFont val="Calibri"/>
        <family val="2"/>
        <scheme val="minor"/>
      </rPr>
      <t xml:space="preserve">
  1). Signature date shown on the form and EN
  2). If not available, use the day before the effective date.
</t>
    </r>
    <r>
      <rPr>
        <b/>
        <sz val="11"/>
        <color theme="1"/>
        <rFont val="Calibri"/>
        <family val="2"/>
        <scheme val="minor"/>
      </rPr>
      <t>For EN Request:</t>
    </r>
    <r>
      <rPr>
        <sz val="11"/>
        <color theme="1"/>
        <rFont val="Calibri"/>
        <family val="2"/>
        <scheme val="minor"/>
      </rPr>
      <t xml:space="preserve">
Find in EN - Timeline - On ( column)</t>
    </r>
  </si>
  <si>
    <t>Select according to Custodial Parent’s Mailing Address in email court order attachment</t>
  </si>
  <si>
    <r>
      <t>In care of = Custodial Parent’s Name.</t>
    </r>
    <r>
      <rPr>
        <sz val="11"/>
        <color rgb="FFFF0000"/>
        <rFont val="Calibri"/>
        <family val="2"/>
        <scheme val="minor"/>
      </rPr>
      <t xml:space="preserve"> </t>
    </r>
    <r>
      <rPr>
        <sz val="11"/>
        <rFont val="Calibri"/>
        <family val="2"/>
        <scheme val="minor"/>
      </rPr>
      <t>Get from email court order attachment</t>
    </r>
  </si>
  <si>
    <r>
      <t xml:space="preserve">Fill in Custodial Parent’s Mailing Address in address. </t>
    </r>
    <r>
      <rPr>
        <sz val="11"/>
        <rFont val="Calibri"/>
        <family val="2"/>
        <scheme val="minor"/>
      </rPr>
      <t>Get from email court order attachment</t>
    </r>
  </si>
  <si>
    <t>Default as Rehire - Usually no need change
Select according to Worklog if need</t>
  </si>
  <si>
    <t>Reinstate Employee</t>
  </si>
  <si>
    <t xml:space="preserve">                                               </t>
  </si>
  <si>
    <t>I want to: 
(For Employee)</t>
  </si>
  <si>
    <t>I want to: 
(For Dependent)</t>
  </si>
  <si>
    <t>Cobra Effective Date</t>
  </si>
  <si>
    <t>Employee Status</t>
  </si>
  <si>
    <t>Select Maintenance Option</t>
  </si>
  <si>
    <t>Automation Approach</t>
  </si>
  <si>
    <t>Potential Challenge</t>
  </si>
  <si>
    <t>Worklog</t>
  </si>
  <si>
    <t>Task Type</t>
  </si>
  <si>
    <t>EN/Worklog/Email</t>
  </si>
  <si>
    <t>Input</t>
  </si>
  <si>
    <t>Output</t>
  </si>
  <si>
    <t>PCP (Medical)</t>
  </si>
  <si>
    <t>PCP (OBGYN)</t>
  </si>
  <si>
    <r>
      <t xml:space="preserve">1. </t>
    </r>
    <r>
      <rPr>
        <sz val="11"/>
        <rFont val="Calibri"/>
        <family val="2"/>
        <scheme val="minor"/>
      </rPr>
      <t>Medical Group available</t>
    </r>
    <r>
      <rPr>
        <sz val="11"/>
        <color theme="1"/>
        <rFont val="Calibri"/>
        <family val="2"/>
        <scheme val="minor"/>
      </rPr>
      <t xml:space="preserve"> and Provider Number (PCP/NPI #) available: fill out the two numbers and continue</t>
    </r>
    <r>
      <rPr>
        <sz val="11"/>
        <color rgb="FFFF0000"/>
        <rFont val="Calibri"/>
        <family val="2"/>
        <scheme val="minor"/>
      </rPr>
      <t xml:space="preserve">
</t>
    </r>
    <r>
      <rPr>
        <sz val="11"/>
        <rFont val="Calibri"/>
        <family val="2"/>
        <scheme val="minor"/>
      </rPr>
      <t>2. Medical Group available but Provider Number (PCP/NPI #) not available: just need fill out the Medical Group and continue
3.Medical Group not available but Provider Number (PCP/NPI #) available: Find Medical Group Number on BCBS Website, fill out the Medical Group and continue
4.Medical Group not available and Provider Number (PCP/NPI #) not available, Request Missing Information.</t>
    </r>
  </si>
  <si>
    <t>1. Enter Date of the termination. (Note: Enter the first date of no coverage: Date = Enrollment End Date + 1
2. Refer to  EN - Benefit Sumamry - Ended Coverage section - Coverage End Date column</t>
  </si>
  <si>
    <t>Mobile/Cell</t>
  </si>
  <si>
    <r>
      <rPr>
        <b/>
        <sz val="11"/>
        <color theme="1"/>
        <rFont val="Calibri"/>
        <family val="2"/>
        <scheme val="minor"/>
      </rPr>
      <t>For Email request:</t>
    </r>
    <r>
      <rPr>
        <sz val="11"/>
        <color theme="1"/>
        <rFont val="Calibri"/>
        <family val="2"/>
        <scheme val="minor"/>
      </rPr>
      <t xml:space="preserve">
1. Enter Effective Date indicated in request ema</t>
    </r>
    <r>
      <rPr>
        <sz val="11"/>
        <rFont val="Calibri"/>
        <family val="2"/>
        <scheme val="minor"/>
      </rPr>
      <t>il.  It is the date of birth for newly born child.
2. if no effective date in email, ask AM directly</t>
    </r>
    <r>
      <rPr>
        <sz val="11"/>
        <color rgb="FFFF0000"/>
        <rFont val="Calibri"/>
        <family val="2"/>
        <scheme val="minor"/>
      </rPr>
      <t xml:space="preserve">.
</t>
    </r>
    <r>
      <rPr>
        <b/>
        <sz val="11"/>
        <rFont val="Calibri"/>
        <family val="2"/>
        <scheme val="minor"/>
      </rPr>
      <t>For EN:</t>
    </r>
    <r>
      <rPr>
        <sz val="11"/>
        <rFont val="Calibri"/>
        <family val="2"/>
        <scheme val="minor"/>
      </rPr>
      <t xml:space="preserve">
1. if Coverage Level not Change ( e.g. EE+family to EE+Family) refer to Timeline - Event Date
2. if Coverage Level Change ( EE + Child to EE+Family)refer to Benefit Sumamry - Effective </t>
    </r>
  </si>
  <si>
    <t>Event Reason</t>
  </si>
  <si>
    <r>
      <t xml:space="preserve">1. For Add Dependent Due to Court Order: Event Date = Effective Date, just for email request
2. For Add Dependent Due to other reasons:
</t>
    </r>
    <r>
      <rPr>
        <b/>
        <sz val="11"/>
        <color theme="1"/>
        <rFont val="Calibri"/>
        <family val="2"/>
        <scheme val="minor"/>
      </rPr>
      <t>For Email:</t>
    </r>
    <r>
      <rPr>
        <sz val="11"/>
        <color theme="1"/>
        <rFont val="Calibri"/>
        <family val="2"/>
        <scheme val="minor"/>
      </rPr>
      <t xml:space="preserve">
  1). Event date shown on the form 
  2). If not available, input the child date of birth for newly born child and leave blank for other dependents.
</t>
    </r>
    <r>
      <rPr>
        <b/>
        <sz val="11"/>
        <color theme="1"/>
        <rFont val="Calibri"/>
        <family val="2"/>
        <scheme val="minor"/>
      </rPr>
      <t xml:space="preserve">For EN: 
</t>
    </r>
    <r>
      <rPr>
        <sz val="11"/>
        <color theme="1"/>
        <rFont val="Calibri"/>
        <family val="2"/>
        <scheme val="minor"/>
      </rPr>
      <t>Find in Timeline event date column</t>
    </r>
  </si>
  <si>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</si>
  <si>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</si>
  <si>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</si>
  <si>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</si>
  <si>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</si>
  <si>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</si>
  <si>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</si>
  <si>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</si>
  <si>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</si>
  <si>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</si>
  <si>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</si>
  <si>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</si>
  <si>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</si>
  <si>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</si>
  <si>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</si>
  <si>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</si>
  <si>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</si>
  <si>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</si>
  <si>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</si>
  <si>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</si>
  <si>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</si>
  <si>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</si>
  <si>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</si>
  <si>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</si>
  <si>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Aromanian; Arumanian; Macedo-Romanian</t>
  </si>
  <si>
    <t>Artificial languages</t>
  </si>
  <si>
    <t>Assamese</t>
  </si>
  <si>
    <t>Asturian; Bable; Leonese; Asturleonese</t>
  </si>
  <si>
    <t>Athapascan languages</t>
  </si>
  <si>
    <t>Australian languages</t>
  </si>
  <si>
    <t>Austronesian languages</t>
  </si>
  <si>
    <t>Avaric</t>
  </si>
  <si>
    <t>Avestan</t>
  </si>
  <si>
    <t>Awadhi</t>
  </si>
  <si>
    <t>Aymara</t>
  </si>
  <si>
    <t>Azerbaijani</t>
  </si>
  <si>
    <t>Balinese</t>
  </si>
  <si>
    <t>Baltic languages</t>
  </si>
  <si>
    <t>Baluchi</t>
  </si>
  <si>
    <t>Bambara</t>
  </si>
  <si>
    <t>Bamileke languages</t>
  </si>
  <si>
    <t>Banda languages</t>
  </si>
  <si>
    <t>Bantu languages</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</si>
  <si>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</si>
  <si>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</si>
  <si>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</si>
  <si>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</si>
  <si>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</si>
  <si>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</si>
  <si>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</si>
  <si>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</si>
  <si>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</si>
  <si>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</si>
  <si>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</si>
  <si>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</si>
  <si>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</si>
  <si>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</si>
  <si>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</si>
  <si>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</si>
  <si>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Bokmal, Norwegian; Norwegian Bokmal</t>
  </si>
  <si>
    <t>Bosnian</t>
  </si>
  <si>
    <t>Braj</t>
  </si>
  <si>
    <t>Breton</t>
  </si>
  <si>
    <t>Buginese</t>
  </si>
  <si>
    <t>Bulgarian</t>
  </si>
  <si>
    <t>Buriat</t>
  </si>
  <si>
    <t>Burmese</t>
  </si>
  <si>
    <t>Caddo</t>
  </si>
  <si>
    <t>Catalan; Valencian</t>
  </si>
  <si>
    <t>Caucasian languages</t>
  </si>
  <si>
    <t>Cebuano</t>
  </si>
  <si>
    <t>Celtic languages</t>
  </si>
  <si>
    <t>Central American Indian languages</t>
  </si>
  <si>
    <t>Central Khmer</t>
  </si>
  <si>
    <t>Chagatai</t>
  </si>
  <si>
    <t>Chamic languages</t>
  </si>
  <si>
    <t>Chamorro</t>
  </si>
  <si>
    <t>Chechen</t>
  </si>
  <si>
    <t>Cherokee</t>
  </si>
  <si>
    <t>Cheyenne</t>
  </si>
  <si>
    <t>Chibcha</t>
  </si>
  <si>
    <t>Chichewa; Chewa; Nyanja</t>
  </si>
  <si>
    <t>Chinese</t>
  </si>
  <si>
    <t>Chinook jargon</t>
  </si>
  <si>
    <t>Chipewyan; Dene Suline</t>
  </si>
  <si>
    <t>Choctaw</t>
  </si>
  <si>
    <t>Church Slavic; Old Slavonic; Church Slavonic</t>
  </si>
  <si>
    <t>Chuukese</t>
  </si>
  <si>
    <t>Chuvash</t>
  </si>
  <si>
    <t>Classical Newari;Old Newari;Classical Nepal Bhasa</t>
  </si>
  <si>
    <t>Classical Syriac</t>
  </si>
  <si>
    <t>Coptic</t>
  </si>
  <si>
    <t>Cornish</t>
  </si>
  <si>
    <t>Corsican</t>
  </si>
  <si>
    <t>Cree</t>
  </si>
  <si>
    <t>Creek</t>
  </si>
  <si>
    <t>Creoles and pidgins</t>
  </si>
  <si>
    <t>Creoles and pidgins, English based</t>
  </si>
  <si>
    <t>Creoles and pidgins, French-based</t>
  </si>
  <si>
    <t>Creoles and pidgins, Portuguese-based</t>
  </si>
  <si>
    <t>Crimean Tatar; Crimean Turkish</t>
  </si>
  <si>
    <t>Croatian</t>
  </si>
  <si>
    <t>Cushitic languages</t>
  </si>
  <si>
    <t>Czech</t>
  </si>
  <si>
    <t>Dakota</t>
  </si>
  <si>
    <t>Danish</t>
  </si>
  <si>
    <t>Dargwa</t>
  </si>
  <si>
    <t>Delaware</t>
  </si>
  <si>
    <t>Dinka</t>
  </si>
  <si>
    <t>Divehi; Dhivehi; Maldivian</t>
  </si>
  <si>
    <t>Dogri</t>
  </si>
  <si>
    <t>Dogrib</t>
  </si>
  <si>
    <t>Dravidian languages</t>
  </si>
  <si>
    <t>Duala</t>
  </si>
  <si>
    <t>Dutch; Flemish</t>
  </si>
  <si>
    <t>Dutch, Middle (ca.15-135)</t>
  </si>
  <si>
    <t>Dyula</t>
  </si>
  <si>
    <t>Dzongkha</t>
  </si>
  <si>
    <t>Eastern Frisian</t>
  </si>
  <si>
    <t>Efik</t>
  </si>
  <si>
    <t>Egyptian (Ancient)</t>
  </si>
  <si>
    <t>Ekajuk</t>
  </si>
  <si>
    <t>Elamite</t>
  </si>
  <si>
    <t>English, Middle (11-15)</t>
  </si>
  <si>
    <t>English, Old (ca.45-11)</t>
  </si>
  <si>
    <t>Erzya</t>
  </si>
  <si>
    <t>Esperanto</t>
  </si>
  <si>
    <t>Estonian</t>
  </si>
  <si>
    <t>Ewe</t>
  </si>
  <si>
    <t>Ewondo</t>
  </si>
  <si>
    <t>Fang</t>
  </si>
  <si>
    <t>Fanti</t>
  </si>
  <si>
    <t>Faroese</t>
  </si>
  <si>
    <t>Fijian</t>
  </si>
  <si>
    <t>Filipino; Pilipino</t>
  </si>
  <si>
    <t>Finnish</t>
  </si>
  <si>
    <t>Finno-Ugrian languages</t>
  </si>
  <si>
    <t>Fon</t>
  </si>
  <si>
    <t>French</t>
  </si>
  <si>
    <t>French, Middle (ca.14-16)</t>
  </si>
  <si>
    <t>French, Old (842-ca.14)</t>
  </si>
  <si>
    <t>Friulian</t>
  </si>
  <si>
    <t>Fulah</t>
  </si>
  <si>
    <t>Ga</t>
  </si>
  <si>
    <t>Gaelic; Scottish Gaelic</t>
  </si>
  <si>
    <t>Galibi Carib</t>
  </si>
  <si>
    <t>Galician</t>
  </si>
  <si>
    <t>Ganda</t>
  </si>
  <si>
    <t>Gayo</t>
  </si>
  <si>
    <t>Gbaya</t>
  </si>
  <si>
    <t>Geez</t>
  </si>
  <si>
    <t>Georgian</t>
  </si>
  <si>
    <t>German</t>
  </si>
  <si>
    <t>German, Middle High (ca.15-15)</t>
  </si>
  <si>
    <t>German, Old High (ca.75-15)</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</si>
  <si>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</si>
  <si>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</si>
  <si>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</si>
  <si>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</si>
  <si>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</si>
  <si>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</si>
  <si>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</si>
  <si>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</si>
  <si>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</si>
  <si>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</si>
  <si>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</si>
  <si>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</si>
  <si>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</si>
  <si>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</si>
  <si>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</si>
  <si>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</si>
  <si>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</si>
  <si>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</si>
  <si>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Himachali; Western Pahari</t>
  </si>
  <si>
    <t>Hindi</t>
  </si>
  <si>
    <t>Hiri Motu</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</si>
  <si>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</si>
  <si>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</si>
  <si>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</si>
  <si>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</si>
  <si>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</si>
  <si>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</si>
  <si>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</si>
  <si>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</si>
  <si>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</si>
  <si>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</si>
  <si>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</si>
  <si>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</si>
  <si>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</si>
  <si>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</si>
  <si>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</si>
  <si>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Interlingua (International Auxilaray Lang Assn)</t>
  </si>
  <si>
    <t>Interlingue; Occidental</t>
  </si>
  <si>
    <t>Inuktitut</t>
  </si>
  <si>
    <t>Inupiaq</t>
  </si>
  <si>
    <t>Iranian languages</t>
  </si>
  <si>
    <t>Irish</t>
  </si>
  <si>
    <t>Irish, Middle (9-12)</t>
  </si>
  <si>
    <t>Irish, Old (to 9)</t>
  </si>
  <si>
    <t>Iroquoian languages</t>
  </si>
  <si>
    <t>Italian</t>
  </si>
  <si>
    <t>Japanese</t>
  </si>
  <si>
    <t>Javanese</t>
  </si>
  <si>
    <t>Judeo-Arabic</t>
  </si>
  <si>
    <t>Judeo-Persian</t>
  </si>
  <si>
    <t>Kabardian</t>
  </si>
  <si>
    <t>Kabyle</t>
  </si>
  <si>
    <t>Kachin; Jingpho</t>
  </si>
  <si>
    <t>Kalaallisut; Greenlandic</t>
  </si>
  <si>
    <t>Kalmyk; Oirat</t>
  </si>
  <si>
    <t>Kamba</t>
  </si>
  <si>
    <t>Kannada</t>
  </si>
  <si>
    <t>Kanuri</t>
  </si>
  <si>
    <t>Kara-Kalpak</t>
  </si>
  <si>
    <t>Karachay-Balkar</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</si>
  <si>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</si>
  <si>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</si>
  <si>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</si>
  <si>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</si>
  <si>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</si>
  <si>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</si>
  <si>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</si>
  <si>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</si>
  <si>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</si>
  <si>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</si>
  <si>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</si>
  <si>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</si>
  <si>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</si>
  <si>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</si>
  <si>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</si>
  <si>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</si>
  <si>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</si>
  <si>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Korean</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</si>
  <si>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</si>
  <si>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</si>
  <si>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</si>
  <si>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</si>
  <si>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</si>
  <si>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</si>
  <si>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</si>
  <si>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</si>
  <si>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</si>
  <si>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</si>
  <si>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</si>
  <si>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</si>
  <si>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</si>
  <si>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</si>
  <si>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</si>
  <si>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</si>
  <si>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Limburgan; Limburger; Limburgish</t>
  </si>
  <si>
    <t>Lingala</t>
  </si>
  <si>
    <t>Lithuanian</t>
  </si>
  <si>
    <t>Lojban</t>
  </si>
  <si>
    <t>Low German; Low Saxon</t>
  </si>
  <si>
    <t>Lower Sorbian</t>
  </si>
  <si>
    <t>Lozi</t>
  </si>
  <si>
    <t>Luba-Katanga</t>
  </si>
  <si>
    <t>Luba-Lulua</t>
  </si>
  <si>
    <t>Luiseno</t>
  </si>
  <si>
    <t>Lule Sami</t>
  </si>
  <si>
    <t>Lunda</t>
  </si>
  <si>
    <t>Luo (Kenya and Tanzania)</t>
  </si>
  <si>
    <t>Lushai</t>
  </si>
  <si>
    <t>Luxembourgish; Letzeburgesch</t>
  </si>
  <si>
    <t>Macedonian</t>
  </si>
  <si>
    <t>Madurese</t>
  </si>
  <si>
    <t>Magahi</t>
  </si>
  <si>
    <t>Maithili</t>
  </si>
  <si>
    <t>Makasar</t>
  </si>
  <si>
    <t>Malagasy</t>
  </si>
  <si>
    <t>Malay</t>
  </si>
  <si>
    <t>Malayalam</t>
  </si>
  <si>
    <t>Maltese</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</si>
  <si>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</si>
  <si>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</si>
  <si>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</si>
  <si>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</si>
  <si>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</si>
  <si>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</si>
  <si>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</si>
  <si>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</si>
  <si>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</si>
  <si>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</si>
  <si>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</si>
  <si>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</si>
  <si>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</si>
  <si>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</si>
  <si>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</si>
  <si>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</si>
  <si>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</si>
  <si>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</si>
  <si>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</si>
  <si>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</si>
  <si>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Mon-Khmer languages</t>
  </si>
  <si>
    <t>Mongo</t>
  </si>
  <si>
    <t>Mongolian</t>
  </si>
  <si>
    <t>Montenegrin</t>
  </si>
  <si>
    <t>Mossi</t>
  </si>
  <si>
    <t>Multiple languages</t>
  </si>
  <si>
    <t>Munda languages</t>
  </si>
  <si>
    <t>N'Ko</t>
  </si>
  <si>
    <t>Nahuatl languages</t>
  </si>
  <si>
    <t>Nauru</t>
  </si>
  <si>
    <t>Navajo; Navaho</t>
  </si>
  <si>
    <t>Ndebele, North; North Ndebele</t>
  </si>
  <si>
    <t>Ndebele, South; South Ndebele</t>
  </si>
  <si>
    <t>Ndonga</t>
  </si>
  <si>
    <t>Neapolitan</t>
  </si>
  <si>
    <t>Nepal Bhasa; Newari</t>
  </si>
  <si>
    <t>Nepali</t>
  </si>
  <si>
    <t>Nias</t>
  </si>
  <si>
    <t>Niger-Kordofanian languages</t>
  </si>
  <si>
    <t>Nilo-Saharan languages</t>
  </si>
  <si>
    <t>Niuean</t>
  </si>
  <si>
    <t>No linguistic content; Not applicable</t>
  </si>
  <si>
    <t>Nogai</t>
  </si>
  <si>
    <t>Norse, Old</t>
  </si>
  <si>
    <t>North American Indian languages</t>
  </si>
  <si>
    <t>Northern Frisian</t>
  </si>
  <si>
    <t>Northern Sami</t>
  </si>
  <si>
    <t>Norwegian</t>
  </si>
  <si>
    <t>Norwegian Nynorsk; Nynorsk, Norwegian</t>
  </si>
  <si>
    <t>Not Applicable</t>
  </si>
  <si>
    <t>Nubian languages</t>
  </si>
  <si>
    <t>Nyamwezi</t>
  </si>
  <si>
    <t>Nyankole</t>
  </si>
  <si>
    <t>Nyoro</t>
  </si>
  <si>
    <t>Nzima</t>
  </si>
  <si>
    <t>Occitan (post 15)</t>
  </si>
  <si>
    <t>Official Aramaic(7-3BCE);Imperial Aramaic(7-3BCE)</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</si>
  <si>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</si>
  <si>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</si>
  <si>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</si>
  <si>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</si>
  <si>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</si>
  <si>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</si>
  <si>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</si>
  <si>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</si>
  <si>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</si>
  <si>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</si>
  <si>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</si>
  <si>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</si>
  <si>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</si>
  <si>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</si>
  <si>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</si>
  <si>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</si>
  <si>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(ca.6-4 B.C.)</t>
  </si>
  <si>
    <t>Philippine languages</t>
  </si>
  <si>
    <t>Phoenician</t>
  </si>
  <si>
    <t>Pohnpeian</t>
  </si>
  <si>
    <t>Polish</t>
  </si>
  <si>
    <t>Portuguese</t>
  </si>
  <si>
    <t>Prakrit languages</t>
  </si>
  <si>
    <t>Preferred not to Answer</t>
  </si>
  <si>
    <t>Provencal, Old (to 15);Occitan, Old (to 15)</t>
  </si>
  <si>
    <t>Pushto; Pashto</t>
  </si>
  <si>
    <t>Quechua</t>
  </si>
  <si>
    <t>Rajasthani</t>
  </si>
  <si>
    <t>Rapanui</t>
  </si>
  <si>
    <t>Rarotongan; Cook Islands Maori</t>
  </si>
  <si>
    <t>Romance languages</t>
  </si>
  <si>
    <t>Romanian; Moldavian; Moldovan</t>
  </si>
  <si>
    <t>Romansh</t>
  </si>
  <si>
    <t>Romany</t>
  </si>
  <si>
    <t>Rundi</t>
  </si>
  <si>
    <t>Russian</t>
  </si>
  <si>
    <t>Salishan languages</t>
  </si>
  <si>
    <t>Samaritan Aramaic</t>
  </si>
  <si>
    <t>Sami languages</t>
  </si>
  <si>
    <t>Samoan</t>
  </si>
  <si>
    <t>Sandawe</t>
  </si>
  <si>
    <t>Sango</t>
  </si>
  <si>
    <t>Sanskrit</t>
  </si>
  <si>
    <t>Santali</t>
  </si>
  <si>
    <t>Sardinian</t>
  </si>
  <si>
    <t>Sasak</t>
  </si>
  <si>
    <t>Scots</t>
  </si>
  <si>
    <t>Selkup</t>
  </si>
  <si>
    <t>Semitic languages</t>
  </si>
  <si>
    <t>Serbian</t>
  </si>
  <si>
    <t>Serer</t>
  </si>
  <si>
    <t>Shan</t>
  </si>
  <si>
    <t>Shona</t>
  </si>
  <si>
    <t>Sichuan Yi; Nuosu</t>
  </si>
  <si>
    <t>Sicilian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</si>
  <si>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</si>
  <si>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</si>
  <si>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</si>
  <si>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</si>
  <si>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</si>
  <si>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</si>
  <si>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</si>
  <si>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</si>
  <si>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</si>
  <si>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</si>
  <si>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</si>
  <si>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</si>
  <si>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</si>
  <si>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</si>
  <si>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</si>
  <si>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</si>
  <si>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</si>
  <si>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</si>
  <si>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 American Indian languages</t>
  </si>
  <si>
    <t>Southern Altai</t>
  </si>
  <si>
    <t>Southern Sami</t>
  </si>
  <si>
    <t>Spanish; Castilian</t>
  </si>
  <si>
    <t>Sranan Tongo</t>
  </si>
  <si>
    <t>Standard Moroccan Tamazight</t>
  </si>
  <si>
    <t>Sukuma</t>
  </si>
  <si>
    <t>Sumerian</t>
  </si>
  <si>
    <t>Sundanese</t>
  </si>
  <si>
    <t>Susu</t>
  </si>
  <si>
    <t>Swahili</t>
  </si>
  <si>
    <t>Swati</t>
  </si>
  <si>
    <t>Swedish</t>
  </si>
  <si>
    <t>Swiss German; Alemannic; Alsatian</t>
  </si>
  <si>
    <t>Syriac</t>
  </si>
  <si>
    <t>Tagalog</t>
  </si>
  <si>
    <t>Tahitian</t>
  </si>
  <si>
    <t>Tai languages</t>
  </si>
  <si>
    <t>Tajik</t>
  </si>
  <si>
    <t>Tamashek</t>
  </si>
  <si>
    <t>Tamil</t>
  </si>
  <si>
    <t>Tatar</t>
  </si>
  <si>
    <t>Telugu</t>
  </si>
  <si>
    <t>Tereno</t>
  </si>
  <si>
    <t>Tetum</t>
  </si>
  <si>
    <t>Thai</t>
  </si>
  <si>
    <t>Tibetan</t>
  </si>
  <si>
    <t>Tigre</t>
  </si>
  <si>
    <t>Tigrinya</t>
  </si>
  <si>
    <t>Timne</t>
  </si>
  <si>
    <t>Tiv</t>
  </si>
  <si>
    <t>Tlingit</t>
  </si>
  <si>
    <t>Tok Pisin</t>
  </si>
  <si>
    <t>Tokelau</t>
  </si>
  <si>
    <t>Tonga (Nyasa)</t>
  </si>
  <si>
    <t>Tonga (Tonga Islands)</t>
  </si>
  <si>
    <t>Tsimshian</t>
  </si>
  <si>
    <t>Tsonga</t>
  </si>
  <si>
    <t>Tswana</t>
  </si>
  <si>
    <t>Tumbuka</t>
  </si>
  <si>
    <t>Tupi languages</t>
  </si>
  <si>
    <t>Turkish</t>
  </si>
  <si>
    <t>Turkish, Ottoman (15-1928)</t>
  </si>
  <si>
    <t>Turkmen</t>
  </si>
  <si>
    <t>Tuvalu</t>
  </si>
  <si>
    <t>Tuvinian</t>
  </si>
  <si>
    <t>Twi</t>
  </si>
  <si>
    <t>Udmurt</t>
  </si>
  <si>
    <t>Ugaritic</t>
  </si>
  <si>
    <t>Uighur; Uyghur</t>
  </si>
  <si>
    <t>Ukrainian</t>
  </si>
  <si>
    <t>Umbundu</t>
  </si>
  <si>
    <t>Uncoded languages</t>
  </si>
  <si>
    <t>Undetermined</t>
  </si>
  <si>
    <t>Upper Sorbian</t>
  </si>
  <si>
    <t>Urdu</t>
  </si>
  <si>
    <t>Uzbek</t>
  </si>
  <si>
    <t>Vai</t>
  </si>
  <si>
    <t>Venda</t>
  </si>
  <si>
    <t>Vietnamese</t>
  </si>
  <si>
    <t>Volapuk</t>
  </si>
  <si>
    <t>Votic</t>
  </si>
  <si>
    <t>Wakashan languages</t>
  </si>
  <si>
    <t>Walloon</t>
  </si>
  <si>
    <t>Waray</t>
  </si>
  <si>
    <t>Washo</t>
  </si>
  <si>
    <t>Welsh</t>
  </si>
  <si>
    <t>Western Frisian</t>
  </si>
  <si>
    <t>Wolaitta; Wolaytta</t>
  </si>
  <si>
    <t>Wolof</t>
  </si>
  <si>
    <t>Xhosa</t>
  </si>
  <si>
    <t>Yakut</t>
  </si>
  <si>
    <t>Yao</t>
  </si>
  <si>
    <t>Yapese</t>
  </si>
  <si>
    <t>Yiddish</t>
  </si>
  <si>
    <t>Yoruba</t>
  </si>
  <si>
    <t>Yupik languages</t>
  </si>
  <si>
    <t>Zande languages</t>
  </si>
  <si>
    <t>Zapotec</t>
  </si>
  <si>
    <t>Zaza; Dimili; Dimli; Kirdki; Kirmanjki; Zazaki</t>
  </si>
  <si>
    <t>Zenaga</t>
  </si>
  <si>
    <t>Zhuang; Chuang</t>
  </si>
  <si>
    <t>Zulu</t>
  </si>
  <si>
    <t>Zuni</t>
  </si>
  <si>
    <t>Different groups may have different benefit types and options in this screen</t>
  </si>
  <si>
    <t>Same as Health Benefit</t>
  </si>
  <si>
    <t>The field is auto feed after select product type, no need touch here</t>
  </si>
  <si>
    <t>1. Keep default or select No coverage for product type, no other option
1). If there is only 1 product type, keep the default option, no need change anything
2). If there are 2 or more product types, and the dependent just need some of them , select "No coverage" for produce type no need,  then "No coverage" will auto pop up in Product field</t>
  </si>
  <si>
    <t>Default as C - COBRA,no need change</t>
  </si>
  <si>
    <t>Diffent EE have different list, (EE+ dependent)</t>
  </si>
  <si>
    <t>Select according to Worklog</t>
  </si>
  <si>
    <t>eff date = cancel date</t>
  </si>
  <si>
    <t>Select the EE or Depenent</t>
  </si>
  <si>
    <t>Select per form. Diffent EE have different list, select per request</t>
  </si>
  <si>
    <t>Transfer Product</t>
  </si>
  <si>
    <t>Always select "No Change".</t>
  </si>
  <si>
    <t>Need confirm with team</t>
  </si>
  <si>
    <t>What is the period of time that this address is effective?</t>
  </si>
  <si>
    <t>Are mailings going to be sent to this address?</t>
  </si>
  <si>
    <t>Yes/No</t>
  </si>
  <si>
    <t>Address1 (mailing address)</t>
  </si>
  <si>
    <t>Address2(mailing address)</t>
  </si>
  <si>
    <t>City(mailing address)</t>
  </si>
  <si>
    <t>State(mailing address)</t>
  </si>
  <si>
    <t>Zip(mailing address)</t>
  </si>
  <si>
    <t>In Care Of:</t>
  </si>
  <si>
    <t xml:space="preserve">Street 1: </t>
  </si>
  <si>
    <t>Effective Date</t>
  </si>
  <si>
    <t>Default and not editable filed, can’t be pre-fill</t>
  </si>
  <si>
    <t>Refer to EN benefit summary - effective date column
1. If new effective date in EN is different from the one in BCBS , select Transfer Product
2. If new effective date IN en is same as the one in BCBS, select Correct Product</t>
  </si>
  <si>
    <t>Coverage Type:</t>
  </si>
  <si>
    <t>Event Reason:</t>
  </si>
  <si>
    <t>Medical Group: (Primary Provider)</t>
  </si>
  <si>
    <t>Medical Group Name: (Primary Provider)</t>
  </si>
  <si>
    <t>Is your eamployee an existing patient with this PCP? (Primary Provider)</t>
  </si>
  <si>
    <t>Provider Number: (Primary Provider)</t>
  </si>
  <si>
    <t>Physician Name: (Primary Provider)</t>
  </si>
  <si>
    <t>Is your eamployee an existing patient with this PCP? (WPHCP Provider)</t>
  </si>
  <si>
    <t>Provider Number: (WPHCP Provider)</t>
  </si>
  <si>
    <t>Physician Name: (WPHCP Provider)</t>
  </si>
  <si>
    <t>PCP Name? Need confirm with team</t>
  </si>
  <si>
    <t>Cancel Product</t>
  </si>
  <si>
    <t>Transfer Product/Correct Product</t>
  </si>
  <si>
    <t>Single/Family, need confirm with team</t>
  </si>
  <si>
    <r>
      <t xml:space="preserve">If Souse = Spouse
If Ex-Spouse = Ex-Spouse
</t>
    </r>
    <r>
      <rPr>
        <sz val="11"/>
        <rFont val="Calibri"/>
        <family val="2"/>
        <scheme val="minor"/>
      </rPr>
      <t>If Child = Dependent Child</t>
    </r>
    <r>
      <rPr>
        <sz val="11"/>
        <color theme="1"/>
        <rFont val="Calibri"/>
        <family val="2"/>
        <scheme val="minor"/>
      </rPr>
      <t xml:space="preserve">
If Domestic Partner = Domestic Partner
Never select</t>
    </r>
    <r>
      <rPr>
        <sz val="11"/>
        <rFont val="Calibri"/>
        <family val="2"/>
        <scheme val="minor"/>
      </rPr>
      <t xml:space="preserve"> Civil Union Spouse or Ex-Civil Union Spouse</t>
    </r>
    <r>
      <rPr>
        <sz val="11"/>
        <color rgb="FFFF0000"/>
        <rFont val="Calibri"/>
        <family val="2"/>
        <scheme val="minor"/>
      </rPr>
      <t xml:space="preserve">
</t>
    </r>
    <r>
      <rPr>
        <sz val="11"/>
        <rFont val="Calibri"/>
        <family val="2"/>
        <scheme val="minor"/>
      </rPr>
      <t>If Ex-Domestic Partner, Report to AM
If Former Dependent, Report to AM
If Deceased Spouse, Report to AM
If Deceased Dependent, Report to AM
If Legal Dependent, Report to AM</t>
    </r>
  </si>
  <si>
    <t>Refer to EN - profile - Address, CBIZB never click No previously
1. If there is only home address and no mailing address in EN, keep default as Yes
2. If mailling address is different from home address, select no; otherwise, select yes</t>
  </si>
  <si>
    <t>Formula</t>
  </si>
  <si>
    <t>Enrollment Start Date - Effective Date</t>
  </si>
  <si>
    <t>Go to BCBS website and get effective date fill into outpu field</t>
  </si>
  <si>
    <t>Add Product</t>
  </si>
  <si>
    <t>Relation：</t>
  </si>
  <si>
    <t>Cancel EE Information</t>
  </si>
  <si>
    <t>Cancel Dependent Information</t>
  </si>
  <si>
    <r>
      <t xml:space="preserve">For EN request
1. If there is only 1 item found in EN, no need input the field in BCBS.
2. If there are 2 items, need check type for this PCP.
Input PCP ID under </t>
    </r>
    <r>
      <rPr>
        <b/>
        <sz val="11"/>
        <color theme="1"/>
        <rFont val="Calibri"/>
        <family val="2"/>
        <scheme val="minor"/>
      </rPr>
      <t>OB/GYN</t>
    </r>
    <r>
      <rPr>
        <sz val="11"/>
        <color theme="1"/>
        <rFont val="Calibri"/>
        <family val="2"/>
        <scheme val="minor"/>
      </rPr>
      <t xml:space="preserve"> type to Provider Number(WPHCP Provider section)</t>
    </r>
  </si>
  <si>
    <r>
      <t xml:space="preserve">For EN request
1. If there is only 1 item in EN, input the PCP ID to Provider Number(Primary Provider section)
2. If there are 2 items, </t>
    </r>
    <r>
      <rPr>
        <sz val="11"/>
        <rFont val="Calibri"/>
        <family val="2"/>
        <scheme val="minor"/>
      </rPr>
      <t xml:space="preserve">need check type for this PCP.
Input PCP ID under </t>
    </r>
    <r>
      <rPr>
        <b/>
        <sz val="11"/>
        <rFont val="Calibri"/>
        <family val="2"/>
        <scheme val="minor"/>
      </rPr>
      <t>Medical</t>
    </r>
    <r>
      <rPr>
        <sz val="11"/>
        <rFont val="Calibri"/>
        <family val="2"/>
        <scheme val="minor"/>
      </rPr>
      <t xml:space="preserve"> type PCP to Provider Number(Primary Provider section)</t>
    </r>
    <r>
      <rPr>
        <b/>
        <sz val="11"/>
        <rFont val="Calibri"/>
        <family val="2"/>
        <scheme val="minor"/>
      </rPr>
      <t/>
    </r>
  </si>
  <si>
    <r>
      <t xml:space="preserve">For EN request
1. Default as No
2. If there is only 1 item EN - Keep default as No, no need change
3. If there are 2 items, need check type for this PCP. 
Check Current Patient column under </t>
    </r>
    <r>
      <rPr>
        <b/>
        <sz val="11"/>
        <color theme="1"/>
        <rFont val="Calibri"/>
        <family val="2"/>
        <scheme val="minor"/>
      </rPr>
      <t>OB/GYN</t>
    </r>
    <r>
      <rPr>
        <sz val="11"/>
        <color theme="1"/>
        <rFont val="Calibri"/>
        <family val="2"/>
        <scheme val="minor"/>
      </rPr>
      <t xml:space="preserve"> type: if No, Keep default as No; If Yes, select Yes in WPHCP Provider section</t>
    </r>
  </si>
  <si>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</si>
  <si>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</si>
  <si>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</si>
  <si>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</si>
  <si>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</si>
  <si>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</si>
  <si>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</si>
  <si>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</si>
  <si>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</si>
  <si>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</si>
  <si>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</si>
  <si>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</si>
  <si>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</si>
  <si>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</si>
  <si>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</si>
  <si>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</si>
  <si>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</si>
  <si>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</si>
  <si>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</si>
  <si>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</si>
  <si>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</si>
  <si>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</si>
  <si>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</si>
  <si>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</si>
  <si>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</si>
  <si>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</si>
  <si>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</si>
  <si>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</si>
  <si>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</si>
  <si>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</si>
  <si>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</si>
  <si>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</si>
  <si>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</si>
  <si>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</si>
  <si>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</si>
  <si>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</si>
  <si>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</si>
  <si>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</si>
  <si>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</si>
  <si>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</si>
  <si>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</si>
  <si>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</si>
  <si>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</si>
  <si>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</si>
  <si>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</si>
  <si>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</si>
  <si>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</si>
  <si>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</si>
  <si>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</si>
  <si>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</si>
  <si>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Enroll in COBRA (Email Request)</t>
  </si>
  <si>
    <t>Terminate Employee (EE'S COBRA) - Terminate COBRA is email requst</t>
  </si>
  <si>
    <t>Account Request
COBRA $0 / Ltd
Continuation Non-Payment
Continuation Subscriber Withdrawal
Continuation Time Period Runout
D &amp; R Termination
Deceased
Ex-Spouse Coverage Extension Expired
Insufficient Hours Worked
Involuntary Termination
Layoff
Leave of absence
Left Employment
Military Service
Other
Subscriber Request</t>
  </si>
  <si>
    <t>Account Request
Continuation Non-Payment
Continuation Subscriber Withdrawal
Continuation Time Period Runout
D &amp; R Termination
Deceased
Depd Elected Cont. Of Cvg - Trans To New Sub
Disability Status Expired
Divorce/Legal Separation
Eligibility Requirements Not Met
Ex-Spouse Coverage Extension Expired
Military Service
No Response To Disabled Dependent Certification
No Response To Student Certification
Other
Overage Dependent
Student Status Expired
Subscriber Request
Transfer Member As A New Subscriber</t>
  </si>
  <si>
    <r>
      <rPr>
        <b/>
        <sz val="11"/>
        <color theme="1"/>
        <rFont val="Calibri"/>
        <family val="2"/>
        <scheme val="minor"/>
      </rPr>
      <t>For Input</t>
    </r>
    <r>
      <rPr>
        <sz val="11"/>
        <color theme="1"/>
        <rFont val="Calibri"/>
        <family val="2"/>
        <scheme val="minor"/>
      </rPr>
      <t xml:space="preserve">
1. Extract plan name from Plan column from enrollment report when change field show as
</t>
    </r>
    <r>
      <rPr>
        <b/>
        <sz val="11"/>
        <color theme="1"/>
        <rFont val="Calibri"/>
        <family val="2"/>
        <scheme val="minor"/>
      </rPr>
      <t xml:space="preserve">For Output
</t>
    </r>
    <r>
      <rPr>
        <sz val="11"/>
        <color theme="1"/>
        <rFont val="Calibri"/>
        <family val="2"/>
        <scheme val="minor"/>
      </rPr>
      <t>TDB waiting for BCBS list from tech</t>
    </r>
  </si>
  <si>
    <t xml:space="preserve">TBD
Need confirm with team how to identify HMO when get product type list from tech, because WPHCP Provider section will display when product type is HMO and EE gender is female
</t>
  </si>
  <si>
    <t xml:space="preserve">TBD
Need confirm with team how to identify HMO when get product type list from tech, because primary provider section will display when product type is HMO
</t>
  </si>
  <si>
    <t>Task type is T - Termination/D - Termination (Death) in work log task type column</t>
  </si>
  <si>
    <t>Task type is O - Drop Dependent in work log task type column</t>
  </si>
  <si>
    <t>Country</t>
  </si>
  <si>
    <t xml:space="preserve">
1. O - Drop Dependent = Cancel Employee</t>
  </si>
  <si>
    <t>1. If Event reasonis Deceased, enter the Date of Death
2.  Refer to EN - Timeline Event date column, dependent death date will show in event date</t>
  </si>
  <si>
    <t>1. If Event reasonis Deceased, enter the Date of Death
2. Refer to EN - Timeline Event date column</t>
  </si>
  <si>
    <t xml:space="preserve">
1.. T - Termination = Cancel Employee/Dependent
2.  D - Termination (Death) = Cancel Employee/Dependent
3. DC - Change Personal info = Update Personal Details
4. NC - Add Child(ren) = Add Dependent
5. NS - Add Spouse = Add Dependent
6. NS &amp; NC - Add Spouse &amp; Child(ren) = Add Dependent
</t>
  </si>
  <si>
    <t>Transfer Product/Correct Plan</t>
  </si>
  <si>
    <t>Drop Product</t>
  </si>
  <si>
    <t>Change Dependent information- out of automation in phase 1</t>
  </si>
  <si>
    <t>Change Plan Information - Out of automation in Phase 1</t>
  </si>
  <si>
    <t>Birth Date</t>
  </si>
  <si>
    <t>Trigger of Automation</t>
  </si>
  <si>
    <t>Name(Dependent)</t>
  </si>
  <si>
    <t xml:space="preserve">Single selection by click name </t>
  </si>
  <si>
    <t>Relation</t>
  </si>
  <si>
    <t>Default information follow after dependent name</t>
  </si>
  <si>
    <r>
      <t>1. Information in BCBS Search results section can't be prefill in DC template.
2. Name format display in Search Results section in BCBS can be as below
1). Name(Last, Fist MI) e.g. SMITH, Mary N</t>
    </r>
    <r>
      <rPr>
        <b/>
        <sz val="11"/>
        <color theme="1"/>
        <rFont val="Calibri"/>
        <family val="2"/>
        <scheme val="minor"/>
      </rPr>
      <t xml:space="preserve">
2). </t>
    </r>
    <r>
      <rPr>
        <sz val="11"/>
        <color theme="1"/>
        <rFont val="Calibri"/>
        <family val="2"/>
        <scheme val="minor"/>
      </rPr>
      <t>Name(Last, Fist MI) + Dependents. e.g. SMITH, MARY N + Dependents. Note: Name(Last, Fist MI) and wording "+ Dependents" are in different row but not sure if they are always in different row
Note: 
When Click wording "+ Dependents" after "+", dependents name list will show, can directly click dependent name here to go to Dependent page to select "I want to"</t>
    </r>
  </si>
  <si>
    <r>
      <rPr>
        <b/>
        <sz val="11"/>
        <rFont val="Calibri"/>
        <family val="2"/>
        <scheme val="minor"/>
      </rPr>
      <t>For Input:</t>
    </r>
    <r>
      <rPr>
        <sz val="11"/>
        <color theme="1"/>
        <rFont val="Calibri"/>
        <family val="2"/>
        <scheme val="minor"/>
      </rPr>
      <t xml:space="preserve">
</t>
    </r>
    <r>
      <rPr>
        <b/>
        <sz val="11"/>
        <color rgb="FF00B050"/>
        <rFont val="Calibri"/>
        <family val="2"/>
        <scheme val="minor"/>
      </rPr>
      <t>Automation extract Suffix from EN/report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Always keep blank for CBIZB team
</t>
    </r>
    <r>
      <rPr>
        <b/>
        <sz val="11"/>
        <color rgb="FF00B050"/>
        <rFont val="Calibri"/>
        <family val="2"/>
        <scheme val="minor"/>
      </rPr>
      <t>2. Automation get information from output and input into Suffix field in BCBS</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</si>
  <si>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gender from EN/report to input field</t>
    </r>
    <r>
      <rPr>
        <sz val="11"/>
        <color theme="1"/>
        <rFont val="Calibri"/>
        <family val="2"/>
        <scheme val="minor"/>
      </rPr>
      <t xml:space="preserve">
</t>
    </r>
    <r>
      <rPr>
        <b/>
        <sz val="11"/>
        <color theme="1"/>
        <rFont val="Calibri"/>
        <family val="2"/>
        <scheme val="minor"/>
      </rPr>
      <t>For Outpu:</t>
    </r>
    <r>
      <rPr>
        <sz val="11"/>
        <color theme="1"/>
        <rFont val="Calibri"/>
        <family val="2"/>
        <scheme val="minor"/>
      </rPr>
      <t xml:space="preserve">
1. Link input and output by formula (if?)
</t>
    </r>
    <r>
      <rPr>
        <b/>
        <sz val="11"/>
        <color rgb="FF00B050"/>
        <rFont val="Calibri"/>
        <family val="2"/>
        <scheme val="minor"/>
      </rPr>
      <t>2. Automation select Gender from drop list in BCBS according to information in output field</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</si>
  <si>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DOB from EN/report to input field</t>
    </r>
    <r>
      <rPr>
        <sz val="11"/>
        <color theme="1"/>
        <rFont val="Calibri"/>
        <family val="2"/>
        <scheme val="minor"/>
      </rPr>
      <t xml:space="preserve">
</t>
    </r>
    <r>
      <rPr>
        <b/>
        <sz val="11"/>
        <rFont val="Calibri"/>
        <family val="2"/>
        <scheme val="minor"/>
      </rPr>
      <t>For Output:</t>
    </r>
    <r>
      <rPr>
        <sz val="11"/>
        <color theme="1"/>
        <rFont val="Calibri"/>
        <family val="2"/>
        <scheme val="minor"/>
      </rPr>
      <t xml:space="preserve">
1. Link input and output by formula (=?)
</t>
    </r>
    <r>
      <rPr>
        <b/>
        <sz val="11"/>
        <color rgb="FF00B050"/>
        <rFont val="Calibri"/>
        <family val="2"/>
        <scheme val="minor"/>
      </rPr>
      <t>2. Automation get information from output and split into MM/DD/YYY to fill out related 3 fields in BCBS</t>
    </r>
  </si>
  <si>
    <r>
      <rPr>
        <b/>
        <sz val="11"/>
        <color theme="1"/>
        <rFont val="Calibri"/>
        <family val="2"/>
        <scheme val="minor"/>
      </rPr>
      <t>For Input:</t>
    </r>
    <r>
      <rPr>
        <sz val="11"/>
        <color theme="1"/>
        <rFont val="Calibri"/>
        <family val="2"/>
        <scheme val="minor"/>
      </rPr>
      <t xml:space="preserve">
Link by formula Enrollment Start Date - DOB, (datedif?)
</t>
    </r>
    <r>
      <rPr>
        <b/>
        <sz val="11"/>
        <color theme="1"/>
        <rFont val="Calibri"/>
        <family val="2"/>
        <scheme val="minor"/>
      </rPr>
      <t>For Output:</t>
    </r>
    <r>
      <rPr>
        <sz val="11"/>
        <color theme="1"/>
        <rFont val="Calibri"/>
        <family val="2"/>
        <scheme val="minor"/>
      </rPr>
      <t xml:space="preserve">
1. Link input and output by formula (if?)
</t>
    </r>
    <r>
      <rPr>
        <b/>
        <sz val="11"/>
        <color rgb="FF00B050"/>
        <rFont val="Calibri"/>
        <family val="2"/>
        <scheme val="minor"/>
      </rPr>
      <t>2. Automation select Medicare Eligibility from its drop list in BCBS according to information in output field</t>
    </r>
  </si>
  <si>
    <r>
      <rPr>
        <b/>
        <sz val="11"/>
        <color theme="1"/>
        <rFont val="Calibri"/>
        <family val="2"/>
        <scheme val="minor"/>
      </rPr>
      <t xml:space="preserve">For Input:
</t>
    </r>
    <r>
      <rPr>
        <b/>
        <sz val="11"/>
        <color rgb="FF00B050"/>
        <rFont val="Calibri"/>
        <family val="2"/>
        <scheme val="minor"/>
      </rPr>
      <t>Automation extract Marital Status from EN/report to input field</t>
    </r>
    <r>
      <rPr>
        <b/>
        <sz val="11"/>
        <color theme="1"/>
        <rFont val="Calibri"/>
        <family val="2"/>
        <scheme val="minor"/>
      </rPr>
      <t xml:space="preserve">
For Output</t>
    </r>
    <r>
      <rPr>
        <sz val="11"/>
        <color theme="1"/>
        <rFont val="Calibri"/>
        <family val="2"/>
        <scheme val="minor"/>
      </rPr>
      <t xml:space="preserve">
1. Link input and output by formula (=?)
</t>
    </r>
    <r>
      <rPr>
        <b/>
        <sz val="11"/>
        <color rgb="FF00B050"/>
        <rFont val="Calibri"/>
        <family val="2"/>
        <scheme val="minor"/>
      </rPr>
      <t>2. Automation get information from output field and split into MM/DD/YYY to fill out Hire Date 3 fields in BCBS</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</si>
  <si>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Race/Ethnicity from EN/report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Always keep default as Unknown in output field for CBIZB team 
</t>
    </r>
    <r>
      <rPr>
        <b/>
        <sz val="11"/>
        <color rgb="FF00B050"/>
        <rFont val="Calibri"/>
        <family val="2"/>
        <scheme val="minor"/>
      </rPr>
      <t>2. Automation select Race (select all that apply) by clicking check box according to information in output field</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</si>
  <si>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Race/Ethnicity from EN/report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Always keep default as Unknown in output field for CBIZB team
</t>
    </r>
    <r>
      <rPr>
        <b/>
        <sz val="11"/>
        <color rgb="FF00B050"/>
        <rFont val="Calibri"/>
        <family val="2"/>
        <scheme val="minor"/>
      </rPr>
      <t>2. Automation select Ethnicity (select all that apply) by clicking check box according to information in output field</t>
    </r>
  </si>
  <si>
    <r>
      <rPr>
        <b/>
        <sz val="11"/>
        <color theme="1"/>
        <rFont val="Calibri"/>
        <family val="2"/>
        <scheme val="minor"/>
      </rPr>
      <t>For Input:</t>
    </r>
    <r>
      <rPr>
        <sz val="11"/>
        <color theme="1"/>
        <rFont val="Calibri"/>
        <family val="2"/>
        <scheme val="minor"/>
      </rPr>
      <t xml:space="preserve">
No status in EN, No need input, keep blank for CBIZB team
</t>
    </r>
    <r>
      <rPr>
        <b/>
        <sz val="11"/>
        <color theme="1"/>
        <rFont val="Calibri"/>
        <family val="2"/>
        <scheme val="minor"/>
      </rPr>
      <t>For Output:</t>
    </r>
    <r>
      <rPr>
        <sz val="11"/>
        <color theme="1"/>
        <rFont val="Calibri"/>
        <family val="2"/>
        <scheme val="minor"/>
      </rPr>
      <t xml:space="preserve">
1. Always keep "Active" in output field for CBIZB team
</t>
    </r>
    <r>
      <rPr>
        <b/>
        <sz val="11"/>
        <color rgb="FF00B050"/>
        <rFont val="Calibri"/>
        <family val="2"/>
        <scheme val="minor"/>
      </rPr>
      <t>2. Automation select "Active" from Status drop down list according to information in output field</t>
    </r>
  </si>
  <si>
    <r>
      <rPr>
        <b/>
        <sz val="11"/>
        <color theme="1"/>
        <rFont val="Calibri"/>
        <family val="2"/>
        <scheme val="minor"/>
      </rPr>
      <t>For Input:</t>
    </r>
    <r>
      <rPr>
        <sz val="11"/>
        <color theme="1"/>
        <rFont val="Calibri"/>
        <family val="2"/>
        <scheme val="minor"/>
      </rPr>
      <t xml:space="preserve">
No prefix field in EN, no need input, keek default as blank in input field
</t>
    </r>
    <r>
      <rPr>
        <b/>
        <sz val="11"/>
        <color theme="1"/>
        <rFont val="Calibri"/>
        <family val="2"/>
        <scheme val="minor"/>
      </rPr>
      <t>For Output:</t>
    </r>
    <r>
      <rPr>
        <sz val="11"/>
        <color theme="1"/>
        <rFont val="Calibri"/>
        <family val="2"/>
        <scheme val="minor"/>
      </rPr>
      <t xml:space="preserve">
1. Always keep blank in output field for CBIZB team
</t>
    </r>
    <r>
      <rPr>
        <b/>
        <sz val="11"/>
        <color rgb="FF00B050"/>
        <rFont val="Calibri"/>
        <family val="2"/>
        <scheme val="minor"/>
      </rPr>
      <t>2. Automation get information from output filed and input into Prefix field in BCBS</t>
    </r>
  </si>
  <si>
    <r>
      <rPr>
        <b/>
        <sz val="11"/>
        <color theme="1"/>
        <rFont val="Calibri"/>
        <family val="2"/>
        <scheme val="minor"/>
      </rPr>
      <t xml:space="preserve">For Input:
</t>
    </r>
    <r>
      <rPr>
        <b/>
        <sz val="11"/>
        <color rgb="FF00B050"/>
        <rFont val="Calibri"/>
        <family val="2"/>
        <scheme val="minor"/>
      </rPr>
      <t>Automation extract last name from EN/report to input field</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
</t>
    </r>
    <r>
      <rPr>
        <b/>
        <sz val="11"/>
        <color rgb="FF00B050"/>
        <rFont val="Calibri"/>
        <family val="2"/>
        <scheme val="minor"/>
      </rPr>
      <t>2. Automation get information from output field and input into "Last" field in BCBS</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</si>
  <si>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zip of home address from EN/report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Link input and output by formula (=?)
</t>
    </r>
    <r>
      <rPr>
        <b/>
        <sz val="11"/>
        <color rgb="FF00B050"/>
        <rFont val="Calibri"/>
        <family val="2"/>
        <scheme val="minor"/>
      </rPr>
      <t>2. Automation get information from output and input into BCBS Zip Code field</t>
    </r>
  </si>
  <si>
    <t>Extension</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</si>
  <si>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extension from EN/report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Always keep blank in output field for CBIZB team
</t>
    </r>
    <r>
      <rPr>
        <b/>
        <sz val="11"/>
        <color rgb="FF00B050"/>
        <rFont val="Calibri"/>
        <family val="2"/>
        <scheme val="minor"/>
      </rPr>
      <t>2. Automation get information from output filed and input into Ext field in BCBS</t>
    </r>
  </si>
  <si>
    <r>
      <rPr>
        <b/>
        <sz val="11"/>
        <color theme="1"/>
        <rFont val="Calibri"/>
        <family val="2"/>
        <scheme val="minor"/>
      </rPr>
      <t>For Input:</t>
    </r>
    <r>
      <rPr>
        <sz val="11"/>
        <color theme="1"/>
        <rFont val="Calibri"/>
        <family val="2"/>
        <scheme val="minor"/>
      </rPr>
      <t xml:space="preserve">
No Fax Field in EN, always keep blank in input field for CBIZB team
</t>
    </r>
    <r>
      <rPr>
        <b/>
        <sz val="11"/>
        <color theme="1"/>
        <rFont val="Calibri"/>
        <family val="2"/>
        <scheme val="minor"/>
      </rPr>
      <t>For Output:</t>
    </r>
    <r>
      <rPr>
        <sz val="11"/>
        <color theme="1"/>
        <rFont val="Calibri"/>
        <family val="2"/>
        <scheme val="minor"/>
      </rPr>
      <t xml:space="preserve">
1. Always keep blank in output field for CBIZB team
</t>
    </r>
    <r>
      <rPr>
        <b/>
        <sz val="11"/>
        <color rgb="FF00B050"/>
        <rFont val="Calibri"/>
        <family val="2"/>
        <scheme val="minor"/>
      </rPr>
      <t>2. Automation get information from output filed and input into Ext field in BCBS</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</si>
  <si>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identify primary enail type in EN/report
1. If primary email type is Work, automation extract work email in input field
2. If Primary email type is Personal, automation extract personal email in input field</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
</t>
    </r>
    <r>
      <rPr>
        <b/>
        <sz val="11"/>
        <color rgb="FF00B050"/>
        <rFont val="Calibri"/>
        <family val="2"/>
        <scheme val="minor"/>
      </rPr>
      <t>2. Automation get information from output and input into BCBS Email field</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</si>
  <si>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SSN from EN/report to input field</t>
    </r>
    <r>
      <rPr>
        <sz val="11"/>
        <color theme="1"/>
        <rFont val="Calibri"/>
        <family val="2"/>
        <scheme val="minor"/>
      </rPr>
      <t xml:space="preserve">
For Output
1. Link input and output by formula (SUBSTITUTE?)
</t>
    </r>
    <r>
      <rPr>
        <b/>
        <sz val="11"/>
        <color rgb="FF00B050"/>
        <rFont val="Calibri"/>
        <family val="2"/>
        <scheme val="minor"/>
      </rPr>
      <t>2. Automation get information from output and split into xxx/xx/xxxx to fill out related 3 fields in BCBS</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</si>
  <si>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SSN from EN/report to input field, if there are 2 or more dependent use "|" to split</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
</t>
    </r>
    <r>
      <rPr>
        <b/>
        <sz val="11"/>
        <color rgb="FF00B050"/>
        <rFont val="Calibri"/>
        <family val="2"/>
        <scheme val="minor"/>
      </rPr>
      <t>2. Automation get information from output field and split into XXX/XX/XXXX to input into "DOB" field in BCBS for different dependents</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</si>
  <si>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information from "Event Reason" in work log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Link input and output by formula (=?)
</t>
    </r>
    <r>
      <rPr>
        <b/>
        <sz val="11"/>
        <color rgb="FF00B050"/>
        <rFont val="Calibri"/>
        <family val="2"/>
        <scheme val="minor"/>
      </rPr>
      <t>2. Automation select Reason for Enrollment in BCBS dropdown list according to information in output</t>
    </r>
  </si>
  <si>
    <t>Task type is E - Enrollment or LC - Enrollment (loss of coverage) in work log task type column</t>
  </si>
  <si>
    <t>Sub CDHP Elections:</t>
  </si>
  <si>
    <r>
      <rPr>
        <b/>
        <sz val="11"/>
        <color theme="1"/>
        <rFont val="Calibri"/>
        <family val="2"/>
        <scheme val="minor"/>
      </rPr>
      <t xml:space="preserve">For Input: </t>
    </r>
    <r>
      <rPr>
        <sz val="11"/>
        <color theme="1"/>
        <rFont val="Calibri"/>
        <family val="2"/>
        <scheme val="minor"/>
      </rPr>
      <t xml:space="preserve">
</t>
    </r>
    <r>
      <rPr>
        <b/>
        <sz val="11"/>
        <color rgb="FF00B050"/>
        <rFont val="Calibri"/>
        <family val="2"/>
        <scheme val="minor"/>
      </rPr>
      <t>Automation go to EN/report Middle field to identify if there is information in it
1. If Middle name is blank, automation keep input field as blank
2. If Middle name exists, Automation extract middle initial (first letter in capital)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is linked by formula to input field, (Left?)
2. </t>
    </r>
    <r>
      <rPr>
        <b/>
        <sz val="11"/>
        <color rgb="FF00B050"/>
        <rFont val="Calibri"/>
        <family val="2"/>
        <scheme val="minor"/>
      </rPr>
      <t>Automation get information from output field and input into "MI" field in BCBS</t>
    </r>
  </si>
  <si>
    <t>Personal Cell</t>
  </si>
  <si>
    <t>Business Cell</t>
  </si>
  <si>
    <r>
      <t xml:space="preserve">For Input:
</t>
    </r>
    <r>
      <rPr>
        <b/>
        <sz val="11"/>
        <color rgb="FF00B050"/>
        <rFont val="Calibri"/>
        <family val="2"/>
        <scheme val="minor"/>
      </rPr>
      <t>Automation extract business cell from EN/report to input field with format xxxxxxxxxx(e.g. 1234567890)</t>
    </r>
    <r>
      <rPr>
        <b/>
        <sz val="11"/>
        <color theme="1"/>
        <rFont val="Calibri"/>
        <family val="2"/>
        <scheme val="minor"/>
      </rPr>
      <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</si>
  <si>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work phone from EN/report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t>
    </r>
    <r>
      <rPr>
        <sz val="11"/>
        <rFont val="Calibri"/>
        <family val="2"/>
        <scheme val="minor"/>
      </rPr>
      <t>1. Link input and output by formula (substitue?)</t>
    </r>
    <r>
      <rPr>
        <sz val="11"/>
        <color theme="1"/>
        <rFont val="Calibri"/>
        <family val="2"/>
        <scheme val="minor"/>
      </rPr>
      <t xml:space="preserve">
</t>
    </r>
    <r>
      <rPr>
        <b/>
        <sz val="11"/>
        <color rgb="FF00B050"/>
        <rFont val="Calibri"/>
        <family val="2"/>
        <scheme val="minor"/>
      </rPr>
      <t>2. Automation get information from output and split into xxx/xxx/xxxx to fill out "Business" 3 fields in BCBS</t>
    </r>
  </si>
  <si>
    <r>
      <rPr>
        <b/>
        <sz val="11"/>
        <color theme="1"/>
        <rFont val="Calibri"/>
        <family val="2"/>
        <scheme val="minor"/>
      </rPr>
      <t xml:space="preserve">For Input:
</t>
    </r>
    <r>
      <rPr>
        <sz val="11"/>
        <color theme="1"/>
        <rFont val="Calibri"/>
        <family val="2"/>
        <scheme val="minor"/>
      </rPr>
      <t xml:space="preserve">No need input
</t>
    </r>
    <r>
      <rPr>
        <b/>
        <sz val="11"/>
        <color theme="1"/>
        <rFont val="Calibri"/>
        <family val="2"/>
        <scheme val="minor"/>
      </rPr>
      <t xml:space="preserve">For Output:
</t>
    </r>
    <r>
      <rPr>
        <sz val="11"/>
        <color theme="1"/>
        <rFont val="Calibri"/>
        <family val="2"/>
        <scheme val="minor"/>
      </rPr>
      <t xml:space="preserve">1. Always keep "A - Active" in output field
</t>
    </r>
    <r>
      <rPr>
        <b/>
        <sz val="11"/>
        <color rgb="FF00B050"/>
        <rFont val="Calibri"/>
        <family val="2"/>
        <scheme val="minor"/>
      </rPr>
      <t>2. Automation select "A - Active" from dropdown list in BCBS</t>
    </r>
  </si>
  <si>
    <r>
      <rPr>
        <b/>
        <sz val="11"/>
        <color theme="1"/>
        <rFont val="Calibri"/>
        <family val="2"/>
        <scheme val="minor"/>
      </rPr>
      <t>For Input:</t>
    </r>
    <r>
      <rPr>
        <sz val="11"/>
        <color theme="1"/>
        <rFont val="Calibri"/>
        <family val="2"/>
        <scheme val="minor"/>
      </rPr>
      <t xml:space="preserve">
No need input
</t>
    </r>
    <r>
      <rPr>
        <b/>
        <sz val="11"/>
        <color theme="1"/>
        <rFont val="Calibri"/>
        <family val="2"/>
        <scheme val="minor"/>
      </rPr>
      <t>For Output:</t>
    </r>
    <r>
      <rPr>
        <sz val="11"/>
        <color theme="1"/>
        <rFont val="Calibri"/>
        <family val="2"/>
        <scheme val="minor"/>
      </rPr>
      <t xml:space="preserve">
1. Always keep "Yes" in output field
2. No need touch the field in BCBS, since it default as "Yes"</t>
    </r>
  </si>
  <si>
    <t>*Dental Clinic Number:</t>
  </si>
  <si>
    <t>*Medical Group:
(Primary Provider section)</t>
  </si>
  <si>
    <t>*Is your employee an existing patient with this PCP?
(Primary Provider section)</t>
  </si>
  <si>
    <r>
      <t xml:space="preserve">For EN request
1. Default as No
2.. If there is only 1 item, check Current Patient column: if No, Keep default as No; If Yes, select Yes
3. If there are 2 items, need check type for this PCP.
Check Current Patient column under </t>
    </r>
    <r>
      <rPr>
        <b/>
        <sz val="11"/>
        <color theme="1"/>
        <rFont val="Calibri"/>
        <family val="2"/>
        <scheme val="minor"/>
      </rPr>
      <t>Medical</t>
    </r>
    <r>
      <rPr>
        <sz val="11"/>
        <color theme="1"/>
        <rFont val="Calibri"/>
        <family val="2"/>
        <scheme val="minor"/>
      </rPr>
      <t xml:space="preserve"> type: if No, Keep default as No; If Yes, select Yes in Primary Provider section</t>
    </r>
  </si>
  <si>
    <t>*Is your employee an existing patient with this PCP?
(WPHCP Provider section)</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</si>
  <si>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coverage level to input field from "Coverage" column in Benefit summary according to below rule:
1. Carrier name as Blue Cross Blue Shield of Illinois, and 
2. Plan type as Medical</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 linked by formula to input field ( If just Employee, output field show as No, otherwise show as Yes)
</t>
    </r>
    <r>
      <rPr>
        <b/>
        <sz val="11"/>
        <color rgb="FF00B050"/>
        <rFont val="Calibri"/>
        <family val="2"/>
        <scheme val="minor"/>
      </rPr>
      <t>2. Automation click check box "Yes/No" according to output field</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</si>
  <si>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coverage level to input field from "Coverage" column in Benefit summary according to below rule:
1. Carrier name as Blue Cross Blue Shield of Illinois, and 
2. Plan type as Dental</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 linked by formula to input field ( If just Employee, output field show as No, otherwise show as Yes)
</t>
    </r>
    <r>
      <rPr>
        <b/>
        <sz val="11"/>
        <color rgb="FF00B050"/>
        <rFont val="Calibri"/>
        <family val="2"/>
        <scheme val="minor"/>
      </rPr>
      <t>2. Automation click check box "Yes/No" according to output field</t>
    </r>
  </si>
  <si>
    <t>1. Dental and Health section are optional but at least one of them is needed, that is, Health section may not display for some groups
2. Normally, EN plan list and BCBS's product would be maintained by yearly</t>
  </si>
  <si>
    <t>1. Dental and Health section are optional but at least one of them is needed, that is, Health section may not display for some groups
2. Product field show after select product type in Health Benefit section
2. Normally, EN plan list and BCBS's product would be maintained by yearly</t>
  </si>
  <si>
    <t>The question check box show after select product type in Health Benefit section</t>
  </si>
  <si>
    <t>1. Dental and Health section are optional but at least one of them is needed, that is, Dental section may not display for some groups
2. Normally, EN plan list and BCBS's product would be maintained by yearly</t>
  </si>
  <si>
    <t>1. Dental and Health section are optional but at least one of them is needed, that is, Dental section may not display for some groups
2. Product field show after select product type in Dental Benefit section
2. Normally, EN plan list and BCBS's product would be maintained by yearly</t>
  </si>
  <si>
    <t>The question check box show after select product type in Dental Benefit section</t>
  </si>
  <si>
    <t>1. Medical PCP information sub section in EN wouldn't display  when the EE have no PCP
2. If there are 2 items, PCP type can't be identified in the page of Medical PCP information sub section, need click button" Add/Edit" button to go to separate page to find it</t>
  </si>
  <si>
    <r>
      <t xml:space="preserve">1. Medical group# Can't be pre-fill, need get the information from BCBS website by clicking "Provider finder" in the progress of enrollment at page of selecting product
2. Primary Provider section display when product type as HMO, Not all HMO product type would contain wording "HMO". e.g. E BLUE PRECISION. SDU TM have provided mapping list for all HMOs product type which need search medical group#. </t>
    </r>
    <r>
      <rPr>
        <sz val="11"/>
        <color rgb="FFFF0000"/>
        <rFont val="Calibri"/>
        <family val="2"/>
        <scheme val="minor"/>
      </rPr>
      <t>Note: normally the list need to be maintained by yearly</t>
    </r>
    <r>
      <rPr>
        <sz val="11"/>
        <color theme="1"/>
        <rFont val="Calibri"/>
        <family val="2"/>
        <scheme val="minor"/>
      </rPr>
      <t xml:space="preserve">
3. Medical PCP information sub section in EN wouldn't display  when the EE have no PCP
4.  If there are 2 items, PCP type can't be identified in the page of Medical PCP information sub section, need click button" Add/Edit" button to go to separate page to find it</t>
    </r>
    <r>
      <rPr>
        <sz val="11"/>
        <color rgb="FFFF0000"/>
        <rFont val="Calibri"/>
        <family val="2"/>
        <scheme val="minor"/>
      </rPr>
      <t xml:space="preserve">
</t>
    </r>
    <r>
      <rPr>
        <sz val="11"/>
        <rFont val="Calibri"/>
        <family val="2"/>
        <scheme val="minor"/>
      </rPr>
      <t xml:space="preserve">5. In step 3) of finding Medical group# according to PCP#.
need to google PCP name to search PCPC' zip code. automation need extract zip code when state abbreviation as IL in the result </t>
    </r>
    <r>
      <rPr>
        <sz val="11"/>
        <color theme="1"/>
        <rFont val="Calibri"/>
        <family val="2"/>
        <scheme val="minor"/>
      </rPr>
      <t xml:space="preserve">
</t>
    </r>
    <r>
      <rPr>
        <sz val="11"/>
        <rFont val="Calibri"/>
        <family val="2"/>
        <scheme val="minor"/>
      </rPr>
      <t>6. In step 8) of finding Medical group# according to PCP#. when select HMO plan according to product type. SDU TM have provided mapping list for all HMOs product type for how to select ADV/BAV/HMO.</t>
    </r>
    <r>
      <rPr>
        <sz val="11"/>
        <color rgb="FFFF0000"/>
        <rFont val="Calibri"/>
        <family val="2"/>
        <scheme val="minor"/>
      </rPr>
      <t xml:space="preserve"> Note: normally the list need to be maintained by yearly
</t>
    </r>
    <r>
      <rPr>
        <sz val="11"/>
        <rFont val="Calibri"/>
        <family val="2"/>
        <scheme val="minor"/>
      </rPr>
      <t xml:space="preserve">7. In AFFILIATED MEDICAL GROUPS section, group# is in ()after# e.g. Advocate Medical Group (MG/IPA #398). there is a possibility that there is no medical group record ( no example)
</t>
    </r>
  </si>
  <si>
    <t>*Actively Employed:</t>
  </si>
  <si>
    <t>*This employee will be billed with all other employees with this criteria:</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</si>
  <si>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DOB from EN/report to input field, if there are 2 or more dependent use "|" to split</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(SUBSTITUTE?)
</t>
    </r>
    <r>
      <rPr>
        <b/>
        <sz val="11"/>
        <color rgb="FF00B050"/>
        <rFont val="Calibri"/>
        <family val="2"/>
        <scheme val="minor"/>
      </rPr>
      <t>2. Automation identify different dependents' DOB from output field, and split into MM/DD/YYYY format to input into "DOB" field in BCBS different dependent section</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</si>
  <si>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gender from EN/report to input field, if there are 2 or more dependent use "|" to split</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(=SUBSTITUTE(SUBSTITUTE(C83,"M","Male"),"F","Female"))
</t>
    </r>
    <r>
      <rPr>
        <b/>
        <sz val="11"/>
        <color rgb="FF00B050"/>
        <rFont val="Calibri"/>
        <family val="2"/>
        <scheme val="minor"/>
      </rPr>
      <t>2.</t>
    </r>
    <r>
      <rPr>
        <sz val="11"/>
        <color theme="1"/>
        <rFont val="Calibri"/>
        <family val="2"/>
        <scheme val="minor"/>
      </rPr>
      <t xml:space="preserve"> </t>
    </r>
    <r>
      <rPr>
        <b/>
        <sz val="11"/>
        <color rgb="FF00B050"/>
        <rFont val="Calibri"/>
        <family val="2"/>
        <scheme val="minor"/>
      </rPr>
      <t>Automation identify different dependent's gender from output field and input into "Gender" field in BCBS different dependent section</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</si>
  <si>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first name from EN/report to input field, if there are 2 or more dependent use "|" to split</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
</t>
    </r>
    <r>
      <rPr>
        <b/>
        <sz val="11"/>
        <color rgb="FF00B050"/>
        <rFont val="Calibri"/>
        <family val="2"/>
        <scheme val="minor"/>
      </rPr>
      <t>2. Automation identify different dependent First from output field and input into "First" field in BCBS different dependent section</t>
    </r>
  </si>
  <si>
    <r>
      <rPr>
        <b/>
        <sz val="11"/>
        <rFont val="Calibri"/>
        <family val="2"/>
        <scheme val="minor"/>
      </rPr>
      <t>For Input:</t>
    </r>
    <r>
      <rPr>
        <sz val="11"/>
        <color theme="1"/>
        <rFont val="Calibri"/>
        <family val="2"/>
        <scheme val="minor"/>
      </rPr>
      <t xml:space="preserve">
</t>
    </r>
    <r>
      <rPr>
        <b/>
        <sz val="11"/>
        <color rgb="FF00B050"/>
        <rFont val="Calibri"/>
        <family val="2"/>
        <scheme val="minor"/>
      </rPr>
      <t>Automation extract dependent suffix from EN/report to input field, if there are 2 or more dependent use "|" to split</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Always keep blank for CBIZB team
</t>
    </r>
    <r>
      <rPr>
        <b/>
        <sz val="11"/>
        <color rgb="FF00B050"/>
        <rFont val="Calibri"/>
        <family val="2"/>
        <scheme val="minor"/>
      </rPr>
      <t>2. Automation identify different dependent suffix from output field and input into "Suffix" field  in BCBS different dependent section</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</si>
  <si>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last name from EN/report to input field, if there are 2 or more dependent use "|" to split</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
</t>
    </r>
    <r>
      <rPr>
        <b/>
        <sz val="11"/>
        <color rgb="FF00B050"/>
        <rFont val="Calibri"/>
        <family val="2"/>
        <scheme val="minor"/>
      </rPr>
      <t>2. Automation identify different dependent name from output field and input into "Last" field  in BCBS different dependent section</t>
    </r>
  </si>
  <si>
    <r>
      <rPr>
        <b/>
        <sz val="11"/>
        <color theme="1"/>
        <rFont val="Calibri"/>
        <family val="2"/>
        <scheme val="minor"/>
      </rPr>
      <t>For Input:</t>
    </r>
    <r>
      <rPr>
        <sz val="11"/>
        <color theme="1"/>
        <rFont val="Calibri"/>
        <family val="2"/>
        <scheme val="minor"/>
      </rPr>
      <t xml:space="preserve">
No dependent language in EN, No need input, keep default as blank for input field
</t>
    </r>
    <r>
      <rPr>
        <b/>
        <sz val="11"/>
        <color theme="1"/>
        <rFont val="Calibri"/>
        <family val="2"/>
        <scheme val="minor"/>
      </rPr>
      <t>For Output:</t>
    </r>
    <r>
      <rPr>
        <sz val="11"/>
        <color theme="1"/>
        <rFont val="Calibri"/>
        <family val="2"/>
        <scheme val="minor"/>
      </rPr>
      <t xml:space="preserve">
1. Always keep default as English in output field for CBIZB team
</t>
    </r>
    <r>
      <rPr>
        <b/>
        <sz val="11"/>
        <color rgb="FF00B050"/>
        <rFont val="Calibri"/>
        <family val="2"/>
        <scheme val="minor"/>
      </rPr>
      <t>2. Automation select Native Language from its drop list in BCBS according to information in output field</t>
    </r>
  </si>
  <si>
    <r>
      <rPr>
        <b/>
        <sz val="11"/>
        <color theme="1"/>
        <rFont val="Calibri"/>
        <family val="2"/>
        <scheme val="minor"/>
      </rPr>
      <t>For Input:</t>
    </r>
    <r>
      <rPr>
        <sz val="11"/>
        <color theme="1"/>
        <rFont val="Calibri"/>
        <family val="2"/>
        <scheme val="minor"/>
      </rPr>
      <t xml:space="preserve">
No Dependent Multiple Birth information in EN, keep check box as uncheck for input field
</t>
    </r>
    <r>
      <rPr>
        <b/>
        <sz val="11"/>
        <color theme="1"/>
        <rFont val="Calibri"/>
        <family val="2"/>
        <scheme val="minor"/>
      </rPr>
      <t>For Output:</t>
    </r>
    <r>
      <rPr>
        <sz val="11"/>
        <color theme="1"/>
        <rFont val="Calibri"/>
        <family val="2"/>
        <scheme val="minor"/>
      </rPr>
      <t xml:space="preserve">
1. Always keep default as "Unknown" in output field for CBIZB team
</t>
    </r>
    <r>
      <rPr>
        <b/>
        <sz val="11"/>
        <color rgb="FF00B050"/>
        <rFont val="Calibri"/>
        <family val="2"/>
        <scheme val="minor"/>
      </rPr>
      <t>2. Automation selectRace (select all that apply by clicking check box according to information in output field</t>
    </r>
  </si>
  <si>
    <r>
      <rPr>
        <b/>
        <sz val="11"/>
        <color theme="1"/>
        <rFont val="Calibri"/>
        <family val="2"/>
        <scheme val="minor"/>
      </rPr>
      <t>For Input:</t>
    </r>
    <r>
      <rPr>
        <sz val="11"/>
        <color theme="1"/>
        <rFont val="Calibri"/>
        <family val="2"/>
        <scheme val="minor"/>
      </rPr>
      <t xml:space="preserve">
No dependent language in EN, keep default as blank for input field
</t>
    </r>
    <r>
      <rPr>
        <b/>
        <sz val="11"/>
        <color theme="1"/>
        <rFont val="Calibri"/>
        <family val="2"/>
        <scheme val="minor"/>
      </rPr>
      <t>For Output:</t>
    </r>
    <r>
      <rPr>
        <sz val="11"/>
        <color theme="1"/>
        <rFont val="Calibri"/>
        <family val="2"/>
        <scheme val="minor"/>
      </rPr>
      <t xml:space="preserve">
1. Always keep default as English in output field for CBIZB team
</t>
    </r>
    <r>
      <rPr>
        <b/>
        <sz val="11"/>
        <color rgb="FF00B050"/>
        <rFont val="Calibri"/>
        <family val="2"/>
        <scheme val="minor"/>
      </rPr>
      <t>2. Automation select Preferred Written Language from its drop list in BCBS according to information in output field</t>
    </r>
  </si>
  <si>
    <r>
      <rPr>
        <b/>
        <sz val="11"/>
        <color theme="1"/>
        <rFont val="Calibri"/>
        <family val="2"/>
        <scheme val="minor"/>
      </rPr>
      <t>For Input:</t>
    </r>
    <r>
      <rPr>
        <sz val="11"/>
        <color theme="1"/>
        <rFont val="Calibri"/>
        <family val="2"/>
        <scheme val="minor"/>
      </rPr>
      <t xml:space="preserve">
No dependent language in EN, keep default as blank for input field
</t>
    </r>
    <r>
      <rPr>
        <b/>
        <sz val="11"/>
        <color theme="1"/>
        <rFont val="Calibri"/>
        <family val="2"/>
        <scheme val="minor"/>
      </rPr>
      <t>For Output:</t>
    </r>
    <r>
      <rPr>
        <sz val="11"/>
        <color theme="1"/>
        <rFont val="Calibri"/>
        <family val="2"/>
        <scheme val="minor"/>
      </rPr>
      <t xml:space="preserve">
1. Always keep default as English in output field for CBIZB team
</t>
    </r>
    <r>
      <rPr>
        <b/>
        <sz val="11"/>
        <color rgb="FF00B050"/>
        <rFont val="Calibri"/>
        <family val="2"/>
        <scheme val="minor"/>
      </rPr>
      <t>2. Automation select Preferred Spoken Language from its drop list in BCBS according to information in output field</t>
    </r>
  </si>
  <si>
    <r>
      <rPr>
        <b/>
        <sz val="11"/>
        <color theme="1"/>
        <rFont val="Calibri"/>
        <family val="2"/>
        <scheme val="minor"/>
      </rPr>
      <t>For Input:</t>
    </r>
    <r>
      <rPr>
        <sz val="11"/>
        <color theme="1"/>
        <rFont val="Calibri"/>
        <family val="2"/>
        <scheme val="minor"/>
      </rPr>
      <t xml:space="preserve">
No Dependent Ethnicity in EN, keep default as blank for input field
</t>
    </r>
    <r>
      <rPr>
        <b/>
        <sz val="11"/>
        <color theme="1"/>
        <rFont val="Calibri"/>
        <family val="2"/>
        <scheme val="minor"/>
      </rPr>
      <t>For Output:</t>
    </r>
    <r>
      <rPr>
        <sz val="11"/>
        <color theme="1"/>
        <rFont val="Calibri"/>
        <family val="2"/>
        <scheme val="minor"/>
      </rPr>
      <t xml:space="preserve">
1. Always keep default as "Unknown" in output field for CBIZB team
</t>
    </r>
    <r>
      <rPr>
        <b/>
        <sz val="11"/>
        <color rgb="FF00B050"/>
        <rFont val="Calibri"/>
        <family val="2"/>
        <scheme val="minor"/>
      </rPr>
      <t>2. Automation select Ethnicity (select all that apply) by clicking check box according to information in output field</t>
    </r>
  </si>
  <si>
    <r>
      <rPr>
        <b/>
        <sz val="11"/>
        <color theme="1"/>
        <rFont val="Calibri"/>
        <family val="2"/>
        <scheme val="minor"/>
      </rPr>
      <t>For Input:</t>
    </r>
    <r>
      <rPr>
        <sz val="11"/>
        <color theme="1"/>
        <rFont val="Calibri"/>
        <family val="2"/>
        <scheme val="minor"/>
      </rPr>
      <t xml:space="preserve">
No Language in EN, keep default as blank for input field
</t>
    </r>
    <r>
      <rPr>
        <b/>
        <sz val="11"/>
        <color theme="1"/>
        <rFont val="Calibri"/>
        <family val="2"/>
        <scheme val="minor"/>
      </rPr>
      <t>For Output:</t>
    </r>
    <r>
      <rPr>
        <sz val="11"/>
        <color theme="1"/>
        <rFont val="Calibri"/>
        <family val="2"/>
        <scheme val="minor"/>
      </rPr>
      <t xml:space="preserve">
1. Always keep default as English in output field for CBIZB team
</t>
    </r>
    <r>
      <rPr>
        <b/>
        <sz val="11"/>
        <color rgb="FF00B050"/>
        <rFont val="Calibri"/>
        <family val="2"/>
        <scheme val="minor"/>
      </rPr>
      <t>2. Automation select Native Language from its drop list in BCBS according to information in output field</t>
    </r>
  </si>
  <si>
    <r>
      <rPr>
        <b/>
        <sz val="11"/>
        <color theme="1"/>
        <rFont val="Calibri"/>
        <family val="2"/>
        <scheme val="minor"/>
      </rPr>
      <t>For Input:</t>
    </r>
    <r>
      <rPr>
        <sz val="11"/>
        <color theme="1"/>
        <rFont val="Calibri"/>
        <family val="2"/>
        <scheme val="minor"/>
      </rPr>
      <t xml:space="preserve">
No Language in EN, keep default as blank for input field
</t>
    </r>
    <r>
      <rPr>
        <b/>
        <sz val="11"/>
        <color theme="1"/>
        <rFont val="Calibri"/>
        <family val="2"/>
        <scheme val="minor"/>
      </rPr>
      <t>For Output:</t>
    </r>
    <r>
      <rPr>
        <sz val="11"/>
        <color theme="1"/>
        <rFont val="Calibri"/>
        <family val="2"/>
        <scheme val="minor"/>
      </rPr>
      <t xml:space="preserve">
1. Always keep default as English in output field for CBIZB team
</t>
    </r>
    <r>
      <rPr>
        <b/>
        <sz val="11"/>
        <color rgb="FF00B050"/>
        <rFont val="Calibri"/>
        <family val="2"/>
        <scheme val="minor"/>
      </rPr>
      <t>2. Automation select Preferred Written Language from its drop list in BCBS according to information in output field</t>
    </r>
  </si>
  <si>
    <r>
      <rPr>
        <b/>
        <sz val="11"/>
        <color theme="1"/>
        <rFont val="Calibri"/>
        <family val="2"/>
        <scheme val="minor"/>
      </rPr>
      <t>For Input:</t>
    </r>
    <r>
      <rPr>
        <sz val="11"/>
        <color theme="1"/>
        <rFont val="Calibri"/>
        <family val="2"/>
        <scheme val="minor"/>
      </rPr>
      <t xml:space="preserve">
No Language in EN, keep default as blank for input field
</t>
    </r>
    <r>
      <rPr>
        <b/>
        <sz val="11"/>
        <color theme="1"/>
        <rFont val="Calibri"/>
        <family val="2"/>
        <scheme val="minor"/>
      </rPr>
      <t>For Output:</t>
    </r>
    <r>
      <rPr>
        <sz val="11"/>
        <color theme="1"/>
        <rFont val="Calibri"/>
        <family val="2"/>
        <scheme val="minor"/>
      </rPr>
      <t xml:space="preserve">
1. Always keep default as English in output field for CBIZB team
</t>
    </r>
    <r>
      <rPr>
        <b/>
        <sz val="11"/>
        <color rgb="FF00B050"/>
        <rFont val="Calibri"/>
        <family val="2"/>
        <scheme val="minor"/>
      </rPr>
      <t>2. Automation select Preferred Spoken Language from its drop list in BCBS according to information in output field</t>
    </r>
  </si>
  <si>
    <r>
      <rPr>
        <b/>
        <sz val="11"/>
        <color theme="1"/>
        <rFont val="Calibri"/>
        <family val="2"/>
        <scheme val="minor"/>
      </rPr>
      <t>For Input:</t>
    </r>
    <r>
      <rPr>
        <sz val="11"/>
        <color theme="1"/>
        <rFont val="Calibri"/>
        <family val="2"/>
        <scheme val="minor"/>
      </rPr>
      <t xml:space="preserve">
No Dependent Race in EN, keep default as blank for input field
</t>
    </r>
    <r>
      <rPr>
        <b/>
        <sz val="11"/>
        <color theme="1"/>
        <rFont val="Calibri"/>
        <family val="2"/>
        <scheme val="minor"/>
      </rPr>
      <t>For Output:</t>
    </r>
    <r>
      <rPr>
        <sz val="11"/>
        <color theme="1"/>
        <rFont val="Calibri"/>
        <family val="2"/>
        <scheme val="minor"/>
      </rPr>
      <t xml:space="preserve">
1. Always keep default as "Unknown" in output field for CBIZB team
</t>
    </r>
    <r>
      <rPr>
        <b/>
        <sz val="11"/>
        <color rgb="FF00B050"/>
        <rFont val="Calibri"/>
        <family val="2"/>
        <scheme val="minor"/>
      </rPr>
      <t>2. Automation select Race (select all that apply by clicking check box according to information in output field</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</si>
  <si>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Medicare Eligible information from EN/report</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Always keep default as "No" in output field for CBIZB team
</t>
    </r>
    <r>
      <rPr>
        <b/>
        <sz val="11"/>
        <color rgb="FF00B050"/>
        <rFont val="Calibri"/>
        <family val="2"/>
        <scheme val="minor"/>
      </rPr>
      <t>2. Automation click check box for the question according to information in output field</t>
    </r>
  </si>
  <si>
    <r>
      <rPr>
        <b/>
        <sz val="11"/>
        <color theme="1"/>
        <rFont val="Calibri"/>
        <family val="2"/>
        <scheme val="minor"/>
      </rPr>
      <t>For Input:</t>
    </r>
    <r>
      <rPr>
        <sz val="11"/>
        <color theme="1"/>
        <rFont val="Calibri"/>
        <family val="2"/>
        <scheme val="minor"/>
      </rPr>
      <t xml:space="preserve">
Link C98 by formula to C99-C103 (&amp;?)
</t>
    </r>
    <r>
      <rPr>
        <b/>
        <sz val="11"/>
        <color theme="1"/>
        <rFont val="Calibri"/>
        <family val="2"/>
        <scheme val="minor"/>
      </rPr>
      <t>For Output:</t>
    </r>
    <r>
      <rPr>
        <sz val="11"/>
        <color theme="1"/>
        <rFont val="Calibri"/>
        <family val="2"/>
        <scheme val="minor"/>
      </rPr>
      <t xml:space="preserve">
1. Always keep default as "No" in output field for CBIZB team
</t>
    </r>
    <r>
      <rPr>
        <b/>
        <sz val="11"/>
        <color rgb="FF00B050"/>
        <rFont val="Calibri"/>
        <family val="2"/>
        <scheme val="minor"/>
      </rPr>
      <t>2. Automation click check box for the question according to information in output field</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</si>
  <si>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separate Address 1 from EN/report</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</si>
  <si>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separate Address 2 from EN/report</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</si>
  <si>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separate Address City from EN/report</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</si>
  <si>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separate Address State from EN/report</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</si>
  <si>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separate Address Zip from EN/report</t>
    </r>
  </si>
  <si>
    <r>
      <rPr>
        <b/>
        <sz val="11"/>
        <color theme="1"/>
        <rFont val="Calibri"/>
        <family val="2"/>
        <scheme val="minor"/>
      </rPr>
      <t>For Input:</t>
    </r>
    <r>
      <rPr>
        <sz val="11"/>
        <color theme="1"/>
        <rFont val="Calibri"/>
        <family val="2"/>
        <scheme val="minor"/>
      </rPr>
      <t xml:space="preserve">
No Other Dependent in EN, keep default as blank for input field
</t>
    </r>
    <r>
      <rPr>
        <b/>
        <sz val="11"/>
        <color theme="1"/>
        <rFont val="Calibri"/>
        <family val="2"/>
        <scheme val="minor"/>
      </rPr>
      <t>For Output:</t>
    </r>
    <r>
      <rPr>
        <sz val="11"/>
        <color theme="1"/>
        <rFont val="Calibri"/>
        <family val="2"/>
        <scheme val="minor"/>
      </rPr>
      <t xml:space="preserve">
1. Always keep default as blank in output field for CBIZB team
</t>
    </r>
    <r>
      <rPr>
        <b/>
        <sz val="11"/>
        <color rgb="FF00B050"/>
        <rFont val="Calibri"/>
        <family val="2"/>
        <scheme val="minor"/>
      </rPr>
      <t>2. Automation select Other Dependent from its drop list in BCBS according to information in output field</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</si>
  <si>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Refer to rule in K84</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</si>
  <si>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information from "Event Reason" in work log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Link input and output by formula (=?)
</t>
    </r>
    <r>
      <rPr>
        <b/>
        <sz val="11"/>
        <color rgb="FF00B050"/>
        <rFont val="Calibri"/>
        <family val="2"/>
        <scheme val="minor"/>
      </rPr>
      <t>2. Automation select reason from BCBS dropdown list according to information in output field</t>
    </r>
  </si>
  <si>
    <t>I107 is Deceased</t>
  </si>
  <si>
    <t>I112 is Deceased</t>
  </si>
  <si>
    <r>
      <rPr>
        <b/>
        <sz val="11"/>
        <color theme="1"/>
        <rFont val="Calibri"/>
        <family val="2"/>
        <scheme val="minor"/>
      </rPr>
      <t>For Input:</t>
    </r>
    <r>
      <rPr>
        <sz val="11"/>
        <color theme="1"/>
        <rFont val="Calibri"/>
        <family val="2"/>
        <scheme val="minor"/>
      </rPr>
      <t xml:space="preserve">
Team never select Dental HMO( product type) and have no idea what to input in the field and where to find the information, keep default as blank in input field for CBIZB team.
</t>
    </r>
    <r>
      <rPr>
        <b/>
        <sz val="11"/>
        <color theme="1"/>
        <rFont val="Calibri"/>
        <family val="2"/>
        <scheme val="minor"/>
      </rPr>
      <t>For Output:</t>
    </r>
    <r>
      <rPr>
        <sz val="11"/>
        <color theme="1"/>
        <rFont val="Calibri"/>
        <family val="2"/>
        <scheme val="minor"/>
      </rPr>
      <t xml:space="preserve">
1. Keep blank in output field for CBIZB team
</t>
    </r>
    <r>
      <rPr>
        <b/>
        <sz val="11"/>
        <color rgb="FF00B050"/>
        <rFont val="Calibri"/>
        <family val="2"/>
        <scheme val="minor"/>
      </rPr>
      <t xml:space="preserve">2. If the field display, Automation stop input and click "Finish Later" in BCBS , then fill out worklog to remind TM to finish the remaining steps
</t>
    </r>
    <r>
      <rPr>
        <b/>
        <sz val="11"/>
        <color rgb="FFFF0000"/>
        <rFont val="Calibri"/>
        <family val="2"/>
        <scheme val="minor"/>
      </rPr>
      <t xml:space="preserve">Note: Need determine how to fill out work log </t>
    </r>
  </si>
  <si>
    <r>
      <rPr>
        <b/>
        <sz val="11"/>
        <color theme="1"/>
        <rFont val="Calibri"/>
        <family val="2"/>
        <scheme val="minor"/>
      </rPr>
      <t>For Input:</t>
    </r>
    <r>
      <rPr>
        <sz val="11"/>
        <color theme="1"/>
        <rFont val="Calibri"/>
        <family val="2"/>
        <scheme val="minor"/>
      </rPr>
      <t xml:space="preserve">
No Type of Enrollment field in EN, keek default as blank in input field
</t>
    </r>
    <r>
      <rPr>
        <b/>
        <sz val="11"/>
        <color theme="1"/>
        <rFont val="Calibri"/>
        <family val="2"/>
        <scheme val="minor"/>
      </rPr>
      <t>For Output:</t>
    </r>
    <r>
      <rPr>
        <sz val="11"/>
        <color theme="1"/>
        <rFont val="Calibri"/>
        <family val="2"/>
        <scheme val="minor"/>
      </rPr>
      <t xml:space="preserve">
1. Always keep as "Initial" in output field for CBIZB team
</t>
    </r>
    <r>
      <rPr>
        <b/>
        <sz val="11"/>
        <color rgb="FF00B050"/>
        <rFont val="Calibri"/>
        <family val="2"/>
        <scheme val="minor"/>
      </rPr>
      <t>2. Automation get information from output filed and select from "Type of Enrollment" drop down list in BCBS</t>
    </r>
  </si>
  <si>
    <r>
      <rPr>
        <b/>
        <sz val="11"/>
        <color theme="1"/>
        <rFont val="Calibri"/>
        <family val="2"/>
        <scheme val="minor"/>
      </rPr>
      <t>For Input:</t>
    </r>
    <r>
      <rPr>
        <sz val="11"/>
        <color theme="1"/>
        <rFont val="Calibri"/>
        <family val="2"/>
        <scheme val="minor"/>
      </rPr>
      <t xml:space="preserve">
No HIPPA Certification field in EN, keek default as Blank in input field
</t>
    </r>
    <r>
      <rPr>
        <b/>
        <sz val="11"/>
        <color theme="1"/>
        <rFont val="Calibri"/>
        <family val="2"/>
        <scheme val="minor"/>
      </rPr>
      <t>For Output:</t>
    </r>
    <r>
      <rPr>
        <sz val="11"/>
        <color theme="1"/>
        <rFont val="Calibri"/>
        <family val="2"/>
        <scheme val="minor"/>
      </rPr>
      <t xml:space="preserve">
1. Keep as "No" in output field for CBIZB team
</t>
    </r>
    <r>
      <rPr>
        <b/>
        <sz val="11"/>
        <color rgb="FF00B050"/>
        <rFont val="Calibri"/>
        <family val="2"/>
        <scheme val="minor"/>
      </rPr>
      <t>2. Automation click check box for HIPPA Certification in BCBS according to output field</t>
    </r>
  </si>
  <si>
    <r>
      <rPr>
        <b/>
        <sz val="11"/>
        <color theme="1"/>
        <rFont val="Calibri"/>
        <family val="2"/>
        <scheme val="minor"/>
      </rPr>
      <t>For Input:</t>
    </r>
    <r>
      <rPr>
        <sz val="11"/>
        <color theme="1"/>
        <rFont val="Calibri"/>
        <family val="2"/>
        <scheme val="minor"/>
      </rPr>
      <t xml:space="preserve">
No Other Insurance field in EN, keek default as Blank in input field
</t>
    </r>
    <r>
      <rPr>
        <b/>
        <sz val="11"/>
        <color theme="1"/>
        <rFont val="Calibri"/>
        <family val="2"/>
        <scheme val="minor"/>
      </rPr>
      <t>For Output:</t>
    </r>
    <r>
      <rPr>
        <sz val="11"/>
        <color theme="1"/>
        <rFont val="Calibri"/>
        <family val="2"/>
        <scheme val="minor"/>
      </rPr>
      <t xml:space="preserve">
1. Keep as "Unknown" in output field for CBIZB team
</t>
    </r>
    <r>
      <rPr>
        <b/>
        <sz val="11"/>
        <color rgb="FF00B050"/>
        <rFont val="Calibri"/>
        <family val="2"/>
        <scheme val="minor"/>
      </rPr>
      <t>2. Automation select Other Insurance from its drop dow list in BCBS according to output field</t>
    </r>
  </si>
  <si>
    <r>
      <rPr>
        <b/>
        <sz val="11"/>
        <color theme="1"/>
        <rFont val="Calibri"/>
        <family val="2"/>
        <scheme val="minor"/>
      </rPr>
      <t>For Input:</t>
    </r>
    <r>
      <rPr>
        <sz val="11"/>
        <color theme="1"/>
        <rFont val="Calibri"/>
        <family val="2"/>
        <scheme val="minor"/>
      </rPr>
      <t xml:space="preserve">
Always keep blank for CBIZB team
</t>
    </r>
    <r>
      <rPr>
        <b/>
        <sz val="11"/>
        <color theme="1"/>
        <rFont val="Calibri"/>
        <family val="2"/>
        <scheme val="minor"/>
      </rPr>
      <t>For Output:</t>
    </r>
    <r>
      <rPr>
        <sz val="11"/>
        <color theme="1"/>
        <rFont val="Calibri"/>
        <family val="2"/>
        <scheme val="minor"/>
      </rPr>
      <t xml:space="preserve">
1. Always keep as "Employeel" in output field for CBIZB team
</t>
    </r>
    <r>
      <rPr>
        <b/>
        <sz val="11"/>
        <color rgb="FF00B050"/>
        <rFont val="Calibri"/>
        <family val="2"/>
        <scheme val="minor"/>
      </rPr>
      <t>2. Automation get information from output filed and click Employee or Dependent check box according to output field</t>
    </r>
  </si>
  <si>
    <r>
      <t xml:space="preserve">1. Enter Date of the termination. (Note: Enter the first date of no </t>
    </r>
    <r>
      <rPr>
        <sz val="11"/>
        <rFont val="Calibri"/>
        <family val="2"/>
        <scheme val="minor"/>
      </rPr>
      <t>coverage: Date = Enrollment End Date + 1
2. Refer to  EN - Tmeline - change field as End date - To column</t>
    </r>
  </si>
  <si>
    <t>Group Name in EN</t>
  </si>
  <si>
    <t>50000Feet Inc</t>
  </si>
  <si>
    <t>50,000 FEET, INC.</t>
  </si>
  <si>
    <t>Bennett Day School</t>
  </si>
  <si>
    <t>BENNETT DAY SCHOOL, INC.</t>
  </si>
  <si>
    <t xml:space="preserve">Bright Light Medical Imaging </t>
  </si>
  <si>
    <t>Bright Light Medical Imaging</t>
  </si>
  <si>
    <t>BRIGHT LIGHT RADIOLOGY S.C</t>
  </si>
  <si>
    <t>Charlie Greene Studio</t>
  </si>
  <si>
    <t>CHARLIE GREENE STUDIO</t>
  </si>
  <si>
    <t>Creata(USA)</t>
  </si>
  <si>
    <t>Creata (USA), Inc.</t>
  </si>
  <si>
    <t>CREATA</t>
  </si>
  <si>
    <t>DCS Mechanical, Inc.</t>
  </si>
  <si>
    <t>DCS MECHANICAL INC</t>
  </si>
  <si>
    <t>Dupage Housing Authority</t>
  </si>
  <si>
    <t>DuPage Housing Authority</t>
  </si>
  <si>
    <t>DUPAGE HOUSING AUTHORITY</t>
  </si>
  <si>
    <t>Kenway Consulting</t>
  </si>
  <si>
    <t>KENWAY CONSULTING</t>
  </si>
  <si>
    <t>Kirkegaard</t>
  </si>
  <si>
    <t>KIRKEGAARD ASSOCIATES</t>
  </si>
  <si>
    <t>LLT Group</t>
  </si>
  <si>
    <t>LLT Group, Inc.</t>
  </si>
  <si>
    <t>LLT GROUP, INC</t>
  </si>
  <si>
    <t>MDG Connected Solutions, Inc.</t>
  </si>
  <si>
    <t>Metropolis Coffee Company</t>
  </si>
  <si>
    <t>METROPOLIS COFFEE COMPANY</t>
  </si>
  <si>
    <t>Midwest Groundcovers</t>
  </si>
  <si>
    <t>MIDWEST GROUNDCOVERS</t>
  </si>
  <si>
    <t>Real Clear Politics</t>
  </si>
  <si>
    <t>REAL CLEAR HOLDINGS DBA REAL CLEAR POLITICS L</t>
  </si>
  <si>
    <t>REDSPEED ILLINOIS, LLC</t>
  </si>
  <si>
    <t>Ronald McDonald House Charities® of Chicagoland &amp; Northwest Indiana (RMHCCNI)</t>
  </si>
  <si>
    <t>Ronald McDonald House Charities of Chicagoland and Northwest Indiana</t>
  </si>
  <si>
    <t>RONALD MCDONALD HOUSE CHARITIES OF CHICAGOLA</t>
  </si>
  <si>
    <t>Sherman Dodge</t>
  </si>
  <si>
    <t>SHERMAN DODGE</t>
  </si>
  <si>
    <t>Society of Critical Care Medicine</t>
  </si>
  <si>
    <t>SOCIETY OF CRITICAL CARE MEDICINE</t>
  </si>
  <si>
    <t>Sports and Ortho PC</t>
  </si>
  <si>
    <t>SPORTS AND ORTHO PC</t>
  </si>
  <si>
    <t>Teska Associates</t>
  </si>
  <si>
    <t>Trilogy Interactive</t>
  </si>
  <si>
    <t>Trilogy Interactive, LLC</t>
  </si>
  <si>
    <t>TRILOGY INTERACTIVE LLC</t>
  </si>
  <si>
    <t>Women's Care Group</t>
  </si>
  <si>
    <t>Product Type in BCBS</t>
  </si>
  <si>
    <t>Product in BCBS</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</si>
  <si>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task type from "Task Type" column in work log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 is linked by formula to input field (If?)
</t>
    </r>
    <r>
      <rPr>
        <b/>
        <sz val="11"/>
        <color rgb="FF00B050"/>
        <rFont val="Calibri"/>
        <family val="2"/>
        <scheme val="minor"/>
      </rPr>
      <t>2. Automation select I want to according to information in output field under dependent page</t>
    </r>
    <r>
      <rPr>
        <sz val="11"/>
        <color theme="1"/>
        <rFont val="Calibri"/>
        <family val="2"/>
        <scheme val="minor"/>
      </rPr>
      <t xml:space="preserve">
Note: Below request type for dependent are out of automation scope, TM need manual select process method as Online - Carrier NOT Automated in work log - </t>
    </r>
    <r>
      <rPr>
        <b/>
        <sz val="11"/>
        <color rgb="FFFF0000"/>
        <rFont val="Calibri"/>
        <family val="2"/>
        <scheme val="minor"/>
      </rPr>
      <t>Rarely happen, TM hardly find example</t>
    </r>
    <r>
      <rPr>
        <sz val="11"/>
        <color theme="1"/>
        <rFont val="Calibri"/>
        <family val="2"/>
        <scheme val="minor"/>
      </rPr>
      <t xml:space="preserve">
1.E - COBRA Enrollment = Enroll in COBRA (email request)
2. T - COBRA Termination = Cancel Employee/Dependent (email request)
3. DC - Change Personal info = Update Personal Details
4. AC - Add Coverage = Update Plan Coverage
5. O - Drop Coverage = Update Plan Coverage
6. O - Reinstatement = Reinstate Employee/Dependent</t>
    </r>
  </si>
  <si>
    <r>
      <rPr>
        <b/>
        <sz val="11"/>
        <color theme="1"/>
        <rFont val="Calibri"/>
        <family val="2"/>
        <scheme val="minor"/>
      </rPr>
      <t xml:space="preserve">For Input:
</t>
    </r>
    <r>
      <rPr>
        <b/>
        <sz val="11"/>
        <color rgb="FF00B050"/>
        <rFont val="Calibri"/>
        <family val="2"/>
        <scheme val="minor"/>
      </rPr>
      <t>Automation extract task type from "Task Type" column in work log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 is linked by formula to input field (If?)
</t>
    </r>
    <r>
      <rPr>
        <b/>
        <sz val="11"/>
        <color rgb="FF00B050"/>
        <rFont val="Calibri"/>
        <family val="2"/>
        <scheme val="minor"/>
      </rPr>
      <t>2. Automation select "I want to" according to information in output field under EE page</t>
    </r>
    <r>
      <rPr>
        <sz val="11"/>
        <color theme="1"/>
        <rFont val="Calibri"/>
        <family val="2"/>
        <scheme val="minor"/>
      </rPr>
      <t xml:space="preserve">
Note: Below request type for EE are out of automation scope, TM need manual select process method as Online - Carrier NOT Automated in work log - </t>
    </r>
    <r>
      <rPr>
        <b/>
        <sz val="11"/>
        <color rgb="FFFF0000"/>
        <rFont val="Calibri"/>
        <family val="2"/>
        <scheme val="minor"/>
      </rPr>
      <t>Rarely happen, TM hardly find example</t>
    </r>
    <r>
      <rPr>
        <sz val="11"/>
        <color theme="1"/>
        <rFont val="Calibri"/>
        <family val="2"/>
        <scheme val="minor"/>
      </rPr>
      <t xml:space="preserve">
1. O - Reinstatement = Reinstate Employee/Dependent
2. AC - Add Coverage = Update Plan Coverage
3. O - Drop Coverage = Update Plan Coverage
4. E - COBRA Enrollment = Enroll in COBRA (email request)
5. T - COBRA Termination = Cancel Employee/Dependent (email request)
6. O - Class Structure Change = Update Classifications</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</si>
  <si>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EE first name from EN/report for EN request</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is linked by formula to input field, "upper?". Transfer all characters as capital in output field. If input feild is blank, output field would be N/A
</t>
    </r>
    <r>
      <rPr>
        <b/>
        <sz val="11"/>
        <color rgb="FF00B050"/>
        <rFont val="Calibri"/>
        <family val="2"/>
        <scheme val="minor"/>
      </rPr>
      <t>2. Automation get information from output and input into BCBS first name field
3. Automation compare First Name in BCBS search result refer to rule clarified in K10</t>
    </r>
  </si>
  <si>
    <t>Terminate Dependent(Dependent's COBRA) - Terminate COBRA is email requst</t>
  </si>
  <si>
    <t xml:space="preserve">
</t>
  </si>
  <si>
    <t>if there is no ended plan in current period, there is no Ended Coverage section in benefit summary</t>
  </si>
  <si>
    <t>1. Event date format is YYYY-MM-DDT00:00:00 in Timeline Event date column
2. Automation identify all located dates in "Event Date" column. If all dates are the same, extract one date in input field; if not same, extract all dates to nput field and fill out work log to remind TM to report to AM</t>
  </si>
  <si>
    <r>
      <rPr>
        <b/>
        <sz val="11"/>
        <color theme="1"/>
        <rFont val="Calibri"/>
        <family val="2"/>
        <scheme val="minor"/>
      </rPr>
      <t>For Input:</t>
    </r>
    <r>
      <rPr>
        <sz val="11"/>
        <color theme="1"/>
        <rFont val="Calibri"/>
        <family val="2"/>
        <scheme val="minor"/>
      </rPr>
      <t xml:space="preserve">
No need input for CBIZB team. 
</t>
    </r>
    <r>
      <rPr>
        <b/>
        <sz val="11"/>
        <color theme="1"/>
        <rFont val="Calibri"/>
        <family val="2"/>
        <scheme val="minor"/>
      </rPr>
      <t>For Output:</t>
    </r>
    <r>
      <rPr>
        <sz val="11"/>
        <color theme="1"/>
        <rFont val="Calibri"/>
        <family val="2"/>
        <scheme val="minor"/>
      </rPr>
      <t xml:space="preserve">
1. Always keep blank in output field
</t>
    </r>
    <r>
      <rPr>
        <b/>
        <sz val="11"/>
        <color rgb="FF00B050"/>
        <rFont val="Calibri"/>
        <family val="2"/>
        <scheme val="minor"/>
      </rPr>
      <t xml:space="preserve">2. if the field display in progress of enrollment, automation click "Finish Later "in BCBS and remind TM in worklog to finish the remaining steps,
</t>
    </r>
    <r>
      <rPr>
        <b/>
        <sz val="11"/>
        <color rgb="FFFF0000"/>
        <rFont val="Calibri"/>
        <family val="2"/>
        <scheme val="minor"/>
      </rPr>
      <t xml:space="preserve">Note:
1. Need determine how to fill out work log </t>
    </r>
    <r>
      <rPr>
        <b/>
        <sz val="11"/>
        <color rgb="FF00B050"/>
        <rFont val="Calibri"/>
        <family val="2"/>
        <scheme val="minor"/>
      </rPr>
      <t xml:space="preserve">
</t>
    </r>
    <r>
      <rPr>
        <b/>
        <sz val="11"/>
        <color rgb="FFFF0000"/>
        <rFont val="Calibri"/>
        <family val="2"/>
        <scheme val="minor"/>
      </rPr>
      <t xml:space="preserve">2. CBIZB team not met this before and have no idea what it is. 
</t>
    </r>
  </si>
  <si>
    <t>Optional field which may not dispplay for some groups</t>
  </si>
  <si>
    <t>Optional field which may not dispplay for some groups
But if display, it's required</t>
  </si>
  <si>
    <t>Optional field which may not dispplay for some groups
But if display it's required</t>
  </si>
  <si>
    <t>1. Ttask type is T - Termination/D - Termination (Death)/DC - Change Personal info/NC - Add Child(ren)/NS - Add Spouse/S &amp; NC - Add Spouse &amp; Child(ren)
2. I16 (dependent name) is N/A</t>
  </si>
  <si>
    <t xml:space="preserve">Task type is O - Drop Dependent in worklog. </t>
  </si>
  <si>
    <t>Age When Enrollment Start (Enrollment Start Date - DOB )</t>
  </si>
  <si>
    <r>
      <rPr>
        <b/>
        <sz val="11"/>
        <color theme="1"/>
        <rFont val="Calibri"/>
        <family val="2"/>
        <scheme val="minor"/>
      </rPr>
      <t xml:space="preserve">For Input:
</t>
    </r>
    <r>
      <rPr>
        <b/>
        <sz val="11"/>
        <color rgb="FF00B050"/>
        <rFont val="Calibri"/>
        <family val="2"/>
        <scheme val="minor"/>
      </rPr>
      <t>Automation extract change date from Event Wall</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Link input and output by formula (=?)
</t>
    </r>
    <r>
      <rPr>
        <b/>
        <sz val="11"/>
        <color rgb="FF00B050"/>
        <rFont val="Calibri"/>
        <family val="2"/>
        <scheme val="minor"/>
      </rPr>
      <t>2. Automation get information from output and split into MM/DD/YYY to fill out Signature Date 3 fields in BCBS</t>
    </r>
  </si>
  <si>
    <r>
      <rPr>
        <b/>
        <sz val="11"/>
        <color theme="1"/>
        <rFont val="Calibri"/>
        <family val="2"/>
        <scheme val="minor"/>
      </rPr>
      <t xml:space="preserve">For Input
</t>
    </r>
    <r>
      <rPr>
        <b/>
        <sz val="11"/>
        <color rgb="FF00B050"/>
        <rFont val="Calibri"/>
        <family val="2"/>
        <scheme val="minor"/>
      </rPr>
      <t xml:space="preserve">Automation extract first name from data sheet </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
</t>
    </r>
    <r>
      <rPr>
        <b/>
        <sz val="11"/>
        <color rgb="FF00B050"/>
        <rFont val="Calibri"/>
        <family val="2"/>
        <scheme val="minor"/>
      </rPr>
      <t>2. Automation get information from output field and input into "First" field in BCBS</t>
    </r>
  </si>
  <si>
    <t>Alabama</t>
  </si>
  <si>
    <t>Alaska</t>
  </si>
  <si>
    <t>Arizona</t>
  </si>
  <si>
    <t>Arkansas</t>
  </si>
  <si>
    <t>California</t>
  </si>
  <si>
    <t>Colorado</t>
  </si>
  <si>
    <t>Connecticut</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</si>
  <si>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</si>
  <si>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</si>
  <si>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</si>
  <si>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</si>
  <si>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</si>
  <si>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</si>
  <si>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</si>
  <si>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</si>
  <si>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</si>
  <si>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</si>
  <si>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</si>
  <si>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</si>
  <si>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</si>
  <si>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</si>
  <si>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</si>
  <si>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</si>
  <si>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</si>
  <si>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</si>
  <si>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</si>
  <si>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</si>
  <si>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NewHampshire</t>
  </si>
  <si>
    <t>NewJersey</t>
  </si>
  <si>
    <t>NewMexico</t>
  </si>
  <si>
    <t>NewYork</t>
  </si>
  <si>
    <t>NorthCarolina</t>
  </si>
  <si>
    <t>NorthDakota</t>
  </si>
  <si>
    <t>Ohio</t>
  </si>
  <si>
    <t>Oklahoma</t>
  </si>
  <si>
    <t>Oregon</t>
  </si>
  <si>
    <t>Pennsylvania</t>
  </si>
  <si>
    <t>RhodeIsland</t>
  </si>
  <si>
    <t>SouthCarolina</t>
  </si>
  <si>
    <t>SouthDakota</t>
  </si>
  <si>
    <t>Tennessee</t>
  </si>
  <si>
    <t>Texas</t>
  </si>
  <si>
    <t>Utah</t>
  </si>
  <si>
    <t>Vermont</t>
  </si>
  <si>
    <t>Virginia</t>
  </si>
  <si>
    <t>Washington</t>
  </si>
  <si>
    <t>WestVirginia</t>
  </si>
  <si>
    <t>Wisconsin</t>
  </si>
  <si>
    <t>Wyoming</t>
  </si>
  <si>
    <r>
      <rPr>
        <b/>
        <sz val="11"/>
        <color theme="1"/>
        <rFont val="Calibri"/>
        <family val="2"/>
        <scheme val="minor"/>
      </rPr>
      <t xml:space="preserve">For Input: </t>
    </r>
    <r>
      <rPr>
        <sz val="11"/>
        <color theme="1"/>
        <rFont val="Calibri"/>
        <family val="2"/>
        <scheme val="minor"/>
      </rPr>
      <t xml:space="preserve">
</t>
    </r>
    <r>
      <rPr>
        <b/>
        <sz val="11"/>
        <color rgb="FF00B050"/>
        <rFont val="Calibri"/>
        <family val="2"/>
        <scheme val="minor"/>
      </rPr>
      <t>Automation go to EN/report dependents' Middle field to identify if there is information in it.
1. If Middle name is blank, automation keep input field as blank
2. If Middle name exists, Automation extract MI (first letter in capital) to input field, if there are 2 or more dependent use "|" to split</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t>
    </r>
    <r>
      <rPr>
        <sz val="11"/>
        <rFont val="Calibri"/>
        <family val="2"/>
        <scheme val="minor"/>
      </rPr>
      <t>1. Output is linked by formula to input field, (=)</t>
    </r>
    <r>
      <rPr>
        <sz val="11"/>
        <color theme="1"/>
        <rFont val="Calibri"/>
        <family val="2"/>
        <scheme val="minor"/>
      </rPr>
      <t xml:space="preserve">
</t>
    </r>
    <r>
      <rPr>
        <b/>
        <sz val="11"/>
        <color rgb="FF00B050"/>
        <rFont val="Calibri"/>
        <family val="2"/>
        <scheme val="minor"/>
      </rPr>
      <t>2.</t>
    </r>
    <r>
      <rPr>
        <sz val="11"/>
        <color rgb="FF00B050"/>
        <rFont val="Calibri"/>
        <family val="2"/>
        <scheme val="minor"/>
      </rPr>
      <t xml:space="preserve"> </t>
    </r>
    <r>
      <rPr>
        <b/>
        <sz val="11"/>
        <color rgb="FF00B050"/>
        <rFont val="Calibri"/>
        <family val="2"/>
        <scheme val="minor"/>
      </rPr>
      <t>Automation identify different dependent MI from output field and input into "MI" field in BCBS different dependent section</t>
    </r>
  </si>
  <si>
    <r>
      <rPr>
        <b/>
        <sz val="11"/>
        <color theme="1"/>
        <rFont val="Calibri"/>
        <family val="2"/>
        <scheme val="minor"/>
      </rPr>
      <t xml:space="preserve">For Input:
</t>
    </r>
    <r>
      <rPr>
        <b/>
        <sz val="11"/>
        <color rgb="FF00B050"/>
        <rFont val="Calibri"/>
        <family val="2"/>
        <scheme val="minor"/>
      </rPr>
      <t xml:space="preserve">1.  Automation extract Enrollment End Date from "Enrollment End Date" column in enrollment change report according to below rule:
1). Automation Locate appropriate group's enrollment change report according to group name in work log
2). SSN is for requested EE
3). Carrier name is Blue Cross Blue Shield of Illinois in "Carrier" column
4). Date in " Change on" Column" is same as date in "Received Date &amp; Time (US)" in work log
2.  If there are 2 or more event dates, automation identify if all event date are the same; if yes, extract one date in input field; if no, extract all dates in nput field and fill out work log to remind TM to double check. </t>
    </r>
    <r>
      <rPr>
        <b/>
        <sz val="11"/>
        <color rgb="FFFF0000"/>
        <rFont val="Calibri"/>
        <family val="2"/>
        <scheme val="minor"/>
      </rPr>
      <t xml:space="preserve">Note: Need determine how to fill out work log </t>
    </r>
    <r>
      <rPr>
        <b/>
        <sz val="11"/>
        <color rgb="FF00B050"/>
        <rFont val="Calibri"/>
        <family val="2"/>
        <scheme val="minor"/>
      </rPr>
      <t xml:space="preserve">
3. If there is no matched case according to above rule, fill out work log to remind TM to double check. </t>
    </r>
    <r>
      <rPr>
        <b/>
        <sz val="11"/>
        <color rgb="FFFF0000"/>
        <rFont val="Calibri"/>
        <family val="2"/>
        <scheme val="minor"/>
      </rPr>
      <t>Note: Need determine how to fill out work log</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Date(Output) = Enrollment End Date(Input) + 1 (formula)
</t>
    </r>
    <r>
      <rPr>
        <b/>
        <sz val="11"/>
        <color rgb="FF00B050"/>
        <rFont val="Calibri"/>
        <family val="2"/>
        <scheme val="minor"/>
      </rPr>
      <t>2. Automation get information from output and split into MM/DD/YYY to fill out related 3 fields in BCBS</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</si>
  <si>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1.  Automation extract Enrollment End Date from "To" column in enrollment change report according to below rule:</t>
    </r>
    <r>
      <rPr>
        <sz val="11"/>
        <color theme="1"/>
        <rFont val="Calibri"/>
        <family val="2"/>
        <scheme val="minor"/>
      </rPr>
      <t xml:space="preserve">
</t>
    </r>
    <r>
      <rPr>
        <b/>
        <sz val="11"/>
        <color rgb="FF00B050"/>
        <rFont val="Calibri"/>
        <family val="2"/>
        <scheme val="minor"/>
      </rPr>
      <t>1). Automation Locate appropriate group's enrollment change report according to group name in work log
2). SSN is for requested EE
3). Carrier name is Blue Cross Blue Shield of Illinois in "Carrier" column
4). Date in " Change on" Column" is same as date in "Received Date &amp; Time (US)" in work log</t>
    </r>
    <r>
      <rPr>
        <sz val="11"/>
        <color theme="1"/>
        <rFont val="Calibri"/>
        <family val="2"/>
        <scheme val="minor"/>
      </rPr>
      <t xml:space="preserve">
</t>
    </r>
    <r>
      <rPr>
        <b/>
        <sz val="11"/>
        <color rgb="FF00B050"/>
        <rFont val="Calibri"/>
        <family val="2"/>
        <scheme val="minor"/>
      </rPr>
      <t xml:space="preserve">5). "Changed Field" Column is "End date"
2.  If there are 2 or more event dates, automation identify if all event date are the same; if yes, extract one date in input field; if no, extract all dates in nput field and fill out work log to remind TM to double check. </t>
    </r>
    <r>
      <rPr>
        <b/>
        <sz val="11"/>
        <color rgb="FFFF0000"/>
        <rFont val="Calibri"/>
        <family val="2"/>
        <scheme val="minor"/>
      </rPr>
      <t xml:space="preserve">Note: Need determine how to fill out work log 
</t>
    </r>
    <r>
      <rPr>
        <b/>
        <sz val="11"/>
        <color rgb="FF00B050"/>
        <rFont val="Calibri"/>
        <family val="2"/>
        <scheme val="minor"/>
      </rPr>
      <t xml:space="preserve">3. If there is no matched case according to above rule, fill out work log to remind TM to double check. </t>
    </r>
    <r>
      <rPr>
        <b/>
        <sz val="11"/>
        <color rgb="FFFF0000"/>
        <rFont val="Calibri"/>
        <family val="2"/>
        <scheme val="minor"/>
      </rPr>
      <t>Note: Need determine how to fill out work log</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Date = enrollment end date + 1
</t>
    </r>
    <r>
      <rPr>
        <b/>
        <sz val="11"/>
        <color rgb="FF00B050"/>
        <rFont val="Calibri"/>
        <family val="2"/>
        <scheme val="minor"/>
      </rPr>
      <t>2. Automation get information from output and split into MM/DD/YYY to fill out related 3 fields in BCBS</t>
    </r>
  </si>
  <si>
    <t>Data from (input)</t>
  </si>
  <si>
    <t>Fill by  (input)</t>
  </si>
  <si>
    <t>Rules  (input)</t>
  </si>
  <si>
    <t>Data from (output)</t>
  </si>
  <si>
    <t>Fill by  (output)</t>
  </si>
  <si>
    <t>Rules  (output)</t>
  </si>
  <si>
    <t>BCBS Entry Rules</t>
  </si>
  <si>
    <t>Bot</t>
  </si>
  <si>
    <t>Default</t>
  </si>
  <si>
    <t>-</t>
  </si>
  <si>
    <t xml:space="preserve">EN/report </t>
  </si>
  <si>
    <t xml:space="preserve">EN - Benefit summary - Enrolled Plans section - Effective column </t>
  </si>
  <si>
    <t xml:space="preserve">EN - Benefit summary - Enrolled Plans section - Plan Name column </t>
  </si>
  <si>
    <t xml:space="preserve">EN - Benefit summary - Enrolled Plans section - Coverage column </t>
  </si>
  <si>
    <t>DC Config</t>
  </si>
  <si>
    <t xml:space="preserve">Always keep as "Initial" </t>
  </si>
  <si>
    <t xml:space="preserve">Always keep as "Unknown " </t>
  </si>
  <si>
    <t>Always keep as blank</t>
  </si>
  <si>
    <t>Always keep as "Active"</t>
  </si>
  <si>
    <t>Always keep as "English"</t>
  </si>
  <si>
    <t>Always keep as "Unknown"</t>
  </si>
  <si>
    <t>Always keep as "United States"</t>
  </si>
  <si>
    <t>DC Mapping</t>
  </si>
  <si>
    <t>Keep default as "English"</t>
  </si>
  <si>
    <t>Keep default as "Unknown"</t>
  </si>
  <si>
    <t>Keep default as "No"</t>
  </si>
  <si>
    <t>Enrollment change report -"Enrollment End Date" column</t>
  </si>
  <si>
    <t>EN-Timeline - Event date column</t>
  </si>
  <si>
    <t>Enrollment change report - Change field column as End - date "To" column</t>
  </si>
  <si>
    <t>Automation extract SSN from EN/report to input field</t>
  </si>
  <si>
    <t>Automation extract EE last name to input field</t>
  </si>
  <si>
    <t>Automation extract EE first name to input field</t>
  </si>
  <si>
    <t>Automation extract EE MI to input field</t>
  </si>
  <si>
    <t>Automation extract EE DOB to input field</t>
  </si>
  <si>
    <r>
      <rPr>
        <b/>
        <sz val="11"/>
        <color theme="1"/>
        <rFont val="Calibri"/>
        <family val="2"/>
        <scheme val="minor"/>
      </rPr>
      <t xml:space="preserve">For Input:
</t>
    </r>
    <r>
      <rPr>
        <b/>
        <sz val="11"/>
        <color rgb="FF00B050"/>
        <rFont val="Calibri"/>
        <family val="2"/>
        <scheme val="minor"/>
      </rPr>
      <t xml:space="preserve">1. Automation go to EN - Benefit summary - Enrolled Plans section and locate effective date in "Effective" column according to below rules
 1). Carrier name is Blue Cross Blue Shield of Illinois in "Carrier" column
2.  If there are 2 or more effective dates, automation identify if all effective are the same; if yes, extract one date in input field; if no, extract all dates in nput field and fill out work log to remind TM to report to AM
</t>
    </r>
    <r>
      <rPr>
        <b/>
        <sz val="11"/>
        <color rgb="FFFF0000"/>
        <rFont val="Calibri"/>
        <family val="2"/>
        <scheme val="minor"/>
      </rPr>
      <t xml:space="preserve">Note: Need determine how to fill out work log </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Link input and output by formula (=?)
</t>
    </r>
    <r>
      <rPr>
        <b/>
        <sz val="11"/>
        <color rgb="FF00B050"/>
        <rFont val="Calibri"/>
        <family val="2"/>
        <scheme val="minor"/>
      </rPr>
      <t>2. Automation get information from output and split into MM/DD/YYY to fill out 3 fields of Effective Date in BCBS</t>
    </r>
  </si>
  <si>
    <t>Keek default as blank</t>
  </si>
  <si>
    <t>Automation extract information from "Event Reason" in work log to input field</t>
  </si>
  <si>
    <t>Automation extract change date from Event Wall</t>
  </si>
  <si>
    <t xml:space="preserve">Automation extract first name from data sheet </t>
  </si>
  <si>
    <t xml:space="preserve">Automation extract MI from data sheet </t>
  </si>
  <si>
    <t>Automation extract last name from data sheet</t>
  </si>
  <si>
    <t>Automation extract suffix from data sheet</t>
  </si>
  <si>
    <t>Automation extract gender from data sheet</t>
  </si>
  <si>
    <t>Automation extract SSN from data sheet</t>
  </si>
  <si>
    <t>Automation extract DOB from data sheet</t>
  </si>
  <si>
    <t>Link by formula Enrollment Start Date - DOB, (datedif)</t>
  </si>
  <si>
    <t>Automation extract Race/Ethnicity from data sheet</t>
  </si>
  <si>
    <t>Automation extract country from data sheet</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</si>
  <si>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 xml:space="preserve">Automation extract Country from EN/report to input field 
</t>
    </r>
    <r>
      <rPr>
        <b/>
        <sz val="11"/>
        <rFont val="Calibri"/>
        <family val="2"/>
        <scheme val="minor"/>
      </rPr>
      <t xml:space="preserve">For Output:
</t>
    </r>
    <r>
      <rPr>
        <sz val="11"/>
        <rFont val="Calibri"/>
        <family val="2"/>
        <scheme val="minor"/>
      </rPr>
      <t xml:space="preserve">1. Always keep default as blank in output field for CBIZB team </t>
    </r>
    <r>
      <rPr>
        <b/>
        <sz val="11"/>
        <color rgb="FF00B050"/>
        <rFont val="Calibri"/>
        <family val="2"/>
        <scheme val="minor"/>
      </rPr>
      <t xml:space="preserve">
2. Automation select Country Type from its drop list in BCBS according to information in output field</t>
    </r>
  </si>
  <si>
    <r>
      <rPr>
        <b/>
        <sz val="11"/>
        <color theme="1"/>
        <rFont val="Calibri"/>
        <family val="2"/>
        <scheme val="minor"/>
      </rPr>
      <t>For Input:</t>
    </r>
    <r>
      <rPr>
        <sz val="11"/>
        <color theme="1"/>
        <rFont val="Calibri"/>
        <family val="2"/>
        <scheme val="minor"/>
      </rPr>
      <t xml:space="preserve">
</t>
    </r>
    <r>
      <rPr>
        <sz val="11"/>
        <rFont val="Calibri"/>
        <family val="2"/>
        <scheme val="minor"/>
      </rPr>
      <t>No in care of inforamtion in EN, keep blank in input field for CBIZB team</t>
    </r>
    <r>
      <rPr>
        <b/>
        <sz val="11"/>
        <color rgb="FF00B050"/>
        <rFont val="Calibri"/>
        <family val="2"/>
        <scheme val="minor"/>
      </rPr>
      <t xml:space="preserve">
</t>
    </r>
    <r>
      <rPr>
        <b/>
        <sz val="11"/>
        <rFont val="Calibri"/>
        <family val="2"/>
        <scheme val="minor"/>
      </rPr>
      <t xml:space="preserve">For Output:
</t>
    </r>
    <r>
      <rPr>
        <sz val="11"/>
        <rFont val="Calibri"/>
        <family val="2"/>
        <scheme val="minor"/>
      </rPr>
      <t xml:space="preserve">1. Always keep default as United States in output field for CBIZB team </t>
    </r>
    <r>
      <rPr>
        <b/>
        <sz val="11"/>
        <color rgb="FF00B050"/>
        <rFont val="Calibri"/>
        <family val="2"/>
        <scheme val="minor"/>
      </rPr>
      <t xml:space="preserve">
2. Automation get information from output field and input into "In care of" field in BCBS</t>
    </r>
  </si>
  <si>
    <t>Automation extract city of home address from data sheet to input field</t>
  </si>
  <si>
    <t>Automation extract state of home address from data sheet to input field</t>
  </si>
  <si>
    <t>Automation extract zip code of home address from data sheet to input field</t>
  </si>
  <si>
    <r>
      <rPr>
        <b/>
        <sz val="11"/>
        <color theme="1"/>
        <rFont val="Calibri"/>
        <family val="2"/>
        <scheme val="minor"/>
      </rPr>
      <t xml:space="preserve">For Input:
</t>
    </r>
    <r>
      <rPr>
        <b/>
        <sz val="11"/>
        <color rgb="FF00B050"/>
        <rFont val="Calibri"/>
        <family val="2"/>
        <scheme val="minor"/>
      </rPr>
      <t>Automation extract personal Cell from EN/report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Link input and output by formula (If business cell is blank, get personal cell; If personal cel is blank, get business cell; if both are blank, leave output blank, if both exists, get personal cell in output )
</t>
    </r>
    <r>
      <rPr>
        <b/>
        <sz val="11"/>
        <color rgb="FF00B050"/>
        <rFont val="Calibri"/>
        <family val="2"/>
        <scheme val="minor"/>
      </rPr>
      <t>2. Automation get information from output and split into xxx/xxx/xxxx to fill out Mobile 3 fields in BCBS</t>
    </r>
  </si>
  <si>
    <t>Automation extract personal cell from EN/report</t>
  </si>
  <si>
    <t>Automation extract business cell from EN/report</t>
  </si>
  <si>
    <t>Automation identify primary enail type in EN/report
1. If primary email type is Work, automation extract work email in input field
2. If Primary email type is Personal, automation extract personal email in input field</t>
  </si>
  <si>
    <t>Automation extract dependent last name from EN/report to input field, if there are 2 or more dependent use "|" to split</t>
  </si>
  <si>
    <t>Automation extract dependent suffix from EN/report to input field, if there are 2 or more dependent use "|" to split</t>
  </si>
  <si>
    <t>Automation extract dependent first name from EN/report to input field, if there are 2 or more dependent use "|" to split</t>
  </si>
  <si>
    <t>Automation go to EN/report dependents' Middle field to identify if there is information in it.
1. If Middle name is blank, automation keep input field as blank
2. If Middle name exists, Automation extract MI to input field, if there are 2 or more dependent use "|" to split</t>
  </si>
  <si>
    <r>
      <rPr>
        <b/>
        <sz val="11"/>
        <color theme="1"/>
        <rFont val="Calibri"/>
        <family val="2"/>
        <scheme val="minor"/>
      </rPr>
      <t xml:space="preserve">For Input:
</t>
    </r>
    <r>
      <rPr>
        <b/>
        <sz val="11"/>
        <color rgb="FF00B050"/>
        <rFont val="Calibri"/>
        <family val="2"/>
        <scheme val="minor"/>
      </rPr>
      <t>1.</t>
    </r>
    <r>
      <rPr>
        <b/>
        <sz val="11"/>
        <color theme="1"/>
        <rFont val="Calibri"/>
        <family val="2"/>
        <scheme val="minor"/>
      </rPr>
      <t xml:space="preserve"> </t>
    </r>
    <r>
      <rPr>
        <b/>
        <sz val="11"/>
        <color rgb="FF00B050"/>
        <rFont val="Calibri"/>
        <family val="2"/>
        <scheme val="minor"/>
      </rPr>
      <t>Automation extract event date from "Event date" column in EN Timeline to input field, according to below rule</t>
    </r>
    <r>
      <rPr>
        <b/>
        <sz val="11"/>
        <color theme="1"/>
        <rFont val="Calibri"/>
        <family val="2"/>
        <scheme val="minor"/>
      </rPr>
      <t xml:space="preserve">
</t>
    </r>
    <r>
      <rPr>
        <b/>
        <sz val="11"/>
        <color rgb="FF00B050"/>
        <rFont val="Calibri"/>
        <family val="2"/>
        <scheme val="minor"/>
      </rPr>
      <t xml:space="preserve">1). Locate Timeline for requested group and EE
2). Date in " On" Column" in Timeline is same as date in "Received Date &amp; Time (US)" in work log
2.  Automation identify all located dates in "Event Date" column. If all dates are the same, extract one date in input field; if not same, extract all dates to nput field and fill out work log to remind TM to report to double check. </t>
    </r>
    <r>
      <rPr>
        <b/>
        <sz val="11"/>
        <color rgb="FFFF0000"/>
        <rFont val="Calibri"/>
        <family val="2"/>
        <scheme val="minor"/>
      </rPr>
      <t xml:space="preserve">Note: Need determine how to fill out work log </t>
    </r>
    <r>
      <rPr>
        <b/>
        <sz val="11"/>
        <color rgb="FF00B050"/>
        <rFont val="Calibri"/>
        <family val="2"/>
        <scheme val="minor"/>
      </rPr>
      <t xml:space="preserve">
3. If can't locate date according to above rules, fill out work log to remind TM to double check. </t>
    </r>
    <r>
      <rPr>
        <b/>
        <sz val="11"/>
        <color rgb="FFFF0000"/>
        <rFont val="Calibri"/>
        <family val="2"/>
        <scheme val="minor"/>
      </rPr>
      <t xml:space="preserve">Note: Need determine how to fill out work log </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Link input and output by formula (=?)
</t>
    </r>
    <r>
      <rPr>
        <b/>
        <sz val="11"/>
        <color rgb="FF00B050"/>
        <rFont val="Calibri"/>
        <family val="2"/>
        <scheme val="minor"/>
      </rPr>
      <t>2. Automation get information from output and split into MM/DD/YYY to fill out related 3 fields in BCBS</t>
    </r>
  </si>
  <si>
    <t>1.  Automation extract Enrollment End Date from "To" column in enrollment change report according to below rule:
1). Automation Locate appropriate group's enrollment change report according to group name in work log
2). SSN is for requested EE
3). Carrier name is Blue Cross Blue Shield of Illinois in "Carrier" column
4). Date in " Change on" Column" is same as date in "Received Date &amp; Time (US)" in work log
5). "Changed Field" Column is "End date"
2.  If there are 2 or more event dates, automation identify if all event date are the same; if yes, extract one date in input field; if no, extract all dates in nput field and fill out work log to remind TM to double check. Note: Need determine how to fill out work log 
3. If there is no matched case according to above rule, fill out work log to remind TM to double check. Note: Need determine how to fill out work log</t>
  </si>
  <si>
    <t xml:space="preserve">1. Automation extract event date from "Event date" column in EN Timeline to input field, according to below rule
1). Locate Timeline for requested group and EE
2). Date in " On" Column" in Timeline is same as date in "Received Date &amp; Time (US)" in work log
2.  Automation identify all located dates in "To" column. If all dates are the same, extract one date in input field; if not same, extract all dates to nput field and fill out work log to remind TM to report to AM. 
3. If can't locate date according to above rules, fill out work log to remind TM to double check. </t>
  </si>
  <si>
    <t>Automation extract student info. from EN/report to input field. if there are 2 or more dependent use "|" to split.</t>
  </si>
  <si>
    <t>Automation extract diaabled info. from EN/report to input field. if there are 2 or more dependent use "|" to split.</t>
  </si>
  <si>
    <t>1. Automation extract Relationship from EN/report to input field, if there are 2 or more dependent use "|" to split.
2. Automation identify information in Relationship/Student/Diabled 
1) If relationship is Child, Student is Yes and Disabled is Yes, fill out worklog to remind TM to report to AM
2) If relationship is Ex-Domestic Partner/ Former Dependent/Deceased Spouse/Deceased Dependent/Legal Dependent. fill out worklog to remind TM to report to AM</t>
  </si>
  <si>
    <t>Automation extract gender info. from EN/report to input field. if there are 2 or more dependent use "|" to split.</t>
  </si>
  <si>
    <t>Automation extract DOB info. from EN/report to input field. if there are 2 or more dependent use "|" to split.</t>
  </si>
  <si>
    <t>Automation extract SSN info. from EN/report to input field. if there are 2 or more dependent use "|" to split.</t>
  </si>
  <si>
    <t>Automation extract Medicare Eligible info. from EN/report to input field. if there are 2 or more dependent use "|" to split.</t>
  </si>
  <si>
    <t>Automation extract separate address 1 info. from EN/report to input field. if there are 2 or more dependent use "|" to split.</t>
  </si>
  <si>
    <t>Automation extract separate address 2 info. from EN/report to input field. if there are 2 or more dependent use "|" to split.</t>
  </si>
  <si>
    <t>Automation extract separate City info. from EN/report to input field. if there are 2 or more dependent use "|" to split.</t>
  </si>
  <si>
    <t>Automation extract separate country info. from EN/report to input field. if there are 2 or more dependent use "|" to split.</t>
  </si>
  <si>
    <t>Automation extract separate zip info. from EN/report to input field. if there are 2 or more dependent use "|" to split.</t>
  </si>
  <si>
    <t>Use formula to get frrom dependent summary</t>
  </si>
  <si>
    <t>If Separate Address 1/Separate Address 2/City/State/Zip is not blank, Yes; otherwise, No</t>
  </si>
  <si>
    <t>Get the information by formula from different dependent section and split by "|"</t>
  </si>
  <si>
    <t>Always keep as "Employee"</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</si>
  <si>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EE last name from EN/report according to employee ID and employee name for EN request</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is linked by formula to input field, "upper". Transfer all characters as capital in output field. If input feild is blank, output field would be N/A
</t>
    </r>
    <r>
      <rPr>
        <b/>
        <sz val="11"/>
        <color rgb="FF00B050"/>
        <rFont val="Calibri"/>
        <family val="2"/>
        <scheme val="minor"/>
      </rPr>
      <t>2. Automation get information from output and input into BCBS last name field
3. Automation compare Last Name in BCBS search result refer to rule clarified in K10</t>
    </r>
  </si>
  <si>
    <t>Output is linked by formula to input field, "upper". Transfer all characters as capital in output field. If input feild is blank, output field would be N/A</t>
  </si>
  <si>
    <r>
      <rPr>
        <b/>
        <sz val="11"/>
        <color theme="1"/>
        <rFont val="Calibri"/>
        <family val="2"/>
        <scheme val="minor"/>
      </rPr>
      <t xml:space="preserve">For Input: </t>
    </r>
    <r>
      <rPr>
        <sz val="11"/>
        <color theme="1"/>
        <rFont val="Calibri"/>
        <family val="2"/>
        <scheme val="minor"/>
      </rPr>
      <t xml:space="preserve">
</t>
    </r>
    <r>
      <rPr>
        <b/>
        <sz val="11"/>
        <color rgb="FF00B050"/>
        <rFont val="Calibri"/>
        <family val="2"/>
        <scheme val="minor"/>
      </rPr>
      <t>Automation go to EN/report Middle field to identify if there is information in it
1. If Middle name is blank, automation keep input field as blank
2. If Middle name exists, Automation extract MI according to employee ID and employee name into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is linked by formula to input field, "Left&amp;upper".If input feild is blank, output field would be N/A
</t>
    </r>
    <r>
      <rPr>
        <b/>
        <sz val="11"/>
        <color rgb="FF00B050"/>
        <rFont val="Calibri"/>
        <family val="2"/>
        <scheme val="minor"/>
      </rPr>
      <t>2. Automation compare MI in BCBS search result refer to rule clarified in K10</t>
    </r>
  </si>
  <si>
    <t>Output is linked by formula to input field, "Left&amp;upper".If input feild is blank, output field would be N/A</t>
  </si>
  <si>
    <t>Automation compare MI in BCBS search result refer to rule clarified in S10</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</si>
  <si>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EE DOB from EN/report according to employee ID and employee name for EN request</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is linked by formula to input field,If input feild is blank, output field would be N/A,if input is not date format the output will show as #N/A
</t>
    </r>
    <r>
      <rPr>
        <b/>
        <sz val="11"/>
        <color rgb="FF00B050"/>
        <rFont val="Calibri"/>
        <family val="2"/>
        <scheme val="minor"/>
      </rPr>
      <t>2. Automation compare DOB in BCBS search result refer to rule clarified in K10</t>
    </r>
  </si>
  <si>
    <t>Automation compare DOB in BCBS search result refer to rule clarified in S10</t>
  </si>
  <si>
    <t>Output field(I16) is linked by formula to input field(C16) (Upper). Transfer all characters as capital in output field, if input is blank, output show as N/A</t>
  </si>
  <si>
    <t>For output Link by formula (If?)
1. If Souse = Spouse
2. If Ex-Spouse = Ex-Spouse
3. If Child = Dependent Child
4. If Domestic Partner = Domestic Partner
5. If Others = it's related clarification in EN
(e.g. If Deceased Spouse = Deceased Spouse)</t>
  </si>
  <si>
    <r>
      <rPr>
        <b/>
        <sz val="11"/>
        <color theme="1"/>
        <rFont val="Calibri"/>
        <family val="2"/>
        <scheme val="minor"/>
      </rPr>
      <t xml:space="preserve">For Input
</t>
    </r>
    <r>
      <rPr>
        <b/>
        <sz val="11"/>
        <color rgb="FF00B050"/>
        <rFont val="Calibri"/>
        <family val="2"/>
        <scheme val="minor"/>
      </rPr>
      <t>1. If Task type is not O - Drop Dependent, keep dependen date and relationship input field as blank.</t>
    </r>
    <r>
      <rPr>
        <sz val="11"/>
        <color theme="1"/>
        <rFont val="Calibri"/>
        <family val="2"/>
        <scheme val="minor"/>
      </rPr>
      <t xml:space="preserve">
</t>
    </r>
    <r>
      <rPr>
        <b/>
        <sz val="11"/>
        <color rgb="FF00B050"/>
        <rFont val="Calibri"/>
        <family val="2"/>
        <scheme val="minor"/>
      </rPr>
      <t>2. If Task type is O - Drop Dependent Automation extract dependent name &amp; relationship according to below rule with format: Last name, First Name MI. If there are 2 or more dependents, use "|" to split</t>
    </r>
    <r>
      <rPr>
        <sz val="11"/>
        <color theme="1"/>
        <rFont val="Calibri"/>
        <family val="2"/>
        <scheme val="minor"/>
      </rPr>
      <t xml:space="preserve">
</t>
    </r>
    <r>
      <rPr>
        <b/>
        <sz val="11"/>
        <color rgb="FF00B050"/>
        <rFont val="Calibri"/>
        <family val="2"/>
        <scheme val="minor"/>
      </rPr>
      <t xml:space="preserve">1). Automation Locate appropriate group's enrollment change report according to group name in work log
2). SSN is for requested EE
3). Carrier name is Blue Cross Blue Shield of Illinois in "Carrier" column
4). Date in " Change on" Column" is same as date in "Received Date &amp; Time (US)" in work log
5) "Changed Field" column is "Drop Dependent"
6) Dependent name match with what is in "To" column. Note: the name in "To" column is before () with format First Name Last Name (e.g. Mary Smith (Child)) and  middle name won't display in the field
3. If relationship is Ex-Domestic Partner/Former Dependent/Deceased Spouse/Deceased Dependent/Legal Dependent, automation extract name anme relationship to input and back fill worklog to remind TM to confirm with AM </t>
    </r>
    <r>
      <rPr>
        <b/>
        <sz val="11"/>
        <color rgb="FFFF0000"/>
        <rFont val="Calibri"/>
        <family val="2"/>
        <scheme val="minor"/>
      </rPr>
      <t>Note: Need determine how to input to worklog</t>
    </r>
    <r>
      <rPr>
        <b/>
        <sz val="11"/>
        <color rgb="FF00B050"/>
        <rFont val="Calibri"/>
        <family val="2"/>
        <scheme val="minor"/>
      </rPr>
      <t xml:space="preserve">
4. If duplicate name for different dependents with same relationship, automation extract all names and relationship to input field and back fill worklog to remind TM to double check. </t>
    </r>
    <r>
      <rPr>
        <b/>
        <sz val="11"/>
        <color rgb="FFFF0000"/>
        <rFont val="Calibri"/>
        <family val="2"/>
        <scheme val="minor"/>
      </rPr>
      <t>Note: Need determine how to input to worklog</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field(I16) is linked by formula to input field(C16) (Upper?). Transfer all characters as capital in output field, if input is blank, output show as N/A
</t>
    </r>
    <r>
      <rPr>
        <b/>
        <sz val="11"/>
        <color rgb="FF00B050"/>
        <rFont val="Calibri"/>
        <family val="2"/>
        <scheme val="minor"/>
      </rPr>
      <t xml:space="preserve">2. Automation identify Last Name, First Name MI - Relation (e.g. SMITH, MARY N - Spouse) in employee Personal Details section according to I16(dependent Last name, first name MI ) and I17(relation) in output field, 
1). If match, Click the dependent name in BCBS
2). if not match, stop automation in BCBS and fill out work log. </t>
    </r>
    <r>
      <rPr>
        <b/>
        <sz val="11"/>
        <color rgb="FFFF0000"/>
        <rFont val="Calibri"/>
        <family val="2"/>
        <scheme val="minor"/>
      </rPr>
      <t xml:space="preserve">Note: Need determine how to input to worklog
</t>
    </r>
    <r>
      <rPr>
        <b/>
        <sz val="11"/>
        <color rgb="FF00B050"/>
        <rFont val="Calibri"/>
        <family val="2"/>
        <scheme val="minor"/>
      </rPr>
      <t xml:space="preserve">3). If there are 2 or more dependents is in output field, automation need go back to employee Personal Details section to click other dependent name to drop another dependent when finish one (Loop execution drop dependent)
</t>
    </r>
    <r>
      <rPr>
        <sz val="11"/>
        <color theme="1"/>
        <rFont val="Calibri"/>
        <family val="2"/>
        <scheme val="minor"/>
      </rPr>
      <t xml:space="preserve">
</t>
    </r>
    <r>
      <rPr>
        <b/>
        <sz val="11"/>
        <color rgb="FF00B050"/>
        <rFont val="Calibri"/>
        <family val="2"/>
        <scheme val="minor"/>
      </rPr>
      <t>Note: In EE Search result page, if result show as Name(Last, Fist MI) + Dependents, When Click wording "Dependents" after "+" , dependents name and relationship list will show, can directly click dependent name here to go to Dependent page to select "I want to"</t>
    </r>
    <r>
      <rPr>
        <b/>
        <u/>
        <sz val="11"/>
        <color rgb="FF00B050"/>
        <rFont val="Calibri"/>
        <family val="2"/>
        <scheme val="minor"/>
      </rPr>
      <t xml:space="preserve">
</t>
    </r>
  </si>
  <si>
    <r>
      <rPr>
        <b/>
        <sz val="11"/>
        <rFont val="Calibri"/>
        <family val="2"/>
        <scheme val="minor"/>
      </rPr>
      <t>For Input
refer to I16</t>
    </r>
    <r>
      <rPr>
        <b/>
        <sz val="11"/>
        <color rgb="FF00B050"/>
        <rFont val="Calibri"/>
        <family val="2"/>
        <scheme val="minor"/>
      </rPr>
      <t xml:space="preserve">
</t>
    </r>
    <r>
      <rPr>
        <b/>
        <sz val="11"/>
        <rFont val="Calibri"/>
        <family val="2"/>
        <scheme val="minor"/>
      </rPr>
      <t>For output Link by formula (If?)</t>
    </r>
    <r>
      <rPr>
        <b/>
        <sz val="11"/>
        <color rgb="FF00B050"/>
        <rFont val="Calibri"/>
        <family val="2"/>
        <scheme val="minor"/>
      </rPr>
      <t xml:space="preserve">
</t>
    </r>
    <r>
      <rPr>
        <sz val="11"/>
        <rFont val="Calibri"/>
        <family val="2"/>
        <scheme val="minor"/>
      </rPr>
      <t>1. If Souse = Spouse
2. If Ex-Spouse = Ex-Spouse
3. If Child = Dependent Child
4. If Domestic Partner = Domestic Partner
5. If Others = N/A
(e.g. If Deceased Spouse = N/A)</t>
    </r>
  </si>
  <si>
    <t>refer to O16</t>
  </si>
  <si>
    <t>refer to S16</t>
  </si>
  <si>
    <t xml:space="preserve">Output field is linked by formula to input field (If)
</t>
  </si>
  <si>
    <t xml:space="preserve">Output is linked by formula to input field, with format MM/DD/YYYY, (IFERROR(TEXT(EDATE(C14,0),"MM/DD/YYYY"),#N/A),if input is not date format the output will show as #N/A. If input feild is blank, output field would be N/A </t>
  </si>
  <si>
    <t>Automation get information from output filed and select from "Type of Enrollment" drop down list in BCBS</t>
  </si>
  <si>
    <t>If input feild is blank, output field would be blank, Link input and output by formula (=)</t>
  </si>
  <si>
    <t>Automation select Reason for Enrollment in BCBS dropdown list according to information in output</t>
  </si>
  <si>
    <t xml:space="preserve">Always keep as "No" </t>
  </si>
  <si>
    <t>Automation click check box for HIPPA Certification in BCBS according to output field</t>
  </si>
  <si>
    <t>Automation select Other Insurance from its drop dow list in BCBS according to output field</t>
  </si>
  <si>
    <t>Output is linked by formula to input field with format MM/DD/YYYY (IFERROR(TEXT(EDATE(C14,0),"MM/DD/YYYY"),#N/A),if input is not date format, the output will show as #N/A. If input feild is blank, output field would be blank</t>
  </si>
  <si>
    <t>Automation get information from output and split into MM/DD/YYY to fill out Signature Date 3 fields in BCBS</t>
  </si>
  <si>
    <t>Automation get information from output filed and input into Prefix field in BCBS</t>
  </si>
  <si>
    <t>Output is linked by formula to input field, (Left&amp;Upper)</t>
  </si>
  <si>
    <t>Link input and output by formula (=), if input is blank, the output will be blank</t>
  </si>
  <si>
    <t xml:space="preserve"> Automation get information from output field and input into "MI" field in BCBS</t>
  </si>
  <si>
    <t>Automation get information from output and input into Suffix field in BCBS</t>
  </si>
  <si>
    <t>Link input and output by formula (if)</t>
  </si>
  <si>
    <t>Automation select Gender from drop list in BCBS according to information in output field</t>
  </si>
  <si>
    <t>Link output field and input field by using formula "SUBSTITUTE(A1,"-","")" to fulfill the format with format xxxxxxxxx . If SSN# is not available in C10 (for email request), C10 will be blank, I10 will show as "N/A." if SSN digits is not 9 output will show as #N/A</t>
  </si>
  <si>
    <t>Link output field and input field by using formula "SUBSTITUTE(A1,"-","")" to fulfill the format with format xxxxxxxxx .  if SSN digits is not 9, output will show as #N/A, if input is blank, output show as blank</t>
  </si>
  <si>
    <t>Automation get information from output and split into xxx/xx/xxxx to fill out related 3 fields in BCBS</t>
  </si>
  <si>
    <t>Automation get information from output and split into MM/DD/YYY to fill out related 3 fields in BCBS</t>
  </si>
  <si>
    <t>Link input and output by formula (if?), If Married is not Unknown /Single/Married/Divorced/Widowed, Output show as "#N/A"</t>
  </si>
  <si>
    <t>Automation get information from output field and split into MM/DD/YYY to fill out Hire Date 3 fields in BCBS</t>
  </si>
  <si>
    <t>Automation select "Active" from Status drop down list according to information in output field</t>
  </si>
  <si>
    <t xml:space="preserve"> Link input and output by formula (if)</t>
  </si>
  <si>
    <t>Automation select Medicare Eligibility from its drop list in BCBS according to information in output field</t>
  </si>
  <si>
    <t>Automation select Native Language from its drop list in BCBS according to information in output field</t>
  </si>
  <si>
    <t>Automation select Preferred Written Language from its drop list in BCBS according to information in output field</t>
  </si>
  <si>
    <t>Automation select Preferred Spoken Language from its drop list in BCBS according to information in output field</t>
  </si>
  <si>
    <t>Automation select Ethnicity (select all that apply) by clicking check box according to information in output field</t>
  </si>
  <si>
    <t>Automation select Race (select all that apply) by clicking check box according to information in output field</t>
  </si>
  <si>
    <t>Automation select Country Type from its drop list in BCBS according to information in output field</t>
  </si>
  <si>
    <t>Automation get information from output field and input into "In care of" field in BCBS</t>
  </si>
  <si>
    <t>Automation get information from output field and input into "Street 2" field in BCBS</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</si>
  <si>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city of home address from EN/report to input field</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
</t>
    </r>
    <r>
      <rPr>
        <b/>
        <sz val="11"/>
        <color rgb="FF00B050"/>
        <rFont val="Calibri"/>
        <family val="2"/>
        <scheme val="minor"/>
      </rPr>
      <t>2. Automation get information from output field and input into BCBS City field</t>
    </r>
  </si>
  <si>
    <t>Automation get information from output field and input into BCBS City field</t>
  </si>
  <si>
    <t xml:space="preserve"> Automation get information from output and input into BCBS State field</t>
  </si>
  <si>
    <t>Automation get information from output and input into BCBS Zip Code field</t>
  </si>
  <si>
    <t>Automation get information from output and split into xxx/xxx/xxxx to fill out "Home" 3 fields in BCBS</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</si>
  <si>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home phone from EN/report to input field</t>
    </r>
    <r>
      <rPr>
        <b/>
        <sz val="11"/>
        <rFont val="Calibri"/>
        <family val="2"/>
        <scheme val="minor"/>
      </rPr>
      <t xml:space="preserve">
For Output:</t>
    </r>
    <r>
      <rPr>
        <sz val="11"/>
        <color theme="1"/>
        <rFont val="Calibri"/>
        <family val="2"/>
        <scheme val="minor"/>
      </rPr>
      <t xml:space="preserve">
</t>
    </r>
    <r>
      <rPr>
        <sz val="11"/>
        <rFont val="Calibri"/>
        <family val="2"/>
        <scheme val="minor"/>
      </rPr>
      <t>1. Link input and output by formula (substitue?) to rmove () or -</t>
    </r>
    <r>
      <rPr>
        <sz val="11"/>
        <color theme="1"/>
        <rFont val="Calibri"/>
        <family val="2"/>
        <scheme val="minor"/>
      </rPr>
      <t xml:space="preserve">
</t>
    </r>
    <r>
      <rPr>
        <b/>
        <sz val="11"/>
        <color rgb="FF00B050"/>
        <rFont val="Calibri"/>
        <family val="2"/>
        <scheme val="minor"/>
      </rPr>
      <t>2. Automation get information from output and split into xxx/xxx/xxxx to fill out "Home" 3 fields in BCBS</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</si>
  <si>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1. Automation extract state abbreviation (e.g. KY) of home address from EN/report to input field</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no matter input is fulll name or abbrevation name of state, the output will show as abbrevation name of state. if there is a typo or new sate, the output will show as #N/A. If iput is blank, the output will show as blank
</t>
    </r>
    <r>
      <rPr>
        <b/>
        <sz val="11"/>
        <color rgb="FF00B050"/>
        <rFont val="Calibri"/>
        <family val="2"/>
        <scheme val="minor"/>
      </rPr>
      <t>2. Automation get information from output and input into BCBS State field</t>
    </r>
  </si>
  <si>
    <t>Link input and output by formula, no matter input is fulll name or abbrevation name of state, the output will show as abbrevation name of state. if there is a typo or new sate, the output will show as #N/A. If input is blank, the output will show as blank</t>
  </si>
  <si>
    <t>Automation get information from output and split into xxx/xxx/xxxx to fill out Mobile 3 fields in BCBS</t>
  </si>
  <si>
    <t xml:space="preserve"> Link input and output by formula to remove "-" and "()"</t>
  </si>
  <si>
    <t xml:space="preserve"> Link input and output by formula
1). remove "-" in zip code and 
2). if length of zip code is not 5 or 9, output will show as #N/A. 
3). If input is blank, the output will show as blank</t>
  </si>
  <si>
    <t>Automation get information from output filed and input into Ext field in BCBS</t>
  </si>
  <si>
    <t xml:space="preserve"> Automation get information from output and split into xxx/xxx/xxxx to fill out "Business" 3 fields in BCBS</t>
  </si>
  <si>
    <t>Automation get information from output and input into BCBS Email field</t>
  </si>
  <si>
    <t>Link input and output by formula, if input is blank, output show as blank</t>
  </si>
  <si>
    <t>Keep default as "A-Active"</t>
  </si>
  <si>
    <t>Automation select "A - Active" from dropdown list in BCBS</t>
  </si>
  <si>
    <t>Keep default as "Yes"</t>
  </si>
  <si>
    <t>Not editable field, no need touch here</t>
  </si>
  <si>
    <r>
      <rPr>
        <b/>
        <sz val="11"/>
        <rFont val="Calibri"/>
        <family val="2"/>
        <scheme val="minor"/>
      </rPr>
      <t>For Input:</t>
    </r>
    <r>
      <rPr>
        <sz val="11"/>
        <color rgb="FFFF0000"/>
        <rFont val="Calibri"/>
        <family val="2"/>
        <scheme val="minor"/>
      </rPr>
      <t xml:space="preserve">
</t>
    </r>
    <r>
      <rPr>
        <sz val="11"/>
        <rFont val="Calibri"/>
        <family val="2"/>
        <scheme val="minor"/>
      </rPr>
      <t>No related information in BCBS. leave the field as blank</t>
    </r>
    <r>
      <rPr>
        <b/>
        <sz val="11"/>
        <color rgb="FF00B050"/>
        <rFont val="Calibri"/>
        <family val="2"/>
        <scheme val="minor"/>
      </rPr>
      <t xml:space="preserve">
</t>
    </r>
    <r>
      <rPr>
        <b/>
        <sz val="11"/>
        <rFont val="Calibri"/>
        <family val="2"/>
        <scheme val="minor"/>
      </rPr>
      <t>For Output:</t>
    </r>
    <r>
      <rPr>
        <sz val="11"/>
        <color theme="1"/>
        <rFont val="Calibri"/>
        <family val="2"/>
        <scheme val="minor"/>
      </rPr>
      <t xml:space="preserve">
1. Link input and output by formula(if)
</t>
    </r>
    <r>
      <rPr>
        <b/>
        <sz val="11"/>
        <color rgb="FF00B050"/>
        <rFont val="Calibri"/>
        <family val="2"/>
        <scheme val="minor"/>
      </rPr>
      <t xml:space="preserve">2. Automation select option from drop down list according to output filed. if the coption can'e be selected according to output field. click "Finish Later" Button and fill out work log to remind TM
</t>
    </r>
    <r>
      <rPr>
        <b/>
        <sz val="11"/>
        <color rgb="FFFF0000"/>
        <rFont val="Calibri"/>
        <family val="2"/>
        <scheme val="minor"/>
      </rPr>
      <t>Note: 
1. Need determine how to fill out work log 
2. For CBIZB, Currently there is only one group that need to select the field according to office name in email report and rule in roster file
3. TM prefer to stop automation and save progress when encounter the field</t>
    </r>
  </si>
  <si>
    <t>1.  Output field would be extracted from "Config" tab according to plan name in input filed. 
1). If plan name correspondent product is N/A in mapping list, output field show as N/A. 
2). If plan name is new which is not in Config tab previously or there is a typo in plan name, output field show as #N/A</t>
  </si>
  <si>
    <r>
      <rPr>
        <b/>
        <sz val="11"/>
        <color theme="1"/>
        <rFont val="Calibri"/>
        <family val="2"/>
        <scheme val="minor"/>
      </rPr>
      <t xml:space="preserve">For Input:
refer to K65
For output:
</t>
    </r>
    <r>
      <rPr>
        <sz val="11"/>
        <color theme="1"/>
        <rFont val="Calibri"/>
        <family val="2"/>
        <scheme val="minor"/>
      </rPr>
      <t xml:space="preserve">1.  Output field would be extracted from "Config" tab according to plan name in input filed. 
1). If plan name correspondent product is N/A in mapping list, output field show as N/A. 
2). If plan name is new which is not in Config tab previously or there is a typo in plan name, output field show as #N/A
</t>
    </r>
    <r>
      <rPr>
        <b/>
        <sz val="11"/>
        <color rgb="FF00B050"/>
        <rFont val="Calibri"/>
        <family val="2"/>
        <scheme val="minor"/>
      </rPr>
      <t xml:space="preserve">2. Automation select product in BCBS according to output field. if can't select product in BCBS according to output field, click "Finish  Later" in the screen and fill out worklog to remind TM. 
</t>
    </r>
    <r>
      <rPr>
        <b/>
        <sz val="11"/>
        <color rgb="FFFF0000"/>
        <rFont val="Calibri"/>
        <family val="2"/>
        <scheme val="minor"/>
      </rPr>
      <t>Note: 
1. Need determine how to fill out work log 
2. Mapping list is pending, because TM haven't provided needed information</t>
    </r>
  </si>
  <si>
    <t xml:space="preserve">Automation select product in BCBS according to output field. if can't select product in BCBS according to output field, click "Finish  Later" in the screen and fill out worklog to remind TM. </t>
  </si>
  <si>
    <t>Output field linked by formula to input field ( If just Employee, output field show as No, otherwise show as Yes)</t>
  </si>
  <si>
    <t>Automation click check box "Yes/No" according to output field</t>
  </si>
  <si>
    <t>HMO Plan Type</t>
  </si>
  <si>
    <r>
      <rPr>
        <b/>
        <sz val="11"/>
        <color theme="1"/>
        <rFont val="Calibri"/>
        <family val="2"/>
        <scheme val="minor"/>
      </rPr>
      <t xml:space="preserve">For Input:
</t>
    </r>
    <r>
      <rPr>
        <b/>
        <sz val="11"/>
        <color rgb="FF00B050"/>
        <rFont val="Calibri"/>
        <family val="2"/>
        <scheme val="minor"/>
      </rPr>
      <t>1.</t>
    </r>
    <r>
      <rPr>
        <b/>
        <sz val="11"/>
        <color theme="1"/>
        <rFont val="Calibri"/>
        <family val="2"/>
        <scheme val="minor"/>
      </rPr>
      <t xml:space="preserve"> </t>
    </r>
    <r>
      <rPr>
        <b/>
        <sz val="11"/>
        <color rgb="FF00B050"/>
        <rFont val="Calibri"/>
        <family val="2"/>
        <scheme val="minor"/>
      </rPr>
      <t xml:space="preserve">Automation extract plan name to input field from "Plan Name" column in Benefit summary according to below rule:
1). Carrier name as Blue Cross Blue Shield of Illinois, and 
2). Plan type as Medical
2. If plan name correspondent product type is N/A in mapping list, output field show as N/A. need backfill work log to remind TM manually input the field </t>
    </r>
    <r>
      <rPr>
        <b/>
        <sz val="11"/>
        <color rgb="FFFF0000"/>
        <rFont val="Calibri"/>
        <family val="2"/>
        <scheme val="minor"/>
      </rPr>
      <t xml:space="preserve">Note: Need determine how to fill out work log </t>
    </r>
    <r>
      <rPr>
        <b/>
        <sz val="11"/>
        <color rgb="FF00B050"/>
        <rFont val="Calibri"/>
        <family val="2"/>
        <scheme val="minor"/>
      </rPr>
      <t xml:space="preserve">
3. If plan name is new which is not in Config tab previously or there is a typo in plan name, output field show as #N/A. need backfill work log </t>
    </r>
    <r>
      <rPr>
        <b/>
        <sz val="11"/>
        <color rgb="FFFF0000"/>
        <rFont val="Calibri"/>
        <family val="2"/>
        <scheme val="minor"/>
      </rPr>
      <t>Note: Need determine how to fill out work log</t>
    </r>
    <r>
      <rPr>
        <b/>
        <sz val="11"/>
        <color rgb="FF00B050"/>
        <rFont val="Calibri"/>
        <family val="2"/>
        <scheme val="minor"/>
      </rPr>
      <t xml:space="preserve">
4. Identify product type in output field. if it's related HMO plan type is BAV/HMO/ADV in HMO plan type column in "Config" tab. need backfill work log  to remind TM mianually handle.</t>
    </r>
    <r>
      <rPr>
        <b/>
        <sz val="11"/>
        <color rgb="FFFF0000"/>
        <rFont val="Calibri"/>
        <family val="2"/>
        <scheme val="minor"/>
      </rPr>
      <t xml:space="preserve"> Note: Need determine how to fill out work log</t>
    </r>
    <r>
      <rPr>
        <b/>
        <sz val="11"/>
        <color theme="1"/>
        <rFont val="Calibri"/>
        <family val="2"/>
        <scheme val="minor"/>
      </rPr>
      <t xml:space="preserve">
For output:
</t>
    </r>
    <r>
      <rPr>
        <sz val="11"/>
        <color theme="1"/>
        <rFont val="Calibri"/>
        <family val="2"/>
        <scheme val="minor"/>
      </rPr>
      <t xml:space="preserve">1. Product type would be extracted to output field from mapping list( EN plan name vs BSBC IL product) according to plan name in input filed. 
1). If plan name correspondent product type is N/A in mapping list, output field show as N/A. 
2). If plan name is new which is not in Config tab previously or there is a typo in plan name, output field show as #N/A
</t>
    </r>
    <r>
      <rPr>
        <b/>
        <sz val="11"/>
        <color rgb="FF00B050"/>
        <rFont val="Calibri"/>
        <family val="2"/>
        <scheme val="minor"/>
      </rPr>
      <t xml:space="preserve">2. Automation select product type in BCBS according to output field. if can't select product type in BCBS according to output field, click "Finish  Later" in the screen and fill out worklog to remind TM. 
</t>
    </r>
    <r>
      <rPr>
        <b/>
        <sz val="11"/>
        <color rgb="FFFF0000"/>
        <rFont val="Calibri"/>
        <family val="2"/>
        <scheme val="minor"/>
      </rPr>
      <t>Note: 
1. Need determine how to fill out work log 
2. Mapping list is pending, because TM haven't provided needed information</t>
    </r>
  </si>
  <si>
    <t>Out of automation in phase 1, need backfill wok log when come across in BCBS to remind TM manually handle</t>
  </si>
  <si>
    <r>
      <rPr>
        <b/>
        <sz val="11"/>
        <color theme="1"/>
        <rFont val="Calibri"/>
        <family val="2"/>
        <scheme val="minor"/>
      </rPr>
      <t xml:space="preserve">
Out of automation in phase 1, need backfill wok log when come across in BCBS to remind TM manually handle </t>
    </r>
    <r>
      <rPr>
        <b/>
        <sz val="11"/>
        <color rgb="FFFF0000"/>
        <rFont val="Calibri"/>
        <family val="2"/>
        <scheme val="minor"/>
      </rPr>
      <t xml:space="preserve">Note: Need determine how to fill out work log </t>
    </r>
    <r>
      <rPr>
        <b/>
        <sz val="11"/>
        <color theme="1"/>
        <rFont val="Calibri"/>
        <family val="2"/>
        <scheme val="minor"/>
      </rPr>
      <t xml:space="preserve">
For Input:
</t>
    </r>
    <r>
      <rPr>
        <b/>
        <sz val="11"/>
        <color rgb="FF00B050"/>
        <rFont val="Calibri"/>
        <family val="2"/>
        <scheme val="minor"/>
      </rPr>
      <t>1. Automation find PCP in EN - Employee Management - Employee Home Page ( Reviews Section) - Beneftis - Benefits Forms section - Medical PCP information subsection</t>
    </r>
    <r>
      <rPr>
        <sz val="11"/>
        <color theme="1"/>
        <rFont val="Calibri"/>
        <family val="2"/>
        <scheme val="minor"/>
      </rPr>
      <t xml:space="preserve">
</t>
    </r>
    <r>
      <rPr>
        <b/>
        <sz val="11"/>
        <color rgb="FF00B050"/>
        <rFont val="Calibri"/>
        <family val="2"/>
        <scheme val="minor"/>
      </rPr>
      <t>1). If there is only 1 item of PCP result, leave input field as blank
2). If there are 2 items of PCP results in EN, automation need click ""Add/Edit"" button to go to separate page to check the type (Medical or OB/GYN) for each PCP and extract PCP ID under  OB/GYN type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 is linked by formula to input (=?)
</t>
    </r>
    <r>
      <rPr>
        <b/>
        <sz val="11"/>
        <color rgb="FF00B050"/>
        <rFont val="Calibri"/>
        <family val="2"/>
        <scheme val="minor"/>
      </rPr>
      <t>2. Automation get information in output field and input in BCBS</t>
    </r>
  </si>
  <si>
    <r>
      <rPr>
        <b/>
        <sz val="11"/>
        <color theme="1"/>
        <rFont val="Calibri"/>
        <family val="2"/>
        <scheme val="minor"/>
      </rPr>
      <t xml:space="preserve">
Out of automation in phase 1, need backfill wok log when come across in BCBS to remind TM manually handle </t>
    </r>
    <r>
      <rPr>
        <b/>
        <sz val="11"/>
        <color rgb="FFFF0000"/>
        <rFont val="Calibri"/>
        <family val="2"/>
        <scheme val="minor"/>
      </rPr>
      <t xml:space="preserve">Note: Need determine how to fill out work log </t>
    </r>
    <r>
      <rPr>
        <b/>
        <sz val="11"/>
        <color theme="1"/>
        <rFont val="Calibri"/>
        <family val="2"/>
        <scheme val="minor"/>
      </rPr>
      <t xml:space="preserve">
For Input:
</t>
    </r>
    <r>
      <rPr>
        <b/>
        <sz val="11"/>
        <color rgb="FF00B050"/>
        <rFont val="Calibri"/>
        <family val="2"/>
        <scheme val="minor"/>
      </rPr>
      <t>1. Automation find PCP in EN - Employee Management - Employee Home Page ( Reviews Section) - Beneftis - Benefits Forms section - Medical PCP information subsection</t>
    </r>
    <r>
      <rPr>
        <b/>
        <sz val="11"/>
        <color theme="1"/>
        <rFont val="Calibri"/>
        <family val="2"/>
        <scheme val="minor"/>
      </rPr>
      <t xml:space="preserve">
</t>
    </r>
    <r>
      <rPr>
        <b/>
        <sz val="11"/>
        <color rgb="FF00B050"/>
        <rFont val="Calibri"/>
        <family val="2"/>
        <scheme val="minor"/>
      </rPr>
      <t>1). If there is only 1 item of PCP result, leave input field as blank
2). If there are 2 items of PCP results in EN, need click ""Add/Edit"" button to go to separate page to check the type (Medical or OB/GYN) for each PCP. automation extract information under OB/GYN type in Current patient column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 is linked by formula to input (=?)
2. 2. Automation select in BCBS according to output field. If No, keep default as No; If yes, select Yes</t>
    </r>
  </si>
  <si>
    <r>
      <rPr>
        <b/>
        <sz val="11"/>
        <color theme="1"/>
        <rFont val="Calibri"/>
        <family val="2"/>
        <scheme val="minor"/>
      </rPr>
      <t xml:space="preserve">For Input:
</t>
    </r>
    <r>
      <rPr>
        <b/>
        <sz val="11"/>
        <color rgb="FF00B050"/>
        <rFont val="Calibri"/>
        <family val="2"/>
        <scheme val="minor"/>
      </rPr>
      <t xml:space="preserve">1. Automation extract plan name to input field from "Plan Name" column in Benefit summary according to below rule:
1). Carrier name as Blue Cross Blue Shield of Illinois, and 
2). Plan type as Dental
2. If plan name correspondent product type is N/A in mapping list, output field show as N/A. need backfill work log to remind TM manually input the field </t>
    </r>
    <r>
      <rPr>
        <b/>
        <sz val="11"/>
        <color rgb="FFFF0000"/>
        <rFont val="Calibri"/>
        <family val="2"/>
        <scheme val="minor"/>
      </rPr>
      <t xml:space="preserve">Note: Need determine how to fill out work log </t>
    </r>
    <r>
      <rPr>
        <b/>
        <sz val="11"/>
        <color rgb="FF00B050"/>
        <rFont val="Calibri"/>
        <family val="2"/>
        <scheme val="minor"/>
      </rPr>
      <t xml:space="preserve">
3. If plan name is new which is not in Config tab previously or there is a typo in plan name, output field show as #N/A. need backfill work log Note: </t>
    </r>
    <r>
      <rPr>
        <b/>
        <sz val="11"/>
        <color rgb="FFFF0000"/>
        <rFont val="Calibri"/>
        <family val="2"/>
        <scheme val="minor"/>
      </rPr>
      <t>Need determine how to fill out work log</t>
    </r>
    <r>
      <rPr>
        <b/>
        <sz val="11"/>
        <color theme="1"/>
        <rFont val="Calibri"/>
        <family val="2"/>
        <scheme val="minor"/>
      </rPr>
      <t xml:space="preserve">
For output:
</t>
    </r>
    <r>
      <rPr>
        <sz val="11"/>
        <color theme="1"/>
        <rFont val="Calibri"/>
        <family val="2"/>
        <scheme val="minor"/>
      </rPr>
      <t xml:space="preserve">1. Product type would be extracted to output field from mapping list( EN plan name vs BSBC IL product) according to plan name in input filed. 
1). If plan name correspondent product type is N/A in mapping list, output field show as N/A. 
2). If plan name is new which is not in Config tab previously or there is a typo in plan name, output field show as #N/A
</t>
    </r>
    <r>
      <rPr>
        <b/>
        <sz val="11"/>
        <color rgb="FF00B050"/>
        <rFont val="Calibri"/>
        <family val="2"/>
        <scheme val="minor"/>
      </rPr>
      <t xml:space="preserve">2. Automation select product type in BCBS according to output field. if can't select product type in BCBS according to output field, click "Finish  Later" in the screen and fill out worklog to remind TM. </t>
    </r>
    <r>
      <rPr>
        <sz val="11"/>
        <color theme="1"/>
        <rFont val="Calibri"/>
        <family val="2"/>
        <scheme val="minor"/>
      </rPr>
      <t xml:space="preserve">
</t>
    </r>
    <r>
      <rPr>
        <b/>
        <sz val="11"/>
        <color rgb="FFFF0000"/>
        <rFont val="Calibri"/>
        <family val="2"/>
        <scheme val="minor"/>
      </rPr>
      <t>Note: 
1. Need determine how to fill out work log 
2. Mapping list is pending, because TM haven't provided needed information</t>
    </r>
  </si>
  <si>
    <t xml:space="preserve">Automation select product type in BCBS according to output field. if can't select product type in BCBS according to output field, click "Finish  Later" in the screen and fill out worklog to remind TM. </t>
  </si>
  <si>
    <r>
      <rPr>
        <b/>
        <sz val="11"/>
        <color theme="1"/>
        <rFont val="Calibri"/>
        <family val="2"/>
        <scheme val="minor"/>
      </rPr>
      <t xml:space="preserve">For Input:
</t>
    </r>
    <r>
      <rPr>
        <b/>
        <sz val="11"/>
        <color rgb="FF00B050"/>
        <rFont val="Calibri"/>
        <family val="2"/>
        <scheme val="minor"/>
      </rPr>
      <t>Refer to K73</t>
    </r>
    <r>
      <rPr>
        <b/>
        <sz val="11"/>
        <color theme="1"/>
        <rFont val="Calibri"/>
        <family val="2"/>
        <scheme val="minor"/>
      </rPr>
      <t xml:space="preserve">
For output:
</t>
    </r>
    <r>
      <rPr>
        <sz val="11"/>
        <color theme="1"/>
        <rFont val="Calibri"/>
        <family val="2"/>
        <scheme val="minor"/>
      </rPr>
      <t xml:space="preserve">1. Product would be extracted to output field from mapping list( EN plan name vs BSBC IL product) according to plan name in input filed. 
1). If plan name correspondent product type is N/A in mapping list, output field show as N/A. 
2). If plan name is new which is not in Config tab previously or there is a typo in plan name, output field show as #N/A
</t>
    </r>
    <r>
      <rPr>
        <b/>
        <sz val="11"/>
        <color rgb="FF00B050"/>
        <rFont val="Calibri"/>
        <family val="2"/>
        <scheme val="minor"/>
      </rPr>
      <t xml:space="preserve">2. Automation select product type in BCBS according to output field. if can't select product type in BCBS according to output field, click "Finish  Later" in the screen and fill out worklog to remind TM. </t>
    </r>
    <r>
      <rPr>
        <sz val="11"/>
        <color theme="1"/>
        <rFont val="Calibri"/>
        <family val="2"/>
        <scheme val="minor"/>
      </rPr>
      <t xml:space="preserve">
</t>
    </r>
    <r>
      <rPr>
        <b/>
        <sz val="11"/>
        <color rgb="FFFF0000"/>
        <rFont val="Calibri"/>
        <family val="2"/>
        <scheme val="minor"/>
      </rPr>
      <t>Note: 
1. Need determine how to fill out work log 
2. Mapping list is pending, because TM haven't provided needed information</t>
    </r>
  </si>
  <si>
    <t>1. Product would be extracted to output field from mapping list( EN plan name vs BSBC IL product) according to plan name in input filed. 
1). If plan name correspondent product type is N/A in mapping list, output field show as N/A. 
2). If plan name is new which is not in Config tab previously or there is a typo in plan name, output field show as #N/A</t>
  </si>
  <si>
    <r>
      <rPr>
        <b/>
        <sz val="11"/>
        <color theme="1"/>
        <rFont val="Calibri"/>
        <family val="2"/>
        <scheme val="minor"/>
      </rPr>
      <t>For Input:</t>
    </r>
    <r>
      <rPr>
        <sz val="11"/>
        <color theme="1"/>
        <rFont val="Calibri"/>
        <family val="2"/>
        <scheme val="minor"/>
      </rPr>
      <t xml:space="preserve">
No related information in EN, keep default as blank in input field for CBIZB team
</t>
    </r>
    <r>
      <rPr>
        <b/>
        <sz val="11"/>
        <color theme="1"/>
        <rFont val="Calibri"/>
        <family val="2"/>
        <scheme val="minor"/>
      </rPr>
      <t>For Output:</t>
    </r>
    <r>
      <rPr>
        <sz val="11"/>
        <color theme="1"/>
        <rFont val="Calibri"/>
        <family val="2"/>
        <scheme val="minor"/>
      </rPr>
      <t xml:space="preserve">
1. Keep blank in output field for CBIZB team
</t>
    </r>
    <r>
      <rPr>
        <b/>
        <sz val="11"/>
        <color rgb="FF00B050"/>
        <rFont val="Calibri"/>
        <family val="2"/>
        <scheme val="minor"/>
      </rPr>
      <t>2. Automation get information from output and input into BCBS Group Number field</t>
    </r>
  </si>
  <si>
    <t>Automation get information from output and input into BCBS Group Number field</t>
  </si>
  <si>
    <t>Automation get information from output and input into BCBS Employee ID Number field</t>
  </si>
  <si>
    <r>
      <rPr>
        <b/>
        <sz val="11"/>
        <color theme="1"/>
        <rFont val="Calibri"/>
        <family val="2"/>
        <scheme val="minor"/>
      </rPr>
      <t>For Input:</t>
    </r>
    <r>
      <rPr>
        <sz val="11"/>
        <color theme="1"/>
        <rFont val="Calibri"/>
        <family val="2"/>
        <scheme val="minor"/>
      </rPr>
      <t xml:space="preserve">
No related information in EN, keep default as blank in input field for CBIZB team
</t>
    </r>
    <r>
      <rPr>
        <b/>
        <sz val="11"/>
        <color theme="1"/>
        <rFont val="Calibri"/>
        <family val="2"/>
        <scheme val="minor"/>
      </rPr>
      <t>For Output:</t>
    </r>
    <r>
      <rPr>
        <sz val="11"/>
        <color theme="1"/>
        <rFont val="Calibri"/>
        <family val="2"/>
        <scheme val="minor"/>
      </rPr>
      <t xml:space="preserve">
1. Keep blank in output field for CBIZB team
</t>
    </r>
    <r>
      <rPr>
        <b/>
        <sz val="11"/>
        <color rgb="FF00B050"/>
        <rFont val="Calibri"/>
        <family val="2"/>
        <scheme val="minor"/>
      </rPr>
      <t>2. Automation get information from output and input into BCBS Employee ID Number field</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</si>
  <si>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last name from EN/report to input field, if there are 2 or more dependent use "|" to split</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
</t>
    </r>
    <r>
      <rPr>
        <b/>
        <sz val="11"/>
        <color rgb="FF00B050"/>
        <rFont val="Calibri"/>
        <family val="2"/>
        <scheme val="minor"/>
      </rPr>
      <t>2. Automation identify different last name from output field and input into "Last" field  in BCBS different dependent section</t>
    </r>
  </si>
  <si>
    <t>Automation identify different suffix from output field by "|" and input into "Suffix" field  in BCBS different dependent section</t>
  </si>
  <si>
    <t>Automation identify different dependent MI from output field by"|" and input into "MI" field in BCBS different dependent section</t>
  </si>
  <si>
    <r>
      <rPr>
        <b/>
        <sz val="11"/>
        <color theme="1"/>
        <rFont val="Calibri"/>
        <family val="2"/>
        <scheme val="minor"/>
      </rPr>
      <t xml:space="preserve">For Input:
</t>
    </r>
    <r>
      <rPr>
        <b/>
        <sz val="11"/>
        <color rgb="FF00B050"/>
        <rFont val="Calibri"/>
        <family val="2"/>
        <scheme val="minor"/>
      </rPr>
      <t xml:space="preserve">1. Automation extract relationship/ student/Disabled from EN/report to input field, if there are 2 or more dependent use "|" to split.
1) If relationship is Child, Student is Yes and Disabled is Yes, fill out worklog to remind TM to report to AM </t>
    </r>
    <r>
      <rPr>
        <b/>
        <sz val="11"/>
        <color rgb="FFFF0000"/>
        <rFont val="Calibri"/>
        <family val="2"/>
        <scheme val="minor"/>
      </rPr>
      <t xml:space="preserve">Note: Need determine how to fill out work log </t>
    </r>
    <r>
      <rPr>
        <b/>
        <sz val="11"/>
        <color rgb="FF00B050"/>
        <rFont val="Calibri"/>
        <family val="2"/>
        <scheme val="minor"/>
      </rPr>
      <t xml:space="preserve">
2) In EN/report, If relationship is Ex-Domestic Partner/ Former Dependent/Deceased Spouse/Deceased Dependent/Legal Dependent. fill out worklog to remind TM to report to AM </t>
    </r>
    <r>
      <rPr>
        <b/>
        <sz val="11"/>
        <color rgb="FFFF0000"/>
        <rFont val="Calibri"/>
        <family val="2"/>
        <scheme val="minor"/>
      </rPr>
      <t xml:space="preserve">Note: Need determine how to fill out work log </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 link with input field by formula(if?)
</t>
    </r>
    <r>
      <rPr>
        <b/>
        <sz val="11"/>
        <color rgb="FF00B050"/>
        <rFont val="Calibri"/>
        <family val="2"/>
        <scheme val="minor"/>
      </rPr>
      <t>2. Automation select Relation from its drop down list in BCBS according to output field</t>
    </r>
  </si>
  <si>
    <t>Automation identify different dependent's gender from output field by "|" and input into "Gender" field in BCBS different dependent section</t>
  </si>
  <si>
    <t>Automation select Other Dependent from its drop list according to information in output field in BCBS different dependent section</t>
  </si>
  <si>
    <t>Use formula to consolidate all relation from different dependent section and split by "|"</t>
  </si>
  <si>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Automation extract dependent gender from EN/report to input field, if there are 2 or more dependent use "|" to split</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
1. Link input and output by formula (=SUBSTITUTE(SUBSTITUTE(C83,"M","Male"),"F","Female")), if input is blank, output show as blank
</t>
    </r>
    <r>
      <rPr>
        <b/>
        <sz val="11"/>
        <color rgb="FF00B050"/>
        <rFont val="Calibri"/>
        <family val="2"/>
        <scheme val="minor"/>
      </rPr>
      <t>2.</t>
    </r>
    <r>
      <rPr>
        <sz val="11"/>
        <color theme="1"/>
        <rFont val="Calibri"/>
        <family val="2"/>
        <scheme val="minor"/>
      </rPr>
      <t xml:space="preserve"> </t>
    </r>
    <r>
      <rPr>
        <b/>
        <sz val="11"/>
        <color rgb="FF00B050"/>
        <rFont val="Calibri"/>
        <family val="2"/>
        <scheme val="minor"/>
      </rPr>
      <t>Automation identify different dependent's gender from output field and input into "Gender" field in BCBS different dependent section</t>
    </r>
  </si>
  <si>
    <t>Link input and output by formula (=SUBSTITUTE(SUBSTITUTE(C83,"M","Male"),"F","Female")), if input is blank, output show as blank</t>
  </si>
  <si>
    <t>Use formula to consolidate all DOB from different dependent section and split by "|"</t>
  </si>
  <si>
    <t>Automation identify different dependents' DOB from output field by "|", and split into MM/DD/YYYY format to input into "DOB" field in BCBS different dependent section</t>
  </si>
  <si>
    <t>Use formula to consolidate all SSN from different dependent section and split by "|"</t>
  </si>
  <si>
    <t>Automation identify different dependents' SSN from output field by "|", and split into XXX/XX/XXXX format to input into "SSN" field in BCBS different dependent section</t>
  </si>
  <si>
    <r>
      <rPr>
        <b/>
        <sz val="11"/>
        <color theme="1"/>
        <rFont val="Calibri"/>
        <family val="2"/>
        <scheme val="minor"/>
      </rPr>
      <t>For Input:</t>
    </r>
    <r>
      <rPr>
        <sz val="11"/>
        <color theme="1"/>
        <rFont val="Calibri"/>
        <family val="2"/>
        <scheme val="minor"/>
      </rPr>
      <t xml:space="preserve">
No Dependent Multiple Birth information in EN, keep check box as uncheck for input field
</t>
    </r>
    <r>
      <rPr>
        <b/>
        <sz val="11"/>
        <color theme="1"/>
        <rFont val="Calibri"/>
        <family val="2"/>
        <scheme val="minor"/>
      </rPr>
      <t>For Output:</t>
    </r>
    <r>
      <rPr>
        <sz val="11"/>
        <color theme="1"/>
        <rFont val="Calibri"/>
        <family val="2"/>
        <scheme val="minor"/>
      </rPr>
      <t xml:space="preserve">
1. Always keep default as "Unknown" in output field for CBIZB team
</t>
    </r>
    <r>
      <rPr>
        <b/>
        <sz val="11"/>
        <color rgb="FF00B050"/>
        <rFont val="Calibri"/>
        <family val="2"/>
        <scheme val="minor"/>
      </rPr>
      <t>2. Automation select Multiple Birth by clicking check box according to information in output field</t>
    </r>
  </si>
  <si>
    <t>Automation identify different dependents' Native Language from output field by "|", and select from its drop down list according to information in output field in BCBS different dependent section</t>
  </si>
  <si>
    <t>Automation identify different dependents' Preferred Written Language from output field by "|", and select from its drop down list according to information in output field in BCBS different dependent section</t>
  </si>
  <si>
    <t>Automation identify different dependents' Preferred Spoken Language from output field by "|", and select from its drop down list according to information in output field in BCBS different dependent section</t>
  </si>
  <si>
    <t>Automation identify different dependents' Multiple Birth from output field by "|", and click check box according to information in output field in BCBS different dependent section</t>
  </si>
  <si>
    <t>Automation identify different dependents' Race from output field by "|", and click check box according to information in output field in BCBS different dependent section</t>
  </si>
  <si>
    <t>Automation identify different dependents' Ethnicity from output field by "|", and click check box according to information in output field in BCBS different dependent section</t>
  </si>
  <si>
    <t>Automation identify different dependents' separate address from output field by "|", and select from its drop down list according to information in output field in BCBS different dependent section</t>
  </si>
  <si>
    <t>link input and output by formula (=), if input is blank, output show as blank</t>
  </si>
  <si>
    <t>1. Output field link with input field by formula(if?)
1) If relationship is Child, Student is Yes and Disabled is No, output show as Student
2) If relationship is Child, Student is No and Disabled is Yes, output show as Disabled Dependent
3) If relationship is Child, Student is Yes and Disabled is Yes, output show as #N/A
4) If relationship is Ex-Domestic Partner/ Former Dependent/Deceased Spouse/Deceased Dependent/Legal Dependent, output show as #N/A</t>
  </si>
  <si>
    <r>
      <rPr>
        <b/>
        <sz val="11"/>
        <color theme="1"/>
        <rFont val="Calibri"/>
        <family val="2"/>
        <scheme val="minor"/>
      </rPr>
      <t xml:space="preserve">For Input:
</t>
    </r>
    <r>
      <rPr>
        <b/>
        <sz val="11"/>
        <color rgb="FF00B050"/>
        <rFont val="Calibri"/>
        <family val="2"/>
        <scheme val="minor"/>
      </rPr>
      <t>1. Use formula to get frrom dependent summary</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 link with input field by formula(if?)
1) If relationship is Child, Student is Yes and Disabled is No, output show as Student
2) If relationship is Child, Student is No and Disabled is Yes, output show as Disabled Dependent
3) If relationship is Child, Student is Yes and Disabled is Yes, output show as #N/A
4) If relationship is Ex-Domestic Partner/ Former Dependent/Deceased Spouse/Deceased Dependent/Legal Dependent, output show as #N/A</t>
    </r>
  </si>
  <si>
    <r>
      <rPr>
        <b/>
        <sz val="11"/>
        <color theme="1"/>
        <rFont val="Calibri"/>
        <family val="2"/>
        <scheme val="minor"/>
      </rPr>
      <t xml:space="preserve">For Input: </t>
    </r>
    <r>
      <rPr>
        <sz val="11"/>
        <color theme="1"/>
        <rFont val="Calibri"/>
        <family val="2"/>
        <scheme val="minor"/>
      </rPr>
      <t xml:space="preserve">
</t>
    </r>
    <r>
      <rPr>
        <b/>
        <sz val="11"/>
        <color rgb="FF00B050"/>
        <rFont val="Calibri"/>
        <family val="2"/>
        <scheme val="minor"/>
      </rPr>
      <t>Automation go to EN/report dependents' Middle field to identify if there is information in it.
1. If Middle name is blank, automation keep input field as blank
2. If Middle name exists, Automation extract MI (first letter in capital) to input field, if there are 2 or more dependent use "|" to split</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t>
    </r>
    <r>
      <rPr>
        <sz val="11"/>
        <rFont val="Calibri"/>
        <family val="2"/>
        <scheme val="minor"/>
      </rPr>
      <t>1. Output is linked by formula to input field, (=)</t>
    </r>
    <r>
      <rPr>
        <b/>
        <sz val="11"/>
        <color rgb="FF00B050"/>
        <rFont val="Calibri"/>
        <family val="2"/>
        <scheme val="minor"/>
      </rPr>
      <t/>
    </r>
  </si>
  <si>
    <r>
      <rPr>
        <b/>
        <sz val="11"/>
        <color theme="1"/>
        <rFont val="Calibri"/>
        <family val="2"/>
        <scheme val="minor"/>
      </rPr>
      <t>For Input:</t>
    </r>
    <r>
      <rPr>
        <sz val="11"/>
        <color theme="1"/>
        <rFont val="Calibri"/>
        <family val="2"/>
        <scheme val="minor"/>
      </rPr>
      <t xml:space="preserve">
</t>
    </r>
    <r>
      <rPr>
        <b/>
        <sz val="11"/>
        <color rgb="FF00B050"/>
        <rFont val="Calibri"/>
        <family val="2"/>
        <scheme val="minor"/>
      </rPr>
      <t>Use formula to get frrom dependent summary</t>
    </r>
  </si>
  <si>
    <t>If M = Male
If F = Female</t>
  </si>
  <si>
    <t>1. output = input +1
2. if input is not date format, the output will show as #N/A. 
3. If input feild is blank, output field would be blank</t>
  </si>
  <si>
    <t>Automation select reason from BCBS dropdown list according to information in output field</t>
  </si>
  <si>
    <t>If input feild is blank, output field would be blank, otherwise output = input</t>
  </si>
  <si>
    <t>1. if input is not date format, the output will show as #N/A. 
2. If input feild is blank, output field would be blank</t>
  </si>
  <si>
    <t>Link input and output by formula(if)</t>
  </si>
  <si>
    <t>keep default as blank</t>
  </si>
  <si>
    <t>Keep default as blank.</t>
  </si>
  <si>
    <t>1. Automation get information from output field and input into BCBS last name field, If I10(SSN or ID Number) is N/A
2. Automation compare Last Name in BCBS search result refer to rule clarified in S10</t>
  </si>
  <si>
    <t>1. Automation get information from output field and input into BCBS first name field, If I10(SSN or ID Number) is N/A
2. Automation compare First Name in BCBS search result refer to rule clarified in S10</t>
  </si>
  <si>
    <r>
      <t xml:space="preserve">
1.</t>
    </r>
    <r>
      <rPr>
        <sz val="11"/>
        <rFont val="Calibri"/>
        <family val="2"/>
        <scheme val="minor"/>
      </rPr>
      <t xml:space="preserve"> Dependent middle name is not in enrollment change report, Automation just can extract first name last name (relationship) to input field and relation (e.g. Mary Smith (Child)), but in BCBS Dependent name format is Last, First MI - relation-</t>
    </r>
    <r>
      <rPr>
        <sz val="11"/>
        <color rgb="FFFF0000"/>
        <rFont val="Calibri"/>
        <family val="2"/>
        <scheme val="minor"/>
      </rPr>
      <t xml:space="preserve"> need confirm with tech if can extract full name from other screen</t>
    </r>
    <r>
      <rPr>
        <sz val="11"/>
        <color theme="1"/>
        <rFont val="Calibri"/>
        <family val="2"/>
        <scheme val="minor"/>
      </rPr>
      <t xml:space="preserve">
2. if EE don have dependent, dependent name won't display in employee Personal Details section
3. The reference are only first name, last name and relationship, so the premise of automation approach is supposing name would not be duplicate in same relationship
4. There might be 2 or more drop dependents request in 1 request</t>
    </r>
  </si>
  <si>
    <t>1. Ttask type is T - Termination/D - Termination (Death)/DC - Change Personal info/NC - Add Child(ren)/NS - Add Spouse/S &amp; NC - Add Spouse &amp; Child(ren)
2. I16 (dependent name) is N/A
3. Automation extract task type from "Task Type" column in work log to input field</t>
  </si>
  <si>
    <t>1. Ttask type is T - Termination/D - Termination (Death)/DC - Change Personal info/NC - Add Child(ren)/NS - Add Spouse/S &amp; NC - Add Spouse &amp; Child(ren)
2. I16 (dependent name) is N/A
3. Automation select "I want to" according to information in output field under EE page</t>
  </si>
  <si>
    <r>
      <t xml:space="preserve">1. If I16 (dependent name) is </t>
    </r>
    <r>
      <rPr>
        <b/>
        <sz val="11"/>
        <color theme="1"/>
        <rFont val="Calibri"/>
        <family val="2"/>
        <scheme val="minor"/>
      </rPr>
      <t>NOT</t>
    </r>
    <r>
      <rPr>
        <sz val="11"/>
        <color theme="1"/>
        <rFont val="Calibri"/>
        <family val="2"/>
        <scheme val="minor"/>
      </rPr>
      <t xml:space="preserve"> N/A
2. Automation select "I want to" according to information in output field under EE page</t>
    </r>
  </si>
  <si>
    <t>Automation extract work phone from EN/report</t>
  </si>
  <si>
    <t>Input(*This employee will be billed with all other employees with this criteria:)</t>
  </si>
  <si>
    <t>Output(*This employee will be billed with all other employees with this criteria:)</t>
  </si>
  <si>
    <t>Full Name of State</t>
  </si>
  <si>
    <t>Automation identify different dependents' Medicare Eligible from output field by "|", and select from its drop down list according to information in output field in BCBS different dependent section</t>
  </si>
  <si>
    <t>Red Speed Illinois</t>
  </si>
  <si>
    <t>0001 - All others</t>
  </si>
  <si>
    <t>0002 - RedSpeed GA</t>
  </si>
  <si>
    <t>Red Speed Georgia</t>
  </si>
  <si>
    <r>
      <rPr>
        <b/>
        <sz val="11"/>
        <color theme="1"/>
        <rFont val="Calibri"/>
        <family val="2"/>
        <scheme val="minor"/>
      </rPr>
      <t>For Input:</t>
    </r>
    <r>
      <rPr>
        <sz val="11"/>
        <color theme="1"/>
        <rFont val="Calibri"/>
        <family val="2"/>
        <scheme val="minor"/>
      </rPr>
      <t xml:space="preserve">
1. C6 = C7
</t>
    </r>
    <r>
      <rPr>
        <b/>
        <sz val="11"/>
        <color theme="1"/>
        <rFont val="Calibri"/>
        <family val="2"/>
        <scheme val="minor"/>
      </rPr>
      <t>For output</t>
    </r>
    <r>
      <rPr>
        <sz val="11"/>
        <color theme="1"/>
        <rFont val="Calibri"/>
        <family val="2"/>
        <scheme val="minor"/>
      </rPr>
      <t xml:space="preserve">
1. Account# extract by formula from DC template config tab (outlook?). 
1).If group name correspondent account name&amp;account # is N/A in mapping list, output account# show as N/A. 
2).if new group added or there is a typo, then no mapping relationship in mapping list, I6 whow as #N/A. 
3).</t>
    </r>
    <r>
      <rPr>
        <sz val="11"/>
        <rFont val="Calibri"/>
        <family val="2"/>
        <scheme val="minor"/>
      </rPr>
      <t xml:space="preserve">If duplicate account name in mapping list, the I7 out show as "Dup Account". e.g. Kankakee County Housing Authority </t>
    </r>
    <r>
      <rPr>
        <sz val="11"/>
        <color rgb="FFFF0000"/>
        <rFont val="Calibri"/>
        <family val="2"/>
        <scheme val="minor"/>
      </rPr>
      <t xml:space="preserve">
</t>
    </r>
    <r>
      <rPr>
        <b/>
        <sz val="11"/>
        <color rgb="FF00B050"/>
        <rFont val="Calibri"/>
        <family val="2"/>
        <scheme val="minor"/>
      </rPr>
      <t xml:space="preserve">2. Automation get information from I6 (Account Number) and input to BCBS Account Number field to search account
</t>
    </r>
    <r>
      <rPr>
        <sz val="11"/>
        <rFont val="Calibri"/>
        <family val="2"/>
        <scheme val="minor"/>
      </rPr>
      <t>3. If no result found in BCBS, automation stop process in BCBS and fill out worklog for below column. TM update account number in DC template and restart automation</t>
    </r>
    <r>
      <rPr>
        <b/>
        <sz val="11"/>
        <color rgb="FF00B050"/>
        <rFont val="Calibri"/>
        <family val="2"/>
        <scheme val="minor"/>
      </rPr>
      <t xml:space="preserve">
</t>
    </r>
    <r>
      <rPr>
        <b/>
        <sz val="11"/>
        <color rgb="FFFF0000"/>
        <rFont val="Calibri"/>
        <family val="2"/>
        <scheme val="minor"/>
      </rPr>
      <t xml:space="preserve">Note: 
1. Need determine how to fill out work log </t>
    </r>
    <r>
      <rPr>
        <sz val="11"/>
        <color rgb="FFFF0000"/>
        <rFont val="Calibri"/>
        <family val="2"/>
        <scheme val="minor"/>
      </rPr>
      <t xml:space="preserve">
</t>
    </r>
    <r>
      <rPr>
        <sz val="11"/>
        <rFont val="Calibri"/>
        <family val="2"/>
        <scheme val="minor"/>
      </rPr>
      <t>2. Automation fail to search account in BCBS by account# for below scenarios:
 _ Group name is newly added into worklog group list - Account# and account name can't be extracted into output field 
 _ New account added in BCBS - Account# and account name can't be extracted into output field 
 _ Old account# is changed in BCBS - Account# and account name can  be extracted into output field but can't locate account in BCBS</t>
    </r>
  </si>
  <si>
    <r>
      <rPr>
        <b/>
        <sz val="11"/>
        <color theme="1"/>
        <rFont val="Calibri"/>
        <family val="2"/>
        <scheme val="minor"/>
      </rPr>
      <t xml:space="preserve">For Input:
</t>
    </r>
    <r>
      <rPr>
        <b/>
        <sz val="11"/>
        <color rgb="FF00B050"/>
        <rFont val="Calibri"/>
        <family val="2"/>
        <scheme val="minor"/>
      </rPr>
      <t>1.</t>
    </r>
    <r>
      <rPr>
        <b/>
        <sz val="11"/>
        <color theme="1"/>
        <rFont val="Calibri"/>
        <family val="2"/>
        <scheme val="minor"/>
      </rPr>
      <t xml:space="preserve"> </t>
    </r>
    <r>
      <rPr>
        <b/>
        <sz val="11"/>
        <color rgb="FF00B050"/>
        <rFont val="Calibri"/>
        <family val="2"/>
        <scheme val="minor"/>
      </rPr>
      <t>Automation extract Marital Status from EN/report to input field
2. if "Married" is not Unknown/Single/Married/Divorced/Widowed,</t>
    </r>
    <r>
      <rPr>
        <b/>
        <sz val="11"/>
        <color rgb="FFFF0000"/>
        <rFont val="Calibri"/>
        <family val="2"/>
        <scheme val="minor"/>
      </rPr>
      <t xml:space="preserve"> </t>
    </r>
    <r>
      <rPr>
        <b/>
        <sz val="11"/>
        <color rgb="FF00B050"/>
        <rFont val="Calibri"/>
        <family val="2"/>
        <scheme val="minor"/>
      </rPr>
      <t>Automation fill out work log to remind TM to report to AM</t>
    </r>
    <r>
      <rPr>
        <b/>
        <sz val="11"/>
        <color rgb="FFFF0000"/>
        <rFont val="Calibri"/>
        <family val="2"/>
        <scheme val="minor"/>
      </rPr>
      <t xml:space="preserve">
Note: Need determine how to fill out work log </t>
    </r>
    <r>
      <rPr>
        <b/>
        <sz val="11"/>
        <color rgb="FF00B050"/>
        <rFont val="Calibri"/>
        <family val="2"/>
        <scheme val="minor"/>
      </rPr>
      <t xml:space="preserve">
</t>
    </r>
    <r>
      <rPr>
        <b/>
        <sz val="11"/>
        <rFont val="Calibri"/>
        <family val="2"/>
        <scheme val="minor"/>
      </rPr>
      <t>For Output:</t>
    </r>
    <r>
      <rPr>
        <sz val="11"/>
        <color theme="1"/>
        <rFont val="Calibri"/>
        <family val="2"/>
        <scheme val="minor"/>
      </rPr>
      <t xml:space="preserve">
1. Link input and output by formula (if?), If Married is not Unknown /Single/Married/Divorced/Widowed, Output show as "#N/A"
</t>
    </r>
    <r>
      <rPr>
        <b/>
        <sz val="11"/>
        <color rgb="FF00B050"/>
        <rFont val="Calibri"/>
        <family val="2"/>
        <scheme val="minor"/>
      </rPr>
      <t>2. Automation select Marital Status from drop list in BCBS according to information in output field.</t>
    </r>
  </si>
  <si>
    <t>Refer to O47</t>
  </si>
  <si>
    <t>HIPAA</t>
  </si>
  <si>
    <t>Does this employee or any of their dependent(s) have prior creditable coverage?</t>
  </si>
  <si>
    <t>Automation select option from dropdown list in BCBS according to information in output field</t>
  </si>
  <si>
    <t>Automation get information from output filed and click Employee or Dependent check box according to output field</t>
  </si>
  <si>
    <r>
      <rPr>
        <b/>
        <sz val="11"/>
        <color theme="1"/>
        <rFont val="Calibri"/>
        <family val="2"/>
        <scheme val="minor"/>
      </rPr>
      <t xml:space="preserve">For Input
</t>
    </r>
    <r>
      <rPr>
        <b/>
        <sz val="11"/>
        <color rgb="FF00B050"/>
        <rFont val="Calibri"/>
        <family val="2"/>
        <scheme val="minor"/>
      </rPr>
      <t>Automation extract SSN from EN/report according to employee ID and employee name in worklog for EN request</t>
    </r>
    <r>
      <rPr>
        <b/>
        <sz val="11"/>
        <color theme="1"/>
        <rFont val="Calibri"/>
        <family val="2"/>
        <scheme val="minor"/>
      </rPr>
      <t xml:space="preserve">
For Output 
Common Part</t>
    </r>
    <r>
      <rPr>
        <sz val="11"/>
        <color theme="1"/>
        <rFont val="Calibri"/>
        <family val="2"/>
        <scheme val="minor"/>
      </rPr>
      <t xml:space="preserve">
1. Link output field and input field by using formula "SUBSTITUTE(A1,"-","")" to fulfill the format with format xxxxxxxxx . If SSN# is not available in C10 (for email request), C10 will be blank, I10 will show as "N/A." if SSN digits is not 9 will show as #N/A
</t>
    </r>
    <r>
      <rPr>
        <b/>
        <sz val="11"/>
        <color rgb="FF00B050"/>
        <rFont val="Calibri"/>
        <family val="2"/>
        <scheme val="minor"/>
      </rPr>
      <t xml:space="preserve">2.If I10 (SSN or ID Number) is # N/A, Automation backfill worklog to remind TM </t>
    </r>
    <r>
      <rPr>
        <b/>
        <sz val="11"/>
        <color rgb="FFFF0000"/>
        <rFont val="Calibri"/>
        <family val="2"/>
        <scheme val="minor"/>
      </rPr>
      <t xml:space="preserve">Note: Need determine how to fill out work log </t>
    </r>
    <r>
      <rPr>
        <sz val="11"/>
        <color rgb="FF00B050"/>
        <rFont val="Calibri"/>
        <family val="2"/>
        <scheme val="minor"/>
      </rPr>
      <t xml:space="preserve">
3</t>
    </r>
    <r>
      <rPr>
        <b/>
        <sz val="11"/>
        <color rgb="FF00B050"/>
        <rFont val="Calibri"/>
        <family val="2"/>
        <scheme val="minor"/>
      </rPr>
      <t>.</t>
    </r>
    <r>
      <rPr>
        <sz val="11"/>
        <color rgb="FF00B050"/>
        <rFont val="Calibri"/>
        <family val="2"/>
        <scheme val="minor"/>
      </rPr>
      <t xml:space="preserve"> </t>
    </r>
    <r>
      <rPr>
        <b/>
        <sz val="11"/>
        <color rgb="FF00B050"/>
        <rFont val="Calibri"/>
        <family val="2"/>
        <scheme val="minor"/>
      </rPr>
      <t>If I10 (SSN or ID Number) is not N/A, Automation get SSN# in output field and input to SSN field with format (xxxxxxxxx) in BCBS to search EE.</t>
    </r>
    <r>
      <rPr>
        <sz val="11"/>
        <color rgb="FF00B050"/>
        <rFont val="Calibri"/>
        <family val="2"/>
        <scheme val="minor"/>
      </rPr>
      <t xml:space="preserve">
4</t>
    </r>
    <r>
      <rPr>
        <b/>
        <sz val="11"/>
        <color rgb="FF00B050"/>
        <rFont val="Calibri"/>
        <family val="2"/>
        <scheme val="minor"/>
      </rPr>
      <t xml:space="preserve">. IfI10 (SSN) is N/A, Automation get last name and first name from I11(Last name) and I12(First name) and input into last name field( at least 3 characters) and first name field (at least 1 character) in BCBS to search EE. </t>
    </r>
    <r>
      <rPr>
        <sz val="11"/>
        <color theme="1"/>
        <rFont val="Calibri"/>
        <family val="2"/>
        <scheme val="minor"/>
      </rPr>
      <t xml:space="preserve">
</t>
    </r>
    <r>
      <rPr>
        <b/>
        <sz val="11"/>
        <color theme="1"/>
        <rFont val="Calibri"/>
        <family val="2"/>
        <scheme val="minor"/>
      </rPr>
      <t>For Enrollment</t>
    </r>
    <r>
      <rPr>
        <sz val="11"/>
        <color theme="1"/>
        <rFont val="Calibri"/>
        <family val="2"/>
        <scheme val="minor"/>
      </rPr>
      <t xml:space="preserve">
</t>
    </r>
    <r>
      <rPr>
        <b/>
        <sz val="11"/>
        <color rgb="FF00B050"/>
        <rFont val="Calibri"/>
        <family val="2"/>
        <scheme val="minor"/>
      </rPr>
      <t>1. If "No results found" display in Search Results section in BCBS, Automation Continue enrollment</t>
    </r>
    <r>
      <rPr>
        <sz val="11"/>
        <color theme="1"/>
        <rFont val="Calibri"/>
        <family val="2"/>
        <scheme val="minor"/>
      </rPr>
      <t xml:space="preserve">
</t>
    </r>
    <r>
      <rPr>
        <b/>
        <sz val="11"/>
        <color rgb="FF00B050"/>
        <rFont val="Calibri"/>
        <family val="2"/>
        <scheme val="minor"/>
      </rPr>
      <t xml:space="preserve">2. If EE Name displayed at Search Results section, stop automation in BCBS and fill out Worklog
</t>
    </r>
    <r>
      <rPr>
        <b/>
        <sz val="11"/>
        <color rgb="FFFF0000"/>
        <rFont val="Calibri"/>
        <family val="2"/>
        <scheme val="minor"/>
      </rPr>
      <t xml:space="preserve">Note: Need determine how to fill out work log </t>
    </r>
    <r>
      <rPr>
        <sz val="11"/>
        <color rgb="FFFF0000"/>
        <rFont val="Calibri"/>
        <family val="2"/>
        <scheme val="minor"/>
      </rPr>
      <t xml:space="preserve">
</t>
    </r>
    <r>
      <rPr>
        <b/>
        <sz val="11"/>
        <rFont val="Calibri"/>
        <family val="2"/>
        <scheme val="minor"/>
      </rPr>
      <t xml:space="preserve">For Other Request Type
</t>
    </r>
    <r>
      <rPr>
        <b/>
        <sz val="11"/>
        <color rgb="FF00B050"/>
        <rFont val="Calibri"/>
        <family val="2"/>
        <scheme val="minor"/>
      </rPr>
      <t xml:space="preserve">1. If "No results found" display in Search Results section in BCBS. stop automation in BCBS and fill out Worklog
</t>
    </r>
    <r>
      <rPr>
        <b/>
        <sz val="11"/>
        <color rgb="FFFF0000"/>
        <rFont val="Calibri"/>
        <family val="2"/>
        <scheme val="minor"/>
      </rPr>
      <t xml:space="preserve">Note: Need determine how to fill out work log </t>
    </r>
    <r>
      <rPr>
        <b/>
        <sz val="11"/>
        <rFont val="Calibri"/>
        <family val="2"/>
        <scheme val="minor"/>
      </rPr>
      <t xml:space="preserve">
</t>
    </r>
    <r>
      <rPr>
        <b/>
        <sz val="11"/>
        <color rgb="FF00B050"/>
        <rFont val="Calibri"/>
        <family val="2"/>
        <scheme val="minor"/>
      </rPr>
      <t xml:space="preserve">2. If Name(EE Name), Birth Date display in Search Results section in BCBS. 
1). SSN/Last name/ First Name/ MI/ Birth date are not N/A in output field, automation compare searched name (Last, First MI) and Birth Date in BCBS with Last name/First name/MI &amp; Birth date in output field to determine if EE searched is the correct one. Note: all characters of name are capital
2). SSN is N/A but Last name/ First Name/ MI/ Birth date are not N/A in output field, automation compare searched name (Last, First MI) and Birth Date in BCBS with Last name/First name/MI &amp; Birth date in output field to determine if EE searched is the correct one.
3). SSN and Birh date are N/A but Last name/ First Name/ MI are NOT N/A in output field, stop automation in BCBS and fill out Worklog Note: </t>
    </r>
    <r>
      <rPr>
        <b/>
        <sz val="11"/>
        <color rgb="FFFF0000"/>
        <rFont val="Calibri"/>
        <family val="2"/>
        <scheme val="minor"/>
      </rPr>
      <t>Need determine how to fill out work log</t>
    </r>
    <r>
      <rPr>
        <b/>
        <sz val="11"/>
        <color rgb="FF00B050"/>
        <rFont val="Calibri"/>
        <family val="2"/>
        <scheme val="minor"/>
      </rPr>
      <t xml:space="preserve">
4). If Information (Name and DOB) match, automation click EE name in searched result
5). If any information (Name or DOB ) mismatch, stop automation in BCBS and fill out Worklog
</t>
    </r>
    <r>
      <rPr>
        <b/>
        <sz val="11"/>
        <color rgb="FFFF0000"/>
        <rFont val="Calibri"/>
        <family val="2"/>
        <scheme val="minor"/>
      </rPr>
      <t>Note: Need determine how to fill out work log - When there is no DOB but other information(like address) is available in email TM need manually verify</t>
    </r>
  </si>
  <si>
    <r>
      <t xml:space="preserve">1. If Spouse, select Spouse in BCBS
2. If Ex-Spouse, select Ex-Spouse in BCBS
3. </t>
    </r>
    <r>
      <rPr>
        <sz val="11"/>
        <rFont val="Calibri"/>
        <family val="2"/>
        <scheme val="minor"/>
      </rPr>
      <t>If Child, select Dependent Child in BCBS</t>
    </r>
    <r>
      <rPr>
        <sz val="11"/>
        <color theme="1"/>
        <rFont val="Calibri"/>
        <family val="2"/>
        <scheme val="minor"/>
      </rPr>
      <t xml:space="preserve">
4. If Domestic Partner, select Domestic Partner in BCBS</t>
    </r>
    <r>
      <rPr>
        <sz val="11"/>
        <color rgb="FFFF0000"/>
        <rFont val="Calibri"/>
        <family val="2"/>
        <scheme val="minor"/>
      </rPr>
      <t xml:space="preserve">
</t>
    </r>
    <r>
      <rPr>
        <sz val="11"/>
        <rFont val="Calibri"/>
        <family val="2"/>
        <scheme val="minor"/>
      </rPr>
      <t>5.</t>
    </r>
    <r>
      <rPr>
        <sz val="11"/>
        <color rgb="FFFF0000"/>
        <rFont val="Calibri"/>
        <family val="2"/>
        <scheme val="minor"/>
      </rPr>
      <t xml:space="preserve"> </t>
    </r>
    <r>
      <rPr>
        <sz val="11"/>
        <rFont val="Calibri"/>
        <family val="2"/>
        <scheme val="minor"/>
      </rPr>
      <t>If Ex-Domestic Partner, Report to AM
6. If Former Dependent, Report to AM
7. If Deceased Spouse, Report to AM
9. If Deceased Dependent, Report to AM
10. If Legal Dependent, Report to AM
11. If Civil Union Spouse, select Civil Union Spouse in BCBS
12. If Ex-Civil Union Spouse, select Ex-Civil Union Spouse in BCBS 
Note: CBIZB never select Civil Union Spouse or Ex-Civil Union Spouse in BCBS</t>
    </r>
  </si>
  <si>
    <r>
      <rPr>
        <b/>
        <sz val="11"/>
        <color theme="1"/>
        <rFont val="Calibri"/>
        <family val="2"/>
        <scheme val="minor"/>
      </rPr>
      <t xml:space="preserve">For Input:
</t>
    </r>
    <r>
      <rPr>
        <b/>
        <sz val="11"/>
        <color rgb="FF00B050"/>
        <rFont val="Calibri"/>
        <family val="2"/>
        <scheme val="minor"/>
      </rPr>
      <t>1. When extract home address shall exclude punctuation</t>
    </r>
    <r>
      <rPr>
        <sz val="11"/>
        <color theme="1"/>
        <rFont val="Calibri"/>
        <family val="2"/>
        <scheme val="minor"/>
      </rPr>
      <t xml:space="preserve">
</t>
    </r>
    <r>
      <rPr>
        <b/>
        <sz val="11"/>
        <color rgb="FF00B050"/>
        <rFont val="Calibri"/>
        <family val="2"/>
        <scheme val="minor"/>
      </rPr>
      <t>2.</t>
    </r>
    <r>
      <rPr>
        <sz val="11"/>
        <color theme="1"/>
        <rFont val="Calibri"/>
        <family val="2"/>
        <scheme val="minor"/>
      </rPr>
      <t xml:space="preserve"> </t>
    </r>
    <r>
      <rPr>
        <b/>
        <sz val="11"/>
        <color rgb="FF00B050"/>
        <rFont val="Calibri"/>
        <family val="2"/>
        <scheme val="minor"/>
      </rPr>
      <t xml:space="preserve">Automation extract Home address 1 and address 2 from EN/report to input Address 1 and Address 2 field . 
3. Automation identify if Home address 1 + Home address 2&gt;50, if yes, automation back fill work log. </t>
    </r>
    <r>
      <rPr>
        <b/>
        <sz val="11"/>
        <color rgb="FFFF0000"/>
        <rFont val="Calibri"/>
        <family val="2"/>
        <scheme val="minor"/>
      </rPr>
      <t xml:space="preserve">Note: Need determine how to fill out work log </t>
    </r>
    <r>
      <rPr>
        <b/>
        <sz val="11"/>
        <color rgb="FF00B050"/>
        <rFont val="Calibri"/>
        <family val="2"/>
        <scheme val="minor"/>
      </rPr>
      <t xml:space="preserve">
Note: The max length of Street 1/ Street 2 is 25</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1. Link output field and input filed by formula (=?)
</t>
    </r>
    <r>
      <rPr>
        <b/>
        <sz val="11"/>
        <color rgb="FF00B050"/>
        <rFont val="Calibri"/>
        <family val="2"/>
        <scheme val="minor"/>
      </rPr>
      <t>2. Automation get information from output field and input into "Street 1" field in BCBS</t>
    </r>
  </si>
  <si>
    <r>
      <rPr>
        <b/>
        <sz val="11"/>
        <color theme="1"/>
        <rFont val="Calibri"/>
        <family val="2"/>
        <scheme val="minor"/>
      </rPr>
      <t>For Input:</t>
    </r>
    <r>
      <rPr>
        <sz val="11"/>
        <color theme="1"/>
        <rFont val="Calibri"/>
        <family val="2"/>
        <scheme val="minor"/>
      </rPr>
      <t xml:space="preserve">
Refer to K47</t>
    </r>
    <r>
      <rPr>
        <b/>
        <sz val="11"/>
        <color rgb="FF00B050"/>
        <rFont val="Calibri"/>
        <family val="2"/>
        <scheme val="minor"/>
      </rPr>
      <t xml:space="preserve">
</t>
    </r>
    <r>
      <rPr>
        <b/>
        <sz val="11"/>
        <rFont val="Calibri"/>
        <family val="2"/>
        <scheme val="minor"/>
      </rPr>
      <t>For output:</t>
    </r>
    <r>
      <rPr>
        <b/>
        <sz val="11"/>
        <color rgb="FF00B050"/>
        <rFont val="Calibri"/>
        <family val="2"/>
        <scheme val="minor"/>
      </rPr>
      <t xml:space="preserve">
</t>
    </r>
    <r>
      <rPr>
        <sz val="11"/>
        <rFont val="Calibri"/>
        <family val="2"/>
        <scheme val="minor"/>
      </rPr>
      <t>1. Link output field and input filed by formula (if address2 characters &gt;25, "#N/A</t>
    </r>
    <r>
      <rPr>
        <b/>
        <sz val="11"/>
        <rFont val="Calibri"/>
        <family val="2"/>
        <scheme val="minor"/>
      </rPr>
      <t xml:space="preserve">" </t>
    </r>
    <r>
      <rPr>
        <sz val="11"/>
        <rFont val="Calibri"/>
        <family val="2"/>
        <scheme val="minor"/>
      </rPr>
      <t>and highlight output field as red</t>
    </r>
    <r>
      <rPr>
        <sz val="11"/>
        <color rgb="FFFF0000"/>
        <rFont val="Calibri"/>
        <family val="2"/>
        <scheme val="minor"/>
      </rPr>
      <t>;</t>
    </r>
    <r>
      <rPr>
        <sz val="11"/>
        <rFont val="Calibri"/>
        <family val="2"/>
        <scheme val="minor"/>
      </rPr>
      <t xml:space="preserve"> if (if address2 characters &lt;=25, address2)</t>
    </r>
    <r>
      <rPr>
        <b/>
        <sz val="11"/>
        <rFont val="Calibri"/>
        <family val="2"/>
        <scheme val="minor"/>
      </rPr>
      <t xml:space="preserve">
</t>
    </r>
    <r>
      <rPr>
        <b/>
        <sz val="11"/>
        <color rgb="FF00B050"/>
        <rFont val="Calibri"/>
        <family val="2"/>
        <scheme val="minor"/>
      </rPr>
      <t>2. Automation get information from output field and input into "Street 2" field in BCBS</t>
    </r>
  </si>
  <si>
    <t xml:space="preserve">1.If input feild is blank, output field would be blank
2. Output is linked by formula to input field with format MM/DD/YYYY (IFERROR(TEXT(EDATE(C14,0),"MM/DD/YYYY"),#N/A),if input is not date format, the output will show as #N/A. 
</t>
  </si>
  <si>
    <t>If there are 2 Dependents' name in 1 request for drop dependent, input dependent name with format with format: Last name, First Name MI and split by "|"</t>
  </si>
  <si>
    <t>1. Automation extract Marital Status from EN/report to input field</t>
  </si>
  <si>
    <t>Depebdent#9</t>
  </si>
  <si>
    <r>
      <t xml:space="preserve">1. When extract home address shall </t>
    </r>
    <r>
      <rPr>
        <b/>
        <sz val="11"/>
        <color theme="1"/>
        <rFont val="Calibri"/>
        <family val="2"/>
        <scheme val="minor"/>
      </rPr>
      <t>EXCLUDE</t>
    </r>
    <r>
      <rPr>
        <sz val="11"/>
        <color theme="1"/>
        <rFont val="Calibri"/>
        <family val="2"/>
        <scheme val="minor"/>
      </rPr>
      <t xml:space="preserve"> punctuation
2. Automation Indentify address type as Home in data sheet
1). Automation extract Home address 1 and address 2 from EN/report to input Address 1 field and  Address 2 field. </t>
    </r>
    <r>
      <rPr>
        <sz val="11"/>
        <color theme="1"/>
        <rFont val="Calibri"/>
        <family val="2"/>
        <scheme val="minor"/>
      </rPr>
      <t xml:space="preserve">
Note: The max length of Street 1/ Street 2 is 25 
</t>
    </r>
  </si>
  <si>
    <t>Put 25 characters of Address 1 &amp;" " Address 2 to Street 1, and put the remaining characters t street 2</t>
  </si>
  <si>
    <t>Refer to R47</t>
  </si>
  <si>
    <r>
      <t xml:space="preserve">1. Automation select option from drop down list according to output filed. 
2. If the coption can't be selected according to output field. click "Finish Later" Button and fill out work log to remind TM
</t>
    </r>
    <r>
      <rPr>
        <sz val="11"/>
        <color rgb="FFFF0000"/>
        <rFont val="Calibri"/>
        <family val="2"/>
        <scheme val="minor"/>
      </rPr>
      <t xml:space="preserve">_. Status: select "Pending for question"
_. Issue Found on Carrier Website: input "Cannot find info. for field 'This employee will be billed with all other employees with this criteria'"
_. Automation Notes to Processor: input "Cannot find info. for field 'This employee will be billed with all other employees with this criteria'" </t>
    </r>
    <r>
      <rPr>
        <sz val="11"/>
        <color theme="1"/>
        <rFont val="Calibri"/>
        <family val="2"/>
        <scheme val="minor"/>
      </rPr>
      <t xml:space="preserve">
</t>
    </r>
  </si>
  <si>
    <t>1.  Output field would be extracted from "Config" tab according to plan name in input filed. 
1). If plan name correspondent product type is N/A in mapping list, output field show as #N/A. 
2). If plan name is new which is not in Config tab previously or there is a typo in plan name, output field show as #N/A
3). if in "Config" tab, it's related HMO plan type is BAV/HMO/ADV in HMO plan type column, output field show as #N/A</t>
  </si>
  <si>
    <r>
      <rPr>
        <b/>
        <sz val="11"/>
        <color theme="1"/>
        <rFont val="Calibri"/>
        <family val="2"/>
        <scheme val="minor"/>
      </rPr>
      <t xml:space="preserve">
Out of automation in phase 1, need backfill wok log when come across in BCBS to remind TM manually handle</t>
    </r>
    <r>
      <rPr>
        <b/>
        <sz val="11"/>
        <color rgb="FFFF0000"/>
        <rFont val="Calibri"/>
        <family val="2"/>
        <scheme val="minor"/>
      </rPr>
      <t xml:space="preserve"> </t>
    </r>
    <r>
      <rPr>
        <b/>
        <sz val="11"/>
        <color theme="1"/>
        <rFont val="Calibri"/>
        <family val="2"/>
        <scheme val="minor"/>
      </rPr>
      <t xml:space="preserve">
For Input</t>
    </r>
    <r>
      <rPr>
        <sz val="11"/>
        <color theme="1"/>
        <rFont val="Calibri"/>
        <family val="2"/>
        <scheme val="minor"/>
      </rPr>
      <t xml:space="preserve">
</t>
    </r>
    <r>
      <rPr>
        <b/>
        <sz val="11"/>
        <color rgb="FF00B050"/>
        <rFont val="Calibri"/>
        <family val="2"/>
        <scheme val="minor"/>
      </rPr>
      <t xml:space="preserve">Automation find Medical group# according to PCP# in BCP, and extract it to input field
  1) Find PCP in EN - Employee Management - Employee Home Page ( Reviews Section) - Beneftis -  Benefits Forms section - Medical PCP information sub section
  2) If there is only 1 item and TM can directly use the PCP inforamtion to search medical group# (for most cases). IF there are 2 items in PCP search results, need click ""Add/Edit"" button to go to separate page to check type (Medical or OB/GYN) for each PCP. 
  3) Get PCP name (under Medical type if there are 2 items) from PCP name column and input it in Google search box to find it's zip code. if there are several zip code results for the PCP. pick the one which state is IL, If no/several zip codes in search result are under IL, automation go back to product selecting page to click "Finish Later"  and fill out worklog to remind TM of finishing the remaining step </t>
    </r>
    <r>
      <rPr>
        <b/>
        <sz val="11"/>
        <color rgb="FFFF0000"/>
        <rFont val="Calibri"/>
        <family val="2"/>
        <scheme val="minor"/>
      </rPr>
      <t xml:space="preserve">Note: Need determine how to fill out work log </t>
    </r>
    <r>
      <rPr>
        <b/>
        <sz val="11"/>
        <color rgb="FF00B050"/>
        <rFont val="Calibri"/>
        <family val="2"/>
        <scheme val="minor"/>
      </rPr>
      <t xml:space="preserve">
  4) Go to BCBS Primary Provider Section and click Provider Finder
  5) Input zip code in field "City, state or zip", address information (city, state - zip code) will pop up, click the address and click continue
  6) Select type of plan. CBIZB always click "Select" in Employer Plans section. Other section: Individual &amp; Family Plans/ Medicare/  Medicaid
  7) Select State (full name) from drop down list and click "Select State"
  8) Click "Select" in HMO section. Other section: PPO section 
  9) Select HMO Plan according to product type by click plan check box, Click "Search Selected Plan for Doctors". e.g. Select Blue Advantage HMO</t>
    </r>
    <r>
      <rPr>
        <b/>
        <vertAlign val="superscript"/>
        <sz val="11"/>
        <color rgb="FF00B050"/>
        <rFont val="Calibri"/>
        <family val="2"/>
        <scheme val="minor"/>
      </rPr>
      <t>SM</t>
    </r>
    <r>
      <rPr>
        <b/>
        <sz val="11"/>
        <color rgb="FF00B050"/>
        <rFont val="Calibri"/>
        <family val="2"/>
        <scheme val="minor"/>
      </rPr>
      <t xml:space="preserve"> [ADV] according to product type BLUE ADV HMO.  Other option: HMO Illinois [HMO]/Blue Precision HMO</t>
    </r>
    <r>
      <rPr>
        <b/>
        <vertAlign val="superscript"/>
        <sz val="11"/>
        <color rgb="FF00B050"/>
        <rFont val="Calibri"/>
        <family val="2"/>
        <scheme val="minor"/>
      </rPr>
      <t>SM</t>
    </r>
    <r>
      <rPr>
        <b/>
        <sz val="11"/>
        <color rgb="FF00B050"/>
        <rFont val="Calibri"/>
        <family val="2"/>
        <scheme val="minor"/>
      </rPr>
      <t>[BAV]</t>
    </r>
    <r>
      <rPr>
        <sz val="11"/>
        <color rgb="FF00B050"/>
        <rFont val="Calibri"/>
        <family val="2"/>
        <scheme val="minor"/>
      </rPr>
      <t xml:space="preserve">
  </t>
    </r>
    <r>
      <rPr>
        <b/>
        <sz val="11"/>
        <color rgb="FF00B050"/>
        <rFont val="Calibri"/>
        <family val="2"/>
        <scheme val="minor"/>
      </rPr>
      <t xml:space="preserve">10) Input searched PCP name in search field and click search icon
  11) In AFFILIATED MEDICAL GROUPS section: If there is only one medical group#(like 398), get it and input into input field; if there are 2 or more (like 398 and 357), stop automation and fill out worklog  e.g. Advocate Medical Group (MG/IPA #398)/ Advocate Ill Masonic Phys Partner (MG/IPA #357).  </t>
    </r>
    <r>
      <rPr>
        <b/>
        <sz val="11"/>
        <color rgb="FFFF0000"/>
        <rFont val="Calibri"/>
        <family val="2"/>
        <scheme val="minor"/>
      </rPr>
      <t xml:space="preserve">Note: Need determine how to fill out work log </t>
    </r>
    <r>
      <rPr>
        <sz val="11"/>
        <color theme="1"/>
        <rFont val="Calibri"/>
        <family val="2"/>
        <scheme val="minor"/>
      </rPr>
      <t xml:space="preserve">
</t>
    </r>
    <r>
      <rPr>
        <b/>
        <sz val="11"/>
        <color theme="1"/>
        <rFont val="Calibri"/>
        <family val="2"/>
        <scheme val="minor"/>
      </rPr>
      <t xml:space="preserve">For Output:
</t>
    </r>
    <r>
      <rPr>
        <sz val="11"/>
        <color theme="1"/>
        <rFont val="Calibri"/>
        <family val="2"/>
        <scheme val="minor"/>
      </rPr>
      <t xml:space="preserve">1. Output field is linked by formula to input (=?)
</t>
    </r>
    <r>
      <rPr>
        <b/>
        <sz val="11"/>
        <color rgb="FF00B050"/>
        <rFont val="Calibri"/>
        <family val="2"/>
        <scheme val="minor"/>
      </rPr>
      <t>2. Automation get information in output field and input in BCBS</t>
    </r>
  </si>
  <si>
    <r>
      <rPr>
        <b/>
        <sz val="11"/>
        <color theme="1"/>
        <rFont val="Calibri"/>
        <family val="2"/>
        <scheme val="minor"/>
      </rPr>
      <t xml:space="preserve">
Out of automation in phase 1, need backfill wok log when come across in BCBS to remind TM manually handle</t>
    </r>
    <r>
      <rPr>
        <b/>
        <sz val="11"/>
        <color theme="1"/>
        <rFont val="Calibri"/>
        <family val="2"/>
        <scheme val="minor"/>
      </rPr>
      <t xml:space="preserve">
For Input:
</t>
    </r>
    <r>
      <rPr>
        <b/>
        <sz val="11"/>
        <color rgb="FF00B050"/>
        <rFont val="Calibri"/>
        <family val="2"/>
        <scheme val="minor"/>
      </rPr>
      <t>1. Automation find PCP in EN - Employee Management - Employee Home Page ( Reviews Section) - Beneftis - Benefits Forms section - Medical PCP information subsection
1). If there is only 1 item of PCP result, automation input PCP ID into input field
2). If there are 2 items of PCP results in EN, automation click ""Add/Edit"" button to go to separate page to check the type (Medical or OB/GYN) for each PCP and input PCP ID under Medical type into input field.</t>
    </r>
    <r>
      <rPr>
        <b/>
        <sz val="11"/>
        <color theme="1"/>
        <rFont val="Calibri"/>
        <family val="2"/>
        <scheme val="minor"/>
      </rPr>
      <t xml:space="preserve">
For output</t>
    </r>
    <r>
      <rPr>
        <sz val="11"/>
        <color theme="1"/>
        <rFont val="Calibri"/>
        <family val="2"/>
        <scheme val="minor"/>
      </rPr>
      <t xml:space="preserve">
1. Output field is linked by formula to input (=?)
</t>
    </r>
    <r>
      <rPr>
        <b/>
        <sz val="11"/>
        <color rgb="FF00B050"/>
        <rFont val="Calibri"/>
        <family val="2"/>
        <scheme val="minor"/>
      </rPr>
      <t>2. Automation get information in output field and input in BCBS</t>
    </r>
    <r>
      <rPr>
        <sz val="11"/>
        <color theme="1"/>
        <rFont val="Calibri"/>
        <family val="2"/>
        <scheme val="minor"/>
      </rPr>
      <t xml:space="preserve">
</t>
    </r>
  </si>
  <si>
    <r>
      <rPr>
        <b/>
        <sz val="11"/>
        <color theme="1"/>
        <rFont val="Calibri"/>
        <family val="2"/>
        <scheme val="minor"/>
      </rPr>
      <t xml:space="preserve">
Out of automation in phase 1, need backfill wok log when come across in BCBS to remind TM manually handle</t>
    </r>
    <r>
      <rPr>
        <b/>
        <sz val="11"/>
        <color rgb="FFFF0000"/>
        <rFont val="Calibri"/>
        <family val="2"/>
        <scheme val="minor"/>
      </rPr>
      <t xml:space="preserve">
For Input:</t>
    </r>
    <r>
      <rPr>
        <b/>
        <sz val="11"/>
        <color theme="1"/>
        <rFont val="Calibri"/>
        <family val="2"/>
        <scheme val="minor"/>
      </rPr>
      <t xml:space="preserve">
</t>
    </r>
    <r>
      <rPr>
        <b/>
        <sz val="11"/>
        <color rgb="FF00B050"/>
        <rFont val="Calibri"/>
        <family val="2"/>
        <scheme val="minor"/>
      </rPr>
      <t>1. Automation find PCP in EN - Employee Management - Employee Home Page ( Reviews Section) - Beneftis - Benefits Forms section - Medical PCP information subsection</t>
    </r>
    <r>
      <rPr>
        <sz val="11"/>
        <color theme="1"/>
        <rFont val="Calibri"/>
        <family val="2"/>
        <scheme val="minor"/>
      </rPr>
      <t xml:space="preserve">
</t>
    </r>
    <r>
      <rPr>
        <b/>
        <sz val="11"/>
        <color rgb="FF00B050"/>
        <rFont val="Calibri"/>
        <family val="2"/>
        <scheme val="minor"/>
      </rPr>
      <t>1). If there is only 1 item of PCP result, automation input information in Current patient column to input field</t>
    </r>
    <r>
      <rPr>
        <sz val="11"/>
        <color theme="1"/>
        <rFont val="Calibri"/>
        <family val="2"/>
        <scheme val="minor"/>
      </rPr>
      <t xml:space="preserve">
</t>
    </r>
    <r>
      <rPr>
        <b/>
        <sz val="11"/>
        <color rgb="FF00B050"/>
        <rFont val="Calibri"/>
        <family val="2"/>
        <scheme val="minor"/>
      </rPr>
      <t>2. If there are 2 items of PCP results in EN, need click ""Add/Edit"" button to go to separate page to check the type (Medical or OB/GYN) for each PCP. automation extract information under Medical type in Current patient column to input field</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Output field is linked by formula to input (=?)
</t>
    </r>
    <r>
      <rPr>
        <b/>
        <sz val="11"/>
        <color rgb="FF00B050"/>
        <rFont val="Calibri"/>
        <family val="2"/>
        <scheme val="minor"/>
      </rPr>
      <t>2. Automation select in BCBS according to output field. If No, keep default as No; If yes, select Yes</t>
    </r>
  </si>
  <si>
    <t>1. Automation extract plan name to input field from "Plan Name" column in Benefit summary according to below rule:
1). Carrier name as Blue Cross Blue Shield of Illinois, and 
2). Plan type as Dental</t>
  </si>
  <si>
    <r>
      <t xml:space="preserve">1. If output field is "#N/A", back fill worklog
</t>
    </r>
    <r>
      <rPr>
        <sz val="11"/>
        <color rgb="FFFF0000"/>
        <rFont val="Calibri"/>
        <family val="2"/>
        <scheme val="minor"/>
      </rPr>
      <t xml:space="preserve">_. Status: select "Pending for question"
_. Issue Found on Carrier Website: input "N/A"
_. Automation Notes to Processor: input "Please manually handle " </t>
    </r>
    <r>
      <rPr>
        <sz val="11"/>
        <color theme="1"/>
        <rFont val="Calibri"/>
        <family val="2"/>
        <scheme val="minor"/>
      </rPr>
      <t xml:space="preserve">
2. Automation select product type in BCBS according to output field. if can't select product type in BCBS according to output field, click "Finish  Later" in the screen and fill out worklog to remind TM. </t>
    </r>
  </si>
  <si>
    <t>1. Product type would be extracted to output field from mapping list( EN plan name vs BSBC IL product) according to plan name in input filed. 
1). If plan name correspondent product type is N/A in mapping list, output field show as #N/A. 
2). If plan name is new which is not in Config tab previously or there is a typo in plan name, output field show as #N/A
3). if in "Config" tab, it's related HMO plan type is "Dental HMO"  in HMO plan type column, output field show as #N/A</t>
  </si>
  <si>
    <r>
      <t xml:space="preserve">1.  If there is"#N/A" in output field, back fill work log
</t>
    </r>
    <r>
      <rPr>
        <sz val="11"/>
        <color rgb="FFFF0000"/>
        <rFont val="Calibri"/>
        <family val="2"/>
        <scheme val="minor"/>
      </rPr>
      <t xml:space="preserve">_. Status: select "Pending for question"
_. Issue Found on Carrier Website: input "N/A"
_. Automation Notes to Processor: input "Uncertain relationship" 
Note: TM could update mapping list in worklog and restart automation. </t>
    </r>
    <r>
      <rPr>
        <sz val="11"/>
        <color theme="1"/>
        <rFont val="Calibri"/>
        <family val="2"/>
        <scheme val="minor"/>
      </rPr>
      <t xml:space="preserve">
2. Automation identify different dependent relation from output field by"|" and input into "MI" field in BCBS different dependent section and select from its drop down list in BCBS according to output field</t>
    </r>
  </si>
  <si>
    <t>4/15/2024/4/12/2024</t>
  </si>
  <si>
    <r>
      <t xml:space="preserve">1. If output field show as" #N/A", fill out work log
</t>
    </r>
    <r>
      <rPr>
        <sz val="11"/>
        <color rgb="FFFF0000"/>
        <rFont val="Calibri"/>
        <family val="2"/>
        <scheme val="minor"/>
      </rPr>
      <t xml:space="preserve">_. Status: select "Pending for question"
_. Issue Found on Carrier Website: input "N/A"
_. Automation Notes to Processor: input "Wrong date format" </t>
    </r>
    <r>
      <rPr>
        <sz val="11"/>
        <color theme="1"/>
        <rFont val="Calibri"/>
        <family val="2"/>
        <scheme val="minor"/>
      </rPr>
      <t xml:space="preserve">
2. Automation get information from output and split into MM/DD/YYY to fill out related 3 fields in BCBS</t>
    </r>
  </si>
  <si>
    <r>
      <rPr>
        <sz val="11"/>
        <rFont val="Calibri"/>
        <family val="2"/>
        <scheme val="minor"/>
      </rPr>
      <t>1. If output field show as" #N/A", fill out work log</t>
    </r>
    <r>
      <rPr>
        <sz val="11"/>
        <color rgb="FFFF0000"/>
        <rFont val="Calibri"/>
        <family val="2"/>
        <scheme val="minor"/>
      </rPr>
      <t xml:space="preserve">
_. Status: select "Pending for question"
_. Issue Found on Carrier Website: input "N/A"
_. Automation Notes to Processor: input "Wrong date format" </t>
    </r>
    <r>
      <rPr>
        <sz val="11"/>
        <color theme="1"/>
        <rFont val="Calibri"/>
        <family val="2"/>
        <scheme val="minor"/>
      </rPr>
      <t xml:space="preserve">
2. Automation get information from output and split into MM/DD/YYY to fill out related 3 fields in BCBS</t>
    </r>
  </si>
  <si>
    <r>
      <t xml:space="preserve">1. If output field show as" #N/A", fill out work log
</t>
    </r>
    <r>
      <rPr>
        <sz val="11"/>
        <color rgb="FFFF0000"/>
        <rFont val="Calibri"/>
        <family val="2"/>
        <scheme val="minor"/>
      </rPr>
      <t xml:space="preserve">_. Status: select "Pending for question"
_. Issue Found on Carrier Website: input "N/A"
_. Automation Notes to Processor: input "Wrong date format" </t>
    </r>
    <r>
      <rPr>
        <sz val="11"/>
        <color theme="1"/>
        <rFont val="Calibri"/>
        <family val="2"/>
        <scheme val="minor"/>
      </rPr>
      <t xml:space="preserve">
2.Automation get information from output and split into MM/DD/YYY to fill out related 3 fields in BCBS</t>
    </r>
  </si>
  <si>
    <r>
      <rPr>
        <b/>
        <sz val="11"/>
        <color theme="1"/>
        <rFont val="Calibri"/>
        <family val="2"/>
        <scheme val="minor"/>
      </rPr>
      <t xml:space="preserve">For Input:
</t>
    </r>
    <r>
      <rPr>
        <b/>
        <sz val="11"/>
        <color rgb="FF00B050"/>
        <rFont val="Calibri"/>
        <family val="2"/>
        <scheme val="minor"/>
      </rPr>
      <t>1.</t>
    </r>
    <r>
      <rPr>
        <b/>
        <sz val="11"/>
        <color theme="1"/>
        <rFont val="Calibri"/>
        <family val="2"/>
        <scheme val="minor"/>
      </rPr>
      <t xml:space="preserve"> </t>
    </r>
    <r>
      <rPr>
        <b/>
        <sz val="11"/>
        <color rgb="FF00B050"/>
        <rFont val="Calibri"/>
        <family val="2"/>
        <scheme val="minor"/>
      </rPr>
      <t>Automation extract event date from "Event date" column in EN Timeline to input field, according to below rule</t>
    </r>
    <r>
      <rPr>
        <b/>
        <sz val="11"/>
        <color theme="1"/>
        <rFont val="Calibri"/>
        <family val="2"/>
        <scheme val="minor"/>
      </rPr>
      <t xml:space="preserve">
</t>
    </r>
    <r>
      <rPr>
        <b/>
        <sz val="11"/>
        <color rgb="FF00B050"/>
        <rFont val="Calibri"/>
        <family val="2"/>
        <scheme val="minor"/>
      </rPr>
      <t xml:space="preserve">1). Locate Timeline for requested group and EE
2). Date in " On" Column" in Timeline is same as date in "Received Date &amp; Time (US)" in work log
2.  Automation identify all located dates in "To" column. If all dates are the same, extract one date in input field; if not same, extract all dates to nput field and fill out work log to remind TM to remind TM to double check. </t>
    </r>
    <r>
      <rPr>
        <b/>
        <sz val="11"/>
        <color rgb="FFFF0000"/>
        <rFont val="Calibri"/>
        <family val="2"/>
        <scheme val="minor"/>
      </rPr>
      <t xml:space="preserve">Note: Need determine how to fill out work log </t>
    </r>
    <r>
      <rPr>
        <b/>
        <sz val="11"/>
        <color rgb="FF00B050"/>
        <rFont val="Calibri"/>
        <family val="2"/>
        <scheme val="minor"/>
      </rPr>
      <t xml:space="preserve">
3. If can't locate date according to above rules, fill out work log to remind TM to double check. </t>
    </r>
    <r>
      <rPr>
        <b/>
        <sz val="11"/>
        <color rgb="FFFF0000"/>
        <rFont val="Calibri"/>
        <family val="2"/>
        <scheme val="minor"/>
      </rPr>
      <t>Note: Need determine how to fill</t>
    </r>
    <r>
      <rPr>
        <sz val="11"/>
        <color theme="1"/>
        <rFont val="Calibri"/>
        <family val="2"/>
        <scheme val="minor"/>
      </rPr>
      <t xml:space="preserve">
</t>
    </r>
    <r>
      <rPr>
        <b/>
        <sz val="11"/>
        <color theme="1"/>
        <rFont val="Calibri"/>
        <family val="2"/>
        <scheme val="minor"/>
      </rPr>
      <t>For Output</t>
    </r>
    <r>
      <rPr>
        <sz val="11"/>
        <color theme="1"/>
        <rFont val="Calibri"/>
        <family val="2"/>
        <scheme val="minor"/>
      </rPr>
      <t xml:space="preserve">
1. Link input and output by formula (=?)
</t>
    </r>
    <r>
      <rPr>
        <b/>
        <sz val="11"/>
        <color rgb="FF00B050"/>
        <rFont val="Calibri"/>
        <family val="2"/>
        <scheme val="minor"/>
      </rPr>
      <t>2. Automation get information from output and split into MM/DD/YYY to fill out related 3 fields in BCBS</t>
    </r>
  </si>
  <si>
    <r>
      <t xml:space="preserve">1. If output field show as" #N/A", fill out work log
</t>
    </r>
    <r>
      <rPr>
        <sz val="11"/>
        <color rgb="FFFF0000"/>
        <rFont val="Calibri"/>
        <family val="2"/>
        <scheme val="minor"/>
      </rPr>
      <t>_. Status: select "Pending for question"
_. Issue Found on Carrier Website: input "N/A"</t>
    </r>
    <r>
      <rPr>
        <sz val="11"/>
        <color theme="1"/>
        <rFont val="Calibri"/>
        <family val="2"/>
        <scheme val="minor"/>
      </rPr>
      <t xml:space="preserve">
2. Automation get information from output and split into MM/DD/YYY to fill out related 3 fields in BCBS</t>
    </r>
  </si>
  <si>
    <t>1. If Task type is O - Drop Dependent
2. Automation extract task type from "Task Type" column in work log to input field</t>
  </si>
  <si>
    <t>Output - Relation</t>
  </si>
  <si>
    <t>Input - Student</t>
  </si>
  <si>
    <t>Input - Disabled</t>
  </si>
  <si>
    <t>Input - Student &amp; Disabled</t>
  </si>
  <si>
    <t>Ex-Domestic Partner</t>
  </si>
  <si>
    <t>Former Dependent</t>
  </si>
  <si>
    <t>Deceased Spouse</t>
  </si>
  <si>
    <t>Deceased Dependent</t>
  </si>
  <si>
    <t>Legal Dependent</t>
  </si>
  <si>
    <t>BAV</t>
  </si>
  <si>
    <t>1123492 Lower English</t>
  </si>
  <si>
    <t>C66=C65</t>
  </si>
  <si>
    <t>C74=C73</t>
  </si>
  <si>
    <t>O - Drop Dependent</t>
  </si>
  <si>
    <t>wert</t>
  </si>
  <si>
    <r>
      <t>1.. If relationship is</t>
    </r>
    <r>
      <rPr>
        <b/>
        <sz val="11"/>
        <color theme="1"/>
        <rFont val="Calibri"/>
        <family val="2"/>
        <scheme val="minor"/>
      </rPr>
      <t xml:space="preserve"> NOT</t>
    </r>
    <r>
      <rPr>
        <sz val="11"/>
        <color theme="1"/>
        <rFont val="Calibri"/>
        <family val="2"/>
        <scheme val="minor"/>
      </rPr>
      <t xml:space="preserve"> Spouse/Dependent Child/Domestic Partner /Ex-Spouse in output field for certain dependent, automation  back fill worklog
</t>
    </r>
    <r>
      <rPr>
        <sz val="11"/>
        <color rgb="FFFF0000"/>
        <rFont val="Calibri"/>
        <family val="2"/>
        <scheme val="minor"/>
      </rPr>
      <t xml:space="preserve">_. Status: select "Pending for question"
_. Issue Found on Carrier Website: input "N/A"
_. Automation Notes to Processor: input "Uncertain relationship for requested dependet" </t>
    </r>
    <r>
      <rPr>
        <sz val="11"/>
        <color theme="1"/>
        <rFont val="Calibri"/>
        <family val="2"/>
        <scheme val="minor"/>
      </rPr>
      <t xml:space="preserve">
2. If duplicate name for different dependent within same relationship in output field , automation back fill worklog 
</t>
    </r>
    <r>
      <rPr>
        <sz val="11"/>
        <color rgb="FFFF0000"/>
        <rFont val="Calibri"/>
        <family val="2"/>
        <scheme val="minor"/>
      </rPr>
      <t xml:space="preserve">_. Status: select "Pending for question"
_. Issue Found on Carrier Website: input "N/A"
_. Automation Notes to Processor: input "Dup name within same relationship" 
</t>
    </r>
    <r>
      <rPr>
        <sz val="11"/>
        <rFont val="Calibri"/>
        <family val="2"/>
        <scheme val="minor"/>
      </rPr>
      <t xml:space="preserve">3. If output field(Dependent Name and /or Relation) is #N/A, automation back fill worklog
</t>
    </r>
    <r>
      <rPr>
        <sz val="11"/>
        <color rgb="FFFF0000"/>
        <rFont val="Calibri"/>
        <family val="2"/>
        <scheme val="minor"/>
      </rPr>
      <t xml:space="preserve">_. Status: select "Pending for question"
_. Issue Found on Carrier Website: input "N/A"
_. Automation Notes to Processor: input "Cannot found dependet Name" </t>
    </r>
    <r>
      <rPr>
        <sz val="11"/>
        <color theme="1"/>
        <rFont val="Calibri"/>
        <family val="2"/>
        <scheme val="minor"/>
      </rPr>
      <t xml:space="preserve">
4. If output field is avaliable which is not blank and #N/A in ouput field.  Automation identify Last Name, First Name MI - Relation (e.g. SMITH, MARY N - Spouse) in employee Personal Details section according to I16(dependent Last name, first name MI ) and I17(relation) in output field, 
1). If match, Click the dependent name at employee's Personal Details section in BCBS
2). if not match, stop automation in BCBS and fill out work log.
</t>
    </r>
    <r>
      <rPr>
        <sz val="11"/>
        <color rgb="FFFF0000"/>
        <rFont val="Calibri"/>
        <family val="2"/>
        <scheme val="minor"/>
      </rPr>
      <t>_. Status: select "Pending for question"
_. Issue Found on Carrier Website: input "Cannot find dependent"
_. Automation Notes to Processor: input "Cannot find dependent"</t>
    </r>
    <r>
      <rPr>
        <sz val="11"/>
        <color theme="1"/>
        <rFont val="Calibri"/>
        <family val="2"/>
        <scheme val="minor"/>
      </rPr>
      <t xml:space="preserve">
3). If there are 2 or more dependents is in output field, automation need go back to employee Personal Details section to click other dependent name to drop another dependent when finish one (Loop execution drop dependent)</t>
    </r>
  </si>
  <si>
    <t>Child</t>
  </si>
  <si>
    <t>G508OPT Blue Choice Options (BCO) 2023-24</t>
  </si>
  <si>
    <t>G532PPO Blue PPO (PPO Network) 2023-2024</t>
  </si>
  <si>
    <t>G534PPO Blue PPO (PPO Network) 2023-24</t>
  </si>
  <si>
    <t>P506PSN Blue Precision (HMO Network) *IL RESIDENTS ONLY 2023-24</t>
  </si>
  <si>
    <t>BCBSIL HSA $3,200 2024</t>
  </si>
  <si>
    <t>BCBSIL HSA $6,250 2024</t>
  </si>
  <si>
    <t>BCBSIL PPO $5,000 deductible 2024</t>
  </si>
  <si>
    <t>BlueCare Dental PPO-High Plan 2024</t>
  </si>
  <si>
    <t>BlueCare Dental PPO-Low Plan 2024</t>
  </si>
  <si>
    <t>2023 Blue Advantage HMO MIBAH2020</t>
  </si>
  <si>
    <t>2023 Blue Choice Select PPO MIBCS2120</t>
  </si>
  <si>
    <t>2023 Blue Edge HSA HDHP MIEEE3083</t>
  </si>
  <si>
    <t>2023 Blue Options PPO MIBCO2030</t>
  </si>
  <si>
    <t>2023 Dental</t>
  </si>
  <si>
    <t>2023 Option #1 BCBS Blue Choice Options MIBCO2000</t>
  </si>
  <si>
    <t>2023 Option #2 BCBS Choice Select PPO MIBCS2090</t>
  </si>
  <si>
    <t>2023 Option #3 BCBS Blue Choice Options HDHP/HSA MICOE3063</t>
  </si>
  <si>
    <t>2023 Option #4 BCBS Edge Select HDHP/HSA MIESE3153</t>
  </si>
  <si>
    <t>Blue Access HMO $0</t>
  </si>
  <si>
    <t>Blue Choice Options PPO $3,500</t>
  </si>
  <si>
    <t>Blue Choice Options PPO $6,000</t>
  </si>
  <si>
    <t>Blue Choice PPO $2,000</t>
  </si>
  <si>
    <t>Blue Choice PPO $250</t>
  </si>
  <si>
    <t>Blue Print PPO $0</t>
  </si>
  <si>
    <t>2023-2024 Plan 1: G506OPT</t>
  </si>
  <si>
    <t>2023-2024 Plan 3: P506 HMO</t>
  </si>
  <si>
    <t>20233-2024 Plan 2: G535 HDHP</t>
  </si>
  <si>
    <t>BCBS HDHP HSA MPSC1807-2023</t>
  </si>
  <si>
    <t>BCBS HDHP Select HSA MBS3805-2023</t>
  </si>
  <si>
    <t>BCBS HMO MHHB196-2023</t>
  </si>
  <si>
    <t>BCBS PPO NPP93836-2023</t>
  </si>
  <si>
    <t>2023-2024 BCBS MIBCO2000 OPT</t>
  </si>
  <si>
    <t>2023-2024 BCBS RPP72326 PPO</t>
  </si>
  <si>
    <t>P503PPO - Blue PPO</t>
  </si>
  <si>
    <t>P506PSN - Blue Precision HMO Plan</t>
  </si>
  <si>
    <t>2024 BlueChoice Options HSA (MICOE3073)</t>
  </si>
  <si>
    <t>2024 BlueEdge HSA (MIEEE3083)</t>
  </si>
  <si>
    <t>IL ONLY - 2024 BlueChoice Select PPO (MIBSC2160)</t>
  </si>
  <si>
    <t>IL ONLY - 2024 BlueEdge Select HSA (MIESE3183)</t>
  </si>
  <si>
    <t>2024 G506OPT - Blue Choice Gold PPO</t>
  </si>
  <si>
    <t>2024 G507OPT - Blue Choice Gold PPO</t>
  </si>
  <si>
    <t>2024 P506PSN - Blue Precision HMO</t>
  </si>
  <si>
    <t>2024 S506OPT Blue Choice Silver PPO</t>
  </si>
  <si>
    <t>2024 S507OPT Blue Choice Silver HDHP (HSA Eligible Plan)</t>
  </si>
  <si>
    <t>2024 S531PSN Blue Precision Silver HMO</t>
  </si>
  <si>
    <t>G508OPT - Blue Choice Options $1,500 Deductible (Large PPO) 2023-24</t>
  </si>
  <si>
    <t>G531BCE - Blue Choice Preferred $2,500 deductible (Small PPO) 2023-24</t>
  </si>
  <si>
    <t>S507OPT - Blue Choice Options $4,000 Deductible (Large PPO HDHP H.S.A.) 2023-24</t>
  </si>
  <si>
    <t>S531BCE - Blue Choice Preferred  $4,700 Deductible (Small PPO) 2023-24</t>
  </si>
  <si>
    <t>S531PSN - Blue Precision $3,000 Deductible (HMO - Illinois Residents ONLY) 2023-24</t>
  </si>
  <si>
    <t>*IL residents only* HMO Plan - RHHHB166 Blue Advantage HMO 2023-24</t>
  </si>
  <si>
    <t>HDHP Plan - RPSC1807 Blue Edge 2023-24</t>
  </si>
  <si>
    <t>PPO Plan - RPP82326 Blue Advantage Entrepreneur 2023-24</t>
  </si>
  <si>
    <t>2023-24 HDHP H.S.A. Plan S507OPT</t>
  </si>
  <si>
    <t>2023-24 HMO Plan P5E1PSN</t>
  </si>
  <si>
    <t>2023-24 PPO Plan G506OPT</t>
  </si>
  <si>
    <t>2023 BC HMO MIBAV2120 ILLINOIS ONLY</t>
  </si>
  <si>
    <t>2023 Blue Choice Options (BCO) - MIBCO2030</t>
  </si>
  <si>
    <t>2023 HSA PPO - MIEEE3083</t>
  </si>
  <si>
    <t>2023 HSA SELECT - MIESA3113 -ILLINOIS ONLY</t>
  </si>
  <si>
    <t>H.S.A. Plan RPSE3A05 2023-24</t>
  </si>
  <si>
    <t>PPO RPP73423 2023-24</t>
  </si>
  <si>
    <t>G506OPT - Blue OPTIONS PPO</t>
  </si>
  <si>
    <t>G532PPO - PPO</t>
  </si>
  <si>
    <t>P506PSN - HMO</t>
  </si>
  <si>
    <t>S507OPT HSA HDHP</t>
  </si>
  <si>
    <t>2024 BCBS DHMO DNCAP830</t>
  </si>
  <si>
    <t>2024 BCBS PPO DINLM49</t>
  </si>
  <si>
    <t>2024 HMO $3,000 Deductible (MIBAV2152)</t>
  </si>
  <si>
    <t>2024 HSA Choice Options $3,500 Deductible (MICOE3053)</t>
  </si>
  <si>
    <t>2024 PPO - Choice Options $4,000 Deductible (MIBCO2050)</t>
  </si>
  <si>
    <t>2024 PPO - Choice Select $4,000 Deductible (MIBCS2160)</t>
  </si>
  <si>
    <t>BCBS PPO MPPC3826 - 2023</t>
  </si>
  <si>
    <t>HSA Choice Options MTEQ1Z0723 - 2023</t>
  </si>
  <si>
    <t>IL only - BCBS HDHP MBSC3805 - 2023</t>
  </si>
  <si>
    <t>IL only - BCBS MHVBV02C HMO 2023</t>
  </si>
  <si>
    <t>IL only - BCBS PPO MBP8343C -2023</t>
  </si>
  <si>
    <t>2024 G506OPT Blue Choice Options Gold PPO</t>
  </si>
  <si>
    <t>2024 S506OPT Blue Choice Options Silver PPO</t>
  </si>
  <si>
    <t>2024 S532BCE Blue Choice Preferred PPO</t>
  </si>
  <si>
    <t>2023-2024 - G508OPT - Blue Choice Options PPO</t>
  </si>
  <si>
    <t>2023-2024 - G531BCE - Blue Choice Preferred PPO</t>
  </si>
  <si>
    <t>2023-2024 - G5K1OPT - Blue Choice Options HDHP</t>
  </si>
  <si>
    <t>Blue Cross  P5E1BCE Platinum Plan 2023-24</t>
  </si>
  <si>
    <t>Blue Cross Gold Plan G532BCE  2023-24</t>
  </si>
  <si>
    <t>2024 - S506OPT - Blue Choice Options PPO</t>
  </si>
  <si>
    <t>2024 G506OPT - Blue Choice Options PPO</t>
  </si>
  <si>
    <t>2024 G5J2PSN - Blue Precision HMO</t>
  </si>
  <si>
    <t>0015 G508OPT</t>
  </si>
  <si>
    <t>PPO</t>
  </si>
  <si>
    <t>0013 G532PPO</t>
  </si>
  <si>
    <t>0011 G534PPO</t>
  </si>
  <si>
    <t>BLUE PRECISION</t>
  </si>
  <si>
    <t>0012 P506PSN</t>
  </si>
  <si>
    <t>0001 HSA $3,200</t>
  </si>
  <si>
    <t>0002 HSA $6,250</t>
  </si>
  <si>
    <t>0003 PPO $5,000</t>
  </si>
  <si>
    <t>DENTAL</t>
  </si>
  <si>
    <t>0006 DENTAL HIGH</t>
  </si>
  <si>
    <t>0004 DENTAL LOW</t>
  </si>
  <si>
    <t>BLUE ADV HMO</t>
  </si>
  <si>
    <t>0025 MIBAH2020</t>
  </si>
  <si>
    <t>ADV</t>
  </si>
  <si>
    <t>BLUE CHOICE SELECT</t>
  </si>
  <si>
    <t>0028 MIBCS2120</t>
  </si>
  <si>
    <t>0029 MIEEE3083</t>
  </si>
  <si>
    <t>0026 MIBCO2030</t>
  </si>
  <si>
    <t>0016 DINHR34</t>
  </si>
  <si>
    <t>0013 MIBCO2000</t>
  </si>
  <si>
    <t>0012 MIBCS2090</t>
  </si>
  <si>
    <t>0017 MICOE3063</t>
  </si>
  <si>
    <t>0018 MIESE3153</t>
  </si>
  <si>
    <t>0012 MIBAH2020</t>
  </si>
  <si>
    <t>0013 MICOE3053</t>
  </si>
  <si>
    <t>0014 MICOE3013</t>
  </si>
  <si>
    <t>0010 MIBCS2090</t>
  </si>
  <si>
    <t>0011 MIBCS2010</t>
  </si>
  <si>
    <t>0015 MIBPP2000</t>
  </si>
  <si>
    <t>0006 G506OPT</t>
  </si>
  <si>
    <t>0004 P506PSN</t>
  </si>
  <si>
    <t>0005 G535PPO</t>
  </si>
  <si>
    <t>0018 MPSC1807</t>
  </si>
  <si>
    <t>0019 MBSC3805</t>
  </si>
  <si>
    <t>0017 MHHB196</t>
  </si>
  <si>
    <t>0016 NPP93836</t>
  </si>
  <si>
    <t>0001 MIBCO2000</t>
  </si>
  <si>
    <t>0018 RPP72326</t>
  </si>
  <si>
    <t>0020 P503PPO</t>
  </si>
  <si>
    <t>0019 P506PSN</t>
  </si>
  <si>
    <t>0032 MICOE3073</t>
  </si>
  <si>
    <t>0034 MIEEE3083</t>
  </si>
  <si>
    <t>0028 MIBCS2160</t>
  </si>
  <si>
    <t>0033 MIESE3183</t>
  </si>
  <si>
    <t>0045 S506OPT</t>
  </si>
  <si>
    <t>0044 G507OPT</t>
  </si>
  <si>
    <t>0047 P506PSN</t>
  </si>
  <si>
    <t>0046 G506OPT</t>
  </si>
  <si>
    <t>0049 S507OPT</t>
  </si>
  <si>
    <t>0048 S531PSN</t>
  </si>
  <si>
    <t>0013 G508OPT</t>
  </si>
  <si>
    <t>0005 G531BCE</t>
  </si>
  <si>
    <t>0009 S507OPT</t>
  </si>
  <si>
    <t>0012 S531BCE</t>
  </si>
  <si>
    <t>0011 S531PSN</t>
  </si>
  <si>
    <t>0011 RHHHB166</t>
  </si>
  <si>
    <t>0008 RPSC1807</t>
  </si>
  <si>
    <t>0010 RPP82326</t>
  </si>
  <si>
    <t>0001 S507OPT</t>
  </si>
  <si>
    <t>0003 P5E1PSN</t>
  </si>
  <si>
    <t>0002 G506OPT</t>
  </si>
  <si>
    <t>0036 MIBAV2120</t>
  </si>
  <si>
    <t>0039 MIBCO2030</t>
  </si>
  <si>
    <t>0041 MIEEE3083</t>
  </si>
  <si>
    <t>0040 MIESA3113</t>
  </si>
  <si>
    <t>0006 RPP73423</t>
  </si>
  <si>
    <t>0004 G506OPT</t>
  </si>
  <si>
    <t>0003 G532PPO</t>
  </si>
  <si>
    <t>0002 P506PSN</t>
  </si>
  <si>
    <t>0005 S507OPT</t>
  </si>
  <si>
    <t>DENTAL HMO</t>
  </si>
  <si>
    <t>0006 DNCAP830</t>
  </si>
  <si>
    <t>0007 DINLM49</t>
  </si>
  <si>
    <t>0002 MIBAV2152</t>
  </si>
  <si>
    <t>0004 MICOE3053</t>
  </si>
  <si>
    <t>0001 MIBCO2050</t>
  </si>
  <si>
    <t>0005 MIBCS2160</t>
  </si>
  <si>
    <t>0018 MTEQ1Z0723</t>
  </si>
  <si>
    <t>0015 MBSC3805</t>
  </si>
  <si>
    <t>0012 MBP8343C</t>
  </si>
  <si>
    <t>0021 G506OPT</t>
  </si>
  <si>
    <t>0022 S506OPT</t>
  </si>
  <si>
    <t>0017 S532BCE</t>
  </si>
  <si>
    <t>0022 G508OPT</t>
  </si>
  <si>
    <t>0023 G531BCE</t>
  </si>
  <si>
    <t>0024 G5K1OPT</t>
  </si>
  <si>
    <t>0003 P5E1BCE</t>
  </si>
  <si>
    <t>0004 G532BCE</t>
  </si>
  <si>
    <t>Avante Health Solutions</t>
  </si>
  <si>
    <t>Bettenhausen Motor Sales</t>
  </si>
  <si>
    <t>Group Name in BCBS</t>
  </si>
  <si>
    <r>
      <t>Automation extract extension from EN/report</t>
    </r>
    <r>
      <rPr>
        <sz val="11"/>
        <color rgb="FF00B050"/>
        <rFont val="Calibri"/>
        <family val="2"/>
        <scheme val="minor"/>
      </rPr>
      <t xml:space="preserve"> when phone type is work phone</t>
    </r>
  </si>
  <si>
    <t>Input - Suffix</t>
  </si>
  <si>
    <t>CRNP</t>
  </si>
  <si>
    <t>D.O.</t>
  </si>
  <si>
    <t xml:space="preserve">
DMD</t>
  </si>
  <si>
    <t>II</t>
  </si>
  <si>
    <t>III</t>
  </si>
  <si>
    <t>IV</t>
  </si>
  <si>
    <t>JD</t>
  </si>
  <si>
    <t>Jr.</t>
  </si>
  <si>
    <t xml:space="preserve">PA-C </t>
  </si>
  <si>
    <t>PhD</t>
  </si>
  <si>
    <t>RN</t>
  </si>
  <si>
    <t>Sr.</t>
  </si>
  <si>
    <t>V</t>
  </si>
  <si>
    <t>VI</t>
  </si>
  <si>
    <t>M</t>
  </si>
  <si>
    <t>F</t>
  </si>
  <si>
    <t>Input - Gender</t>
  </si>
  <si>
    <t>Former spouse - court ordered coverage</t>
  </si>
  <si>
    <t>Separated</t>
  </si>
  <si>
    <t>Input - Married</t>
  </si>
  <si>
    <t>Input - Race/Ethnicity</t>
  </si>
  <si>
    <t>White (Not Hispanic or Latino)</t>
  </si>
  <si>
    <t>Black or African American (Not Hispanic or Latino)</t>
  </si>
  <si>
    <t>Native Hawaiian or Other Pacific Islander (Not Hispanic or Latino)</t>
  </si>
  <si>
    <t>Asian (Not Hispanic or Latino)</t>
  </si>
  <si>
    <t>American Indian or Alaska Native (Not Hispanic or Latino)</t>
  </si>
  <si>
    <t>Two or More Races (Not Hispanic or Latino)</t>
  </si>
  <si>
    <t>Prefer not to Self-Identify</t>
  </si>
  <si>
    <t>US</t>
  </si>
  <si>
    <t>MX</t>
  </si>
  <si>
    <t>AF</t>
  </si>
  <si>
    <t>AX</t>
  </si>
  <si>
    <t>DZ</t>
  </si>
  <si>
    <t>AD</t>
  </si>
  <si>
    <t>AO</t>
  </si>
  <si>
    <t>AI</t>
  </si>
  <si>
    <t>AQ</t>
  </si>
  <si>
    <t>AG</t>
  </si>
  <si>
    <t>AM</t>
  </si>
  <si>
    <t>AW</t>
  </si>
  <si>
    <t>AU</t>
  </si>
  <si>
    <t>AT</t>
  </si>
  <si>
    <t>BH</t>
  </si>
  <si>
    <t>BD</t>
  </si>
  <si>
    <t>BB</t>
  </si>
  <si>
    <t>BY</t>
  </si>
  <si>
    <t>BE</t>
  </si>
  <si>
    <t>BZ</t>
  </si>
  <si>
    <t>BJ</t>
  </si>
  <si>
    <t>BM</t>
  </si>
  <si>
    <t>BT</t>
  </si>
  <si>
    <t>BO</t>
  </si>
  <si>
    <t>BA</t>
  </si>
  <si>
    <t>BW</t>
  </si>
  <si>
    <t>BV</t>
  </si>
  <si>
    <t>BR</t>
  </si>
  <si>
    <t>IO</t>
  </si>
  <si>
    <t>VG</t>
  </si>
  <si>
    <t>BN</t>
  </si>
  <si>
    <t>BG</t>
  </si>
  <si>
    <t>BF</t>
  </si>
  <si>
    <t>BI</t>
  </si>
  <si>
    <t>KH</t>
  </si>
  <si>
    <t>CM</t>
  </si>
  <si>
    <t>CV</t>
  </si>
  <si>
    <t>CF</t>
  </si>
  <si>
    <t>TD</t>
  </si>
  <si>
    <t>CL</t>
  </si>
  <si>
    <t>CN</t>
  </si>
  <si>
    <t>CX</t>
  </si>
  <si>
    <t>CC</t>
  </si>
  <si>
    <t>KM</t>
  </si>
  <si>
    <t>CG</t>
  </si>
  <si>
    <t>CK</t>
  </si>
  <si>
    <t>CR</t>
  </si>
  <si>
    <t>CI</t>
  </si>
  <si>
    <t>HR</t>
  </si>
  <si>
    <t>CU</t>
  </si>
  <si>
    <t>CY</t>
  </si>
  <si>
    <t>CZ</t>
  </si>
  <si>
    <t>CD</t>
  </si>
  <si>
    <t>DK</t>
  </si>
  <si>
    <t>DJ</t>
  </si>
  <si>
    <t>DM</t>
  </si>
  <si>
    <t>DO</t>
  </si>
  <si>
    <t>TP</t>
  </si>
  <si>
    <t>EC</t>
  </si>
  <si>
    <t>EG</t>
  </si>
  <si>
    <t>SV</t>
  </si>
  <si>
    <t>GQ</t>
  </si>
  <si>
    <t>ER</t>
  </si>
  <si>
    <t>EE</t>
  </si>
  <si>
    <t>ET</t>
  </si>
  <si>
    <t>FO</t>
  </si>
  <si>
    <t>FK</t>
  </si>
  <si>
    <t>FJ</t>
  </si>
  <si>
    <t>FI</t>
  </si>
  <si>
    <t>MK</t>
  </si>
  <si>
    <t>FR</t>
  </si>
  <si>
    <t>GF</t>
  </si>
  <si>
    <t>PF</t>
  </si>
  <si>
    <t>TF</t>
  </si>
  <si>
    <t>GE</t>
  </si>
  <si>
    <t>GH</t>
  </si>
  <si>
    <t>GI</t>
  </si>
  <si>
    <t>GR</t>
  </si>
  <si>
    <t>GL</t>
  </si>
  <si>
    <t>GD</t>
  </si>
  <si>
    <t>GP</t>
  </si>
  <si>
    <t>GT</t>
  </si>
  <si>
    <t>GG</t>
  </si>
  <si>
    <t>GN</t>
  </si>
  <si>
    <t>GW</t>
  </si>
  <si>
    <t>GY</t>
  </si>
  <si>
    <t>HT</t>
  </si>
  <si>
    <t>HM</t>
  </si>
  <si>
    <t>HN</t>
  </si>
  <si>
    <t>HK</t>
  </si>
  <si>
    <t>HU</t>
  </si>
  <si>
    <t>IS</t>
  </si>
  <si>
    <t>IR</t>
  </si>
  <si>
    <t>IQ</t>
  </si>
  <si>
    <t>IE</t>
  </si>
  <si>
    <t>IM</t>
  </si>
  <si>
    <t>IT</t>
  </si>
  <si>
    <t>JM</t>
  </si>
  <si>
    <t>JP</t>
  </si>
  <si>
    <t>JE</t>
  </si>
  <si>
    <t>JO</t>
  </si>
  <si>
    <t>KZ</t>
  </si>
  <si>
    <t>KE</t>
  </si>
  <si>
    <t>KI</t>
  </si>
  <si>
    <t>KW</t>
  </si>
  <si>
    <t>KG</t>
  </si>
  <si>
    <t>LV</t>
  </si>
  <si>
    <t>LB</t>
  </si>
  <si>
    <t>LS</t>
  </si>
  <si>
    <t>LR</t>
  </si>
  <si>
    <t>LY</t>
  </si>
  <si>
    <t>LI</t>
  </si>
  <si>
    <t>LT</t>
  </si>
  <si>
    <t>LU</t>
  </si>
  <si>
    <t>MG</t>
  </si>
  <si>
    <t>MW</t>
  </si>
  <si>
    <t>MY</t>
  </si>
  <si>
    <t>MV</t>
  </si>
  <si>
    <t>ML</t>
  </si>
  <si>
    <t>MH</t>
  </si>
  <si>
    <t>MQ</t>
  </si>
  <si>
    <t>MR</t>
  </si>
  <si>
    <t>MU</t>
  </si>
  <si>
    <t>YT</t>
  </si>
  <si>
    <t>FM</t>
  </si>
  <si>
    <t>MC</t>
  </si>
  <si>
    <t>MZ</t>
  </si>
  <si>
    <t>NA</t>
  </si>
  <si>
    <t>NR</t>
  </si>
  <si>
    <t>NP</t>
  </si>
  <si>
    <t>NL</t>
  </si>
  <si>
    <t>AN</t>
  </si>
  <si>
    <t>NZ</t>
  </si>
  <si>
    <t>NI</t>
  </si>
  <si>
    <t>NG</t>
  </si>
  <si>
    <t>NU</t>
  </si>
  <si>
    <t>NF</t>
  </si>
  <si>
    <t>KP</t>
  </si>
  <si>
    <t>NO</t>
  </si>
  <si>
    <t>OM</t>
  </si>
  <si>
    <t>PK</t>
  </si>
  <si>
    <t>PW</t>
  </si>
  <si>
    <t>PS</t>
  </si>
  <si>
    <t>PG</t>
  </si>
  <si>
    <t>PY</t>
  </si>
  <si>
    <t>PE</t>
  </si>
  <si>
    <t>PH</t>
  </si>
  <si>
    <t>PN</t>
  </si>
  <si>
    <t>PL</t>
  </si>
  <si>
    <t>PT</t>
  </si>
  <si>
    <t>QA</t>
  </si>
  <si>
    <t>RE</t>
  </si>
  <si>
    <t>RO</t>
  </si>
  <si>
    <t>RU</t>
  </si>
  <si>
    <t>RW</t>
  </si>
  <si>
    <t>GS</t>
  </si>
  <si>
    <t>SH</t>
  </si>
  <si>
    <t>KN</t>
  </si>
  <si>
    <t>LC</t>
  </si>
  <si>
    <t>PM</t>
  </si>
  <si>
    <t>VC</t>
  </si>
  <si>
    <t>BL</t>
  </si>
  <si>
    <t>MF</t>
  </si>
  <si>
    <t>WS</t>
  </si>
  <si>
    <t>SM</t>
  </si>
  <si>
    <t>ST</t>
  </si>
  <si>
    <t>SA</t>
  </si>
  <si>
    <t>SN</t>
  </si>
  <si>
    <t>RS</t>
  </si>
  <si>
    <t>SL</t>
  </si>
  <si>
    <t>SG</t>
  </si>
  <si>
    <t>SK</t>
  </si>
  <si>
    <t>SI</t>
  </si>
  <si>
    <t>SB</t>
  </si>
  <si>
    <t>SO</t>
  </si>
  <si>
    <t>ZA</t>
  </si>
  <si>
    <t>KR</t>
  </si>
  <si>
    <t>SS</t>
  </si>
  <si>
    <t>ES</t>
  </si>
  <si>
    <t>LK</t>
  </si>
  <si>
    <t>SR</t>
  </si>
  <si>
    <t>SJ</t>
  </si>
  <si>
    <t>SZ</t>
  </si>
  <si>
    <t>SE</t>
  </si>
  <si>
    <t>CH</t>
  </si>
  <si>
    <t>SY</t>
  </si>
  <si>
    <t>TW</t>
  </si>
  <si>
    <t>TJ</t>
  </si>
  <si>
    <t>TZ</t>
  </si>
  <si>
    <t>TH</t>
  </si>
  <si>
    <t>BS</t>
  </si>
  <si>
    <t>GM</t>
  </si>
  <si>
    <t>TL</t>
  </si>
  <si>
    <t>TG</t>
  </si>
  <si>
    <t>TK</t>
  </si>
  <si>
    <t>TO</t>
  </si>
  <si>
    <t>TT</t>
  </si>
  <si>
    <t>TR</t>
  </si>
  <si>
    <t>TM</t>
  </si>
  <si>
    <t>TC</t>
  </si>
  <si>
    <t>TV</t>
  </si>
  <si>
    <t>UG</t>
  </si>
  <si>
    <t>UA</t>
  </si>
  <si>
    <t>AE</t>
  </si>
  <si>
    <t>GB</t>
  </si>
  <si>
    <t>UY</t>
  </si>
  <si>
    <t>UZ</t>
  </si>
  <si>
    <t>VU</t>
  </si>
  <si>
    <t>VE</t>
  </si>
  <si>
    <t>VN</t>
  </si>
  <si>
    <t>WF</t>
  </si>
  <si>
    <t>EH</t>
  </si>
  <si>
    <t>YE</t>
  </si>
  <si>
    <t>YU</t>
  </si>
  <si>
    <t>ZM</t>
  </si>
  <si>
    <t>ZW</t>
  </si>
  <si>
    <t>Input - Country</t>
  </si>
  <si>
    <t>0008 RPSE3A05</t>
  </si>
  <si>
    <t>0013 MPPC3826</t>
  </si>
  <si>
    <t>0010 MHVBV02C</t>
  </si>
  <si>
    <t>0006 S506OPT</t>
  </si>
  <si>
    <t>0007 G506OPT</t>
  </si>
  <si>
    <t>0009 G5J2PSN</t>
  </si>
  <si>
    <t>Automation extract hire date from data sheet</t>
  </si>
  <si>
    <t>CPA</t>
  </si>
  <si>
    <t>DDS</t>
  </si>
  <si>
    <t>Woklog DC Config</t>
  </si>
  <si>
    <t>HMO</t>
  </si>
  <si>
    <t>HMO OF ILLINOIS</t>
  </si>
  <si>
    <t>Medical Plan</t>
  </si>
  <si>
    <t>Dental Plan</t>
  </si>
  <si>
    <t xml:space="preserve"> Link input and output by formula to remove "-" and "()",if Race/Ethnicity is blank, output show as blank</t>
  </si>
  <si>
    <t>AVANTE HEALTH SOLUTIONS</t>
  </si>
  <si>
    <t>BETTENHAUSEN MOTOR SALES</t>
  </si>
  <si>
    <t>FOTI CHRONOPOULOS, MD DBA WOMEN''S CARE GROUP</t>
  </si>
  <si>
    <t>Output field linked by formula to input field</t>
  </si>
  <si>
    <t>Keep default as blank currenly, TM not sure how to get the information</t>
  </si>
  <si>
    <t>DILHR04 - Blue Care Dental PPO</t>
  </si>
  <si>
    <t>0010 DILHR04</t>
  </si>
  <si>
    <t>G506OPT - Blue Choice Options PPO</t>
  </si>
  <si>
    <t>0017 G506OPT</t>
  </si>
  <si>
    <t>G507OPT - Blue Choice Options PPO</t>
  </si>
  <si>
    <t>0016 G507OPT</t>
  </si>
  <si>
    <t>G532PPO - Blue PPO</t>
  </si>
  <si>
    <t>0012 G532PPO</t>
  </si>
  <si>
    <t>P506PSN - Blue Precision HMO</t>
  </si>
  <si>
    <t>0013 P506PSN</t>
  </si>
  <si>
    <t>S507OPT - Blue Choice Options Silver HDHP</t>
  </si>
  <si>
    <t>0015 S507OPT</t>
  </si>
  <si>
    <t>MDG COMPUTER SERVICES INC</t>
  </si>
  <si>
    <t>Spikeball, Inc.</t>
  </si>
  <si>
    <t>KANKAKEE SPIKEBALL INC</t>
  </si>
  <si>
    <t>TESKA ASSOCIATES INC</t>
  </si>
  <si>
    <r>
      <t xml:space="preserve">1. If Task type is </t>
    </r>
    <r>
      <rPr>
        <b/>
        <sz val="11"/>
        <color theme="1"/>
        <rFont val="Calibri"/>
        <family val="2"/>
        <scheme val="minor"/>
      </rPr>
      <t>NOT</t>
    </r>
    <r>
      <rPr>
        <sz val="11"/>
        <color theme="1"/>
        <rFont val="Calibri"/>
        <family val="2"/>
        <scheme val="minor"/>
      </rPr>
      <t xml:space="preserve">  O - Drop Dependent, keep dependent and relationship input field as blank.
2. If Task type is O - Drop Dependent, Automation extract dependent name &amp; relationship according to below rule with format: Last name, First Name MI. If there are 2 or more dependents, use "|" to split
</t>
    </r>
    <r>
      <rPr>
        <sz val="11"/>
        <color rgb="FF00B050"/>
        <rFont val="Calibri"/>
        <family val="2"/>
        <scheme val="minor"/>
      </rPr>
      <t xml:space="preserve">1). Locate data sheet for request EE and group
2). Automation identify </t>
    </r>
    <r>
      <rPr>
        <sz val="11"/>
        <color theme="1"/>
        <rFont val="Calibri"/>
        <family val="2"/>
        <scheme val="minor"/>
      </rPr>
      <t xml:space="preserve">
2). Carrier name is Blue Cross Blue Shield of Illinois in "Carrier" 
4). Date in " Change on" Column" is same as date in "Received Date &amp; Time (US)" in work log
5) "Changed Field" column is "Drop Dependent"
6) Dependent name match with what is in "To" column. Note: the name in "To" column is before () with format First Name Last Name (e.g. Mary Smith (Child)) and  middle name won't display in the field</t>
    </r>
  </si>
  <si>
    <r>
      <t xml:space="preserve">1. Automation extract plan name to input field from "Plan Name" column in Benefit summary according to below rule:
1). Carrier name as Blue Cross Blue Shield of Illinois, and 
2). Plan type as Medical
</t>
    </r>
    <r>
      <rPr>
        <sz val="11"/>
        <color rgb="FF00B050"/>
        <rFont val="Calibri"/>
        <family val="2"/>
        <scheme val="minor"/>
      </rPr>
      <t xml:space="preserve">2. If No plan name located for both medical and dental, </t>
    </r>
    <r>
      <rPr>
        <sz val="11"/>
        <color rgb="FFFF0000"/>
        <rFont val="Calibri"/>
        <family val="2"/>
        <scheme val="minor"/>
      </rPr>
      <t>back fill worklog</t>
    </r>
  </si>
  <si>
    <r>
      <t>1. Automation extract event date from "Event date" column in EN Timeline to input field, according to below rule
1). Locate Timeline for requested group and EE
2). Date in " On" Column" in Timeline is same as date in "Received Date &amp; Time (US)" in work log
2.  Automation identify all located dates in "Event Date" column. If all dates are the same, extract one date in input field; if not same, extract all dates to input field and fill out work log to remind TM to report to AM.
3. If can't locate date according to above rules</t>
    </r>
    <r>
      <rPr>
        <sz val="11"/>
        <color rgb="FF00B050"/>
        <rFont val="Calibri"/>
        <family val="2"/>
        <scheme val="minor"/>
      </rPr>
      <t>, extract blank in input field</t>
    </r>
  </si>
  <si>
    <r>
      <t xml:space="preserve">When Task type is T - Termination/D - Termination (Death) in work log task type column
1.  Automation extract Enrollment End Date from "Enrollment End Date" column in enrollment change report according to below rule:
1). Automation Locate appropriate group's enrollment change report according to group name in work log
2). SSN is for requested EE
3). Carrier name is Blue Cross Blue Shield of Illinois in "Carrier" column
4). Date in " Change on" Column" is same as date in "Received Date &amp; Time (US)" in work log
</t>
    </r>
    <r>
      <rPr>
        <sz val="11"/>
        <color rgb="FF00B050"/>
        <rFont val="Calibri"/>
        <family val="2"/>
        <scheme val="minor"/>
      </rPr>
      <t>2. If can't locate date according to above rules, extract blank in input field</t>
    </r>
  </si>
  <si>
    <t>Address or other information is avaliable for email request</t>
  </si>
  <si>
    <t>Extract group name</t>
  </si>
  <si>
    <t>Few email termination request that include address,,If address provided and different from BCBS
1. Change address in BCBS ( Automation can replace all information in BCBS according to request)
2. Terminate EE
3. Notify AM in email
Note: need to koe who send COBRA notice to terminated EE, carrier/ RSP/Agent</t>
  </si>
  <si>
    <r>
      <rPr>
        <sz val="11"/>
        <color rgb="FF7030A0"/>
        <rFont val="Calibri"/>
        <family val="2"/>
        <scheme val="minor"/>
      </rPr>
      <t>1. automation will review DC before uplaod to BCBS, and pop up reminder if there is any #N/A</t>
    </r>
    <r>
      <rPr>
        <sz val="11"/>
        <color theme="1"/>
        <rFont val="Calibri"/>
        <family val="2"/>
        <scheme val="minor"/>
      </rPr>
      <t xml:space="preserve">
2. Automation get information from output and split into MM/DD/YYY to fill out 3 fields of Effective Date in BCBS</t>
    </r>
  </si>
  <si>
    <r>
      <rPr>
        <sz val="11"/>
        <color rgb="FF7030A0"/>
        <rFont val="Calibri"/>
        <family val="2"/>
        <scheme val="minor"/>
      </rPr>
      <t>1. automation will review DC before uplaod to BCBS, and pop up reminder if there is any #N/A</t>
    </r>
    <r>
      <rPr>
        <sz val="11"/>
        <color theme="1"/>
        <rFont val="Calibri"/>
        <family val="2"/>
        <scheme val="minor"/>
      </rPr>
      <t xml:space="preserve">
2. Automation select Marital Status from drop list in BCBS according to information in output field.</t>
    </r>
  </si>
  <si>
    <t>Abbrrevation of State</t>
  </si>
  <si>
    <t>Input - Abbrrevation of State</t>
  </si>
  <si>
    <t>Account Name In BCBS</t>
  </si>
  <si>
    <t>*This employee will be billed with all other employees with this criteria</t>
  </si>
  <si>
    <t>Product Type &amp; Product</t>
  </si>
  <si>
    <r>
      <t>Automation extract home phone from EN/report，</t>
    </r>
    <r>
      <rPr>
        <sz val="11"/>
        <color rgb="FF7030A0"/>
        <rFont val="Calibri"/>
        <family val="2"/>
        <scheme val="minor"/>
      </rPr>
      <t>Phone type shall be Home</t>
    </r>
  </si>
  <si>
    <t>Need manually manintain if there is any update</t>
  </si>
  <si>
    <r>
      <t xml:space="preserve">Automation get information from output field and input into "First" field in BCBS
</t>
    </r>
    <r>
      <rPr>
        <sz val="11"/>
        <color rgb="FF00B050"/>
        <rFont val="Calibri"/>
        <family val="2"/>
        <scheme val="minor"/>
      </rPr>
      <t>Note: if length of first name&gt;20, automation extract output field to input into BCBS and back fill worklog to remind TM after completed in BCBS</t>
    </r>
    <r>
      <rPr>
        <sz val="11"/>
        <color theme="1"/>
        <rFont val="Calibri"/>
        <family val="2"/>
        <scheme val="minor"/>
      </rPr>
      <t xml:space="preserve">
</t>
    </r>
    <r>
      <rPr>
        <sz val="11"/>
        <color rgb="FFFF0000"/>
        <rFont val="Calibri"/>
        <family val="2"/>
        <scheme val="minor"/>
      </rPr>
      <t xml:space="preserve">_. Status: select "Completed"
_. Issue Found on Carrier Website: input "N/A"
</t>
    </r>
    <r>
      <rPr>
        <sz val="11"/>
        <color rgb="FF7030A0"/>
        <rFont val="Calibri"/>
        <family val="2"/>
        <scheme val="minor"/>
      </rPr>
      <t>_. Automation Notes to Processor: get from J1</t>
    </r>
  </si>
  <si>
    <r>
      <t xml:space="preserve">Automation get information from output field and input into "Last" field in BCBS
</t>
    </r>
    <r>
      <rPr>
        <sz val="11"/>
        <color rgb="FF00B050"/>
        <rFont val="Calibri"/>
        <family val="2"/>
        <scheme val="minor"/>
      </rPr>
      <t>Note: if length of last name&gt;20, automation extract 20 characters to input into BCBS and back fill worklog to remind TM after completed in BCBS</t>
    </r>
    <r>
      <rPr>
        <sz val="11"/>
        <color theme="1"/>
        <rFont val="Calibri"/>
        <family val="2"/>
        <scheme val="minor"/>
      </rPr>
      <t xml:space="preserve">
</t>
    </r>
    <r>
      <rPr>
        <sz val="11"/>
        <color rgb="FFFF0000"/>
        <rFont val="Calibri"/>
        <family val="2"/>
        <scheme val="minor"/>
      </rPr>
      <t xml:space="preserve">_. Status: select "Completed"
_. Issue Found on Carrier Website: input "N/A"
</t>
    </r>
    <r>
      <rPr>
        <sz val="11"/>
        <color rgb="FF7030A0"/>
        <rFont val="Calibri"/>
        <family val="2"/>
        <scheme val="minor"/>
      </rPr>
      <t>_. Automation Notes to Processor: get from J1</t>
    </r>
  </si>
  <si>
    <t>1. Automation get information from output field and input into "Street 1" field in BCBS
2. Note: if length of ADDRESS 1+ ADDRESS 2 &gt;50, automation extract output filed to BCBS and back fill worklog to remind TM after completed in BCBS
_. Status: select "Completed"
_. Issue Found on Carrier Website: input "N/A"
_. Automation Notes to Processor: get from J1</t>
  </si>
  <si>
    <r>
      <rPr>
        <strike/>
        <sz val="11"/>
        <color rgb="FFFF0000"/>
        <rFont val="Calibri"/>
        <family val="2"/>
        <scheme val="minor"/>
      </rPr>
      <t>1. If output field is "#N/A", back fill worklog</t>
    </r>
    <r>
      <rPr>
        <strike/>
        <sz val="11"/>
        <color theme="1"/>
        <rFont val="Calibri"/>
        <family val="2"/>
        <scheme val="minor"/>
      </rPr>
      <t xml:space="preserve">
</t>
    </r>
    <r>
      <rPr>
        <strike/>
        <sz val="11"/>
        <color rgb="FFFF0000"/>
        <rFont val="Calibri"/>
        <family val="2"/>
        <scheme val="minor"/>
      </rPr>
      <t xml:space="preserve">_. Status: select "Pending for question"
_. Issue Found on Carrier Website: input "N/A"
_. Automation Notes to Processor: input "Please manually handle " </t>
    </r>
    <r>
      <rPr>
        <sz val="11"/>
        <color theme="1"/>
        <rFont val="Calibri"/>
        <family val="2"/>
        <scheme val="minor"/>
      </rPr>
      <t xml:space="preserve">
2. Automation select product type in BCBS according to output field. if can't select product type in BCBS according to output field, click "Finish  Later" in the screen and fill out worklog to remind TM.</t>
    </r>
  </si>
  <si>
    <r>
      <t xml:space="preserve">Automation identify different last from output field by "|" and input into "Last" field  in BCBS different dependent section
Note: 
1. As default, Dependent's last name is same as EE, need modify it as required
</t>
    </r>
    <r>
      <rPr>
        <sz val="11"/>
        <color rgb="FF7030A0"/>
        <rFont val="Calibri"/>
        <family val="2"/>
        <scheme val="minor"/>
      </rPr>
      <t>Note: if dependent length of last name&gt;20, automation extract output field to input into BCBS and back fill worklog to remind TM after completed in BCBS
_. Status: select "Completed"
_. Issue Found on Carrier Website: input "N/A"
_. Automation Notes to Processor: get from J1</t>
    </r>
  </si>
  <si>
    <r>
      <t xml:space="preserve">Automation identify different first from output field by "|" and input into "First" field  in BCBS different dependent section
</t>
    </r>
    <r>
      <rPr>
        <sz val="11"/>
        <color rgb="FF7030A0"/>
        <rFont val="Calibri"/>
        <family val="2"/>
        <scheme val="minor"/>
      </rPr>
      <t>Note: if dependent length of first name&gt;20, automation extract output field to input into BCBS and back fill worklog to remind TM after completed in BCBS
_. Status: select "Completed"
_. Issue Found on Carrier Website: input "N/A"
_. Automation Notes to Processor: get from J1</t>
    </r>
  </si>
  <si>
    <t>Search Criteria:</t>
  </si>
  <si>
    <r>
      <t xml:space="preserve">Stop process and back fill worklog when encounter the field
</t>
    </r>
    <r>
      <rPr>
        <sz val="11"/>
        <color rgb="FFFF0000"/>
        <rFont val="Calibri"/>
        <family val="2"/>
        <scheme val="minor"/>
      </rPr>
      <t xml:space="preserve">_. Status: select "Pending for question"
_. Issue Found on Carrier Website: input "New field occurred in BCBS'"
_. Automation Notes to Processor: input "New field occurred in BCBS'" 
</t>
    </r>
    <r>
      <rPr>
        <sz val="11"/>
        <color rgb="FF7030A0"/>
        <rFont val="Calibri"/>
        <family val="2"/>
        <scheme val="minor"/>
      </rPr>
      <t>e.g: Sherman Dodge</t>
    </r>
  </si>
  <si>
    <t>Please manually handle the group If it have the filed in BCBS, since it's out of automation in phase 1</t>
  </si>
  <si>
    <t>For Reference</t>
  </si>
  <si>
    <t>Output - Required Field</t>
  </si>
  <si>
    <t>Output - Optional Field</t>
  </si>
  <si>
    <t>Input Field</t>
  </si>
  <si>
    <t>Refer to column AM</t>
  </si>
  <si>
    <t>Refer to column AL</t>
  </si>
  <si>
    <t>Language</t>
  </si>
  <si>
    <t>Refer to EN - Benefit Sumamry - Effective column</t>
  </si>
  <si>
    <t>Initial status as New Hire in BCBS, and need select per request
1. If New Hire, Select New Hire
2. If Lost Other Insurance Coverage, Select Lost Other Insurance Coverage
3. If Open Enrollment, Select Open Enrollment</t>
  </si>
  <si>
    <t>Keep default as "Initial" for Enrollment in output field</t>
  </si>
  <si>
    <t>If length of first name &gt;20 which is max length in BCBS, input 20 characters of first name, return note to work log</t>
  </si>
  <si>
    <t>If length of last name &gt;20 which is max length in BCBS, input 20 characters of last name, return note to work log</t>
  </si>
  <si>
    <t>Keep default as blank in output field</t>
  </si>
  <si>
    <t>Keep default as Unknown in output field</t>
  </si>
  <si>
    <t>Keep default as "Active" for Enrollment in output field</t>
  </si>
  <si>
    <t>Keep default as English in output field</t>
  </si>
  <si>
    <t>Keep default as United States in output field</t>
  </si>
  <si>
    <t>Keep default as blank for Enrollment in output field</t>
  </si>
  <si>
    <t>Keep default as blank in output field
Note: Max length is 5 in BCBS</t>
  </si>
  <si>
    <t>Keep default as "A - Active" for enrollment in output field</t>
  </si>
  <si>
    <t>Keep default as Yes in in output field</t>
  </si>
  <si>
    <t>Input - Coverage Level</t>
  </si>
  <si>
    <t>Refer to Column AO</t>
  </si>
  <si>
    <t>Employee + Spouse</t>
  </si>
  <si>
    <t>Employee + Child</t>
  </si>
  <si>
    <t>Employee + Child(ren)</t>
  </si>
  <si>
    <t>Employee + Family</t>
  </si>
  <si>
    <r>
      <t xml:space="preserve">1.Automation extract coverage level to input field from "Coverage" column in Benefit summary according to below rule:
1). Carrier name as Blue Cross Blue Shield of Illinois, and 
2). Plan type as Medical
</t>
    </r>
    <r>
      <rPr>
        <sz val="11"/>
        <color rgb="FF00B050"/>
        <rFont val="Calibri"/>
        <family val="2"/>
        <scheme val="minor"/>
      </rPr>
      <t>2. If several rows for same plan name under same carrier, automation extract all coverage level and split by</t>
    </r>
    <r>
      <rPr>
        <sz val="11"/>
        <color rgb="FF7030A0"/>
        <rFont val="Calibri"/>
        <family val="2"/>
        <scheme val="minor"/>
      </rPr>
      <t xml:space="preserve"> "+" </t>
    </r>
    <r>
      <rPr>
        <sz val="11"/>
        <color rgb="FF00B050"/>
        <rFont val="Calibri"/>
        <family val="2"/>
        <scheme val="minor"/>
      </rPr>
      <t xml:space="preserve">e.g. if different rows for Employee and Spouse, Employee + Spouse
</t>
    </r>
    <r>
      <rPr>
        <sz val="11"/>
        <color rgb="FF7030A0"/>
        <rFont val="Calibri"/>
        <family val="2"/>
        <scheme val="minor"/>
      </rPr>
      <t>3. If No plan name located for both medical and dental, the input will be blank</t>
    </r>
  </si>
  <si>
    <r>
      <t xml:space="preserve">1. Automation extract coverage level to input field from "Coverage" column in Benefit summary according to below rule:
1). Carrier name as Blue Cross Blue Shield of Illinois, and 
2). Plan type as Dental
</t>
    </r>
    <r>
      <rPr>
        <sz val="11"/>
        <color rgb="FF7030A0"/>
        <rFont val="Calibri"/>
        <family val="2"/>
        <scheme val="minor"/>
      </rPr>
      <t>2. If several rows for same plan name under same carrier, automation extract all coverage level and split by "+" e.g. if different rows for Employee and Spouse, Employee + Spouse</t>
    </r>
    <r>
      <rPr>
        <sz val="11"/>
        <color theme="1"/>
        <rFont val="Calibri"/>
        <family val="2"/>
        <scheme val="minor"/>
      </rPr>
      <t xml:space="preserve">
</t>
    </r>
    <r>
      <rPr>
        <sz val="11"/>
        <color rgb="FF7030A0"/>
        <rFont val="Calibri"/>
        <family val="2"/>
        <scheme val="minor"/>
      </rPr>
      <t>2. If No plan name located for both medical and dental, the input will be blank</t>
    </r>
  </si>
  <si>
    <t>Keep default as blank for enrollment in output field</t>
  </si>
  <si>
    <t>Keep default as No in output field</t>
  </si>
  <si>
    <r>
      <t>1. If relationship in EN is Child: 
 1). If Student is Yes, Disabled is No, = Student
 2). If Student is No, Disabled is Yes, = Disabled Dependent
 3). If Student is Yes, Disabled is Yes,</t>
    </r>
    <r>
      <rPr>
        <b/>
        <sz val="11"/>
        <color theme="1"/>
        <rFont val="Calibri"/>
        <family val="2"/>
        <scheme val="minor"/>
      </rPr>
      <t xml:space="preserve"> = #N/A, Student is Yes and Disabled is Yes</t>
    </r>
    <r>
      <rPr>
        <sz val="11"/>
        <color theme="1"/>
        <rFont val="Calibri"/>
        <family val="2"/>
        <scheme val="minor"/>
      </rPr>
      <t xml:space="preserve">
 4).If Student is No, Disabled is No, = Dependent Child</t>
    </r>
  </si>
  <si>
    <t>Search Section</t>
  </si>
  <si>
    <t>Extract account name according to group name</t>
  </si>
  <si>
    <r>
      <rPr>
        <sz val="11"/>
        <color rgb="FFFF0000"/>
        <rFont val="Calibri"/>
        <family val="2"/>
        <scheme val="minor"/>
      </rPr>
      <t>1. If output field(SSN or ID Number) and #N/A or birth date is #N/A , Automation backfill worklog to remind TM 
_. Status: select "Pending for question"
_. Issue Found on Carrier Website: input "N/A"
_. Automation Notes to Processor: input "SSN format is wrong" or "Birth date format is wrong"</t>
    </r>
    <r>
      <rPr>
        <sz val="11"/>
        <color theme="1"/>
        <rFont val="Calibri"/>
        <family val="2"/>
        <scheme val="minor"/>
      </rPr>
      <t xml:space="preserve">
Note: TM could update mapping list in worklog and restart automation. 
2. If below scenarios, Automation </t>
    </r>
    <r>
      <rPr>
        <sz val="11"/>
        <color rgb="FFFF0000"/>
        <rFont val="Calibri"/>
        <family val="2"/>
        <scheme val="minor"/>
      </rPr>
      <t xml:space="preserve">backfill worklog to remind TM </t>
    </r>
    <r>
      <rPr>
        <sz val="11"/>
        <color theme="1"/>
        <rFont val="Calibri"/>
        <family val="2"/>
        <scheme val="minor"/>
      </rPr>
      <t xml:space="preserve">
1). Output field Last Name&amp;First Name is N/A
</t>
    </r>
    <r>
      <rPr>
        <sz val="11"/>
        <rFont val="Calibri"/>
        <family val="2"/>
        <scheme val="minor"/>
      </rPr>
      <t>2). Output field SSN or ID Number AND  Birth Date is N/A</t>
    </r>
    <r>
      <rPr>
        <sz val="11"/>
        <color rgb="FFFF0000"/>
        <rFont val="Calibri"/>
        <family val="2"/>
        <scheme val="minor"/>
      </rPr>
      <t xml:space="preserve">
_. Status: select "Pending for question"
_. Issue Found on Carrier Website: input "N/A"
_. Automation Notes to Processor: input "Please manually handle"</t>
    </r>
    <r>
      <rPr>
        <sz val="11"/>
        <color theme="1"/>
        <rFont val="Calibri"/>
        <family val="2"/>
        <scheme val="minor"/>
      </rPr>
      <t xml:space="preserve">
</t>
    </r>
    <r>
      <rPr>
        <b/>
        <sz val="11"/>
        <color theme="1"/>
        <rFont val="Calibri"/>
        <family val="2"/>
        <scheme val="minor"/>
      </rPr>
      <t xml:space="preserve">For Enrollment
</t>
    </r>
    <r>
      <rPr>
        <sz val="11"/>
        <color rgb="FF00B050"/>
        <rFont val="Calibri"/>
        <family val="2"/>
        <scheme val="minor"/>
      </rPr>
      <t xml:space="preserve">1. Automation search EE by </t>
    </r>
    <r>
      <rPr>
        <b/>
        <sz val="11"/>
        <color rgb="FF00B050"/>
        <rFont val="Calibri"/>
        <family val="2"/>
        <scheme val="minor"/>
      </rPr>
      <t>both</t>
    </r>
    <r>
      <rPr>
        <sz val="11"/>
        <color rgb="FF00B050"/>
        <rFont val="Calibri"/>
        <family val="2"/>
        <scheme val="minor"/>
      </rPr>
      <t xml:space="preserve"> SSN and name</t>
    </r>
    <r>
      <rPr>
        <sz val="11"/>
        <color theme="1"/>
        <rFont val="Calibri"/>
        <family val="2"/>
        <scheme val="minor"/>
      </rPr>
      <t xml:space="preserve">
2. If "No results found" display in Search Results section in BCBS, Automation Continue enrollment
3. If EE Name displayed at Search Results section, stop automation in BCBS and fill out Worklog
</t>
    </r>
    <r>
      <rPr>
        <sz val="11"/>
        <color rgb="FFFF0000"/>
        <rFont val="Calibri"/>
        <family val="2"/>
        <scheme val="minor"/>
      </rPr>
      <t xml:space="preserve">_. Status: select "Pending for question"
_. Issue Found on Carrier Website: input "Already done in carrier website"
_. Automation Notes to Processor: input "Already done in carrier website" </t>
    </r>
    <r>
      <rPr>
        <sz val="11"/>
        <color theme="1"/>
        <rFont val="Calibri"/>
        <family val="2"/>
        <scheme val="minor"/>
      </rPr>
      <t xml:space="preserve">
</t>
    </r>
    <r>
      <rPr>
        <b/>
        <sz val="11"/>
        <color theme="1"/>
        <rFont val="Calibri"/>
        <family val="2"/>
        <scheme val="minor"/>
      </rPr>
      <t xml:space="preserve">For Other Request Type
</t>
    </r>
    <r>
      <rPr>
        <sz val="11"/>
        <color rgb="FF00B050"/>
        <rFont val="Calibri"/>
        <family val="2"/>
        <scheme val="minor"/>
      </rPr>
      <t>1. If I10 (SSN or ID Number) is NOT N/A, Automation get SSN# in output field and input to SSN field with format (xxxxxxxxx) in BCBS to search EE.
2. IfI10 (SSN) is N/A, Automation get last name and first name from I11(Last name) and I12(First name) and input into last name field( at least 3 characters) and first name field (at least 1 character) in BCBS to search EE.</t>
    </r>
    <r>
      <rPr>
        <b/>
        <sz val="11"/>
        <color theme="1"/>
        <rFont val="Calibri"/>
        <family val="2"/>
        <scheme val="minor"/>
      </rPr>
      <t xml:space="preserve"> </t>
    </r>
    <r>
      <rPr>
        <sz val="11"/>
        <color theme="1"/>
        <rFont val="Calibri"/>
        <family val="2"/>
        <scheme val="minor"/>
      </rPr>
      <t xml:space="preserve">
3. If "No results found" display in Search Results section in BCBS. stop automation in BCBS and fill out Worklog
</t>
    </r>
    <r>
      <rPr>
        <sz val="11"/>
        <color rgb="FFFF0000"/>
        <rFont val="Calibri"/>
        <family val="2"/>
        <scheme val="minor"/>
      </rPr>
      <t xml:space="preserve">_. Status: select "Pending for question"
_. Issue Found on Carrier Website: input "Cannot find EE on carrier website"
_. Automation Notes to Processor: input "Cannot find EE on carrier website" 
</t>
    </r>
    <r>
      <rPr>
        <sz val="11"/>
        <color theme="1"/>
        <rFont val="Calibri"/>
        <family val="2"/>
        <scheme val="minor"/>
      </rPr>
      <t xml:space="preserve">
4. If Name(EE Name), Birth Date display in Search Results section in BCBS. 
1). SSN/Last name/ First Name/ MI/ Birth date are not N/A in output field, automation compare searched name (Last, First MI) and Birth Date in BCBS with Last name/First name/MI &amp; Birth date in output field to determine if EE searched is the correct one. Note: all characters of name are capital in BCBS
2). SSN is N/A but Last name/ First Name/ MI/ Birth date are not N/A in output field, automation compare searched name (Last, First MI) and Birth Date in BCBS with Last name/First name/MI &amp; Birth date in output field to determine if EE searched is the correct one.
3). If Information (Name and DOB) match, automation click EE name in searched result
4). If any information (Name or DOB ) mismatch, stop automation in BCBS and fill out Worklog
</t>
    </r>
    <r>
      <rPr>
        <sz val="11"/>
        <color rgb="FFFF0000"/>
        <rFont val="Calibri"/>
        <family val="2"/>
        <scheme val="minor"/>
      </rPr>
      <t xml:space="preserve">_. Status: select "Pending for question"
_. Issue Found on Carrier Website: "Name or DOB mismatch"
_. Automation Notes to Processor: input "Name or DOB mismatch" 
5). </t>
    </r>
  </si>
  <si>
    <t>Reference Column</t>
  </si>
  <si>
    <t>Y</t>
  </si>
  <si>
    <t>N</t>
  </si>
  <si>
    <t>Medical</t>
  </si>
  <si>
    <t>Dental</t>
  </si>
  <si>
    <r>
      <t xml:space="preserve">1. Spouse = Spouse
2. Ex-Spouse =  Ex-Spouse
3. Domestic Partner = t Domestic Partner
</t>
    </r>
    <r>
      <rPr>
        <sz val="11"/>
        <color rgb="FFFF0000"/>
        <rFont val="Calibri"/>
        <family val="2"/>
        <scheme val="minor"/>
      </rPr>
      <t>4. If Child, refer to below field</t>
    </r>
    <r>
      <rPr>
        <sz val="11"/>
        <color theme="1"/>
        <rFont val="Calibri"/>
        <family val="2"/>
        <scheme val="minor"/>
      </rPr>
      <t xml:space="preserve">
5. Civil Union Spouse = Civil Union Spouse
6. Ex-Civil Union Spouse = Ex-Civil Union Spouse</t>
    </r>
    <r>
      <rPr>
        <sz val="11"/>
        <color rgb="FFFF0000"/>
        <rFont val="Calibri"/>
        <family val="2"/>
        <scheme val="minor"/>
      </rPr>
      <t xml:space="preserve">
</t>
    </r>
    <r>
      <rPr>
        <sz val="11"/>
        <rFont val="Calibri"/>
        <family val="2"/>
        <scheme val="minor"/>
      </rPr>
      <t>7. Ex-Domestic Partner = #N/A, Uncertain Relationship.
8. If Former Dependent = #N/A, Uncertain Relationship.
9. If Deceased Spouse = #N/A, Uncertain Relationship.
10 If Deceased Dependent = #N/A, Uncertain Relationship.
11. If Legal Dependent= #N/A, Uncertain Relationship.</t>
    </r>
  </si>
  <si>
    <r>
      <t xml:space="preserve">1. Automation go to EN - Benefit summary - Enrolled Plans section and locate effective date in "Effective" column according to below rules
 1). Carrier name is Blue Cross Blue Shield of Illinois in "Carrier" column
</t>
    </r>
    <r>
      <rPr>
        <sz val="11"/>
        <rFont val="Calibri"/>
        <family val="2"/>
        <scheme val="minor"/>
      </rPr>
      <t xml:space="preserve">2. If there are 2 or more effective dates, </t>
    </r>
    <r>
      <rPr>
        <sz val="11"/>
        <color rgb="FF7030A0"/>
        <rFont val="Calibri"/>
        <family val="2"/>
        <scheme val="minor"/>
      </rPr>
      <t>automation identify if all dates are the same. if yes extract one date. if no, extract all dates in input field. and use"|" to split</t>
    </r>
    <r>
      <rPr>
        <sz val="11"/>
        <rFont val="Calibri"/>
        <family val="2"/>
        <scheme val="minor"/>
      </rPr>
      <t xml:space="preserve">
</t>
    </r>
    <r>
      <rPr>
        <sz val="11"/>
        <color rgb="FF00B050"/>
        <rFont val="Calibri"/>
        <family val="2"/>
        <scheme val="minor"/>
      </rPr>
      <t>3. If there is no effective date, extract blank in input field</t>
    </r>
    <r>
      <rPr>
        <sz val="11"/>
        <rFont val="Calibri"/>
        <family val="2"/>
        <scheme val="minor"/>
      </rPr>
      <t xml:space="preserve">
</t>
    </r>
    <r>
      <rPr>
        <b/>
        <sz val="11"/>
        <color rgb="FFFF0000"/>
        <rFont val="Calibri"/>
        <family val="2"/>
        <scheme val="minor"/>
      </rPr>
      <t/>
    </r>
  </si>
  <si>
    <t>Stop process and back fill worklog when encounter the field
_. Status: select "Pending for question"
_. Issue Found on Carrier Website: input "New field occurred in BCBS'"
_. Automation Notes to Processor: input "New field occurred in BCBS'" 
e.g: Sherman Dodge</t>
  </si>
  <si>
    <t>Prior Coverage</t>
  </si>
  <si>
    <t>Keep default as Employee in output field</t>
  </si>
  <si>
    <t>If available, fill out as required in input. If not available, leave it as blank in input</t>
  </si>
  <si>
    <t>1. Refer to EN - Timeline - On ( column) for input
2.For eamil request signature date shown on the form. If not available, enter the day before the effective date to input field</t>
  </si>
  <si>
    <r>
      <t xml:space="preserve">If </t>
    </r>
    <r>
      <rPr>
        <sz val="11"/>
        <rFont val="Calibri"/>
        <family val="2"/>
        <scheme val="minor"/>
      </rPr>
      <t>Unknown =</t>
    </r>
    <r>
      <rPr>
        <sz val="11"/>
        <color theme="1"/>
        <rFont val="Calibri"/>
        <family val="2"/>
        <scheme val="minor"/>
      </rPr>
      <t xml:space="preserve"> Unknown 
If Single = Single
If Married = Married
if Divorced = Divorced
If Widowed = Widowed
If Domestic Partner = Uncertain Marital Status. need report to AM</t>
    </r>
    <r>
      <rPr>
        <b/>
        <sz val="11"/>
        <color theme="1"/>
        <rFont val="Calibri"/>
        <family val="2"/>
        <scheme val="minor"/>
      </rPr>
      <t xml:space="preserve">
</t>
    </r>
    <r>
      <rPr>
        <sz val="11"/>
        <color theme="1"/>
        <rFont val="Calibri"/>
        <family val="2"/>
        <scheme val="minor"/>
      </rPr>
      <t>If Former spouse - court ordered coverage = Uncertain Marital Status. Need report to AM
If</t>
    </r>
    <r>
      <rPr>
        <b/>
        <sz val="11"/>
        <color theme="1"/>
        <rFont val="Calibri"/>
        <family val="2"/>
        <scheme val="minor"/>
      </rPr>
      <t xml:space="preserve"> </t>
    </r>
    <r>
      <rPr>
        <sz val="11"/>
        <color theme="1"/>
        <rFont val="Calibri"/>
        <family val="2"/>
        <scheme val="minor"/>
      </rPr>
      <t>Separated in EN = Uncertain Marital Status. Need report to AM</t>
    </r>
  </si>
  <si>
    <t>1. If Effective date - Date of Birth&lt; 65 yr-old, = Unknown
2. If Effective date - Date of Birth&gt;= 65, = No</t>
  </si>
  <si>
    <t>Use Street 2 when the space of Street 1 is insufficient.</t>
  </si>
  <si>
    <t>Keep default as blank for output field for EN request. Fill out input field when mobile / cell field is available on App for email request</t>
  </si>
  <si>
    <r>
      <t xml:space="preserve">In EN Profile: 
1) If Primary Emial type is Work, enter work email in input field
2) If Primary Emial type is </t>
    </r>
    <r>
      <rPr>
        <sz val="11"/>
        <rFont val="Calibri"/>
        <family val="2"/>
        <scheme val="minor"/>
      </rPr>
      <t>Personal,</t>
    </r>
    <r>
      <rPr>
        <sz val="11"/>
        <color theme="1"/>
        <rFont val="Calibri"/>
        <family val="2"/>
        <scheme val="minor"/>
      </rPr>
      <t xml:space="preserve"> enter personal email in input field</t>
    </r>
  </si>
  <si>
    <t>1. Pls. input BCBS account# here
2. Pls. change to BCBS account# if there is "#N/A - Duplicate"</t>
  </si>
  <si>
    <t>only 5 and 9 digits can be acccept in BCBS website</t>
  </si>
  <si>
    <t>If M = Male; If F = Female, If others = #N/A, Unidentified gender, please select from output dropdown list</t>
  </si>
  <si>
    <t>#N/A, Uncertain relationship, please select from output dropdown list</t>
  </si>
  <si>
    <t>#N/A, Student is Yes and Disabled is Yes, please select from output dropdown list</t>
  </si>
  <si>
    <t>Default Option for CBIZB</t>
  </si>
  <si>
    <t>Do not include punctuation</t>
  </si>
  <si>
    <r>
      <t>No need input plan name, Always select Product Type in column I</t>
    </r>
    <r>
      <rPr>
        <b/>
        <sz val="11"/>
        <color theme="1"/>
        <rFont val="Calibri"/>
        <family val="2"/>
        <scheme val="minor"/>
      </rPr>
      <t/>
    </r>
  </si>
  <si>
    <t>No need input plan name, Always select product in column I</t>
  </si>
  <si>
    <r>
      <t xml:space="preserve">1. Refer to EN - Benefit summary - Coverage
1).  If coverage level is Employee,  Select No.
2). If coverage level is others(like Employee + family/spouse/child etc.), Select Yes
</t>
    </r>
    <r>
      <rPr>
        <b/>
        <sz val="11"/>
        <color theme="1"/>
        <rFont val="Calibri"/>
        <family val="2"/>
        <scheme val="minor"/>
      </rPr>
      <t/>
    </r>
  </si>
  <si>
    <r>
      <t>1. Refer to EN - Benefit summary - Coverage
1).  If coverage level is Employee,  Select No.
2). If coverage level is others(like Employee + family/spouse/child etc.), Select Yes</t>
    </r>
    <r>
      <rPr>
        <b/>
        <sz val="11"/>
        <color theme="1"/>
        <rFont val="Calibri"/>
        <family val="2"/>
        <scheme val="minor"/>
      </rPr>
      <t/>
    </r>
  </si>
  <si>
    <t>Note</t>
  </si>
  <si>
    <t>&lt;Please Exclude Punctuation&gt;</t>
  </si>
  <si>
    <t>&lt;For Email Request, Input Mobile/Cell&gt;</t>
  </si>
  <si>
    <t>&lt;Please input BCBS account#&gt;</t>
  </si>
  <si>
    <t>####</t>
  </si>
  <si>
    <t>Primary Provider &amp; WPHCP Provider</t>
  </si>
  <si>
    <t>&lt;If the field is available in BCBS, please manually handle the group&gt;</t>
  </si>
  <si>
    <t>Dependent#5</t>
  </si>
  <si>
    <t>Dependent#6</t>
  </si>
  <si>
    <t>Dependent#4</t>
  </si>
  <si>
    <t>Dependent#3</t>
  </si>
  <si>
    <t>Dependent#2</t>
  </si>
  <si>
    <t>Dependent#1</t>
  </si>
  <si>
    <t>Dependent Summary</t>
  </si>
  <si>
    <t>Dependent#7</t>
  </si>
  <si>
    <t>Dependent#8</t>
  </si>
  <si>
    <t>Dependent#10</t>
  </si>
  <si>
    <t>Dependent#11</t>
  </si>
  <si>
    <t>Dependent#12</t>
  </si>
  <si>
    <t>Dependent#13</t>
  </si>
  <si>
    <t>Dependent#14</t>
  </si>
  <si>
    <t>Dependent#15</t>
  </si>
  <si>
    <t>&lt;For Enrollment Request, No Need to Input&gt;</t>
  </si>
  <si>
    <t>Change Type Selection</t>
  </si>
  <si>
    <t>BFC FORMS SERVICE, INC.</t>
  </si>
  <si>
    <t>0004 MHHB19C</t>
  </si>
  <si>
    <t>CHILD CARE RESOURCE &amp; REFERRAL</t>
  </si>
  <si>
    <t>0110 RHHHB106</t>
  </si>
  <si>
    <t>CITY OF HOMETOWN</t>
  </si>
  <si>
    <t>0002 MIBAH2000</t>
  </si>
  <si>
    <t>0018 MIBAH200</t>
  </si>
  <si>
    <t>DIMERCO EXPRESS USA CORP</t>
  </si>
  <si>
    <t>0002 MIBAH2020</t>
  </si>
  <si>
    <t>FRANK LLOYD WRIGHT TRUST</t>
  </si>
  <si>
    <t>0007 NHHB103</t>
  </si>
  <si>
    <t>GLOBAL CONTRACT MANUFACTURING</t>
  </si>
  <si>
    <t>0109 RHHHB166</t>
  </si>
  <si>
    <t>HCP FINANCIAL &amp; MANAGEMENT SERVICES, LLC</t>
  </si>
  <si>
    <t>0031 MIBAH2010</t>
  </si>
  <si>
    <t>0029 MIBAH201</t>
  </si>
  <si>
    <t>PAN AMERICAN BANK &amp; TRUST</t>
  </si>
  <si>
    <t>0005 MIBAH2020</t>
  </si>
  <si>
    <t>PROMAC, INC.</t>
  </si>
  <si>
    <t>0011 RHHHB16C</t>
  </si>
  <si>
    <t>0007 MIBAH2020</t>
  </si>
  <si>
    <t>0006 MIBAV2120</t>
  </si>
  <si>
    <t>SKY ROAD</t>
  </si>
  <si>
    <t>0009 RHHHB103</t>
  </si>
  <si>
    <t>N/A</t>
  </si>
  <si>
    <t>0010 MIBCS2120</t>
  </si>
  <si>
    <t>0011 MIESE3153</t>
  </si>
  <si>
    <t>0009 MIBCS2090</t>
  </si>
  <si>
    <t>0008 MIESA2122</t>
  </si>
  <si>
    <t>0001 MBP93C3C</t>
  </si>
  <si>
    <t>0002 MBSC1807</t>
  </si>
  <si>
    <t>0035 MIESA3113</t>
  </si>
  <si>
    <t>0024 MBPC3836</t>
  </si>
  <si>
    <t>0032 MIESA2110</t>
  </si>
  <si>
    <t>0030 MIESA211</t>
  </si>
  <si>
    <t>0033 MIESA2110</t>
  </si>
  <si>
    <t>0010 MIESE3153</t>
  </si>
  <si>
    <t>0006 MIESE1151</t>
  </si>
  <si>
    <t>0003 MBSC3805</t>
  </si>
  <si>
    <t>0004 MIESA2120</t>
  </si>
  <si>
    <t>0003 MIBCS2030</t>
  </si>
  <si>
    <t>0007 MIBCO2040</t>
  </si>
  <si>
    <t>0003 MTP72C2F</t>
  </si>
  <si>
    <t>0022 G506OPT</t>
  </si>
  <si>
    <t>0023 S507OPT</t>
  </si>
  <si>
    <t>0020 G506OPT</t>
  </si>
  <si>
    <t>0021 S507OPT</t>
  </si>
  <si>
    <t>0002 MIBCO2040</t>
  </si>
  <si>
    <t>0005 MICOE4064</t>
  </si>
  <si>
    <t>0001 MICOE2063</t>
  </si>
  <si>
    <t>0006 S507OPT</t>
  </si>
  <si>
    <t>0002 G507OPT</t>
  </si>
  <si>
    <t>0004 S507OPT</t>
  </si>
  <si>
    <t>0018 G5K1OPT</t>
  </si>
  <si>
    <t>0024 S507OPT</t>
  </si>
  <si>
    <t>0023 G508OPT</t>
  </si>
  <si>
    <t>0022 G507OPT</t>
  </si>
  <si>
    <t>0007 S507OPT</t>
  </si>
  <si>
    <t>0006 MIBCO2040</t>
  </si>
  <si>
    <t>0003 G506OPT</t>
  </si>
  <si>
    <t>0001 S506OPT</t>
  </si>
  <si>
    <t>0018 G506OPT</t>
  </si>
  <si>
    <t>0001 G508OPT</t>
  </si>
  <si>
    <t>0008 S507OPT</t>
  </si>
  <si>
    <t>0007 G5K1OPT</t>
  </si>
  <si>
    <t>0010 P506PSN</t>
  </si>
  <si>
    <t>0009 P506PSN</t>
  </si>
  <si>
    <t>0026 P506PSN</t>
  </si>
  <si>
    <t>0016 P506PSN</t>
  </si>
  <si>
    <t>0005 P506PSN</t>
  </si>
  <si>
    <t>0001 P506PSN</t>
  </si>
  <si>
    <t>0005 G5J2PSN</t>
  </si>
  <si>
    <t>0004 P5E1PSN</t>
  </si>
  <si>
    <t>0037 P506PSN</t>
  </si>
  <si>
    <t>0014 G532PSN</t>
  </si>
  <si>
    <t>0024 P506PSN</t>
  </si>
  <si>
    <t>0007 G5J2PSN</t>
  </si>
  <si>
    <t>0002 P5E1PSN</t>
  </si>
  <si>
    <t>0020 P506PSN</t>
  </si>
  <si>
    <t>0002 S531PSN</t>
  </si>
  <si>
    <t>0016 G5J2PSN</t>
  </si>
  <si>
    <t>0006 P506PSN</t>
  </si>
  <si>
    <t>0008 P5E1PSN</t>
  </si>
  <si>
    <t>0010 G532BCE</t>
  </si>
  <si>
    <t>0003 G532BCE</t>
  </si>
  <si>
    <t>0001 G530BCE</t>
  </si>
  <si>
    <t>0012 G535BCE</t>
  </si>
  <si>
    <t>0001 S535BCE</t>
  </si>
  <si>
    <t>0003 P5E2BCE</t>
  </si>
  <si>
    <t>0016 S531BCE</t>
  </si>
  <si>
    <t>0015 B535BCE</t>
  </si>
  <si>
    <t>0005 B536BCE</t>
  </si>
  <si>
    <t>0012 B535BCE</t>
  </si>
  <si>
    <t>0010 S5J1BCE</t>
  </si>
  <si>
    <t>0003 B536BCE</t>
  </si>
  <si>
    <t>0001 G531BCE</t>
  </si>
  <si>
    <t>0002 S535BCE</t>
  </si>
  <si>
    <t>0002 P5E1BCE</t>
  </si>
  <si>
    <t>0006 DILLM11</t>
  </si>
  <si>
    <t>0005 DINHR01</t>
  </si>
  <si>
    <t>0006 DINLM21</t>
  </si>
  <si>
    <t>0006 DILHM10</t>
  </si>
  <si>
    <t>0004 DILHR04</t>
  </si>
  <si>
    <t>0005 DINHR33</t>
  </si>
  <si>
    <t>0006 DINLM51</t>
  </si>
  <si>
    <t>0003 DINHR33</t>
  </si>
  <si>
    <t>0011 DILHM10</t>
  </si>
  <si>
    <t>0001 DILHR23</t>
  </si>
  <si>
    <t>0020 DILHR43</t>
  </si>
  <si>
    <t>0016 DINHR43</t>
  </si>
  <si>
    <t>0012 DILHR03</t>
  </si>
  <si>
    <t>0005 DILLM56</t>
  </si>
  <si>
    <t>0002 BCARE CHOICE DHUC04</t>
  </si>
  <si>
    <t>0002 DILHR01</t>
  </si>
  <si>
    <t>0009 DILLR06</t>
  </si>
  <si>
    <t>0025 DILLM11</t>
  </si>
  <si>
    <t>0005 DINLR06</t>
  </si>
  <si>
    <t>0004 DINHR03</t>
  </si>
  <si>
    <t>0014 DILHM08</t>
  </si>
  <si>
    <t>0013 DILHM08</t>
  </si>
  <si>
    <t>0019 DILHM10</t>
  </si>
  <si>
    <t>0006 DILHR50</t>
  </si>
  <si>
    <t>0003 PREFERCHOICE1000 50P</t>
  </si>
  <si>
    <t>0007 DILHR01</t>
  </si>
  <si>
    <t>0011 DILLR06</t>
  </si>
  <si>
    <t>0004 DNCAP710</t>
  </si>
  <si>
    <t>0005 BAEP 20 90 70 1000</t>
  </si>
  <si>
    <t>0008 B535PPO</t>
  </si>
  <si>
    <t>0011 G533PPO</t>
  </si>
  <si>
    <t>0024 G533PPO</t>
  </si>
  <si>
    <t>0023 S534PPO</t>
  </si>
  <si>
    <t>0008 G532PPO</t>
  </si>
  <si>
    <t>0109 RPP83436</t>
  </si>
  <si>
    <t>0015 RPEQ1Z0723</t>
  </si>
  <si>
    <t>0014 RPEQ1Z0723</t>
  </si>
  <si>
    <t>0013 RPEQ1Z0720</t>
  </si>
  <si>
    <t>0003 MIBPP2020</t>
  </si>
  <si>
    <t>0019 MIBPP002</t>
  </si>
  <si>
    <t>0001 MIBPP0020</t>
  </si>
  <si>
    <t>0002 MIBPP2000</t>
  </si>
  <si>
    <t>0007 MPPH3T6G</t>
  </si>
  <si>
    <t>0009 MPP73436</t>
  </si>
  <si>
    <t>0006 MPPE3Q26</t>
  </si>
  <si>
    <t>0008 MPPC3836</t>
  </si>
  <si>
    <t>0010 MPP93C36</t>
  </si>
  <si>
    <t>0011 MPSE3X05</t>
  </si>
  <si>
    <t>0025 G530PPO</t>
  </si>
  <si>
    <t>0024 G531PPO</t>
  </si>
  <si>
    <t>0018 G531PPO</t>
  </si>
  <si>
    <t>0019 G530PPO</t>
  </si>
  <si>
    <t>0002 S531PPO</t>
  </si>
  <si>
    <t>0001 MIEEA2000</t>
  </si>
  <si>
    <t>0003 MIBPP2000</t>
  </si>
  <si>
    <t>0004 MIBPP2020</t>
  </si>
  <si>
    <t>0007 RPSC1807</t>
  </si>
  <si>
    <t>0006 RPP92426</t>
  </si>
  <si>
    <t>0015 S531PPO</t>
  </si>
  <si>
    <t>0016 B535PPO</t>
  </si>
  <si>
    <t>0014 MPEQ1Z0720</t>
  </si>
  <si>
    <t>0015 MIBPP2050</t>
  </si>
  <si>
    <t>0002 G532PPO</t>
  </si>
  <si>
    <t>0003 S531PPO</t>
  </si>
  <si>
    <t>0011 RPP83436</t>
  </si>
  <si>
    <t>0016 RPSP1V0523</t>
  </si>
  <si>
    <t>0001 G534PPO</t>
  </si>
  <si>
    <t>0002 HSA</t>
  </si>
  <si>
    <t>0003 HSA</t>
  </si>
  <si>
    <t>0006 P503PPO</t>
  </si>
  <si>
    <t>0022 MPP9383C</t>
  </si>
  <si>
    <t>0034 MPS9160524</t>
  </si>
  <si>
    <t>0025 MPS91605</t>
  </si>
  <si>
    <t>0011 G535PPO</t>
  </si>
  <si>
    <t>0014 G533PPO</t>
  </si>
  <si>
    <t>0001 G530PPO</t>
  </si>
  <si>
    <t>0002 P503PPO</t>
  </si>
  <si>
    <t>0042 G537PPO</t>
  </si>
  <si>
    <t>0040 S532PPO</t>
  </si>
  <si>
    <t>0043 G532PPO</t>
  </si>
  <si>
    <t>0041 G531PPO</t>
  </si>
  <si>
    <t>0039 G533PPO</t>
  </si>
  <si>
    <t>0001 RPP93433</t>
  </si>
  <si>
    <t>0020 S531PPO</t>
  </si>
  <si>
    <t>0012 G533PPO</t>
  </si>
  <si>
    <t>0011 B535PPO</t>
  </si>
  <si>
    <t>0009 MPEQ1Z0723</t>
  </si>
  <si>
    <t>0008 MIEEE3063</t>
  </si>
  <si>
    <t>0007 MIEEE2061</t>
  </si>
  <si>
    <t>0005 MPEQ1Z0720</t>
  </si>
  <si>
    <t>0006 B536PPO</t>
  </si>
  <si>
    <t>0023 G534PPO</t>
  </si>
  <si>
    <t>0001 RPSC1807</t>
  </si>
  <si>
    <t>0002 RPP83433</t>
  </si>
  <si>
    <t>0008 P5E1PPO</t>
  </si>
  <si>
    <t>0001 MIEEA2020</t>
  </si>
  <si>
    <t>0009 S5J1PPO</t>
  </si>
  <si>
    <t>0002 MIBPP2030</t>
  </si>
  <si>
    <t>0017 B535PPO</t>
  </si>
  <si>
    <t>0003 MIEEE2052</t>
  </si>
  <si>
    <t>0001 MIBPP1171</t>
  </si>
  <si>
    <t>0002 MIBPP2130</t>
  </si>
  <si>
    <t>0001 B536PPO</t>
  </si>
  <si>
    <t>0004 G537PPO</t>
  </si>
  <si>
    <t>0012 RPP7343C</t>
  </si>
  <si>
    <t>0021 G534PPO</t>
  </si>
  <si>
    <t>0022 G533PPO</t>
  </si>
  <si>
    <t>0005 MIBPP2040</t>
  </si>
  <si>
    <t>0008 MIBPP2080</t>
  </si>
  <si>
    <t>0019 G533PPO</t>
  </si>
  <si>
    <t>0001 BAEP 20 90 70 250</t>
  </si>
  <si>
    <t>0008 RPP83433</t>
  </si>
  <si>
    <t>0005 P5E1PPO</t>
  </si>
  <si>
    <t>0104 RPP83423</t>
  </si>
  <si>
    <t>0014 G535PPO</t>
  </si>
  <si>
    <t>0015 G534PPO</t>
  </si>
  <si>
    <t>0012 P503PPO</t>
  </si>
  <si>
    <t>0016 G535PPO</t>
  </si>
  <si>
    <t>0017 G532PPO</t>
  </si>
  <si>
    <t>0005 G532PPO</t>
  </si>
  <si>
    <t>0010 P503PPO</t>
  </si>
  <si>
    <t>0001 P5E1PPO</t>
  </si>
  <si>
    <t>0013 G533PPO</t>
  </si>
  <si>
    <t>0007 S534PPO</t>
  </si>
  <si>
    <t>0006 G535PPO</t>
  </si>
  <si>
    <t>BFC Forms Service, Inc.</t>
  </si>
  <si>
    <t>Child Care Resource &amp; Referral</t>
  </si>
  <si>
    <t>City of Hometown</t>
  </si>
  <si>
    <t>Dimerco Express</t>
  </si>
  <si>
    <t>Frank Lloyd Wright Trust</t>
  </si>
  <si>
    <t>Global Contract</t>
  </si>
  <si>
    <t>HCP Financial &amp; Management Services</t>
  </si>
  <si>
    <t>Pan American Bank &amp; Trust</t>
  </si>
  <si>
    <t>Promac</t>
  </si>
  <si>
    <t>Red Speed</t>
  </si>
  <si>
    <t>Sky Road</t>
  </si>
  <si>
    <t>Mid America Asset Management</t>
  </si>
  <si>
    <t>MID AMERICA ASSET MANAGEMENT INC</t>
  </si>
  <si>
    <t>Current Technologies</t>
  </si>
  <si>
    <t>CURRENT TECHNOLOGIES CORPORATION</t>
  </si>
  <si>
    <t>Exegistics</t>
  </si>
  <si>
    <t>EXEGISTICS EMPLOYEE HOLDINGS</t>
  </si>
  <si>
    <t>Four Four Design</t>
  </si>
  <si>
    <t>FOUR FOUR DESIGN LLC</t>
  </si>
  <si>
    <t>Hitchcock Design</t>
  </si>
  <si>
    <t>HITCHCOCK DESIGN INC</t>
  </si>
  <si>
    <t>Libra Industries, Inc.</t>
  </si>
  <si>
    <t>LIBRA INDUSTRIES</t>
  </si>
  <si>
    <t>Mid America Real Estate </t>
  </si>
  <si>
    <t>MID AMERICA REAL ESTATE CORPORATION</t>
  </si>
  <si>
    <t>Penrose Brewing</t>
  </si>
  <si>
    <t>PENROSE BREWING COMPANY</t>
  </si>
  <si>
    <t>Red Dog Logistics</t>
  </si>
  <si>
    <t>RED DOG LOGISTICS INC</t>
  </si>
  <si>
    <t>RGLA solutions</t>
  </si>
  <si>
    <t>RGLA SOLUTIONS INC</t>
  </si>
  <si>
    <t>Town of Cortland</t>
  </si>
  <si>
    <t>TOWN OF CORTLAND</t>
  </si>
  <si>
    <t>Urban Growers Collective</t>
  </si>
  <si>
    <t>URBAN GROWERS COLLECTIVE INC</t>
  </si>
  <si>
    <t>American Street Capital</t>
  </si>
  <si>
    <t>AMERICAN STREET CAPITAL LLC</t>
  </si>
  <si>
    <t>Chicago Nasal&amp;Sinus Center</t>
  </si>
  <si>
    <t>CHICAGO NASAL &amp; SINUS CENTER</t>
  </si>
  <si>
    <t>Cyclone Group</t>
  </si>
  <si>
    <t>CYCLONE GROUP P.C.</t>
  </si>
  <si>
    <t>DeKane Equipment</t>
  </si>
  <si>
    <t>DEKANE EQUIPMENT CORPORATION</t>
  </si>
  <si>
    <t>Kinnick Medical</t>
  </si>
  <si>
    <t>KINNICK MEDICAL, LTD</t>
  </si>
  <si>
    <t>Lake in the Hills</t>
  </si>
  <si>
    <t>LAKE IN THE HILLS SANITARY DISTRICT</t>
  </si>
  <si>
    <t>Leukemia Research Foundation</t>
  </si>
  <si>
    <t>LEUKEMIA RESEARCH FOUNDATION, INC</t>
  </si>
  <si>
    <t>M &amp; G MSO</t>
  </si>
  <si>
    <t>M &amp; G MSO, LLC</t>
  </si>
  <si>
    <t>MVP Plumbing</t>
  </si>
  <si>
    <t>MVP PLUMBING</t>
  </si>
  <si>
    <t>Pargreen Process Tech</t>
  </si>
  <si>
    <t>PARGREEN PROCESS TECHNOLOGIES</t>
  </si>
  <si>
    <t>Peterson Electro Musical Products</t>
  </si>
  <si>
    <t>PETERSON ELECTRO-MUSICAL PRODUCTS, INC.</t>
  </si>
  <si>
    <t>Pivot Product Development</t>
  </si>
  <si>
    <t>PIVOT PRODUCT DEVELOPMENT LLC</t>
  </si>
  <si>
    <t>Rayner</t>
  </si>
  <si>
    <t>RAYNER RDS, LLC</t>
  </si>
  <si>
    <t>Spring USA</t>
  </si>
  <si>
    <t>SPRING USA CORPORATION</t>
  </si>
  <si>
    <t>Vascular Specialists</t>
  </si>
  <si>
    <t>VASCULAR SPECIALISTS, LLC</t>
  </si>
  <si>
    <t>Village of Rockdale</t>
  </si>
  <si>
    <t>VILLAGE OF ROCKDALE</t>
  </si>
  <si>
    <t>Your Back Office</t>
  </si>
  <si>
    <t>YOUR BACK OFFICE, LLC</t>
  </si>
  <si>
    <t>Maclyn Group</t>
  </si>
  <si>
    <t>FTDGD, INC D/B/A MACLYN GROUP</t>
  </si>
  <si>
    <t>Huston&amp;May</t>
  </si>
  <si>
    <t>HUSTON AND MAY, LLC</t>
  </si>
  <si>
    <t>Knox County Housing Authority</t>
  </si>
  <si>
    <t>KNOX COUNTY HOUSING AUTHORITY</t>
  </si>
  <si>
    <t>Village of Smithton</t>
  </si>
  <si>
    <t>VILLAGE OF SMITHTON</t>
  </si>
  <si>
    <t>Financial Reporting</t>
  </si>
  <si>
    <t>FINANCIAL REPORTING ADVISORS, LLC</t>
  </si>
  <si>
    <t>ICE Advisors</t>
  </si>
  <si>
    <t>ICE ADVISORS</t>
  </si>
  <si>
    <t>Lever Interactive</t>
  </si>
  <si>
    <t>LEVER INTERACTIVE</t>
  </si>
  <si>
    <t>Pearl City</t>
  </si>
  <si>
    <t>PEARL CITY ELEVATOR, INC.</t>
  </si>
  <si>
    <t>Petersen Fuels</t>
  </si>
  <si>
    <t>PETERSEN FUELS, INC.</t>
  </si>
  <si>
    <t>The Sotos Law Firm, P.C.</t>
  </si>
  <si>
    <t>THE SOTOS LAW OFFICE, P.C.</t>
  </si>
  <si>
    <t>Von Weise Associate</t>
  </si>
  <si>
    <t>VON WEISE ASSOCIATES</t>
  </si>
  <si>
    <t>Alan D. Lasko &amp; Associates</t>
  </si>
  <si>
    <t>ALAN D. LASKO AND ASSOCIATES, P. C.</t>
  </si>
  <si>
    <t>Allium Partners</t>
  </si>
  <si>
    <t>ALLIUM PARTNERS LLC</t>
  </si>
  <si>
    <t>Chesley,Taft &amp; Associates LLC</t>
  </si>
  <si>
    <t>CHESLEY TAFT &amp; ASSOCIATES LLC</t>
  </si>
  <si>
    <t>City of Marshall</t>
  </si>
  <si>
    <t>CITY OF MARSHALL</t>
  </si>
  <si>
    <t>City of Staunton</t>
  </si>
  <si>
    <t>CITY OF STAUNTON</t>
  </si>
  <si>
    <t>Eugene L Griffin &amp; Assoc Ltd</t>
  </si>
  <si>
    <t>EUGENE L. GRIFFIN AND ASSOCIATES LTD.</t>
  </si>
  <si>
    <t>Greater Metro (Area) Housing Authority</t>
  </si>
  <si>
    <t>GREATER METRO AREA HOUSING AUTHORITY</t>
  </si>
  <si>
    <t>Great Northern Corporation</t>
  </si>
  <si>
    <t>GREAT NORTHERN INSTORE</t>
  </si>
  <si>
    <t>Grundy County Housing Authority</t>
  </si>
  <si>
    <t>GRUNDY COUNTY HOUSING AUTHORITY</t>
  </si>
  <si>
    <t>Kankakee County Housing Authority</t>
  </si>
  <si>
    <t>KANKAKEE COUNTY HOUSING AUTHORITY</t>
  </si>
  <si>
    <t>Numerical Algorithms Group</t>
  </si>
  <si>
    <t>NUMERICAL ALGORITHMS GROUP, INC.</t>
  </si>
  <si>
    <t>Tartan Realty Group</t>
  </si>
  <si>
    <t>TARTAN REALTY GROUP, INC.</t>
  </si>
  <si>
    <t>Plan Name in EN</t>
  </si>
  <si>
    <t>&lt;&gt;Other Task Type</t>
  </si>
  <si>
    <t>0002 MIBCO2030</t>
  </si>
  <si>
    <t>0004 MICOE3073</t>
  </si>
  <si>
    <t>0003 MICOE1071</t>
  </si>
  <si>
    <t>0011 RPSC1807</t>
  </si>
  <si>
    <t>0013 RPP83426</t>
  </si>
  <si>
    <t>0012 RHHHB193</t>
  </si>
  <si>
    <t>0019 MHVBV03C</t>
  </si>
  <si>
    <t>0022 MIBCO2030</t>
  </si>
  <si>
    <t>0020 MPSC1807</t>
  </si>
  <si>
    <t>0021 MPP9383C</t>
  </si>
  <si>
    <t>0003 RHVHV026</t>
  </si>
  <si>
    <t>0004 RPP92426</t>
  </si>
  <si>
    <t>0002 RPP92426</t>
  </si>
  <si>
    <t>0018 RPP82326</t>
  </si>
  <si>
    <t>0006 RPSE3A05</t>
  </si>
  <si>
    <t>0010 G535BCE</t>
  </si>
  <si>
    <t>0009 S531BCE</t>
  </si>
  <si>
    <t>0008 G535PPO</t>
  </si>
  <si>
    <t>0007 S531PPO</t>
  </si>
  <si>
    <t>0016 DILHM40</t>
  </si>
  <si>
    <t>0012 DILHR04</t>
  </si>
  <si>
    <t>0014 P503PPO</t>
  </si>
  <si>
    <t>0034 G506OPT</t>
  </si>
  <si>
    <t>0037 S531PSN</t>
  </si>
  <si>
    <t>0035 P5E1PSN</t>
  </si>
  <si>
    <t>0015 P506PSN</t>
  </si>
  <si>
    <t>0016 G533PPO</t>
  </si>
  <si>
    <t>0005 G533PPO</t>
  </si>
  <si>
    <t>0006 G532PPO</t>
  </si>
  <si>
    <t>0004 MPEQ1Z0723</t>
  </si>
  <si>
    <t>0005 MPEQ1Z0724</t>
  </si>
  <si>
    <t>0003 MPEQ1Z0720</t>
  </si>
  <si>
    <t>0001 P503PPO</t>
  </si>
  <si>
    <t>0002 P5E1PPO</t>
  </si>
  <si>
    <t>0001 DILLR07</t>
  </si>
  <si>
    <t>0003 G531PPO</t>
  </si>
  <si>
    <t>0008 DILHR02</t>
  </si>
  <si>
    <t>0006 G533PPO</t>
  </si>
  <si>
    <t>0007 G532PPO</t>
  </si>
  <si>
    <t>0001 G532PPO</t>
  </si>
  <si>
    <t>0004 G508OPT</t>
  </si>
  <si>
    <t>0002 G5K1OPT</t>
  </si>
  <si>
    <t>0002 BAEP 10 100 80 0</t>
  </si>
  <si>
    <t>0006 QDH20 MET ST</t>
  </si>
  <si>
    <t>0009 MIBCO2000</t>
  </si>
  <si>
    <t>0008 EMBEDDED</t>
  </si>
  <si>
    <t>0001 PPO 2</t>
  </si>
  <si>
    <t>0009 S532BCE</t>
  </si>
  <si>
    <t>0004 S506OPT</t>
  </si>
  <si>
    <t>0013 G532PSN</t>
  </si>
  <si>
    <t>0015 S531PSN</t>
  </si>
  <si>
    <t>0014 S530PSN</t>
  </si>
  <si>
    <t>0012 DILHR31</t>
  </si>
  <si>
    <t>0006 DILLR06</t>
  </si>
  <si>
    <t>0003 G531BCE</t>
  </si>
  <si>
    <t>0002 G536PPO</t>
  </si>
  <si>
    <t>0022 MIEEE3043</t>
  </si>
  <si>
    <t>0021 MIBPP2070</t>
  </si>
  <si>
    <t>0018 RPEQ1Z0720</t>
  </si>
  <si>
    <t>0020 MIEEE2041</t>
  </si>
  <si>
    <t>0013 RPP93426</t>
  </si>
  <si>
    <t>0019 RBEQ1Z0720</t>
  </si>
  <si>
    <t>0002 G533BCE</t>
  </si>
  <si>
    <t>0004 G5J2PSN</t>
  </si>
  <si>
    <t>0012 DILHR01</t>
  </si>
  <si>
    <t>0011 P503PPO</t>
  </si>
  <si>
    <t>0002 S534PPO</t>
  </si>
  <si>
    <t>0002 DILLM11</t>
  </si>
  <si>
    <t>0003 DILHR20</t>
  </si>
  <si>
    <t>0012 DILHM10</t>
  </si>
  <si>
    <t>BLUECARE DIRECT</t>
  </si>
  <si>
    <t>0016 P506BCH</t>
  </si>
  <si>
    <t>0014 S534PPO</t>
  </si>
  <si>
    <t>0005 SM GRP PLAN 500 S11</t>
  </si>
  <si>
    <t>0002 SM GRP PLAN 500 S1</t>
  </si>
  <si>
    <t>0032 P506PSN</t>
  </si>
  <si>
    <t>0035 DILHR50</t>
  </si>
  <si>
    <t>0033 G533PPO</t>
  </si>
  <si>
    <t>0034 G531PPO</t>
  </si>
  <si>
    <t>0002 S534BCE</t>
  </si>
  <si>
    <t>0006 RHHHB16C</t>
  </si>
  <si>
    <t>0104 RPP72323</t>
  </si>
  <si>
    <t>0005 RPSC3805</t>
  </si>
  <si>
    <t>0013 WXH20 MET ST</t>
  </si>
  <si>
    <t>0010 FS720 MET ST</t>
  </si>
  <si>
    <t>0001 PPO PLUS</t>
  </si>
  <si>
    <t>0012 HSA</t>
  </si>
  <si>
    <t>0005 NO OTPT RX</t>
  </si>
  <si>
    <t>0001 B535PPO</t>
  </si>
  <si>
    <t>0103 RHHHB163</t>
  </si>
  <si>
    <t>0002 BCARE FREE DHUF04</t>
  </si>
  <si>
    <t>0007 DILHM10</t>
  </si>
  <si>
    <t>0016 G5K1OPT</t>
  </si>
  <si>
    <t>0013 DILHR04</t>
  </si>
  <si>
    <t>0015 G533PPO</t>
  </si>
  <si>
    <t>0014 P5E1PPO</t>
  </si>
  <si>
    <t>0001 BLUECARE PPO 1000 25</t>
  </si>
  <si>
    <t>0003 BAEP 10 90 70 250</t>
  </si>
  <si>
    <t>0002 DENTAL</t>
  </si>
  <si>
    <t>0004 P5E1BCE</t>
  </si>
  <si>
    <t>0003 P503PPO</t>
  </si>
  <si>
    <t>0006 G532PSN</t>
  </si>
  <si>
    <t>0003 S531PSN</t>
  </si>
  <si>
    <t>0004 S532PPO</t>
  </si>
  <si>
    <t>0002 B536PPO</t>
  </si>
  <si>
    <t>0001 B5N1BCE</t>
  </si>
  <si>
    <t>0005 MIBCO2030</t>
  </si>
  <si>
    <t>0006 MICOE3053</t>
  </si>
  <si>
    <t>0003 MICOE1051</t>
  </si>
  <si>
    <t>0001 MIBCO0030</t>
  </si>
  <si>
    <t>0004 DINLM51</t>
  </si>
  <si>
    <t>0001 P5J1PSN</t>
  </si>
  <si>
    <t>0001 G5J2PSN</t>
  </si>
  <si>
    <t>0002 S532PPO</t>
  </si>
  <si>
    <t>0019 RPP82326</t>
  </si>
  <si>
    <t>0020 RHHHB106</t>
  </si>
  <si>
    <t>0003 BCARE FREE DHUF04</t>
  </si>
  <si>
    <t>0005 RPSE3A05</t>
  </si>
  <si>
    <t>0008 RPS91605</t>
  </si>
  <si>
    <t>0001 G507OPT</t>
  </si>
  <si>
    <t>0004 BCARE FREE DHUF04</t>
  </si>
  <si>
    <t>0006 RPSC1807</t>
  </si>
  <si>
    <t>0005 RPP72323</t>
  </si>
  <si>
    <t>0014 GH820 MET ST</t>
  </si>
  <si>
    <t>0016 BCO PPO</t>
  </si>
  <si>
    <t>0015 BCO HSA</t>
  </si>
  <si>
    <t>0010 HSA</t>
  </si>
  <si>
    <t>0011 PPO+</t>
  </si>
  <si>
    <t>0004 RPSC1807</t>
  </si>
  <si>
    <t>0007 S531BCE</t>
  </si>
  <si>
    <t>0011 G5J2PSN</t>
  </si>
  <si>
    <t>0008 S531PSN</t>
  </si>
  <si>
    <t>0004 S531PPO</t>
  </si>
  <si>
    <t>0005 B535PPO</t>
  </si>
  <si>
    <t>0117 RHVHV024</t>
  </si>
  <si>
    <t>0118 RPP83434</t>
  </si>
  <si>
    <t>0116 RPS93505</t>
  </si>
  <si>
    <t>0003 G533BCE</t>
  </si>
  <si>
    <t>0001 DILLR06</t>
  </si>
  <si>
    <t>0006 P5E2BCE</t>
  </si>
  <si>
    <t>0003 P506PSN</t>
  </si>
  <si>
    <t>0005 P503PPO</t>
  </si>
  <si>
    <t>0004 G532PPO</t>
  </si>
  <si>
    <t>0006 S531PPO</t>
  </si>
  <si>
    <t>0008 P506BCH</t>
  </si>
  <si>
    <t>0001 G532BCE</t>
  </si>
  <si>
    <t>0007 G530PPO</t>
  </si>
  <si>
    <t>0006 S535PPO</t>
  </si>
  <si>
    <t>0001 S531BCE</t>
  </si>
  <si>
    <t>0017 MIESE3153</t>
  </si>
  <si>
    <t>0014 MIESE1151</t>
  </si>
  <si>
    <t>0011 MIBCS2120</t>
  </si>
  <si>
    <t>0018 MICOE3053</t>
  </si>
  <si>
    <t>0016 MIBCO2050</t>
  </si>
  <si>
    <t>0010 MIBCO2040</t>
  </si>
  <si>
    <t>0015 MICOE1051</t>
  </si>
  <si>
    <t>0005 DINHR04</t>
  </si>
  <si>
    <t>0012 MIBAH2000</t>
  </si>
  <si>
    <t>0013 MIEEE2060</t>
  </si>
  <si>
    <t>0004 P503PPO</t>
  </si>
  <si>
    <t>0003 KBQ25 MET ST</t>
  </si>
  <si>
    <t>0001 PPO PLAN</t>
  </si>
  <si>
    <t>0002 HSA PLAN</t>
  </si>
  <si>
    <t>0001 MIEEE2080</t>
  </si>
  <si>
    <t>0007 G534PPO</t>
  </si>
  <si>
    <t>0004 RPP82326</t>
  </si>
  <si>
    <t>0003 RPSC1807</t>
  </si>
  <si>
    <t>0001 MIBCS2120</t>
  </si>
  <si>
    <t>0004 MIBAV2110</t>
  </si>
  <si>
    <t>0003 MIBPP2130</t>
  </si>
  <si>
    <t>0002 HLMKS2P0500MI</t>
  </si>
  <si>
    <t>0024 G532BCE</t>
  </si>
  <si>
    <t>0025 P5E1BCE</t>
  </si>
  <si>
    <t>0023 G535PPO</t>
  </si>
  <si>
    <t>0017 G533PPO</t>
  </si>
  <si>
    <t>0022 P503PPO</t>
  </si>
  <si>
    <t>0020 G537PPO</t>
  </si>
  <si>
    <t>0001 G536PPO</t>
  </si>
  <si>
    <t>0002 RPSC1807</t>
  </si>
  <si>
    <t>0006 S534PPO</t>
  </si>
  <si>
    <t>0016 G534PPO</t>
  </si>
  <si>
    <t>0001 G533BCE</t>
  </si>
  <si>
    <t>0004 MIBAH2010</t>
  </si>
  <si>
    <t>0002 MIBAH201</t>
  </si>
  <si>
    <t>0005 MIEEA2000</t>
  </si>
  <si>
    <t>0003 MIEEA200</t>
  </si>
  <si>
    <t>0004 G532PSN</t>
  </si>
  <si>
    <t>0034 G532BCE</t>
  </si>
  <si>
    <t>0033 S531BCE</t>
  </si>
  <si>
    <t>0029 P506PSN</t>
  </si>
  <si>
    <t>0035 DILLR24</t>
  </si>
  <si>
    <t>0031 G533PPO</t>
  </si>
  <si>
    <t>0030 S531PPO</t>
  </si>
  <si>
    <t>0032 G532PPO</t>
  </si>
  <si>
    <t>ABO STAFFING MIDWEST INC.</t>
  </si>
  <si>
    <t>ADESSO SOLUTIONS</t>
  </si>
  <si>
    <t>ADESSO TECHNOLOGIES</t>
  </si>
  <si>
    <t>AETNA BUILDING SOLUTIONS, INC.</t>
  </si>
  <si>
    <t>BARRY R RABOVSKY</t>
  </si>
  <si>
    <t>BC RECOVERY, LLC</t>
  </si>
  <si>
    <t>BLOOMFIELD DEVELOPMENT COMPANY LLC</t>
  </si>
  <si>
    <t>BLOOMING COLOR INC.</t>
  </si>
  <si>
    <t>BURCORP P.C.</t>
  </si>
  <si>
    <t>CFC WIREFORMS</t>
  </si>
  <si>
    <t>CHRISTINA I COLLINS</t>
  </si>
  <si>
    <t>CITY CLUB GYMNASTICS ACADEMY, LLC</t>
  </si>
  <si>
    <t>CITY OF WATERLOO</t>
  </si>
  <si>
    <t>CONSTELLATION WEALTH CAPITAL, LLC</t>
  </si>
  <si>
    <t>CSG HOSPITALITY, LLC</t>
  </si>
  <si>
    <t>CU/AMERICA FINANCIAL SERVICES</t>
  </si>
  <si>
    <t>DANDY TECHNOLOGY LLC</t>
  </si>
  <si>
    <t>DASPIN &amp; AUMENT LLP</t>
  </si>
  <si>
    <t>DISCOVERY GROUP HOLDING COMPANY, LLC</t>
  </si>
  <si>
    <t>DOMINICAN UNIVERSITY</t>
  </si>
  <si>
    <t>DONATELLO ELECTRIC, INC.</t>
  </si>
  <si>
    <t>DUPAGEBIZ NFP DBA CHOOSE DUPAGE</t>
  </si>
  <si>
    <t>THE DUTCHMAN GROUP LLC</t>
  </si>
  <si>
    <t>EDELSON, LLC.</t>
  </si>
  <si>
    <t>EVOLVE PHYSICAL THERAPY</t>
  </si>
  <si>
    <t>EXCEL RAILCAR CORPORATION</t>
  </si>
  <si>
    <t>FORTECEO SERVICES, INC.</t>
  </si>
  <si>
    <t>GNAIL ENTERPRISES</t>
  </si>
  <si>
    <t>GRASSLAND SPECIALTY BRANDS LLC</t>
  </si>
  <si>
    <t>HEGRE, MCMAHON &amp; SCHIMMEL, LLC</t>
  </si>
  <si>
    <t>HITCHCOCK / TYLKA INC</t>
  </si>
  <si>
    <t>HOEY &amp; FARINA PC</t>
  </si>
  <si>
    <t>HOUSING AUTHORITY FOR LASALLE COUNTY</t>
  </si>
  <si>
    <t>HOUSING AUTHORITY OF HENRY COUNTY</t>
  </si>
  <si>
    <t>HYDZIK-SCHADE ASSOCIATES, LTD</t>
  </si>
  <si>
    <t>ILLINOIS MUNICIPAL RETIREMENT FUND</t>
  </si>
  <si>
    <t>ILLINOIS RURAL WATER ASSOCIATION</t>
  </si>
  <si>
    <t>INTERFACTS INCORPORATED</t>
  </si>
  <si>
    <t>INTERNATIONAL ASSN OF LIGHTING DESIGNERS</t>
  </si>
  <si>
    <t>INTERNATIONAL CARWASH ASSOCIATION, INC.</t>
  </si>
  <si>
    <t>KEMENY OVERSEAS PRODUCTS CORP.</t>
  </si>
  <si>
    <t>KNIGHT HAWK COAL, LLC</t>
  </si>
  <si>
    <t>KUPIEC &amp; MARTIN, LLC</t>
  </si>
  <si>
    <t>LED PHANTOM DISTRIBUTION INC</t>
  </si>
  <si>
    <t>LIBRARY FURNITURE INTERNATIONAL INC</t>
  </si>
  <si>
    <t>LIZARD INVESTORS LLC</t>
  </si>
  <si>
    <t>LND HOLDINGS, INC.</t>
  </si>
  <si>
    <t>LYMAN &amp; NIELSEN, LLC</t>
  </si>
  <si>
    <t>MAI CHI CORP.</t>
  </si>
  <si>
    <t>MCLACHLAN, RISSMAN &amp; DOLL</t>
  </si>
  <si>
    <t>MCMAHON FOOD CORPORATION</t>
  </si>
  <si>
    <t>MEGEL &amp; O'CONNELL ENTERPRISES L</t>
  </si>
  <si>
    <t>METRO FEDERAL CREDIT UNION</t>
  </si>
  <si>
    <t>METROPOLITAN FAMILY SERVICES</t>
  </si>
  <si>
    <t>THE MILLER FIRM P.C.</t>
  </si>
  <si>
    <t>MINI MOTT CO</t>
  </si>
  <si>
    <t>MINUTEMAN PRESS</t>
  </si>
  <si>
    <t>MONTICELLO APARTMENTS</t>
  </si>
  <si>
    <t>NATIONAL TERMINALS CORPORATION</t>
  </si>
  <si>
    <t>NEW CITY CHURCH MINISTRIES</t>
  </si>
  <si>
    <t>NORTH EAST MULTI REGIONAL TRAINING</t>
  </si>
  <si>
    <t>NORTH PARK PUBLIC WATER</t>
  </si>
  <si>
    <t>OLDE TOWNE FLOOR COVERING</t>
  </si>
  <si>
    <t>PRESENTATION STUDIOS INTERNATIONAL LLC</t>
  </si>
  <si>
    <t>PROTECH VENTURES LLC</t>
  </si>
  <si>
    <t>PSYCHIATRIC ASSOCIATES, SC</t>
  </si>
  <si>
    <t>PUTNAM TRUCKING OPERATIONS COMPANY, INC.</t>
  </si>
  <si>
    <t>ROEVOLUTION 226, LLC</t>
  </si>
  <si>
    <t>ROI CONSULTING, INC.</t>
  </si>
  <si>
    <t>SAINT ANTHONY HOSPITAL</t>
  </si>
  <si>
    <t>SCHWEGEL PHYSICAL THERAPY, PC DBA ALTON PHYSI</t>
  </si>
  <si>
    <t>SHAWN M. DAVIES SC</t>
  </si>
  <si>
    <t>SIEGEL &amp; MOSES</t>
  </si>
  <si>
    <t>SJH DERMATOLOGY</t>
  </si>
  <si>
    <t>SOUND DESIGN, INC</t>
  </si>
  <si>
    <t>STARSHAK WINZENBURG &amp; CO.</t>
  </si>
  <si>
    <t>SWISS FINANCIAL SERVICES</t>
  </si>
  <si>
    <t>TANGENT SYSTEMS, INC.</t>
  </si>
  <si>
    <t>TELEGARTNER INC.</t>
  </si>
  <si>
    <t>TRIDENT INDUSTRIES LLC</t>
  </si>
  <si>
    <t>TURNER MEDICAL</t>
  </si>
  <si>
    <t>TURNKEY DOT LLC</t>
  </si>
  <si>
    <t>USE CREDIT UNION</t>
  </si>
  <si>
    <t>UTECH GLOBAL LLC</t>
  </si>
  <si>
    <t>VILLAGE OF EAST HAZEL CREST</t>
  </si>
  <si>
    <t>WIELGUS PRODUCT MODELS</t>
  </si>
  <si>
    <t>WOODRUFF JOHNSON &amp; PALERMO LAW OFFICES LTD</t>
  </si>
  <si>
    <t>Group Name &amp; Product Type</t>
  </si>
  <si>
    <t>Dental Product Type in BCBS</t>
  </si>
  <si>
    <t>*Product Type: (Dental Benefit section)</t>
  </si>
  <si>
    <t>*Product Type: (Health Benefit section)</t>
  </si>
  <si>
    <t>*Product: (Health Benefit section)</t>
  </si>
  <si>
    <t>*Will this employee be covering their spouse and/or dependents? (Health Benefit section)</t>
  </si>
  <si>
    <t>*Product: (Dental Benefit section)</t>
  </si>
  <si>
    <t>*Will this employee be covering their spouse and/or dependents? (Dental Benefit section)</t>
  </si>
  <si>
    <t>Employee + Domestic Partner</t>
  </si>
  <si>
    <t>Input - Relation (EN + Email Request, Not Including Child)</t>
  </si>
  <si>
    <t>Relation: (Email Request, BCBS IL)</t>
  </si>
  <si>
    <t>Coverage Level for Child</t>
  </si>
  <si>
    <t>Coverage Level for Domestic Partner</t>
  </si>
  <si>
    <t>Coverage Level for Spouse</t>
  </si>
  <si>
    <t>Relationship Team Never Meet (EN)</t>
  </si>
  <si>
    <t>Relation (EN): Team Meet</t>
  </si>
  <si>
    <t>Medical Coverage Level (EN)</t>
  </si>
  <si>
    <t>Backfill worklog note (Number of child in dependent summary =1)</t>
  </si>
  <si>
    <t>Backfill worklog not (Number of child in dependent summary &gt;1)</t>
  </si>
  <si>
    <t>#N/A wording in DC (Number of child in dependent summary &gt;1)</t>
  </si>
  <si>
    <t>No need update</t>
  </si>
  <si>
    <t>Dental Coverage Level (EN)</t>
  </si>
  <si>
    <t>Please re-select dependent coverage in BCBS</t>
  </si>
  <si>
    <t>Please re-select dependent coverage in BCBS if needed</t>
  </si>
  <si>
    <t xml:space="preserve">  EE enrolled both Medical /Dentals for EN request</t>
  </si>
  <si>
    <t>Backfill worklog note</t>
  </si>
  <si>
    <t>If Dependent enroll in Medical(I69)</t>
  </si>
  <si>
    <t>If Dependent enroll in Dental(I77)</t>
  </si>
  <si>
    <t>Dependent enrollment situation for Medical and Dental for Email request</t>
  </si>
  <si>
    <t>Combined Coverage level for Medical and Dental</t>
  </si>
  <si>
    <t>#N/A Please remove ANY child from dependent input section if it's NOT covered in BCBS. If no need remove, please delete the wording from output</t>
  </si>
  <si>
    <t>Combined dependent enrollment situation for Medical and Dental</t>
  </si>
  <si>
    <t>#N/A, Please check if this dependent should be covered. If yes, please select from output dropdown list; if not, please change this cell to blank</t>
  </si>
  <si>
    <t>Save To:</t>
  </si>
  <si>
    <t>#N/A, Please select a folder from drop down</t>
  </si>
  <si>
    <t>Address 1</t>
  </si>
  <si>
    <t>Address 2</t>
  </si>
  <si>
    <t>Data from EN</t>
  </si>
  <si>
    <t>Data from Worklog/Email</t>
  </si>
  <si>
    <t>Data feed by Calculation/Bot</t>
  </si>
  <si>
    <t>Default Value/ Selection on Carrier Web</t>
  </si>
  <si>
    <t>Index for Automation Entry to BCBS</t>
  </si>
  <si>
    <t>Automation Entry to BCBS</t>
  </si>
  <si>
    <t>Folder to save DC Template</t>
  </si>
  <si>
    <t>Index for Automation Get Data from Different Data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</si>
</sst>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1"/>
      <color theme="1"/>
      <name val="Calibri"/>
      <family val="2"/>
      <scheme val="minor"/>
    </font>
    <font>
      <sz val="11"/>
      <name val="Calibri"/>
      <family val="2"/>
      <scheme val="minor"/>
    </font>
    <font>
      <b/>
      <sz val="12"/>
      <color theme="1"/>
      <name val="Calibri"/>
      <family val="2"/>
      <scheme val="minor"/>
    </font>
    <font>
      <sz val="11"/>
      <color rgb="FFFF0000"/>
      <name val="Calibri"/>
      <family val="2"/>
      <scheme val="minor"/>
    </font>
    <font>
      <b/>
      <sz val="11"/>
      <name val="Calibri"/>
      <family val="2"/>
      <scheme val="minor"/>
    </font>
    <font>
      <b/>
      <sz val="11"/>
      <color rgb="FFC00000"/>
      <name val="Calibri"/>
      <family val="2"/>
      <scheme val="minor"/>
    </font>
    <font>
      <sz val="11"/>
      <color rgb="FFC00000"/>
      <name val="Calibri"/>
      <family val="2"/>
      <scheme val="minor"/>
    </font>
    <font>
      <b/>
      <sz val="20"/>
      <color theme="1"/>
      <name val="Calibri"/>
      <family val="2"/>
      <scheme val="minor"/>
    </font>
    <font>
      <sz val="20"/>
      <color theme="1"/>
      <name val="Calibri"/>
      <family val="2"/>
      <scheme val="minor"/>
    </font>
    <font>
      <b/>
      <sz val="11"/>
      <color theme="0"/>
      <name val="Calibri"/>
      <family val="2"/>
      <scheme val="minor"/>
    </font>
    <font>
      <b/>
      <sz val="14"/>
      <name val="Calibri"/>
      <family val="2"/>
      <scheme val="minor"/>
    </font>
    <font>
      <sz val="11"/>
      <name val="Calibri"/>
      <family val="2"/>
    </font>
    <font>
      <sz val="11"/>
      <color rgb="FFC00000"/>
      <name val="Calibri"/>
      <family val="2"/>
    </font>
    <font>
      <i/>
      <sz val="11"/>
      <color theme="0" tint="-0.499984740745262"/>
      <name val="Calibri"/>
      <family val="2"/>
      <scheme val="minor"/>
    </font>
    <font>
      <sz val="18"/>
      <color theme="1"/>
      <name val="Calibri"/>
      <family val="2"/>
      <scheme val="minor"/>
    </font>
    <font>
      <b/>
      <sz val="18"/>
      <color theme="1"/>
      <name val="Calibri"/>
      <family val="2"/>
      <scheme val="minor"/>
    </font>
    <font>
      <b/>
      <sz val="18"/>
      <color theme="0"/>
      <name val="Calibri"/>
      <family val="2"/>
      <scheme val="minor"/>
    </font>
    <font>
      <sz val="18"/>
      <color theme="0"/>
      <name val="Calibri"/>
      <family val="2"/>
      <scheme val="minor"/>
    </font>
    <font>
      <i/>
      <sz val="11"/>
      <color theme="1"/>
      <name val="Calibri"/>
      <family val="2"/>
      <scheme val="minor"/>
    </font>
    <font>
      <b/>
      <sz val="12"/>
      <color rgb="FFFF0000"/>
      <name val="Calibri"/>
      <family val="2"/>
      <scheme val="minor"/>
    </font>
    <font>
      <sz val="11"/>
      <color theme="0"/>
      <name val="Calibri"/>
      <family val="2"/>
      <scheme val="minor"/>
    </font>
    <font>
      <b/>
      <sz val="14"/>
      <color theme="1"/>
      <name val="Calibri"/>
      <family val="2"/>
      <scheme val="minor"/>
    </font>
    <font>
      <b/>
      <sz val="11"/>
      <color rgb="FFFF0000"/>
      <name val="Calibri"/>
      <family val="2"/>
      <scheme val="minor"/>
    </font>
    <font>
      <sz val="12"/>
      <color theme="1"/>
      <name val="Calibri"/>
      <family val="2"/>
      <scheme val="minor"/>
    </font>
    <font>
      <b/>
      <sz val="11"/>
      <color rgb="FF00B050"/>
      <name val="Calibri"/>
      <family val="2"/>
      <scheme val="minor"/>
    </font>
    <font>
      <b/>
      <u/>
      <sz val="11"/>
      <color rgb="FF00B050"/>
      <name val="Calibri"/>
      <family val="2"/>
      <scheme val="minor"/>
    </font>
    <font>
      <sz val="11"/>
      <color rgb="FF00B050"/>
      <name val="Calibri"/>
      <family val="2"/>
      <scheme val="minor"/>
    </font>
    <font>
      <b/>
      <vertAlign val="superscript"/>
      <sz val="11"/>
      <color rgb="FF00B050"/>
      <name val="Calibri"/>
      <family val="2"/>
      <scheme val="minor"/>
    </font>
    <font>
      <sz val="11"/>
      <color rgb="FF7030A0"/>
      <name val="Calibri"/>
      <family val="2"/>
      <scheme val="minor"/>
    </font>
    <font>
      <strike/>
      <sz val="11"/>
      <color rgb="FFFF0000"/>
      <name val="Calibri"/>
      <family val="2"/>
      <scheme val="minor"/>
    </font>
    <font>
      <strike/>
      <sz val="11"/>
      <color theme="1"/>
      <name val="Calibri"/>
      <family val="2"/>
      <scheme val="minor"/>
    </font>
    <font>
      <sz val="9"/>
      <color indexed="81"/>
      <name val="Tahoma"/>
      <family val="2"/>
    </font>
    <font>
      <b/>
      <sz val="9"/>
      <color indexed="81"/>
      <name val="Tahoma"/>
      <family val="2"/>
    </font>
    <font>
      <sz val="11"/>
      <color theme="7" tint="-0.499984740745262"/>
      <name val="Calibri"/>
      <family val="2"/>
      <scheme val="minor"/>
    </font>
    <font>
      <sz val="12"/>
      <name val="Calibri"/>
      <family val="2"/>
      <scheme val="minor"/>
    </font>
    <font>
      <sz val="11"/>
      <color theme="8" tint="-0.249977111117893"/>
      <name val="Calibri"/>
      <family val="2"/>
      <scheme val="minor"/>
    </font>
    <font>
      <sz val="10"/>
      <color theme="1"/>
      <name val="Calibri"/>
      <family val="2"/>
      <scheme val="minor"/>
    </font>
    <font>
      <sz val="18"/>
      <color rgb="FF002060"/>
      <name val="Calibri"/>
      <family val="2"/>
      <scheme val="minor"/>
    </font>
    <font>
      <b/>
      <sz val="12"/>
      <color theme="0"/>
      <name val="Calibri"/>
      <family val="2"/>
      <scheme val="minor"/>
    </font>
    <font>
      <b/>
      <sz val="12"/>
      <name val="Calibri"/>
      <family val="2"/>
      <scheme val="minor"/>
    </font>
  </fonts>
  <fills count="37">
    <fill>
      <patternFill patternType="none"/>
    </fill>
    <fill>
      <patternFill patternType="gray125"/>
    </fill>
    <fill>
      <patternFill patternType="solid">
        <fgColor theme="1" tint="0.49998474074526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FF9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3" tint="0.39997558519241921"/>
        <bgColor indexed="64"/>
      </patternFill>
    </fill>
    <fill>
      <patternFill patternType="solid">
        <fgColor theme="5"/>
        <bgColor indexed="64"/>
      </patternFill>
    </fill>
    <fill>
      <patternFill patternType="solid">
        <fgColor theme="2" tint="-0.499984740745262"/>
        <bgColor indexed="64"/>
      </patternFill>
    </fill>
    <fill>
      <patternFill patternType="solid">
        <fgColor theme="7" tint="-0.49998474074526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499984740745262"/>
        <bgColor indexed="64"/>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bottom/>
      <diagonal/>
    </border>
    <border>
      <left style="thin">
        <color theme="0" tint="-0.14835047456282235"/>
      </left>
      <right style="thin">
        <color theme="0" tint="-0.14835047456282235"/>
      </right>
      <top style="thin">
        <color theme="0" tint="-0.14835047456282235"/>
      </top>
      <bottom style="thin">
        <color theme="0" tint="-0.14835047456282235"/>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96">
    <xf numFmtId="0" fontId="0" fillId="0" borderId="0" xfId="0"/>
    <xf numFmtId="0" fontId="0" fillId="0" borderId="0" xfId="0" applyAlignment="1">
      <alignment vertical="center"/>
    </xf>
    <xf numFmtId="0" fontId="0" fillId="0" borderId="0" xfId="0" applyAlignment="1">
      <alignment vertical="center" wrapText="1"/>
    </xf>
    <xf numFmtId="0" fontId="0" fillId="4" borderId="0" xfId="0" applyFill="1" applyAlignment="1">
      <alignment vertical="center"/>
    </xf>
    <xf numFmtId="0" fontId="4" fillId="0" borderId="0" xfId="0" applyFont="1" applyAlignment="1">
      <alignment vertical="center"/>
    </xf>
    <xf numFmtId="0" fontId="4" fillId="0" borderId="0" xfId="0" applyFont="1" applyFill="1" applyAlignment="1">
      <alignment vertical="center"/>
    </xf>
    <xf numFmtId="0" fontId="6" fillId="0" borderId="0" xfId="0" applyFont="1" applyFill="1" applyBorder="1" applyAlignment="1">
      <alignment horizontal="center" vertical="center"/>
    </xf>
    <xf numFmtId="0" fontId="0" fillId="0" borderId="0" xfId="0" applyFill="1" applyAlignment="1">
      <alignment vertical="center"/>
    </xf>
    <xf numFmtId="0" fontId="0" fillId="0" borderId="0" xfId="0" applyFill="1" applyAlignment="1">
      <alignment vertical="center" wrapText="1"/>
    </xf>
    <xf numFmtId="0" fontId="0" fillId="3" borderId="1" xfId="0" applyFill="1" applyBorder="1" applyAlignment="1">
      <alignment vertical="center"/>
    </xf>
    <xf numFmtId="0" fontId="0" fillId="3" borderId="1" xfId="0" applyFill="1" applyBorder="1" applyAlignment="1">
      <alignment vertical="center" wrapText="1"/>
    </xf>
    <xf numFmtId="0" fontId="0" fillId="6" borderId="0" xfId="0" applyFill="1" applyAlignment="1">
      <alignment vertical="center"/>
    </xf>
    <xf numFmtId="0" fontId="0" fillId="5" borderId="1" xfId="0" applyFill="1" applyBorder="1" applyAlignment="1">
      <alignment vertical="center"/>
    </xf>
    <xf numFmtId="0" fontId="0" fillId="5" borderId="1" xfId="0" applyFill="1" applyBorder="1" applyAlignment="1">
      <alignment vertical="center" wrapText="1"/>
    </xf>
    <xf numFmtId="0" fontId="0" fillId="0" borderId="1" xfId="0" applyFill="1" applyBorder="1" applyAlignment="1">
      <alignment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wrapText="1"/>
    </xf>
    <xf numFmtId="0" fontId="0" fillId="0" borderId="0" xfId="0" applyFill="1" applyBorder="1" applyAlignment="1">
      <alignmen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0" fillId="7" borderId="1" xfId="0" applyFill="1" applyBorder="1" applyAlignment="1">
      <alignment vertical="center"/>
    </xf>
    <xf numFmtId="0" fontId="0" fillId="8" borderId="1" xfId="0" applyFill="1" applyBorder="1" applyAlignment="1">
      <alignment vertical="center"/>
    </xf>
    <xf numFmtId="0" fontId="7" fillId="0" borderId="0" xfId="0" applyFont="1" applyAlignment="1">
      <alignment vertical="center"/>
    </xf>
    <xf numFmtId="0" fontId="11" fillId="6" borderId="1" xfId="0" applyFont="1" applyFill="1" applyBorder="1" applyAlignment="1">
      <alignment vertical="center"/>
    </xf>
    <xf numFmtId="0" fontId="5" fillId="9" borderId="1" xfId="0" applyFont="1" applyFill="1" applyBorder="1" applyAlignment="1">
      <alignment vertical="center"/>
    </xf>
    <xf numFmtId="0" fontId="5" fillId="10" borderId="1" xfId="0" applyFont="1" applyFill="1" applyBorder="1" applyAlignment="1">
      <alignment vertical="center"/>
    </xf>
    <xf numFmtId="0" fontId="10" fillId="2" borderId="1" xfId="0" applyFont="1" applyFill="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12" fillId="0" borderId="1" xfId="0" applyFont="1" applyBorder="1" applyAlignment="1">
      <alignment vertical="center" wrapText="1"/>
    </xf>
    <xf numFmtId="0" fontId="2" fillId="11" borderId="1" xfId="0" applyFont="1" applyFill="1" applyBorder="1" applyAlignment="1">
      <alignment horizontal="left" vertical="center" wrapText="1"/>
    </xf>
    <xf numFmtId="0" fontId="2" fillId="11" borderId="1" xfId="0" applyFont="1" applyFill="1" applyBorder="1" applyAlignment="1">
      <alignment vertical="center" wrapText="1"/>
    </xf>
    <xf numFmtId="0" fontId="7" fillId="11" borderId="1" xfId="0" applyFont="1" applyFill="1" applyBorder="1" applyAlignment="1">
      <alignment vertical="center" wrapText="1"/>
    </xf>
    <xf numFmtId="0" fontId="0" fillId="0" borderId="1" xfId="0" applyBorder="1" applyAlignment="1">
      <alignment vertical="center" wrapText="1"/>
    </xf>
    <xf numFmtId="0" fontId="1" fillId="5" borderId="0" xfId="0" applyFont="1" applyFill="1" applyAlignment="1">
      <alignment vertical="center"/>
    </xf>
    <xf numFmtId="0" fontId="2" fillId="5" borderId="1" xfId="0" applyFont="1" applyFill="1" applyBorder="1" applyAlignment="1">
      <alignment vertical="center" wrapText="1"/>
    </xf>
    <xf numFmtId="0" fontId="0" fillId="5" borderId="0" xfId="0" applyFill="1" applyAlignment="1">
      <alignment vertical="center"/>
    </xf>
    <xf numFmtId="0" fontId="14" fillId="10" borderId="1" xfId="0" applyFont="1" applyFill="1" applyBorder="1" applyAlignment="1">
      <alignment vertical="center" wrapText="1"/>
    </xf>
    <xf numFmtId="0" fontId="14" fillId="10" borderId="1" xfId="0" applyFont="1" applyFill="1" applyBorder="1" applyAlignment="1">
      <alignment vertical="center"/>
    </xf>
    <xf numFmtId="0" fontId="0" fillId="0" borderId="0" xfId="0" applyFill="1" applyAlignment="1">
      <alignment horizontal="left" vertical="center"/>
    </xf>
    <xf numFmtId="0" fontId="5"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12" fillId="0" borderId="1" xfId="0" applyFont="1" applyFill="1" applyBorder="1" applyAlignment="1">
      <alignment vertical="center" wrapText="1"/>
    </xf>
    <xf numFmtId="0" fontId="2" fillId="0" borderId="1" xfId="0" applyFont="1" applyFill="1" applyBorder="1" applyAlignment="1">
      <alignment vertical="center" wrapText="1"/>
    </xf>
    <xf numFmtId="0" fontId="2" fillId="0" borderId="0" xfId="0" applyFont="1" applyFill="1" applyAlignment="1">
      <alignment vertical="center"/>
    </xf>
    <xf numFmtId="0" fontId="2" fillId="12" borderId="1" xfId="0" applyFont="1" applyFill="1" applyBorder="1" applyAlignment="1">
      <alignment horizontal="left" vertical="center" wrapText="1"/>
    </xf>
    <xf numFmtId="0" fontId="2" fillId="12" borderId="1" xfId="0" applyFont="1" applyFill="1" applyBorder="1" applyAlignment="1">
      <alignment vertical="center" wrapText="1"/>
    </xf>
    <xf numFmtId="0" fontId="12" fillId="12" borderId="1" xfId="0" applyFont="1" applyFill="1" applyBorder="1" applyAlignment="1">
      <alignment vertical="center" wrapText="1"/>
    </xf>
    <xf numFmtId="0" fontId="2" fillId="12" borderId="1" xfId="0" quotePrefix="1" applyFont="1" applyFill="1" applyBorder="1" applyAlignment="1">
      <alignment vertical="center" wrapText="1"/>
    </xf>
    <xf numFmtId="0" fontId="13" fillId="12" borderId="1" xfId="0" applyFont="1" applyFill="1" applyBorder="1" applyAlignment="1">
      <alignment vertical="center" wrapText="1"/>
    </xf>
    <xf numFmtId="0" fontId="0" fillId="12" borderId="1" xfId="0" applyFill="1" applyBorder="1" applyAlignment="1">
      <alignment vertical="center" wrapText="1"/>
    </xf>
    <xf numFmtId="0" fontId="7" fillId="12" borderId="1" xfId="0" applyFont="1" applyFill="1" applyBorder="1" applyAlignment="1">
      <alignment vertical="center" wrapText="1"/>
    </xf>
    <xf numFmtId="0" fontId="3" fillId="9" borderId="0" xfId="0" applyFont="1" applyFill="1" applyAlignment="1">
      <alignment vertical="center"/>
    </xf>
    <xf numFmtId="0" fontId="1" fillId="9" borderId="0" xfId="0" applyFont="1" applyFill="1" applyAlignment="1">
      <alignment vertical="center"/>
    </xf>
    <xf numFmtId="0" fontId="0" fillId="9" borderId="0" xfId="0" applyFill="1" applyAlignment="1">
      <alignment vertical="center"/>
    </xf>
    <xf numFmtId="0" fontId="0" fillId="9" borderId="0" xfId="0" applyFill="1" applyAlignment="1">
      <alignment horizontal="center" vertical="center"/>
    </xf>
    <xf numFmtId="0" fontId="3" fillId="13" borderId="0" xfId="0" applyFont="1" applyFill="1" applyAlignment="1">
      <alignment vertical="center"/>
    </xf>
    <xf numFmtId="0" fontId="1" fillId="13" borderId="0" xfId="0" applyFont="1" applyFill="1" applyAlignment="1">
      <alignment vertical="center"/>
    </xf>
    <xf numFmtId="0" fontId="0" fillId="13" borderId="0" xfId="0" applyFill="1" applyAlignment="1">
      <alignment vertical="center"/>
    </xf>
    <xf numFmtId="0" fontId="0" fillId="13" borderId="0" xfId="0" applyFill="1" applyAlignment="1">
      <alignment horizontal="center" vertical="center"/>
    </xf>
    <xf numFmtId="0" fontId="1" fillId="0" borderId="1" xfId="0" applyFont="1" applyFill="1" applyBorder="1" applyAlignment="1">
      <alignment vertical="center" wrapText="1"/>
    </xf>
    <xf numFmtId="0" fontId="15" fillId="0" borderId="0" xfId="0" applyFont="1" applyAlignment="1">
      <alignment horizontal="left" vertical="center"/>
    </xf>
    <xf numFmtId="0" fontId="16" fillId="0" borderId="0" xfId="0" applyFont="1" applyBorder="1" applyAlignment="1">
      <alignment horizontal="left" vertical="center"/>
    </xf>
    <xf numFmtId="0" fontId="17" fillId="14" borderId="0" xfId="0" applyFont="1" applyFill="1" applyAlignment="1">
      <alignment vertical="center"/>
    </xf>
    <xf numFmtId="0" fontId="18" fillId="14" borderId="0" xfId="0" applyFont="1" applyFill="1" applyAlignment="1">
      <alignment vertical="center"/>
    </xf>
    <xf numFmtId="0" fontId="18" fillId="14" borderId="0" xfId="0" applyFont="1" applyFill="1" applyAlignment="1">
      <alignment vertical="center" wrapText="1"/>
    </xf>
    <xf numFmtId="0" fontId="18" fillId="14" borderId="0" xfId="0" applyFont="1" applyFill="1" applyAlignment="1">
      <alignment horizontal="center" vertical="center"/>
    </xf>
    <xf numFmtId="0" fontId="17" fillId="15" borderId="0" xfId="0" applyFont="1" applyFill="1" applyAlignment="1">
      <alignment vertical="center"/>
    </xf>
    <xf numFmtId="0" fontId="18" fillId="15" borderId="0" xfId="0" applyFont="1" applyFill="1" applyAlignment="1">
      <alignment vertical="center"/>
    </xf>
    <xf numFmtId="0" fontId="18" fillId="15" borderId="0" xfId="0" applyFont="1" applyFill="1" applyAlignment="1">
      <alignment vertical="center" wrapText="1"/>
    </xf>
    <xf numFmtId="0" fontId="18" fillId="15" borderId="0" xfId="0" applyFont="1" applyFill="1" applyAlignment="1">
      <alignment horizontal="center" vertical="center"/>
    </xf>
    <xf numFmtId="0" fontId="18" fillId="17" borderId="0" xfId="0" applyFont="1" applyFill="1" applyAlignment="1">
      <alignment vertical="center"/>
    </xf>
    <xf numFmtId="0" fontId="17" fillId="0" borderId="0" xfId="0" applyFont="1" applyFill="1" applyAlignment="1">
      <alignment vertical="center"/>
    </xf>
    <xf numFmtId="0" fontId="18" fillId="0" borderId="0" xfId="0" applyFont="1" applyFill="1" applyAlignment="1">
      <alignment vertical="center"/>
    </xf>
    <xf numFmtId="0" fontId="18" fillId="0" borderId="0" xfId="0" applyFont="1" applyFill="1" applyAlignment="1">
      <alignment vertical="center" wrapText="1"/>
    </xf>
    <xf numFmtId="0" fontId="18" fillId="0" borderId="0" xfId="0" applyFont="1" applyFill="1" applyAlignment="1">
      <alignment horizontal="center" vertical="center"/>
    </xf>
    <xf numFmtId="0" fontId="0" fillId="8" borderId="1" xfId="0" applyFill="1" applyBorder="1" applyAlignment="1">
      <alignment vertical="center" wrapText="1"/>
    </xf>
    <xf numFmtId="0" fontId="0" fillId="12" borderId="0" xfId="0" applyFill="1" applyAlignment="1">
      <alignment vertical="center"/>
    </xf>
    <xf numFmtId="0" fontId="2" fillId="12" borderId="0" xfId="0" applyFont="1" applyFill="1" applyAlignment="1">
      <alignment vertical="center"/>
    </xf>
    <xf numFmtId="0" fontId="0" fillId="0" borderId="0" xfId="0" applyAlignment="1">
      <alignment horizontal="left" vertical="center"/>
    </xf>
    <xf numFmtId="0" fontId="6" fillId="0" borderId="0" xfId="0" applyFont="1" applyFill="1" applyBorder="1" applyAlignment="1">
      <alignment horizontal="left" vertical="center"/>
    </xf>
    <xf numFmtId="0" fontId="0" fillId="0" borderId="1" xfId="0" applyFill="1" applyBorder="1" applyAlignment="1">
      <alignment vertical="center"/>
    </xf>
    <xf numFmtId="0" fontId="0" fillId="18" borderId="0" xfId="0" applyFill="1" applyAlignment="1">
      <alignment vertical="center"/>
    </xf>
    <xf numFmtId="0" fontId="4" fillId="18" borderId="0" xfId="0" applyFont="1" applyFill="1" applyAlignment="1">
      <alignment vertical="center"/>
    </xf>
    <xf numFmtId="0" fontId="0" fillId="19" borderId="1" xfId="0" applyFont="1" applyFill="1" applyBorder="1" applyAlignment="1">
      <alignment vertical="center"/>
    </xf>
    <xf numFmtId="0" fontId="0" fillId="19" borderId="1" xfId="0" applyFill="1" applyBorder="1" applyAlignment="1">
      <alignment vertical="center" wrapText="1"/>
    </xf>
    <xf numFmtId="0" fontId="0" fillId="9" borderId="1" xfId="0" applyFill="1" applyBorder="1" applyAlignment="1">
      <alignment vertical="center"/>
    </xf>
    <xf numFmtId="0" fontId="0" fillId="19" borderId="1" xfId="0" applyFont="1" applyFill="1" applyBorder="1" applyAlignment="1">
      <alignment vertical="center" wrapText="1"/>
    </xf>
    <xf numFmtId="0" fontId="17" fillId="20" borderId="0" xfId="0" applyFont="1" applyFill="1" applyAlignment="1">
      <alignment vertical="center"/>
    </xf>
    <xf numFmtId="0" fontId="18" fillId="20" borderId="0" xfId="0" applyFont="1" applyFill="1" applyAlignment="1">
      <alignment vertical="center"/>
    </xf>
    <xf numFmtId="0" fontId="0" fillId="19" borderId="0" xfId="0" applyFont="1" applyFill="1" applyBorder="1" applyAlignment="1">
      <alignment vertical="center"/>
    </xf>
    <xf numFmtId="0" fontId="18" fillId="20" borderId="0" xfId="0" applyFont="1" applyFill="1" applyAlignment="1">
      <alignment vertical="center" wrapText="1"/>
    </xf>
    <xf numFmtId="0" fontId="18" fillId="20" borderId="0" xfId="0" applyFont="1" applyFill="1" applyAlignment="1">
      <alignment horizontal="center" vertical="center"/>
    </xf>
    <xf numFmtId="0" fontId="17" fillId="21" borderId="0" xfId="0" applyFont="1" applyFill="1" applyAlignment="1">
      <alignment vertical="center"/>
    </xf>
    <xf numFmtId="0" fontId="18" fillId="21" borderId="0" xfId="0" applyFont="1" applyFill="1" applyAlignment="1">
      <alignment vertical="center"/>
    </xf>
    <xf numFmtId="0" fontId="18" fillId="21" borderId="0" xfId="0" applyFont="1" applyFill="1" applyAlignment="1">
      <alignment vertical="center" wrapText="1"/>
    </xf>
    <xf numFmtId="0" fontId="18" fillId="21" borderId="0" xfId="0" applyFont="1" applyFill="1" applyAlignment="1">
      <alignment horizontal="center" vertical="center"/>
    </xf>
    <xf numFmtId="0" fontId="0" fillId="22" borderId="1" xfId="0" applyFill="1" applyBorder="1" applyAlignment="1">
      <alignment vertical="center"/>
    </xf>
    <xf numFmtId="0" fontId="21" fillId="23" borderId="0" xfId="0" applyFont="1" applyFill="1" applyAlignment="1">
      <alignment vertical="center"/>
    </xf>
    <xf numFmtId="0" fontId="21" fillId="23" borderId="0" xfId="0" applyFont="1" applyFill="1" applyAlignment="1">
      <alignment horizontal="center" vertical="center"/>
    </xf>
    <xf numFmtId="0" fontId="22" fillId="0" borderId="0" xfId="0" applyFont="1" applyAlignment="1">
      <alignment vertical="center"/>
    </xf>
    <xf numFmtId="0" fontId="0" fillId="5" borderId="0" xfId="0" applyFill="1" applyBorder="1" applyAlignment="1">
      <alignment vertical="center"/>
    </xf>
    <xf numFmtId="0" fontId="8" fillId="0" borderId="0" xfId="0" applyFont="1" applyAlignment="1">
      <alignment horizontal="center" vertical="center"/>
    </xf>
    <xf numFmtId="0" fontId="0" fillId="23" borderId="0" xfId="0" applyFill="1" applyAlignment="1">
      <alignment vertical="center"/>
    </xf>
    <xf numFmtId="0" fontId="0" fillId="22" borderId="1" xfId="0" applyFill="1" applyBorder="1" applyAlignment="1">
      <alignment vertical="center" wrapText="1"/>
    </xf>
    <xf numFmtId="0" fontId="0" fillId="16" borderId="0" xfId="0" applyFill="1" applyBorder="1" applyAlignment="1">
      <alignment vertical="center" wrapText="1"/>
    </xf>
    <xf numFmtId="0" fontId="2" fillId="16" borderId="1" xfId="0" applyFont="1" applyFill="1" applyBorder="1" applyAlignment="1">
      <alignment vertical="center" wrapText="1"/>
    </xf>
    <xf numFmtId="0" fontId="17" fillId="24" borderId="0" xfId="0" applyFont="1" applyFill="1" applyAlignment="1">
      <alignment vertical="center"/>
    </xf>
    <xf numFmtId="0" fontId="18" fillId="24" borderId="0" xfId="0" applyFont="1" applyFill="1" applyAlignment="1">
      <alignment vertical="center"/>
    </xf>
    <xf numFmtId="0" fontId="18" fillId="24" borderId="0" xfId="0" applyFont="1" applyFill="1" applyAlignment="1">
      <alignment vertical="center" wrapText="1"/>
    </xf>
    <xf numFmtId="0" fontId="18" fillId="24" borderId="0" xfId="0" applyFont="1" applyFill="1" applyAlignment="1">
      <alignment horizontal="center" vertical="center"/>
    </xf>
    <xf numFmtId="0" fontId="21" fillId="20" borderId="0" xfId="0" applyFont="1" applyFill="1" applyAlignment="1">
      <alignment vertical="center" wrapText="1"/>
    </xf>
    <xf numFmtId="16" fontId="0" fillId="0" borderId="0" xfId="0" applyNumberFormat="1" applyAlignment="1">
      <alignment vertical="center"/>
    </xf>
    <xf numFmtId="0" fontId="0" fillId="16" borderId="1" xfId="0" applyFill="1" applyBorder="1" applyAlignment="1">
      <alignment vertical="center"/>
    </xf>
    <xf numFmtId="0" fontId="2" fillId="25" borderId="1" xfId="0" applyFont="1" applyFill="1" applyBorder="1" applyAlignment="1">
      <alignment vertical="center" wrapText="1"/>
    </xf>
    <xf numFmtId="0" fontId="3" fillId="26" borderId="0" xfId="0" applyFont="1" applyFill="1" applyAlignment="1">
      <alignment vertical="center"/>
    </xf>
    <xf numFmtId="0" fontId="1" fillId="26" borderId="0" xfId="0" applyFont="1" applyFill="1" applyAlignment="1">
      <alignment vertical="center"/>
    </xf>
    <xf numFmtId="0" fontId="0" fillId="26" borderId="0" xfId="0" applyFill="1" applyAlignment="1">
      <alignment vertical="center"/>
    </xf>
    <xf numFmtId="0" fontId="0" fillId="26" borderId="0" xfId="0" applyFill="1" applyAlignment="1">
      <alignment horizontal="center" vertical="center"/>
    </xf>
    <xf numFmtId="0" fontId="0" fillId="5" borderId="0" xfId="0" applyFill="1" applyBorder="1" applyAlignment="1">
      <alignment vertical="center" wrapText="1"/>
    </xf>
    <xf numFmtId="0" fontId="24" fillId="0" borderId="1" xfId="0" applyFont="1" applyFill="1" applyBorder="1" applyAlignment="1">
      <alignment vertical="center" wrapText="1"/>
    </xf>
    <xf numFmtId="0" fontId="21" fillId="24" borderId="0" xfId="0" applyFont="1" applyFill="1" applyAlignment="1">
      <alignment vertical="center" wrapText="1"/>
    </xf>
    <xf numFmtId="0" fontId="25" fillId="0" borderId="1" xfId="0" applyFont="1" applyFill="1" applyBorder="1" applyAlignment="1">
      <alignment vertical="center" wrapText="1"/>
    </xf>
    <xf numFmtId="0" fontId="0" fillId="0" borderId="0" xfId="0" applyAlignment="1">
      <alignment horizontal="left"/>
    </xf>
    <xf numFmtId="0" fontId="0" fillId="0" borderId="1" xfId="0" applyFill="1" applyBorder="1" applyAlignment="1">
      <alignment horizontal="left" vertical="center" wrapText="1"/>
    </xf>
    <xf numFmtId="0" fontId="8" fillId="0" borderId="0" xfId="0" applyFont="1" applyAlignment="1">
      <alignment horizontal="left" vertical="center"/>
    </xf>
    <xf numFmtId="0" fontId="18" fillId="17" borderId="0" xfId="0" applyFont="1" applyFill="1" applyAlignment="1">
      <alignment horizontal="left" vertical="center"/>
    </xf>
    <xf numFmtId="0" fontId="0" fillId="6" borderId="0" xfId="0" applyFill="1" applyAlignment="1">
      <alignment horizontal="left" vertical="center"/>
    </xf>
    <xf numFmtId="0" fontId="0" fillId="0" borderId="1" xfId="0" applyFill="1" applyBorder="1" applyAlignment="1">
      <alignment horizontal="left" vertical="center"/>
    </xf>
    <xf numFmtId="0" fontId="18" fillId="20" borderId="0" xfId="0" applyFont="1" applyFill="1" applyAlignment="1">
      <alignment horizontal="left" vertical="center"/>
    </xf>
    <xf numFmtId="0" fontId="21" fillId="23" borderId="0" xfId="0" applyFont="1" applyFill="1" applyAlignment="1">
      <alignment horizontal="left" vertical="center"/>
    </xf>
    <xf numFmtId="0" fontId="18" fillId="24" borderId="0" xfId="0" applyFont="1" applyFill="1" applyAlignment="1">
      <alignment horizontal="left" vertical="center"/>
    </xf>
    <xf numFmtId="0" fontId="0" fillId="9" borderId="0" xfId="0" applyFill="1" applyAlignment="1">
      <alignment horizontal="left" vertical="center"/>
    </xf>
    <xf numFmtId="0" fontId="18" fillId="15" borderId="0" xfId="0" applyFont="1" applyFill="1" applyAlignment="1">
      <alignment horizontal="left" vertical="center"/>
    </xf>
    <xf numFmtId="0" fontId="0" fillId="18" borderId="0" xfId="0" applyFill="1" applyAlignment="1">
      <alignment horizontal="left" vertical="center"/>
    </xf>
    <xf numFmtId="0" fontId="18" fillId="14" borderId="0" xfId="0" applyFont="1" applyFill="1" applyAlignment="1">
      <alignment horizontal="left" vertical="center"/>
    </xf>
    <xf numFmtId="0" fontId="18" fillId="21" borderId="0" xfId="0" applyFont="1" applyFill="1" applyAlignment="1">
      <alignment horizontal="left" vertical="center"/>
    </xf>
    <xf numFmtId="0" fontId="0" fillId="13" borderId="0" xfId="0" applyFill="1" applyAlignment="1">
      <alignment horizontal="left" vertical="center"/>
    </xf>
    <xf numFmtId="0" fontId="0" fillId="26" borderId="0" xfId="0" applyFill="1" applyAlignment="1">
      <alignment horizontal="left" vertical="center"/>
    </xf>
    <xf numFmtId="0" fontId="18" fillId="0" borderId="0" xfId="0" applyFont="1" applyFill="1" applyAlignment="1">
      <alignment horizontal="left" vertical="center"/>
    </xf>
    <xf numFmtId="0" fontId="0" fillId="19" borderId="1" xfId="0" applyFont="1" applyFill="1" applyBorder="1" applyAlignment="1">
      <alignment horizontal="left" vertical="center"/>
    </xf>
    <xf numFmtId="0" fontId="0" fillId="0" borderId="1" xfId="0" applyFont="1" applyFill="1" applyBorder="1" applyAlignment="1">
      <alignment horizontal="left" vertical="center" wrapText="1"/>
    </xf>
    <xf numFmtId="0" fontId="0" fillId="19" borderId="1" xfId="0" applyFont="1" applyFill="1" applyBorder="1" applyAlignment="1">
      <alignment horizontal="left" vertical="center" wrapText="1"/>
    </xf>
    <xf numFmtId="0" fontId="19" fillId="19" borderId="1" xfId="0" applyFont="1" applyFill="1" applyBorder="1" applyAlignment="1">
      <alignment horizontal="left" vertical="center"/>
    </xf>
    <xf numFmtId="0" fontId="0" fillId="0" borderId="0" xfId="0" applyFill="1" applyBorder="1" applyAlignment="1">
      <alignment horizontal="left" vertical="center" wrapText="1"/>
    </xf>
    <xf numFmtId="0" fontId="3" fillId="9" borderId="0" xfId="0" applyFont="1" applyFill="1" applyAlignment="1">
      <alignment horizontal="left" vertical="center"/>
    </xf>
    <xf numFmtId="0" fontId="0" fillId="19" borderId="0" xfId="0" applyFont="1" applyFill="1" applyBorder="1" applyAlignment="1">
      <alignment horizontal="left" vertical="center"/>
    </xf>
    <xf numFmtId="0" fontId="0" fillId="9" borderId="1" xfId="0" applyFill="1" applyBorder="1" applyAlignment="1">
      <alignment horizontal="left" vertical="center"/>
    </xf>
    <xf numFmtId="0" fontId="0" fillId="23" borderId="0" xfId="0" applyFill="1" applyAlignment="1">
      <alignment horizontal="left" vertical="center"/>
    </xf>
    <xf numFmtId="0" fontId="0" fillId="0" borderId="1" xfId="0" applyFont="1" applyFill="1" applyBorder="1" applyAlignment="1">
      <alignment horizontal="left" vertical="center"/>
    </xf>
    <xf numFmtId="0" fontId="0" fillId="0" borderId="0" xfId="0" applyFill="1" applyAlignment="1">
      <alignment horizontal="left" vertical="center" wrapText="1"/>
    </xf>
    <xf numFmtId="0" fontId="1" fillId="0" borderId="0" xfId="0" applyFont="1" applyAlignment="1">
      <alignment horizontal="left" vertical="center" wrapText="1"/>
    </xf>
    <xf numFmtId="0" fontId="0" fillId="12" borderId="1" xfId="0" applyFill="1" applyBorder="1" applyAlignment="1">
      <alignment horizontal="left" vertical="center" wrapText="1"/>
    </xf>
    <xf numFmtId="0" fontId="0" fillId="27" borderId="0" xfId="0" applyFill="1" applyAlignment="1">
      <alignment horizontal="left" vertical="center"/>
    </xf>
    <xf numFmtId="0" fontId="0" fillId="27" borderId="0" xfId="0" applyFill="1" applyAlignment="1">
      <alignment vertical="center"/>
    </xf>
    <xf numFmtId="0" fontId="10" fillId="28" borderId="0" xfId="0" applyFont="1" applyFill="1" applyAlignment="1">
      <alignment horizontal="center" vertical="center"/>
    </xf>
    <xf numFmtId="0" fontId="10" fillId="29" borderId="0" xfId="0" applyFont="1" applyFill="1" applyAlignment="1">
      <alignment horizontal="center" vertical="center"/>
    </xf>
    <xf numFmtId="0" fontId="10" fillId="29" borderId="2" xfId="0" applyFont="1" applyFill="1" applyBorder="1" applyAlignment="1">
      <alignment horizontal="center" vertical="center"/>
    </xf>
    <xf numFmtId="0" fontId="10" fillId="24" borderId="2" xfId="0" applyFont="1" applyFill="1" applyBorder="1" applyAlignment="1">
      <alignment horizontal="center" vertical="center" wrapText="1"/>
    </xf>
    <xf numFmtId="0" fontId="10" fillId="28" borderId="0" xfId="0" applyFont="1" applyFill="1" applyAlignment="1">
      <alignment horizontal="center" vertical="center" wrapText="1"/>
    </xf>
    <xf numFmtId="0" fontId="10" fillId="29" borderId="0" xfId="0" applyFont="1" applyFill="1" applyAlignment="1">
      <alignment horizontal="center" vertical="center" wrapText="1"/>
    </xf>
    <xf numFmtId="0" fontId="21" fillId="17" borderId="0" xfId="0" applyFont="1" applyFill="1" applyAlignment="1">
      <alignment vertical="center"/>
    </xf>
    <xf numFmtId="0" fontId="10" fillId="17" borderId="0" xfId="0" applyFont="1" applyFill="1" applyAlignment="1">
      <alignment vertical="center"/>
    </xf>
    <xf numFmtId="0" fontId="0" fillId="0" borderId="1" xfId="0" applyBorder="1" applyAlignment="1">
      <alignment vertical="center"/>
    </xf>
    <xf numFmtId="0" fontId="4" fillId="0" borderId="1" xfId="0" applyFont="1" applyFill="1" applyBorder="1" applyAlignment="1">
      <alignment vertical="center"/>
    </xf>
    <xf numFmtId="0" fontId="0" fillId="0" borderId="0" xfId="0" applyFill="1"/>
    <xf numFmtId="0" fontId="0" fillId="0" borderId="0" xfId="0" applyFill="1" applyAlignment="1">
      <alignment horizontal="left"/>
    </xf>
    <xf numFmtId="0" fontId="0" fillId="0" borderId="1" xfId="0" quotePrefix="1" applyBorder="1" applyAlignment="1">
      <alignment vertical="center"/>
    </xf>
    <xf numFmtId="0" fontId="1" fillId="6" borderId="3" xfId="0" applyFont="1" applyFill="1" applyBorder="1" applyAlignment="1">
      <alignment horizontal="left" vertical="center" wrapText="1"/>
    </xf>
    <xf numFmtId="0" fontId="1" fillId="30" borderId="3" xfId="0" applyFont="1" applyFill="1" applyBorder="1" applyAlignment="1">
      <alignment horizontal="center" vertical="center" wrapText="1"/>
    </xf>
    <xf numFmtId="0" fontId="0" fillId="30" borderId="3" xfId="0" applyFont="1" applyFill="1" applyBorder="1" applyAlignment="1">
      <alignment horizontal="left" vertical="center" wrapText="1"/>
    </xf>
    <xf numFmtId="0" fontId="0" fillId="6" borderId="3" xfId="0" applyFont="1" applyFill="1" applyBorder="1" applyAlignment="1">
      <alignment horizontal="left" vertical="center" wrapText="1"/>
    </xf>
    <xf numFmtId="0" fontId="0" fillId="0" borderId="0" xfId="0" applyFont="1" applyAlignment="1">
      <alignment horizontal="left"/>
    </xf>
    <xf numFmtId="0" fontId="0" fillId="0" borderId="0" xfId="0" applyFont="1" applyFill="1" applyBorder="1" applyAlignment="1">
      <alignment horizontal="left" vertical="center"/>
    </xf>
    <xf numFmtId="0" fontId="0" fillId="12" borderId="0" xfId="0" applyFill="1" applyBorder="1" applyAlignment="1">
      <alignment horizontal="left" vertical="center" wrapText="1"/>
    </xf>
    <xf numFmtId="0" fontId="0" fillId="19"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9" fillId="19" borderId="0" xfId="0" applyFont="1" applyFill="1" applyBorder="1" applyAlignment="1">
      <alignment horizontal="left" vertical="center"/>
    </xf>
    <xf numFmtId="0" fontId="0" fillId="9" borderId="0" xfId="0" applyFill="1" applyBorder="1" applyAlignment="1">
      <alignment horizontal="left" vertical="center"/>
    </xf>
    <xf numFmtId="0" fontId="0" fillId="0" borderId="0" xfId="0" applyFill="1" applyBorder="1" applyAlignment="1">
      <alignment horizontal="left" vertical="center"/>
    </xf>
    <xf numFmtId="0" fontId="0" fillId="12" borderId="0" xfId="0" applyFill="1" applyAlignment="1">
      <alignment vertical="center" wrapText="1"/>
    </xf>
    <xf numFmtId="0" fontId="29" fillId="0" borderId="1" xfId="0" applyFont="1" applyFill="1" applyBorder="1" applyAlignment="1">
      <alignment vertical="center" wrapText="1"/>
    </xf>
    <xf numFmtId="0" fontId="23" fillId="0" borderId="0" xfId="0" applyFont="1" applyAlignment="1">
      <alignment wrapText="1"/>
    </xf>
    <xf numFmtId="0" fontId="0" fillId="31" borderId="1" xfId="0" applyFill="1" applyBorder="1" applyAlignment="1">
      <alignment vertical="center"/>
    </xf>
    <xf numFmtId="0" fontId="0" fillId="31" borderId="0" xfId="0" applyFill="1" applyAlignment="1">
      <alignment vertical="center"/>
    </xf>
    <xf numFmtId="0" fontId="0" fillId="0" borderId="1" xfId="0" quotePrefix="1" applyBorder="1" applyAlignment="1">
      <alignment vertical="center" wrapText="1"/>
    </xf>
    <xf numFmtId="0" fontId="0" fillId="24" borderId="0" xfId="0" applyFill="1" applyAlignment="1">
      <alignment vertical="center"/>
    </xf>
    <xf numFmtId="0" fontId="1" fillId="0" borderId="0" xfId="0" applyFont="1" applyAlignment="1">
      <alignment vertical="center"/>
    </xf>
    <xf numFmtId="0" fontId="0" fillId="32" borderId="0" xfId="0" applyFill="1" applyAlignment="1">
      <alignment vertical="center"/>
    </xf>
    <xf numFmtId="0" fontId="19" fillId="0" borderId="0" xfId="0" applyFont="1" applyAlignment="1">
      <alignment wrapText="1"/>
    </xf>
    <xf numFmtId="0" fontId="21" fillId="20" borderId="0" xfId="0" applyFont="1" applyFill="1" applyAlignment="1">
      <alignment vertical="center"/>
    </xf>
    <xf numFmtId="0" fontId="21" fillId="0" borderId="0" xfId="0" applyFont="1" applyFill="1" applyBorder="1" applyAlignment="1">
      <alignment horizontal="left" vertical="center" wrapText="1"/>
    </xf>
    <xf numFmtId="0" fontId="0" fillId="8" borderId="0" xfId="0" applyFill="1" applyAlignment="1">
      <alignment horizontal="left" vertical="center"/>
    </xf>
    <xf numFmtId="0" fontId="0" fillId="8" borderId="0" xfId="0" applyFill="1" applyAlignment="1">
      <alignment vertical="center"/>
    </xf>
    <xf numFmtId="0" fontId="1" fillId="30" borderId="3" xfId="0" applyFont="1" applyFill="1" applyBorder="1" applyAlignment="1">
      <alignment horizontal="left" vertical="center" wrapText="1"/>
    </xf>
    <xf numFmtId="0" fontId="1" fillId="0" borderId="3" xfId="0" applyFont="1" applyFill="1" applyBorder="1" applyAlignment="1">
      <alignment horizontal="left" vertical="center" wrapText="1"/>
    </xf>
    <xf numFmtId="49" fontId="0" fillId="0" borderId="1" xfId="0" applyNumberFormat="1" applyFill="1" applyBorder="1" applyAlignment="1">
      <alignment horizontal="left" vertical="center" wrapText="1"/>
    </xf>
    <xf numFmtId="49" fontId="0" fillId="0" borderId="0" xfId="0" applyNumberFormat="1" applyAlignment="1">
      <alignment horizontal="left" vertical="center"/>
    </xf>
    <xf numFmtId="49" fontId="0" fillId="0" borderId="1" xfId="0" applyNumberFormat="1" applyFill="1" applyBorder="1" applyAlignment="1">
      <alignment horizontal="left" vertical="center"/>
    </xf>
    <xf numFmtId="49" fontId="2" fillId="0" borderId="1" xfId="0" applyNumberFormat="1" applyFont="1" applyFill="1" applyBorder="1" applyAlignment="1">
      <alignment horizontal="left" vertical="center" wrapText="1"/>
    </xf>
    <xf numFmtId="49" fontId="21" fillId="0" borderId="0" xfId="0" applyNumberFormat="1" applyFont="1" applyFill="1" applyBorder="1" applyAlignment="1">
      <alignment horizontal="left" vertical="center" wrapText="1"/>
    </xf>
    <xf numFmtId="49" fontId="0" fillId="7" borderId="1" xfId="0" applyNumberFormat="1" applyFill="1" applyBorder="1" applyAlignment="1">
      <alignment horizontal="left" vertical="center"/>
    </xf>
    <xf numFmtId="49" fontId="18" fillId="20" borderId="0" xfId="0" applyNumberFormat="1" applyFont="1" applyFill="1" applyAlignment="1">
      <alignment horizontal="left" vertical="center"/>
    </xf>
    <xf numFmtId="49" fontId="21" fillId="23" borderId="0" xfId="0" applyNumberFormat="1" applyFont="1" applyFill="1" applyAlignment="1">
      <alignment horizontal="left" vertical="center"/>
    </xf>
    <xf numFmtId="49" fontId="18" fillId="24" borderId="0" xfId="0" applyNumberFormat="1" applyFont="1" applyFill="1" applyAlignment="1">
      <alignment horizontal="left" vertical="center"/>
    </xf>
    <xf numFmtId="49" fontId="0" fillId="9" borderId="0" xfId="0" applyNumberFormat="1" applyFill="1" applyAlignment="1">
      <alignment horizontal="left" vertical="center"/>
    </xf>
    <xf numFmtId="49" fontId="6" fillId="0" borderId="0" xfId="0" applyNumberFormat="1" applyFont="1" applyFill="1" applyBorder="1" applyAlignment="1">
      <alignment horizontal="left" vertical="center" wrapText="1"/>
    </xf>
    <xf numFmtId="49" fontId="18" fillId="15" borderId="0" xfId="0" applyNumberFormat="1" applyFont="1" applyFill="1" applyAlignment="1">
      <alignment horizontal="left" vertical="center"/>
    </xf>
    <xf numFmtId="49" fontId="0" fillId="18" borderId="0" xfId="0" applyNumberFormat="1" applyFill="1" applyAlignment="1">
      <alignment horizontal="left" vertical="center"/>
    </xf>
    <xf numFmtId="49" fontId="18" fillId="14" borderId="0" xfId="0" applyNumberFormat="1" applyFont="1" applyFill="1" applyAlignment="1">
      <alignment horizontal="left" vertical="center"/>
    </xf>
    <xf numFmtId="49" fontId="6" fillId="0" borderId="0" xfId="0" applyNumberFormat="1" applyFont="1" applyFill="1" applyBorder="1" applyAlignment="1">
      <alignment horizontal="left" vertical="center"/>
    </xf>
    <xf numFmtId="49" fontId="18" fillId="21" borderId="0" xfId="0" applyNumberFormat="1" applyFont="1" applyFill="1" applyAlignment="1">
      <alignment horizontal="left" vertical="center"/>
    </xf>
    <xf numFmtId="49" fontId="0" fillId="13" borderId="0" xfId="0" applyNumberFormat="1" applyFill="1" applyAlignment="1">
      <alignment horizontal="left" vertical="center"/>
    </xf>
    <xf numFmtId="49" fontId="0" fillId="26" borderId="0" xfId="0" applyNumberFormat="1" applyFill="1" applyAlignment="1">
      <alignment horizontal="left" vertical="center"/>
    </xf>
    <xf numFmtId="49" fontId="18" fillId="0" borderId="0" xfId="0" applyNumberFormat="1" applyFont="1" applyFill="1" applyAlignment="1">
      <alignment horizontal="left" vertical="center"/>
    </xf>
    <xf numFmtId="0" fontId="9" fillId="0" borderId="0" xfId="0" applyFont="1" applyFill="1" applyAlignment="1">
      <alignment vertical="center"/>
    </xf>
    <xf numFmtId="0" fontId="15" fillId="0" borderId="0" xfId="0" applyFont="1" applyFill="1" applyBorder="1" applyAlignment="1">
      <alignment horizontal="left" vertical="center"/>
    </xf>
    <xf numFmtId="0" fontId="21" fillId="0" borderId="0" xfId="0" applyFont="1" applyFill="1" applyAlignment="1">
      <alignment vertical="center"/>
    </xf>
    <xf numFmtId="49" fontId="0" fillId="0" borderId="0" xfId="0" applyNumberFormat="1" applyFill="1" applyBorder="1" applyAlignment="1">
      <alignment horizontal="left" vertical="center"/>
    </xf>
    <xf numFmtId="0" fontId="0" fillId="30" borderId="1" xfId="0" applyFill="1" applyBorder="1" applyAlignment="1">
      <alignment vertical="center"/>
    </xf>
    <xf numFmtId="0" fontId="34" fillId="0" borderId="0" xfId="0" applyFont="1" applyFill="1" applyAlignment="1">
      <alignment horizontal="left" vertical="center"/>
    </xf>
    <xf numFmtId="0" fontId="16" fillId="0" borderId="0" xfId="0" applyFont="1" applyFill="1" applyBorder="1" applyAlignment="1">
      <alignment horizontal="left" vertical="center"/>
    </xf>
    <xf numFmtId="0" fontId="21" fillId="0" borderId="0" xfId="0" applyFont="1" applyFill="1" applyAlignment="1">
      <alignment horizontal="left" vertical="center"/>
    </xf>
    <xf numFmtId="0" fontId="3" fillId="0" borderId="0" xfId="0" applyFont="1" applyFill="1" applyAlignment="1">
      <alignment horizontal="left" vertical="center"/>
    </xf>
    <xf numFmtId="0" fontId="19" fillId="0" borderId="0" xfId="0" applyFont="1" applyFill="1" applyBorder="1" applyAlignment="1">
      <alignment horizontal="left" vertical="center"/>
    </xf>
    <xf numFmtId="0" fontId="1" fillId="0" borderId="0" xfId="0" applyFont="1" applyFill="1" applyAlignment="1">
      <alignment horizontal="left" vertical="center" wrapText="1"/>
    </xf>
    <xf numFmtId="0" fontId="15" fillId="0" borderId="0" xfId="0" applyFont="1" applyFill="1" applyAlignment="1">
      <alignment horizontal="left" vertical="center"/>
    </xf>
    <xf numFmtId="0" fontId="0" fillId="0" borderId="5" xfId="0" applyFill="1" applyBorder="1" applyAlignment="1">
      <alignment vertical="center"/>
    </xf>
    <xf numFmtId="0" fontId="16" fillId="0" borderId="4"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 fillId="0" borderId="4" xfId="0" applyFont="1" applyFill="1" applyBorder="1" applyAlignment="1">
      <alignment horizontal="left" vertical="center"/>
    </xf>
    <xf numFmtId="0" fontId="36" fillId="3" borderId="1" xfId="0" applyFont="1" applyFill="1" applyBorder="1" applyAlignment="1">
      <alignment vertical="center"/>
    </xf>
    <xf numFmtId="49" fontId="0" fillId="0" borderId="1" xfId="0"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37" fillId="0" borderId="1" xfId="0" applyFont="1" applyFill="1" applyBorder="1" applyAlignment="1">
      <alignment vertical="center" wrapText="1"/>
    </xf>
    <xf numFmtId="0" fontId="0" fillId="32" borderId="0" xfId="0" applyFill="1" applyAlignment="1">
      <alignment vertical="center" wrapText="1"/>
    </xf>
    <xf numFmtId="0" fontId="0" fillId="32" borderId="1" xfId="0" applyFont="1" applyFill="1" applyBorder="1" applyAlignment="1">
      <alignment horizontal="left" vertical="center"/>
    </xf>
    <xf numFmtId="0" fontId="0" fillId="32" borderId="1" xfId="0" applyFont="1" applyFill="1" applyBorder="1" applyAlignment="1">
      <alignment horizontal="left" vertical="center" wrapText="1"/>
    </xf>
    <xf numFmtId="0" fontId="0" fillId="30" borderId="1" xfId="0" applyFill="1" applyBorder="1" applyAlignment="1">
      <alignment vertical="center" wrapText="1"/>
    </xf>
    <xf numFmtId="0" fontId="0" fillId="33" borderId="0" xfId="0" applyFill="1" applyAlignment="1">
      <alignment vertical="center"/>
    </xf>
    <xf numFmtId="0" fontId="17" fillId="29" borderId="0" xfId="0" applyFont="1" applyFill="1" applyAlignment="1">
      <alignment vertical="center"/>
    </xf>
    <xf numFmtId="49" fontId="18" fillId="29" borderId="0" xfId="0" applyNumberFormat="1" applyFont="1" applyFill="1" applyAlignment="1">
      <alignment horizontal="left" vertical="center"/>
    </xf>
    <xf numFmtId="0" fontId="18" fillId="29" borderId="0" xfId="0" applyFont="1" applyFill="1" applyAlignment="1">
      <alignment vertical="center"/>
    </xf>
    <xf numFmtId="0" fontId="0" fillId="29" borderId="0" xfId="0" applyFill="1" applyAlignment="1">
      <alignment vertical="center"/>
    </xf>
    <xf numFmtId="0" fontId="18" fillId="29" borderId="0" xfId="0" applyFont="1" applyFill="1" applyAlignment="1">
      <alignment horizontal="center" vertical="center"/>
    </xf>
    <xf numFmtId="0" fontId="38" fillId="29" borderId="0" xfId="0" applyFont="1" applyFill="1" applyAlignment="1">
      <alignment horizontal="left" vertical="center"/>
    </xf>
    <xf numFmtId="0" fontId="18" fillId="29" borderId="0" xfId="0" applyFont="1" applyFill="1" applyAlignment="1">
      <alignment vertical="center" wrapText="1"/>
    </xf>
    <xf numFmtId="0" fontId="18" fillId="29" borderId="0" xfId="0" applyFont="1" applyFill="1" applyAlignment="1">
      <alignment horizontal="left" vertical="center"/>
    </xf>
    <xf numFmtId="0" fontId="0" fillId="33" borderId="0" xfId="0" applyFill="1" applyAlignment="1">
      <alignment horizontal="center" vertical="center"/>
    </xf>
    <xf numFmtId="0" fontId="0" fillId="33" borderId="0" xfId="0" applyFill="1" applyAlignment="1">
      <alignment horizontal="left" vertical="center"/>
    </xf>
    <xf numFmtId="0" fontId="3" fillId="34" borderId="0" xfId="0" applyFont="1" applyFill="1" applyAlignment="1">
      <alignment vertical="center"/>
    </xf>
    <xf numFmtId="49" fontId="0" fillId="34" borderId="0" xfId="0" applyNumberFormat="1" applyFill="1" applyAlignment="1">
      <alignment horizontal="left" vertical="center"/>
    </xf>
    <xf numFmtId="0" fontId="0" fillId="34" borderId="0" xfId="0" applyFill="1" applyAlignment="1">
      <alignment vertical="center"/>
    </xf>
    <xf numFmtId="0" fontId="0" fillId="34" borderId="0" xfId="0" applyFill="1" applyAlignment="1">
      <alignment horizontal="center" vertical="center"/>
    </xf>
    <xf numFmtId="0" fontId="0" fillId="34" borderId="0" xfId="0" applyFill="1" applyAlignment="1">
      <alignment horizontal="left" vertical="center"/>
    </xf>
    <xf numFmtId="0" fontId="39" fillId="33" borderId="0" xfId="0" applyFont="1" applyFill="1" applyAlignment="1">
      <alignment vertical="center"/>
    </xf>
    <xf numFmtId="0" fontId="10" fillId="33" borderId="0" xfId="0" applyFont="1" applyFill="1" applyAlignment="1">
      <alignment vertical="center"/>
    </xf>
    <xf numFmtId="49" fontId="21" fillId="33" borderId="0" xfId="0" applyNumberFormat="1" applyFont="1" applyFill="1" applyAlignment="1">
      <alignment horizontal="left" vertical="center"/>
    </xf>
    <xf numFmtId="0" fontId="21" fillId="33" borderId="0" xfId="0" applyFont="1" applyFill="1" applyAlignment="1">
      <alignment vertical="center"/>
    </xf>
    <xf numFmtId="0" fontId="21" fillId="33" borderId="0" xfId="0" applyFont="1" applyFill="1" applyAlignment="1">
      <alignment horizontal="center" vertical="center"/>
    </xf>
    <xf numFmtId="0" fontId="21" fillId="33" borderId="0" xfId="0" applyFont="1" applyFill="1" applyAlignment="1">
      <alignment horizontal="left" vertical="center"/>
    </xf>
    <xf numFmtId="0" fontId="3" fillId="35" borderId="0" xfId="0" applyFont="1" applyFill="1" applyAlignment="1">
      <alignment vertical="center"/>
    </xf>
    <xf numFmtId="0" fontId="35" fillId="35" borderId="0" xfId="0" applyFont="1" applyFill="1" applyAlignment="1">
      <alignment vertical="center"/>
    </xf>
    <xf numFmtId="49" fontId="2" fillId="35" borderId="0" xfId="0" applyNumberFormat="1" applyFont="1" applyFill="1" applyAlignment="1">
      <alignment horizontal="left" vertical="center"/>
    </xf>
    <xf numFmtId="0" fontId="0" fillId="35" borderId="0" xfId="0" applyFill="1" applyAlignment="1">
      <alignment vertical="center"/>
    </xf>
    <xf numFmtId="0" fontId="0" fillId="35" borderId="0" xfId="0" applyFill="1" applyAlignment="1">
      <alignment horizontal="center" vertical="center"/>
    </xf>
    <xf numFmtId="0" fontId="0" fillId="35" borderId="0" xfId="0" applyFill="1" applyAlignment="1">
      <alignment horizontal="left" vertical="center"/>
    </xf>
    <xf numFmtId="0" fontId="19" fillId="0" borderId="0" xfId="0" applyFont="1" applyFill="1" applyBorder="1" applyAlignment="1">
      <alignment vertical="center" wrapText="1"/>
    </xf>
    <xf numFmtId="0" fontId="1" fillId="30" borderId="1" xfId="0" applyFont="1" applyFill="1" applyBorder="1" applyAlignment="1">
      <alignment horizontal="left" vertical="center"/>
    </xf>
    <xf numFmtId="0" fontId="0" fillId="30" borderId="1" xfId="0" applyFill="1" applyBorder="1" applyAlignment="1">
      <alignment horizontal="left" vertical="center"/>
    </xf>
    <xf numFmtId="0" fontId="1" fillId="30" borderId="1" xfId="0" applyFont="1" applyFill="1" applyBorder="1" applyAlignment="1">
      <alignment vertical="center"/>
    </xf>
    <xf numFmtId="0" fontId="0" fillId="32" borderId="1" xfId="0" applyFill="1" applyBorder="1" applyAlignment="1">
      <alignment horizontal="left" vertical="center" wrapText="1"/>
    </xf>
    <xf numFmtId="0" fontId="0" fillId="0" borderId="0" xfId="0" applyBorder="1" applyAlignment="1">
      <alignment vertical="center"/>
    </xf>
    <xf numFmtId="0" fontId="2" fillId="0" borderId="1" xfId="0" quotePrefix="1" applyFont="1" applyBorder="1" applyAlignment="1">
      <alignment vertical="center" wrapText="1"/>
    </xf>
    <xf numFmtId="0" fontId="10" fillId="36" borderId="0" xfId="0" applyFont="1" applyFill="1"/>
    <xf numFmtId="0" fontId="10" fillId="36" borderId="0" xfId="0" applyFont="1" applyFill="1" applyAlignment="1">
      <alignment horizontal="left" wrapText="1"/>
    </xf>
    <xf numFmtId="0" fontId="10" fillId="36" borderId="0" xfId="0" applyFont="1" applyFill="1" applyAlignment="1">
      <alignment wrapText="1"/>
    </xf>
    <xf numFmtId="0" fontId="0" fillId="0" borderId="0" xfId="0" applyAlignment="1"/>
    <xf numFmtId="0" fontId="0" fillId="0" borderId="0" xfId="0" applyAlignment="1">
      <alignment wrapText="1"/>
    </xf>
    <xf numFmtId="0" fontId="0" fillId="0" borderId="3" xfId="0" applyFont="1" applyFill="1" applyBorder="1" applyAlignment="1">
      <alignment horizontal="left" vertical="center" wrapText="1"/>
    </xf>
    <xf numFmtId="0" fontId="4" fillId="0" borderId="3" xfId="0" applyFont="1" applyFill="1" applyBorder="1" applyAlignment="1">
      <alignment horizontal="left" vertical="center" wrapText="1"/>
    </xf>
    <xf numFmtId="49" fontId="2" fillId="0" borderId="0" xfId="0" applyNumberFormat="1" applyFont="1" applyFill="1" applyBorder="1" applyAlignment="1">
      <alignment horizontal="left" vertical="center" wrapText="1"/>
    </xf>
    <xf numFmtId="0" fontId="4" fillId="34" borderId="0" xfId="0" applyFont="1" applyFill="1" applyAlignment="1">
      <alignment horizontal="left" vertical="center" wrapText="1"/>
    </xf>
    <xf numFmtId="0" fontId="21" fillId="24" borderId="0" xfId="0" applyFont="1" applyFill="1" applyAlignment="1">
      <alignment horizontal="left" vertical="center"/>
    </xf>
    <xf numFmtId="0" fontId="36" fillId="30" borderId="1" xfId="0" applyFont="1" applyFill="1" applyBorder="1" applyAlignment="1">
      <alignment vertical="center"/>
    </xf>
    <xf numFmtId="49" fontId="18" fillId="29" borderId="0" xfId="0" applyNumberFormat="1" applyFont="1" applyFill="1" applyAlignment="1">
      <alignment vertical="center"/>
    </xf>
    <xf numFmtId="49" fontId="0" fillId="0" borderId="5" xfId="0" applyNumberFormat="1" applyFill="1" applyBorder="1" applyAlignment="1">
      <alignment vertical="center"/>
    </xf>
    <xf numFmtId="49" fontId="16" fillId="0" borderId="1" xfId="0" applyNumberFormat="1" applyFont="1" applyFill="1" applyBorder="1" applyAlignment="1">
      <alignment horizontal="left" vertical="center" wrapText="1"/>
    </xf>
    <xf numFmtId="49" fontId="0" fillId="5" borderId="1" xfId="0" applyNumberFormat="1" applyFill="1" applyBorder="1" applyAlignment="1">
      <alignment vertical="center"/>
    </xf>
    <xf numFmtId="49" fontId="21" fillId="0" borderId="0" xfId="0" applyNumberFormat="1" applyFont="1" applyFill="1" applyAlignment="1">
      <alignment vertical="center"/>
    </xf>
    <xf numFmtId="49" fontId="0" fillId="5" borderId="1" xfId="0" applyNumberFormat="1" applyFill="1" applyBorder="1" applyAlignment="1">
      <alignment horizontal="left" vertical="center" wrapText="1"/>
    </xf>
    <xf numFmtId="49" fontId="2" fillId="0" borderId="0" xfId="0" applyNumberFormat="1" applyFont="1" applyFill="1" applyAlignment="1">
      <alignment vertical="center"/>
    </xf>
    <xf numFmtId="49" fontId="40" fillId="34" borderId="0" xfId="0" applyNumberFormat="1" applyFont="1" applyFill="1" applyAlignment="1">
      <alignment vertical="center"/>
    </xf>
    <xf numFmtId="49" fontId="3" fillId="34" borderId="0" xfId="0" applyNumberFormat="1" applyFont="1" applyFill="1" applyAlignment="1">
      <alignment vertical="center"/>
    </xf>
    <xf numFmtId="49" fontId="10" fillId="33" borderId="0" xfId="0" applyNumberFormat="1" applyFont="1" applyFill="1" applyAlignment="1">
      <alignment vertical="center"/>
    </xf>
  </cellXfs>
  <cellStyles count="1">
    <cellStyle name="Normal" xfId="0" builtinId="0"/>
  </cellStyles>
  <dxfs count="1475">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auto="1"/>
      </font>
      <fill>
        <patternFill>
          <bgColor theme="2"/>
        </patternFill>
      </fill>
    </dxf>
    <dxf>
      <font>
        <color auto="1"/>
      </font>
      <fill>
        <patternFill>
          <bgColor theme="2"/>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auto="1"/>
      </font>
      <fill>
        <patternFill>
          <bgColor theme="2"/>
        </patternFill>
      </fill>
    </dxf>
    <dxf>
      <font>
        <color auto="1"/>
      </font>
      <fill>
        <patternFill>
          <bgColor theme="2"/>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theme="2"/>
        </patternFill>
      </fill>
    </dxf>
    <dxf>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auto="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auto="1"/>
      </font>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61971</xdr:colOff>
      <xdr:row>12</xdr:row>
      <xdr:rowOff>297179</xdr:rowOff>
    </xdr:from>
    <xdr:to>
      <xdr:col>2</xdr:col>
      <xdr:colOff>2702972</xdr:colOff>
      <xdr:row>14</xdr:row>
      <xdr:rowOff>52555</xdr:rowOff>
    </xdr:to>
    <xdr:sp macro="" textlink="">
      <xdr:nvSpPr>
        <xdr:cNvPr id="7" name="Speech Bubble: Rectangle 1">
          <a:extLst>
            <a:ext uri="{FF2B5EF4-FFF2-40B4-BE49-F238E27FC236}">
              <a16:creationId xmlns:a16="http://schemas.microsoft.com/office/drawing/2014/main" id="{B18454A8-8E83-468C-AD6D-9519673CDF51}"/>
            </a:ext>
          </a:extLst>
        </xdr:cNvPr>
        <xdr:cNvSpPr/>
      </xdr:nvSpPr>
      <xdr:spPr>
        <a:xfrm>
          <a:off x="2900421" y="3392804"/>
          <a:ext cx="2641001" cy="326876"/>
        </a:xfrm>
        <a:prstGeom prst="wedgeRectCallout">
          <a:avLst>
            <a:gd name="adj1" fmla="val 10134"/>
            <a:gd name="adj2" fmla="val -1517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checklist:</a:t>
          </a:r>
          <a:r>
            <a:rPr lang="en-US" sz="1100" baseline="0"/>
            <a:t> 0/1 capture</a:t>
          </a:r>
        </a:p>
        <a:p>
          <a:pPr algn="l"/>
          <a:endParaRPr lang="en-US" sz="1100"/>
        </a:p>
      </xdr:txBody>
    </xdr:sp>
    <xdr:clientData/>
  </xdr:twoCellAnchor>
  <xdr:twoCellAnchor>
    <xdr:from>
      <xdr:col>4</xdr:col>
      <xdr:colOff>18602</xdr:colOff>
      <xdr:row>8</xdr:row>
      <xdr:rowOff>97042</xdr:rowOff>
    </xdr:from>
    <xdr:to>
      <xdr:col>4</xdr:col>
      <xdr:colOff>2669128</xdr:colOff>
      <xdr:row>9</xdr:row>
      <xdr:rowOff>22411</xdr:rowOff>
    </xdr:to>
    <xdr:sp macro="" textlink="">
      <xdr:nvSpPr>
        <xdr:cNvPr id="9" name="Speech Bubble: Rectangle 4">
          <a:extLst>
            <a:ext uri="{FF2B5EF4-FFF2-40B4-BE49-F238E27FC236}">
              <a16:creationId xmlns:a16="http://schemas.microsoft.com/office/drawing/2014/main" id="{341CAC10-6D45-405D-80B7-21436CF704F4}"/>
            </a:ext>
          </a:extLst>
        </xdr:cNvPr>
        <xdr:cNvSpPr/>
      </xdr:nvSpPr>
      <xdr:spPr>
        <a:xfrm>
          <a:off x="8286302" y="2049667"/>
          <a:ext cx="2650526" cy="496869"/>
        </a:xfrm>
        <a:prstGeom prst="wedgeRectCallout">
          <a:avLst>
            <a:gd name="adj1" fmla="val 10134"/>
            <a:gd name="adj2" fmla="val -1517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Need this mainly due to it has time info for each item comparing to event report</a:t>
          </a:r>
        </a:p>
        <a:p>
          <a:pPr algn="l"/>
          <a:endParaRPr lang="en-US" sz="1100"/>
        </a:p>
      </xdr:txBody>
    </xdr:sp>
    <xdr:clientData/>
  </xdr:twoCellAnchor>
  <xdr:twoCellAnchor>
    <xdr:from>
      <xdr:col>8</xdr:col>
      <xdr:colOff>773206</xdr:colOff>
      <xdr:row>6</xdr:row>
      <xdr:rowOff>145677</xdr:rowOff>
    </xdr:from>
    <xdr:to>
      <xdr:col>8</xdr:col>
      <xdr:colOff>3423732</xdr:colOff>
      <xdr:row>8</xdr:row>
      <xdr:rowOff>86061</xdr:rowOff>
    </xdr:to>
    <xdr:sp macro="" textlink="">
      <xdr:nvSpPr>
        <xdr:cNvPr id="10" name="Speech Bubble: Rectangle 6">
          <a:extLst>
            <a:ext uri="{FF2B5EF4-FFF2-40B4-BE49-F238E27FC236}">
              <a16:creationId xmlns:a16="http://schemas.microsoft.com/office/drawing/2014/main" id="{3C89D62D-B1A9-40B8-82DC-1DCFF7B31A60}"/>
            </a:ext>
          </a:extLst>
        </xdr:cNvPr>
        <xdr:cNvSpPr/>
      </xdr:nvSpPr>
      <xdr:spPr>
        <a:xfrm>
          <a:off x="20442331" y="1526802"/>
          <a:ext cx="2650526" cy="511884"/>
        </a:xfrm>
        <a:prstGeom prst="wedgeRectCallout">
          <a:avLst>
            <a:gd name="adj1" fmla="val 10134"/>
            <a:gd name="adj2" fmla="val -1517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No need for now</a:t>
          </a:r>
        </a:p>
        <a:p>
          <a:pPr algn="l"/>
          <a:endParaRPr lang="en-US" sz="1100"/>
        </a:p>
      </xdr:txBody>
    </xdr:sp>
    <xdr:clientData/>
  </xdr:twoCellAnchor>
  <xdr:twoCellAnchor>
    <xdr:from>
      <xdr:col>9</xdr:col>
      <xdr:colOff>1905001</xdr:colOff>
      <xdr:row>8</xdr:row>
      <xdr:rowOff>294939</xdr:rowOff>
    </xdr:from>
    <xdr:to>
      <xdr:col>10</xdr:col>
      <xdr:colOff>1769072</xdr:colOff>
      <xdr:row>13</xdr:row>
      <xdr:rowOff>93457</xdr:rowOff>
    </xdr:to>
    <xdr:sp macro="" textlink="">
      <xdr:nvSpPr>
        <xdr:cNvPr id="11" name="Speech Bubble: Rectangle 7">
          <a:extLst>
            <a:ext uri="{FF2B5EF4-FFF2-40B4-BE49-F238E27FC236}">
              <a16:creationId xmlns:a16="http://schemas.microsoft.com/office/drawing/2014/main" id="{ED8C55BD-2B75-430A-AABA-35AC555A2ABA}"/>
            </a:ext>
          </a:extLst>
        </xdr:cNvPr>
        <xdr:cNvSpPr/>
      </xdr:nvSpPr>
      <xdr:spPr>
        <a:xfrm>
          <a:off x="25403176" y="2247564"/>
          <a:ext cx="2578696" cy="1322518"/>
        </a:xfrm>
        <a:prstGeom prst="wedgeRectCallout">
          <a:avLst>
            <a:gd name="adj1" fmla="val -13930"/>
            <a:gd name="adj2" fmla="val -1876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Seems both Benefit Smmary and EE inf, as well as Enrollment Changes report (per EE) + Demo Changes Reports (per EE) can be replaced by 'Employee Data Sheet' under 'Reviews' section - if so, we can just capture ;Employee Data Sheet' info</a:t>
          </a:r>
        </a:p>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N828"/>
  <sheetViews>
    <sheetView showGridLines="0" tabSelected="1" topLeftCell="A123" zoomScaleNormal="100" workbookViewId="0">
      <selection activeCell="J123" sqref="J1:J1048576"/>
    </sheetView>
  </sheetViews>
  <sheetFormatPr defaultColWidth="9.140625" defaultRowHeight="15" customHeight="1" outlineLevelRow="5" x14ac:dyDescent="0.25"/>
  <cols>
    <col min="1" max="1" width="0.5703125" style="1" customWidth="1"/>
    <col min="2" max="2" width="45.7109375" style="1" customWidth="1"/>
    <col min="3" max="3" width="45.7109375" style="198" customWidth="1"/>
    <col min="4" max="4" width="1.28515625" style="7" customWidth="1"/>
    <col min="5" max="5" width="40.7109375" style="1" hidden="1" customWidth="1"/>
    <col min="6" max="6" width="1.85546875" style="7" hidden="1" customWidth="1"/>
    <col min="7" max="7" width="50.7109375" style="1" customWidth="1"/>
    <col min="8" max="8" width="40.7109375" style="15" hidden="1" customWidth="1"/>
    <col min="9" max="9" width="50.7109375" style="80" customWidth="1"/>
    <col min="10" max="10" width="41.42578125" style="80" hidden="1" customWidth="1"/>
    <col min="11" max="11" width="2" style="40" customWidth="1"/>
    <col min="12" max="12" width="29.7109375" style="1" hidden="1" customWidth="1"/>
    <col min="13" max="13" width="16.5703125" style="1" hidden="1" customWidth="1"/>
    <col min="14" max="14" width="37.28515625" style="1" hidden="1" customWidth="1"/>
    <col min="15" max="15" width="19.140625" style="1" hidden="1" customWidth="1"/>
    <col min="16" max="16" width="30.28515625" style="1" hidden="1" customWidth="1"/>
    <col min="17" max="17" width="48.140625" style="1" hidden="1" customWidth="1"/>
    <col min="18" max="18" width="54.7109375" style="1" hidden="1" customWidth="1"/>
    <col min="19" max="19" width="33.28515625" style="1" hidden="1" customWidth="1"/>
    <col min="20" max="20" width="129.140625" style="1" hidden="1" customWidth="1"/>
    <col min="21" max="21" width="24.140625" style="1" hidden="1" customWidth="1"/>
    <col min="22" max="22" width="27.85546875" style="1" hidden="1" customWidth="1"/>
    <col min="23" max="23" width="31.7109375" style="1" hidden="1" customWidth="1"/>
    <col min="24" max="24" width="9.140625" style="7" customWidth="1"/>
    <col min="25" max="25" width="3.28515625" style="7" customWidth="1"/>
    <col min="26" max="26" width="10.7109375" style="7" customWidth="1"/>
    <col min="27" max="27" width="20.7109375" style="7" customWidth="1"/>
    <col min="28" max="28" width="10.7109375" style="7" customWidth="1"/>
    <col min="29" max="29" width="20.7109375" style="7" customWidth="1"/>
    <col min="30" max="30" width="10.7109375" style="7" customWidth="1"/>
    <col min="31" max="31" width="20.7109375" style="7" customWidth="1"/>
    <col min="32" max="32" width="2.5703125" style="7" customWidth="1"/>
    <col min="33" max="33" width="10.42578125" style="7" customWidth="1"/>
    <col min="34" max="34" width="20.7109375" style="7" customWidth="1"/>
    <col min="35" max="35" width="9.140625" style="7"/>
    <col min="36" max="36" width="20.7109375" style="7" customWidth="1"/>
    <col min="37" max="37" width="9.140625" style="7"/>
    <col min="38" max="38" width="19.85546875" style="7" customWidth="1"/>
    <col min="39" max="16384" width="9.140625" style="7"/>
  </cols>
  <sheetData>
    <row r="1" spans="1:40" ht="27.95" customHeight="1" x14ac:dyDescent="0.25">
      <c r="A1" s="241" t="s">
        <v>2192</v>
      </c>
      <c r="B1" s="242"/>
      <c r="C1" s="286"/>
      <c r="E1" s="244"/>
      <c r="F1" s="244"/>
      <c r="G1" s="243"/>
      <c r="H1" s="245"/>
      <c r="I1" s="246"/>
      <c r="J1" s="284" t="str">
        <f>J30 &amp;J32&amp;J48&amp;J111&amp;J113&amp;J136&amp;J138&amp;J161&amp;J163&amp;J186&amp;J188&amp;J211&amp;J213&amp;J236&amp;J238&amp;J261&amp;J263&amp;J286&amp;J288&amp;J311&amp;J313&amp;J336&amp;J338&amp;J361&amp;J363&amp;J386&amp;J388&amp;J411&amp;J413&amp;J436&amp;J438&amp;J461&amp;J463&amp;J67&amp;J77&amp;J128&amp;J129&amp;J153&amp;J154&amp;J178&amp;J179&amp;J203&amp;J204&amp;J228&amp;J229&amp;J253&amp;J254&amp;J278&amp;J279&amp;J303&amp;J304&amp;J328&amp;J329&amp;J353&amp;J354&amp;J378&amp;J379&amp;J403&amp;J404&amp;J428&amp;J429&amp;J453&amp;J454&amp;J478&amp;J479</f>
        <v/>
      </c>
      <c r="K1" s="221"/>
      <c r="L1" s="187"/>
      <c r="M1" s="187"/>
      <c r="N1" s="187"/>
      <c r="O1" s="187"/>
      <c r="P1" s="187"/>
      <c r="Q1" s="187"/>
      <c r="R1" s="187"/>
      <c r="S1" s="187"/>
      <c r="T1" s="187"/>
      <c r="U1" s="187"/>
      <c r="V1" s="187"/>
      <c r="W1" s="187"/>
      <c r="Y1" s="227"/>
      <c r="Z1" s="231" t="s">
        <v>2912</v>
      </c>
      <c r="AD1" s="227"/>
      <c r="AE1" s="228"/>
      <c r="AG1" s="231" t="s">
        <v>2909</v>
      </c>
      <c r="AJ1" s="74"/>
      <c r="AL1" s="228"/>
    </row>
    <row r="2" spans="1:40" ht="24" customHeight="1" x14ac:dyDescent="0.25">
      <c r="A2" s="126"/>
      <c r="B2" s="232" t="s">
        <v>2157</v>
      </c>
      <c r="C2" s="197" t="s">
        <v>2226</v>
      </c>
      <c r="E2" s="14" t="s">
        <v>2212</v>
      </c>
      <c r="G2" s="285" t="s">
        <v>2901</v>
      </c>
      <c r="H2" s="7"/>
      <c r="I2" s="197" t="s">
        <v>2902</v>
      </c>
      <c r="J2" s="7"/>
      <c r="K2" s="7"/>
      <c r="L2" s="7"/>
      <c r="M2" s="7"/>
      <c r="N2" s="7"/>
      <c r="O2" s="7"/>
      <c r="P2" s="7"/>
      <c r="Q2" s="7"/>
      <c r="R2" s="7"/>
      <c r="S2" s="7"/>
      <c r="T2" s="7" t="s">
        <v>568</v>
      </c>
      <c r="U2" s="7"/>
      <c r="V2" s="7"/>
      <c r="W2" s="7"/>
      <c r="Z2" s="9"/>
      <c r="AA2" s="235" t="s">
        <v>2905</v>
      </c>
      <c r="AB2" s="232" t="s">
        <v>2227</v>
      </c>
      <c r="AC2" s="235" t="s">
        <v>2906</v>
      </c>
      <c r="AD2" s="12"/>
      <c r="AE2" s="235" t="s">
        <v>2907</v>
      </c>
      <c r="AG2" s="220"/>
      <c r="AH2" s="235" t="s">
        <v>2910</v>
      </c>
      <c r="AI2" s="285" t="s">
        <v>2227</v>
      </c>
      <c r="AJ2" s="235" t="s">
        <v>2911</v>
      </c>
      <c r="AK2" s="189"/>
      <c r="AL2" s="235" t="s">
        <v>2908</v>
      </c>
    </row>
    <row r="3" spans="1:40" ht="15" customHeight="1" x14ac:dyDescent="0.25">
      <c r="H3" s="7"/>
      <c r="I3" s="7"/>
      <c r="J3" s="7"/>
      <c r="K3" s="7"/>
      <c r="L3" s="7"/>
      <c r="M3" s="7"/>
      <c r="N3" s="7"/>
      <c r="O3" s="7"/>
      <c r="P3" s="7"/>
      <c r="Q3" s="7"/>
      <c r="R3" s="7"/>
      <c r="S3" s="7"/>
      <c r="T3" s="7"/>
      <c r="U3" s="7"/>
      <c r="V3" s="7"/>
      <c r="W3" s="7"/>
      <c r="AD3" s="227"/>
      <c r="AE3" s="227"/>
    </row>
    <row r="4" spans="1:40" s="227" customFormat="1" ht="24" customHeight="1" x14ac:dyDescent="0.25">
      <c r="A4" s="62"/>
      <c r="B4" s="229" t="s">
        <v>589</v>
      </c>
      <c r="C4" s="287"/>
      <c r="D4" s="216"/>
      <c r="E4" s="103" t="s">
        <v>22</v>
      </c>
      <c r="F4" s="216"/>
      <c r="G4" s="229" t="s">
        <v>433</v>
      </c>
      <c r="H4" s="7"/>
      <c r="I4" s="228"/>
      <c r="J4" s="7"/>
      <c r="K4" s="7"/>
      <c r="L4" s="7"/>
      <c r="M4" s="7"/>
      <c r="N4" s="7"/>
      <c r="O4" s="7"/>
      <c r="P4" s="7"/>
      <c r="Q4" s="7"/>
      <c r="R4" s="7"/>
      <c r="S4" s="7"/>
      <c r="T4" s="7"/>
      <c r="U4" s="7"/>
      <c r="V4" s="7"/>
      <c r="W4" s="7"/>
      <c r="Y4" s="7"/>
      <c r="Z4" s="74"/>
      <c r="AA4" s="74"/>
      <c r="AB4" s="74"/>
      <c r="AC4" s="74"/>
      <c r="AD4" s="7"/>
      <c r="AG4" s="7"/>
      <c r="AH4" s="7"/>
      <c r="AI4" s="7"/>
      <c r="AJ4" s="7"/>
      <c r="AK4" s="7"/>
      <c r="AL4" s="7"/>
      <c r="AM4" s="7"/>
      <c r="AN4" s="7"/>
    </row>
    <row r="5" spans="1:40" s="227" customFormat="1" ht="23.25" x14ac:dyDescent="0.25">
      <c r="A5" s="62"/>
      <c r="B5" s="230" t="s">
        <v>14</v>
      </c>
      <c r="C5" s="288" t="s">
        <v>590</v>
      </c>
      <c r="D5" s="217"/>
      <c r="E5" s="63" t="s">
        <v>127</v>
      </c>
      <c r="F5" s="217"/>
      <c r="G5" s="230" t="s">
        <v>14</v>
      </c>
      <c r="H5" s="63" t="s">
        <v>126</v>
      </c>
      <c r="I5" s="230" t="s">
        <v>591</v>
      </c>
      <c r="J5" s="63" t="s">
        <v>2223</v>
      </c>
      <c r="K5" s="222"/>
      <c r="L5" s="156" t="s">
        <v>1407</v>
      </c>
      <c r="M5" s="156" t="s">
        <v>1408</v>
      </c>
      <c r="N5" s="160" t="s">
        <v>1409</v>
      </c>
      <c r="O5" s="158" t="s">
        <v>1410</v>
      </c>
      <c r="P5" s="157" t="s">
        <v>1411</v>
      </c>
      <c r="Q5" s="161" t="s">
        <v>1412</v>
      </c>
      <c r="R5" s="159" t="s">
        <v>1413</v>
      </c>
      <c r="S5" s="63" t="s">
        <v>1208</v>
      </c>
      <c r="T5" s="63" t="s">
        <v>585</v>
      </c>
      <c r="U5" s="63" t="s">
        <v>586</v>
      </c>
      <c r="V5" s="18"/>
      <c r="W5" s="62"/>
      <c r="AB5" s="74"/>
      <c r="AC5" s="74"/>
    </row>
    <row r="6" spans="1:40" s="74" customFormat="1" ht="27.95" customHeight="1" x14ac:dyDescent="0.25">
      <c r="A6" s="241" t="s">
        <v>13</v>
      </c>
      <c r="B6" s="243"/>
      <c r="C6" s="242"/>
      <c r="E6" s="247"/>
      <c r="F6" s="243"/>
      <c r="G6" s="243"/>
      <c r="H6" s="245"/>
      <c r="I6" s="248"/>
      <c r="J6" s="127"/>
      <c r="K6" s="140"/>
      <c r="L6" s="72"/>
      <c r="M6" s="72"/>
      <c r="N6" s="163"/>
      <c r="O6" s="72"/>
      <c r="P6" s="72"/>
      <c r="Q6" s="72"/>
      <c r="R6" s="163"/>
      <c r="S6" s="162"/>
      <c r="T6" s="72"/>
      <c r="U6" s="72"/>
      <c r="V6" s="72"/>
      <c r="W6" s="72"/>
    </row>
    <row r="7" spans="1:40" ht="30" customHeight="1" outlineLevel="3" x14ac:dyDescent="0.25">
      <c r="B7" s="232" t="s">
        <v>9</v>
      </c>
      <c r="C7" s="289"/>
      <c r="E7" s="2"/>
      <c r="G7" s="220" t="s">
        <v>86</v>
      </c>
      <c r="H7" s="14" t="s">
        <v>14</v>
      </c>
      <c r="I7" s="125"/>
      <c r="J7" s="145"/>
      <c r="K7" s="145"/>
      <c r="L7" s="14" t="s">
        <v>587</v>
      </c>
      <c r="M7" s="14" t="s">
        <v>1414</v>
      </c>
      <c r="N7" s="182" t="s">
        <v>2140</v>
      </c>
      <c r="O7" s="182" t="s">
        <v>2108</v>
      </c>
      <c r="P7" s="182" t="s">
        <v>1414</v>
      </c>
      <c r="Q7" s="182" t="s">
        <v>2193</v>
      </c>
      <c r="R7" s="188"/>
      <c r="T7" s="14" t="s">
        <v>1621</v>
      </c>
    </row>
    <row r="8" spans="1:40" ht="20.100000000000001" customHeight="1" outlineLevel="1" x14ac:dyDescent="0.25">
      <c r="A8" s="256" t="s">
        <v>512</v>
      </c>
      <c r="B8" s="257"/>
      <c r="C8" s="258"/>
      <c r="D8" s="218"/>
      <c r="E8" s="259"/>
      <c r="F8" s="259"/>
      <c r="G8" s="259"/>
      <c r="H8" s="260"/>
      <c r="I8" s="261"/>
      <c r="J8" s="193"/>
      <c r="L8" s="194"/>
      <c r="M8" s="194"/>
      <c r="N8" s="194"/>
      <c r="O8" s="194"/>
      <c r="P8" s="194"/>
      <c r="Q8" s="194"/>
      <c r="R8" s="194"/>
      <c r="S8" s="194"/>
      <c r="T8" s="194"/>
      <c r="U8" s="194"/>
      <c r="V8" s="194"/>
      <c r="W8" s="194"/>
    </row>
    <row r="9" spans="1:40" ht="0.75" customHeight="1" outlineLevel="3" x14ac:dyDescent="0.25">
      <c r="B9" s="218" t="s">
        <v>2139</v>
      </c>
      <c r="C9" s="290"/>
      <c r="E9" s="14" t="s">
        <v>2141</v>
      </c>
      <c r="G9" s="18"/>
      <c r="H9" s="18"/>
      <c r="I9" s="145"/>
      <c r="J9" s="145"/>
      <c r="K9" s="145"/>
      <c r="L9" s="14" t="s">
        <v>1416</v>
      </c>
      <c r="M9" s="14" t="s">
        <v>1129</v>
      </c>
      <c r="N9" s="14"/>
      <c r="O9" s="14"/>
      <c r="P9" s="14"/>
      <c r="Q9" s="14"/>
      <c r="R9" s="14"/>
      <c r="T9" s="14"/>
    </row>
    <row r="10" spans="1:40" ht="15" customHeight="1" outlineLevel="3" x14ac:dyDescent="0.25">
      <c r="B10" s="218" t="s">
        <v>434</v>
      </c>
      <c r="C10" s="290"/>
      <c r="E10" s="14" t="s">
        <v>2204</v>
      </c>
      <c r="G10" s="220" t="s">
        <v>434</v>
      </c>
      <c r="H10" s="14" t="s">
        <v>435</v>
      </c>
      <c r="I10" s="272" t="s">
        <v>436</v>
      </c>
      <c r="J10" s="174"/>
      <c r="K10" s="174"/>
      <c r="L10" s="14" t="s">
        <v>1416</v>
      </c>
      <c r="M10" s="14" t="s">
        <v>1415</v>
      </c>
      <c r="N10" s="14" t="s">
        <v>1424</v>
      </c>
      <c r="O10" s="14" t="s">
        <v>1416</v>
      </c>
      <c r="P10" s="14" t="s">
        <v>1415</v>
      </c>
      <c r="Q10" s="14" t="s">
        <v>1486</v>
      </c>
      <c r="R10" s="14" t="s">
        <v>1627</v>
      </c>
      <c r="T10" s="2" t="s">
        <v>1288</v>
      </c>
    </row>
    <row r="11" spans="1:40" ht="15" customHeight="1" outlineLevel="3" x14ac:dyDescent="0.25">
      <c r="B11" s="9" t="s">
        <v>3</v>
      </c>
      <c r="C11" s="197"/>
      <c r="E11" s="2"/>
      <c r="G11" s="220" t="s">
        <v>1</v>
      </c>
      <c r="H11" s="14" t="s">
        <v>14</v>
      </c>
      <c r="I11" s="125" t="str">
        <f>IF(AND(C23&lt;&gt;"",C11=""),"#N/A, Input cannot be blank", IF(C11="","",IF(LEN(SUBSTITUTE(C11,"-",""))=9,SUBSTITUTE(C11,"-",""),"#N/A, SSN# must be 9 digits")))</f>
        <v/>
      </c>
      <c r="J11" s="145"/>
      <c r="K11" s="145"/>
      <c r="L11" s="14" t="s">
        <v>1417</v>
      </c>
      <c r="M11" s="14" t="s">
        <v>1414</v>
      </c>
      <c r="N11" s="14" t="s">
        <v>1436</v>
      </c>
      <c r="O11" s="14" t="s">
        <v>1416</v>
      </c>
      <c r="P11" s="14" t="s">
        <v>1129</v>
      </c>
      <c r="Q11" s="14" t="s">
        <v>1517</v>
      </c>
      <c r="R11" s="14" t="s">
        <v>2194</v>
      </c>
      <c r="T11" s="14" t="s">
        <v>1628</v>
      </c>
      <c r="U11" s="14" t="s">
        <v>1213</v>
      </c>
    </row>
    <row r="12" spans="1:40" ht="15" customHeight="1" outlineLevel="3" x14ac:dyDescent="0.25">
      <c r="B12" s="9" t="s">
        <v>88</v>
      </c>
      <c r="C12" s="197"/>
      <c r="G12" s="220" t="s">
        <v>88</v>
      </c>
      <c r="H12" s="14" t="s">
        <v>14</v>
      </c>
      <c r="I12" s="125" t="str">
        <f>IF(C12="","#N/A, Input cannot be blank",UPPER(LEFT(C12,20)))</f>
        <v>#N/A, Input cannot be blank</v>
      </c>
      <c r="J12" s="145"/>
      <c r="K12" s="145"/>
      <c r="L12" s="14" t="s">
        <v>1417</v>
      </c>
      <c r="M12" s="14" t="s">
        <v>1414</v>
      </c>
      <c r="N12" s="14" t="s">
        <v>1437</v>
      </c>
      <c r="O12" s="14" t="s">
        <v>1416</v>
      </c>
      <c r="P12" s="14" t="s">
        <v>1129</v>
      </c>
      <c r="Q12" s="14" t="s">
        <v>1488</v>
      </c>
      <c r="R12" s="14" t="s">
        <v>1606</v>
      </c>
      <c r="T12" s="14" t="s">
        <v>1487</v>
      </c>
    </row>
    <row r="13" spans="1:40" ht="15" customHeight="1" outlineLevel="3" x14ac:dyDescent="0.25">
      <c r="B13" s="9" t="s">
        <v>87</v>
      </c>
      <c r="C13" s="197"/>
      <c r="G13" s="220" t="s">
        <v>87</v>
      </c>
      <c r="H13" s="14" t="s">
        <v>14</v>
      </c>
      <c r="I13" s="125" t="str">
        <f>IF(C13="","#N/A, Input cannot be blank",UPPER(LEFT(C13,20)))</f>
        <v>#N/A, Input cannot be blank</v>
      </c>
      <c r="J13" s="145"/>
      <c r="K13" s="145"/>
      <c r="L13" s="14" t="s">
        <v>1417</v>
      </c>
      <c r="M13" s="14" t="s">
        <v>1414</v>
      </c>
      <c r="N13" s="14" t="s">
        <v>1438</v>
      </c>
      <c r="O13" s="14" t="s">
        <v>1416</v>
      </c>
      <c r="P13" s="14" t="s">
        <v>1129</v>
      </c>
      <c r="Q13" s="14" t="s">
        <v>1488</v>
      </c>
      <c r="R13" s="14" t="s">
        <v>1607</v>
      </c>
      <c r="T13" s="14" t="s">
        <v>1341</v>
      </c>
    </row>
    <row r="14" spans="1:40" ht="15" customHeight="1" outlineLevel="3" x14ac:dyDescent="0.25">
      <c r="B14" s="9" t="s">
        <v>552</v>
      </c>
      <c r="C14" s="197"/>
      <c r="G14" s="220" t="s">
        <v>1160</v>
      </c>
      <c r="H14" s="14" t="s">
        <v>14</v>
      </c>
      <c r="I14" s="125" t="str">
        <f>IF(C14="","",LEFT(UPPER(C14)))</f>
        <v/>
      </c>
      <c r="J14" s="145"/>
      <c r="K14" s="145"/>
      <c r="L14" s="14" t="s">
        <v>1417</v>
      </c>
      <c r="M14" s="14" t="s">
        <v>1414</v>
      </c>
      <c r="N14" s="14" t="s">
        <v>1439</v>
      </c>
      <c r="O14" s="14" t="s">
        <v>1416</v>
      </c>
      <c r="P14" s="14" t="s">
        <v>1129</v>
      </c>
      <c r="Q14" s="14" t="s">
        <v>1490</v>
      </c>
      <c r="R14" s="14" t="s">
        <v>1491</v>
      </c>
      <c r="T14" s="14" t="s">
        <v>1489</v>
      </c>
    </row>
    <row r="15" spans="1:40" ht="15" customHeight="1" outlineLevel="3" x14ac:dyDescent="0.25">
      <c r="B15" s="9" t="s">
        <v>8</v>
      </c>
      <c r="C15" s="200" t="s">
        <v>2245</v>
      </c>
      <c r="G15" s="220" t="s">
        <v>1207</v>
      </c>
      <c r="H15" s="14" t="s">
        <v>14</v>
      </c>
      <c r="I15" s="125" t="str">
        <f>IF(OR(C15="",ISNUMBER(SEARCH("&lt;",C15))),"",IFERROR(TEXT(EDATE(C15,0),"MM/DD/YYYY"),"#N/A, Please enter a date format"))</f>
        <v/>
      </c>
      <c r="J15" s="145"/>
      <c r="K15" s="145"/>
      <c r="L15" s="14" t="s">
        <v>1417</v>
      </c>
      <c r="M15" s="14" t="s">
        <v>1414</v>
      </c>
      <c r="N15" s="14" t="s">
        <v>1440</v>
      </c>
      <c r="O15" s="14" t="s">
        <v>1416</v>
      </c>
      <c r="P15" s="14" t="s">
        <v>1129</v>
      </c>
      <c r="Q15" s="14" t="s">
        <v>1501</v>
      </c>
      <c r="R15" s="14" t="s">
        <v>1493</v>
      </c>
      <c r="T15" s="14" t="s">
        <v>1492</v>
      </c>
    </row>
    <row r="16" spans="1:40" ht="20.100000000000001" customHeight="1" outlineLevel="1" collapsed="1" x14ac:dyDescent="0.25">
      <c r="A16" s="256" t="s">
        <v>2246</v>
      </c>
      <c r="B16" s="257"/>
      <c r="C16" s="258"/>
      <c r="D16" s="218"/>
      <c r="E16" s="259"/>
      <c r="F16" s="259"/>
      <c r="G16" s="259"/>
      <c r="H16" s="260"/>
      <c r="I16" s="261"/>
      <c r="J16" s="193"/>
      <c r="L16" s="194"/>
      <c r="M16" s="194"/>
      <c r="N16" s="194"/>
      <c r="O16" s="194"/>
      <c r="P16" s="194"/>
      <c r="Q16" s="194"/>
      <c r="R16" s="194"/>
      <c r="S16" s="194"/>
      <c r="T16" s="194"/>
      <c r="U16" s="194"/>
      <c r="V16" s="194"/>
      <c r="W16" s="194"/>
    </row>
    <row r="17" spans="1:23" ht="15" hidden="1" customHeight="1" outlineLevel="2" x14ac:dyDescent="0.25">
      <c r="B17" s="218" t="s">
        <v>1209</v>
      </c>
      <c r="C17" s="290" t="s">
        <v>1669</v>
      </c>
      <c r="E17" s="14" t="s">
        <v>1633</v>
      </c>
      <c r="G17" s="13" t="s">
        <v>25</v>
      </c>
      <c r="H17" s="14" t="s">
        <v>1210</v>
      </c>
      <c r="I17" s="125" t="str">
        <f>IF(AND(C20= "O - Drop Dependent", C17=""),"#N/A",UPPER(C17))</f>
        <v>WERT</v>
      </c>
      <c r="J17" s="125"/>
      <c r="K17" s="125"/>
      <c r="L17" s="14" t="s">
        <v>1417</v>
      </c>
      <c r="M17" s="14" t="s">
        <v>1414</v>
      </c>
      <c r="N17" s="181" t="s">
        <v>2135</v>
      </c>
      <c r="O17" s="14" t="s">
        <v>1416</v>
      </c>
      <c r="P17" s="14" t="s">
        <v>1129</v>
      </c>
      <c r="Q17" s="14" t="s">
        <v>1494</v>
      </c>
      <c r="R17" s="14" t="s">
        <v>1670</v>
      </c>
      <c r="S17" s="14" t="s">
        <v>1351</v>
      </c>
      <c r="T17" s="14" t="s">
        <v>1496</v>
      </c>
      <c r="U17" s="14" t="s">
        <v>1608</v>
      </c>
    </row>
    <row r="18" spans="1:23" ht="15" hidden="1" customHeight="1" outlineLevel="2" x14ac:dyDescent="0.25">
      <c r="B18" s="218" t="s">
        <v>26</v>
      </c>
      <c r="C18" s="290" t="s">
        <v>1671</v>
      </c>
      <c r="E18" s="14" t="s">
        <v>1629</v>
      </c>
      <c r="G18" s="13" t="s">
        <v>1211</v>
      </c>
      <c r="H18" s="14" t="s">
        <v>1212</v>
      </c>
      <c r="I18" s="125" t="str">
        <f>IF(AND(C20= "O - Drop Dependent", C18=""),"#N/A",SUBSTITUTE(C18,"Child","Dependent Child"))</f>
        <v>Dependent Child</v>
      </c>
      <c r="J18" s="125"/>
      <c r="K18" s="125"/>
      <c r="L18" s="14" t="s">
        <v>1417</v>
      </c>
      <c r="M18" s="14" t="s">
        <v>1414</v>
      </c>
      <c r="N18" s="14" t="s">
        <v>1498</v>
      </c>
      <c r="O18" s="14" t="s">
        <v>1416</v>
      </c>
      <c r="P18" s="14" t="s">
        <v>1129</v>
      </c>
      <c r="Q18" s="14" t="s">
        <v>1495</v>
      </c>
      <c r="R18" s="14" t="s">
        <v>1499</v>
      </c>
      <c r="S18" s="14" t="s">
        <v>1351</v>
      </c>
      <c r="T18" s="123" t="s">
        <v>1497</v>
      </c>
    </row>
    <row r="19" spans="1:23" ht="30" hidden="1" customHeight="1" outlineLevel="2" x14ac:dyDescent="0.25">
      <c r="B19" s="218" t="s">
        <v>588</v>
      </c>
      <c r="C19" s="290"/>
      <c r="E19" s="121" t="s">
        <v>1202</v>
      </c>
      <c r="G19" s="13" t="s">
        <v>580</v>
      </c>
      <c r="H19" s="14" t="s">
        <v>29</v>
      </c>
      <c r="I19" s="125" t="str">
        <f>IF(C19="","N/A",IF(C19="T - Termination","Cancel Employee/Dependent",IF(C19="D - Termination (Death)","Cancel Employee/Dependent","N/A")))</f>
        <v>N/A</v>
      </c>
      <c r="J19" s="125"/>
      <c r="K19" s="125"/>
      <c r="L19" s="14" t="s">
        <v>587</v>
      </c>
      <c r="M19" s="14" t="s">
        <v>1414</v>
      </c>
      <c r="N19" s="14" t="s">
        <v>1609</v>
      </c>
      <c r="O19" s="14" t="s">
        <v>1416</v>
      </c>
      <c r="P19" s="14" t="s">
        <v>1129</v>
      </c>
      <c r="Q19" s="14" t="s">
        <v>1500</v>
      </c>
      <c r="R19" s="14" t="s">
        <v>1610</v>
      </c>
      <c r="S19" s="14" t="s">
        <v>1350</v>
      </c>
      <c r="T19" s="14" t="s">
        <v>1340</v>
      </c>
    </row>
    <row r="20" spans="1:23" ht="30" hidden="1" customHeight="1" outlineLevel="2" x14ac:dyDescent="0.25">
      <c r="B20" s="218" t="s">
        <v>588</v>
      </c>
      <c r="C20" s="290" t="s">
        <v>1668</v>
      </c>
      <c r="E20" s="14" t="s">
        <v>1199</v>
      </c>
      <c r="G20" s="13" t="s">
        <v>581</v>
      </c>
      <c r="H20" s="14" t="s">
        <v>29</v>
      </c>
      <c r="I20" s="125" t="str">
        <f>IF(C20="","N/A",IF(C20="O - Drop Dependent","Cancel Employee/Dependent","N/A"))</f>
        <v>Cancel Employee/Dependent</v>
      </c>
      <c r="J20" s="125"/>
      <c r="K20" s="125"/>
      <c r="L20" s="14" t="s">
        <v>587</v>
      </c>
      <c r="M20" s="14" t="s">
        <v>1414</v>
      </c>
      <c r="N20" s="14" t="s">
        <v>1654</v>
      </c>
      <c r="O20" s="14" t="s">
        <v>1416</v>
      </c>
      <c r="P20" s="14" t="s">
        <v>1129</v>
      </c>
      <c r="Q20" s="14" t="s">
        <v>1500</v>
      </c>
      <c r="R20" s="14" t="s">
        <v>1611</v>
      </c>
      <c r="S20" s="14" t="s">
        <v>1351</v>
      </c>
      <c r="T20" s="14" t="s">
        <v>1339</v>
      </c>
      <c r="U20" s="14"/>
    </row>
    <row r="21" spans="1:23" s="74" customFormat="1" ht="27.95" customHeight="1" x14ac:dyDescent="0.25">
      <c r="A21" s="241" t="s">
        <v>437</v>
      </c>
      <c r="B21" s="243"/>
      <c r="C21" s="242"/>
      <c r="E21" s="247"/>
      <c r="F21" s="243"/>
      <c r="G21" s="243"/>
      <c r="H21" s="245"/>
      <c r="I21" s="248"/>
      <c r="J21" s="127"/>
      <c r="K21" s="140"/>
      <c r="L21" s="72"/>
      <c r="M21" s="72"/>
      <c r="N21" s="163" t="s">
        <v>1232</v>
      </c>
      <c r="O21" s="72"/>
      <c r="P21" s="72"/>
      <c r="Q21" s="72"/>
      <c r="R21" s="163" t="s">
        <v>1232</v>
      </c>
      <c r="S21" s="162" t="s">
        <v>1232</v>
      </c>
      <c r="T21" s="72"/>
      <c r="U21" s="72"/>
      <c r="V21" s="72"/>
      <c r="W21" s="72"/>
    </row>
    <row r="22" spans="1:23" ht="20.100000000000001" customHeight="1" outlineLevel="1" x14ac:dyDescent="0.25">
      <c r="A22" s="256" t="s">
        <v>463</v>
      </c>
      <c r="B22" s="257"/>
      <c r="C22" s="258"/>
      <c r="E22" s="194"/>
      <c r="G22" s="259"/>
      <c r="H22" s="260"/>
      <c r="I22" s="261"/>
      <c r="J22" s="193"/>
      <c r="L22" s="194"/>
      <c r="M22" s="194"/>
      <c r="N22" s="194"/>
      <c r="O22" s="194"/>
      <c r="P22" s="194"/>
      <c r="Q22" s="194"/>
      <c r="R22" s="194"/>
      <c r="S22" s="194"/>
      <c r="T22" s="194"/>
      <c r="U22" s="194"/>
      <c r="V22" s="194"/>
      <c r="W22" s="194"/>
    </row>
    <row r="23" spans="1:23" ht="30" customHeight="1" outlineLevel="5" x14ac:dyDescent="0.25">
      <c r="B23" s="9" t="s">
        <v>348</v>
      </c>
      <c r="C23" s="199"/>
      <c r="E23" s="14" t="s">
        <v>2167</v>
      </c>
      <c r="G23" s="220" t="s">
        <v>89</v>
      </c>
      <c r="H23" s="14" t="s">
        <v>14</v>
      </c>
      <c r="I23" s="125" t="str">
        <f>IFERROR(IF(C23="","#N/A, Input cannot be blank",IF(ISNUMBER(SEARCH("|",C23))=FALSE,IFERROR(TEXT(EDATE(C23,0),"MM/DD/YYYY"),"#N/A, Please enter a date format"),IF(LEN(C23)-LEN(SUBSTITUTE(C23,"|",""))=0,C23,IF((IF(LEN(C23)-LEN(SUBSTITUTE(C23,"|",""))=0,C23,LEFT(C23,FIND("|",C23)-1)))-(MID(C23,LEN(IF(LEN(C23)-LEN(SUBSTITUTE(C23,"|",""))=0,C23,LEFT(C23,FIND("|",C23)-1)))+2,LEN(C23)-LEN(IF(LEN(C23)-LEN(SUBSTITUTE(C23,"|",""))=0,C23,LEFT(C23,FIND("|",C23)-1)))))=0,IF(LEN(C23)-LEN(SUBSTITUTE(C23,"|",""))=0,C23,LEFT(C23,FIND("|",C23)-1)),"#N/A, Different effective dates for different plan types, please delete the one that no need")))),"#N/A, Please enter a date format")</f>
        <v>#N/A, Input cannot be blank</v>
      </c>
      <c r="J23" s="145"/>
      <c r="K23" s="145"/>
      <c r="L23" s="14" t="s">
        <v>1418</v>
      </c>
      <c r="M23" s="14" t="s">
        <v>1414</v>
      </c>
      <c r="N23" s="18" t="s">
        <v>2201</v>
      </c>
      <c r="O23" s="14" t="s">
        <v>1416</v>
      </c>
      <c r="P23" s="14" t="s">
        <v>1129</v>
      </c>
      <c r="Q23" s="14" t="s">
        <v>1632</v>
      </c>
      <c r="R23" s="14" t="s">
        <v>2142</v>
      </c>
      <c r="T23" s="14" t="s">
        <v>1441</v>
      </c>
    </row>
    <row r="24" spans="1:23" ht="15" customHeight="1" outlineLevel="5" x14ac:dyDescent="0.25">
      <c r="B24" s="218" t="str">
        <f>G24</f>
        <v>Type of Enrollment:</v>
      </c>
      <c r="C24" s="290"/>
      <c r="E24" s="14" t="s">
        <v>2169</v>
      </c>
      <c r="G24" s="220" t="s">
        <v>90</v>
      </c>
      <c r="H24" s="14" t="s">
        <v>29</v>
      </c>
      <c r="I24" s="189" t="s">
        <v>39</v>
      </c>
      <c r="J24" s="145"/>
      <c r="K24" s="145"/>
      <c r="L24" s="14" t="s">
        <v>1416</v>
      </c>
      <c r="M24" s="14" t="s">
        <v>1415</v>
      </c>
      <c r="N24" s="14" t="s">
        <v>1442</v>
      </c>
      <c r="O24" s="14" t="s">
        <v>1416</v>
      </c>
      <c r="P24" s="14" t="s">
        <v>1415</v>
      </c>
      <c r="Q24" s="14" t="s">
        <v>1422</v>
      </c>
      <c r="R24" s="14" t="s">
        <v>1502</v>
      </c>
      <c r="T24" s="14" t="s">
        <v>1285</v>
      </c>
    </row>
    <row r="25" spans="1:23" ht="15" customHeight="1" outlineLevel="5" x14ac:dyDescent="0.25">
      <c r="B25" s="232" t="s">
        <v>598</v>
      </c>
      <c r="C25" s="199"/>
      <c r="E25" s="14" t="s">
        <v>2168</v>
      </c>
      <c r="G25" s="220" t="s">
        <v>91</v>
      </c>
      <c r="H25" s="14" t="s">
        <v>29</v>
      </c>
      <c r="I25" s="125" t="str">
        <f>IF(C25="","#N/A, Input cannot be blank",C25)</f>
        <v>#N/A, Input cannot be blank</v>
      </c>
      <c r="J25" s="145"/>
      <c r="K25" s="145"/>
      <c r="L25" s="14" t="s">
        <v>587</v>
      </c>
      <c r="M25" s="14" t="s">
        <v>1414</v>
      </c>
      <c r="N25" s="14" t="s">
        <v>1443</v>
      </c>
      <c r="O25" s="14" t="s">
        <v>1416</v>
      </c>
      <c r="P25" s="14" t="s">
        <v>1129</v>
      </c>
      <c r="Q25" s="14" t="s">
        <v>1503</v>
      </c>
      <c r="R25" s="14" t="s">
        <v>1504</v>
      </c>
      <c r="T25" s="14" t="s">
        <v>1231</v>
      </c>
    </row>
    <row r="26" spans="1:23" ht="15" customHeight="1" outlineLevel="5" x14ac:dyDescent="0.25">
      <c r="B26" s="218" t="str">
        <f>G26</f>
        <v>HIPPA Certification:</v>
      </c>
      <c r="C26" s="290"/>
      <c r="E26" s="14" t="s">
        <v>2172</v>
      </c>
      <c r="G26" s="220" t="s">
        <v>473</v>
      </c>
      <c r="H26" s="14" t="s">
        <v>550</v>
      </c>
      <c r="I26" s="189" t="s">
        <v>76</v>
      </c>
      <c r="J26" s="145"/>
      <c r="K26" s="145"/>
      <c r="L26" s="14" t="s">
        <v>1416</v>
      </c>
      <c r="M26" s="14" t="s">
        <v>1415</v>
      </c>
      <c r="N26" s="14" t="s">
        <v>1442</v>
      </c>
      <c r="O26" s="14" t="s">
        <v>1416</v>
      </c>
      <c r="P26" s="14" t="s">
        <v>1415</v>
      </c>
      <c r="Q26" s="14" t="s">
        <v>1505</v>
      </c>
      <c r="R26" s="14" t="s">
        <v>1506</v>
      </c>
      <c r="T26" s="14" t="s">
        <v>1286</v>
      </c>
    </row>
    <row r="27" spans="1:23" ht="15" customHeight="1" outlineLevel="5" x14ac:dyDescent="0.25">
      <c r="B27" s="218" t="str">
        <f>G27</f>
        <v>Other Insurance:</v>
      </c>
      <c r="C27" s="290"/>
      <c r="E27" s="14" t="s">
        <v>2173</v>
      </c>
      <c r="G27" s="220" t="s">
        <v>474</v>
      </c>
      <c r="H27" s="14" t="s">
        <v>29</v>
      </c>
      <c r="I27" s="238" t="s">
        <v>85</v>
      </c>
      <c r="J27" s="145"/>
      <c r="K27" s="145"/>
      <c r="L27" s="14" t="s">
        <v>1416</v>
      </c>
      <c r="M27" s="14" t="s">
        <v>1415</v>
      </c>
      <c r="N27" s="14" t="s">
        <v>1442</v>
      </c>
      <c r="O27" s="14" t="s">
        <v>1416</v>
      </c>
      <c r="P27" s="14" t="s">
        <v>1415</v>
      </c>
      <c r="Q27" s="14" t="s">
        <v>1423</v>
      </c>
      <c r="R27" s="14" t="s">
        <v>1507</v>
      </c>
      <c r="T27" s="14" t="s">
        <v>1287</v>
      </c>
    </row>
    <row r="28" spans="1:23" ht="15" customHeight="1" outlineLevel="5" x14ac:dyDescent="0.25">
      <c r="B28" s="9" t="s">
        <v>554</v>
      </c>
      <c r="C28" s="199"/>
      <c r="E28" s="14" t="s">
        <v>2206</v>
      </c>
      <c r="G28" s="220" t="s">
        <v>92</v>
      </c>
      <c r="H28" s="14" t="s">
        <v>14</v>
      </c>
      <c r="I28" s="125" t="str">
        <f>IF(C28="","#N/A, Input cannot be blank",IFERROR(TEXT(EDATE(C28,0),"MM/DD/YYYY"),"#N/A, Please enter a date format"))</f>
        <v>#N/A, Input cannot be blank</v>
      </c>
      <c r="J28" s="145"/>
      <c r="K28" s="145"/>
      <c r="L28" s="14" t="s">
        <v>1417</v>
      </c>
      <c r="M28" s="14" t="s">
        <v>1414</v>
      </c>
      <c r="N28" s="82" t="s">
        <v>1444</v>
      </c>
      <c r="O28" s="14" t="s">
        <v>1416</v>
      </c>
      <c r="P28" s="14" t="s">
        <v>1129</v>
      </c>
      <c r="Q28" s="14" t="s">
        <v>1508</v>
      </c>
      <c r="R28" s="14" t="s">
        <v>1509</v>
      </c>
      <c r="T28" s="14" t="s">
        <v>1353</v>
      </c>
    </row>
    <row r="29" spans="1:23" ht="15" customHeight="1" outlineLevel="5" x14ac:dyDescent="0.25">
      <c r="B29" s="218" t="str">
        <f>G29</f>
        <v>Prefix:</v>
      </c>
      <c r="C29" s="290"/>
      <c r="E29" s="14" t="s">
        <v>2172</v>
      </c>
      <c r="G29" s="220" t="s">
        <v>478</v>
      </c>
      <c r="H29" s="14" t="s">
        <v>14</v>
      </c>
      <c r="I29" s="189"/>
      <c r="J29" s="145"/>
      <c r="K29" s="145"/>
      <c r="L29" s="14" t="s">
        <v>1416</v>
      </c>
      <c r="M29" s="14" t="s">
        <v>1415</v>
      </c>
      <c r="N29" s="14" t="s">
        <v>1442</v>
      </c>
      <c r="O29" s="14" t="s">
        <v>1416</v>
      </c>
      <c r="P29" s="14" t="s">
        <v>1415</v>
      </c>
      <c r="Q29" s="14" t="s">
        <v>1424</v>
      </c>
      <c r="R29" s="14" t="s">
        <v>1510</v>
      </c>
      <c r="T29" s="2" t="s">
        <v>1222</v>
      </c>
    </row>
    <row r="30" spans="1:23" ht="15" customHeight="1" outlineLevel="5" x14ac:dyDescent="0.25">
      <c r="B30" s="9" t="s">
        <v>87</v>
      </c>
      <c r="C30" s="289" t="str">
        <f>IF(C13="","",C13)</f>
        <v/>
      </c>
      <c r="E30" s="2"/>
      <c r="G30" s="220" t="s">
        <v>93</v>
      </c>
      <c r="H30" s="14" t="s">
        <v>14</v>
      </c>
      <c r="I30" s="125" t="str">
        <f>IF(C30="","#N/A, Input cannot be blank",UPPER(LEFT(C30,20)))</f>
        <v>#N/A, Input cannot be blank</v>
      </c>
      <c r="J30" s="14" t="str">
        <f>IF(LEN(C30)&gt;20,TEXT("Requested EE first name as:","xxx")&amp;" "&amp; TEXT(C30,"xxxxxxx")&amp;","&amp;" "&amp; TEXT("input into BCBS as:","xxxx")&amp;" "&amp; TEXT(I30,"xxxxxxx")&amp;". ","")</f>
        <v/>
      </c>
      <c r="K30" s="7"/>
      <c r="L30" s="14" t="s">
        <v>1417</v>
      </c>
      <c r="M30" s="14" t="s">
        <v>1414</v>
      </c>
      <c r="N30" s="14" t="s">
        <v>1445</v>
      </c>
      <c r="O30" s="14" t="s">
        <v>1416</v>
      </c>
      <c r="P30" s="14" t="s">
        <v>1129</v>
      </c>
      <c r="Q30" s="14" t="s">
        <v>1512</v>
      </c>
      <c r="R30" s="14" t="s">
        <v>2151</v>
      </c>
      <c r="T30" s="14" t="s">
        <v>1354</v>
      </c>
    </row>
    <row r="31" spans="1:23" ht="15" customHeight="1" outlineLevel="5" x14ac:dyDescent="0.25">
      <c r="B31" s="9" t="s">
        <v>552</v>
      </c>
      <c r="C31" s="289" t="str">
        <f>IF(C14="","",C14)</f>
        <v/>
      </c>
      <c r="E31" s="14" t="s">
        <v>2205</v>
      </c>
      <c r="G31" s="220" t="s">
        <v>94</v>
      </c>
      <c r="H31" s="14" t="s">
        <v>14</v>
      </c>
      <c r="I31" s="125" t="str">
        <f>IF(C31="","",LEFT(UPPER(C31)))</f>
        <v/>
      </c>
      <c r="J31" s="145"/>
      <c r="K31" s="145"/>
      <c r="L31" s="14" t="s">
        <v>1417</v>
      </c>
      <c r="M31" s="14" t="s">
        <v>1414</v>
      </c>
      <c r="N31" s="14" t="s">
        <v>1446</v>
      </c>
      <c r="O31" s="14" t="s">
        <v>1416</v>
      </c>
      <c r="P31" s="14" t="s">
        <v>1129</v>
      </c>
      <c r="Q31" s="14" t="s">
        <v>1511</v>
      </c>
      <c r="R31" s="14" t="s">
        <v>1513</v>
      </c>
      <c r="T31" s="14" t="s">
        <v>1234</v>
      </c>
    </row>
    <row r="32" spans="1:23" ht="15" customHeight="1" outlineLevel="5" x14ac:dyDescent="0.25">
      <c r="B32" s="9" t="s">
        <v>88</v>
      </c>
      <c r="C32" s="289" t="str">
        <f>IF(C12="","",C12)</f>
        <v/>
      </c>
      <c r="E32" s="2"/>
      <c r="G32" s="220" t="s">
        <v>95</v>
      </c>
      <c r="H32" s="14" t="s">
        <v>14</v>
      </c>
      <c r="I32" s="125" t="str">
        <f>IF(C32="","#N/A, Input cannot be blank",UPPER(C32))</f>
        <v>#N/A, Input cannot be blank</v>
      </c>
      <c r="J32" s="14" t="str">
        <f>IF(LEN(C32)&gt;20,TEXT("Requested EE last name as:","xxx")&amp;" "&amp; TEXT(C32,"xxxxxxx")&amp;","&amp;" "&amp;TEXT("input into BCBS as:","xxxx")&amp;" "&amp; TEXT(I32,"xxxxxxx")&amp;". ","")</f>
        <v/>
      </c>
      <c r="K32" s="7"/>
      <c r="L32" s="14" t="s">
        <v>1417</v>
      </c>
      <c r="M32" s="14" t="s">
        <v>1414</v>
      </c>
      <c r="N32" s="14" t="s">
        <v>1447</v>
      </c>
      <c r="O32" s="14" t="s">
        <v>1416</v>
      </c>
      <c r="P32" s="14" t="s">
        <v>1129</v>
      </c>
      <c r="Q32" s="14" t="s">
        <v>1512</v>
      </c>
      <c r="R32" s="14" t="s">
        <v>2152</v>
      </c>
      <c r="T32" s="14" t="s">
        <v>1223</v>
      </c>
    </row>
    <row r="33" spans="2:20" ht="15" customHeight="1" outlineLevel="5" x14ac:dyDescent="0.25">
      <c r="B33" s="218" t="s">
        <v>155</v>
      </c>
      <c r="C33" s="290"/>
      <c r="E33" s="14" t="s">
        <v>2172</v>
      </c>
      <c r="G33" s="220" t="s">
        <v>471</v>
      </c>
      <c r="H33" s="14" t="s">
        <v>14</v>
      </c>
      <c r="I33" s="189"/>
      <c r="J33" s="145"/>
      <c r="K33" s="145"/>
      <c r="L33" s="14" t="s">
        <v>1417</v>
      </c>
      <c r="M33" s="14" t="s">
        <v>1414</v>
      </c>
      <c r="N33" s="14" t="s">
        <v>1448</v>
      </c>
      <c r="O33" s="14" t="s">
        <v>1416</v>
      </c>
      <c r="P33" s="14" t="s">
        <v>1415</v>
      </c>
      <c r="Q33" s="14" t="s">
        <v>1424</v>
      </c>
      <c r="R33" s="14" t="s">
        <v>1514</v>
      </c>
      <c r="T33" s="14" t="s">
        <v>1214</v>
      </c>
    </row>
    <row r="34" spans="2:20" ht="30" customHeight="1" outlineLevel="5" x14ac:dyDescent="0.25">
      <c r="B34" s="9" t="s">
        <v>2</v>
      </c>
      <c r="C34" s="199"/>
      <c r="E34" s="14" t="s">
        <v>2214</v>
      </c>
      <c r="G34" s="220" t="s">
        <v>96</v>
      </c>
      <c r="H34" s="14" t="s">
        <v>29</v>
      </c>
      <c r="I34" s="125" t="str">
        <f>IF(C34="","#N/A, Input cannot be blank",IF(C34="M", "Male",IF(C34="F","Female","#N/A, Unidentified gender, please select from output dropdown list")))</f>
        <v>#N/A, Input cannot be blank</v>
      </c>
      <c r="J34" s="145"/>
      <c r="K34" s="145"/>
      <c r="L34" s="14" t="s">
        <v>1417</v>
      </c>
      <c r="M34" s="14" t="s">
        <v>1414</v>
      </c>
      <c r="N34" s="14" t="s">
        <v>1449</v>
      </c>
      <c r="O34" s="14" t="s">
        <v>1416</v>
      </c>
      <c r="P34" s="14" t="s">
        <v>1129</v>
      </c>
      <c r="Q34" s="14" t="s">
        <v>1515</v>
      </c>
      <c r="R34" s="14" t="s">
        <v>1516</v>
      </c>
      <c r="T34" s="14" t="s">
        <v>1215</v>
      </c>
    </row>
    <row r="35" spans="2:20" ht="15" customHeight="1" outlineLevel="5" x14ac:dyDescent="0.25">
      <c r="B35" s="9" t="str">
        <f>B11</f>
        <v>SSN</v>
      </c>
      <c r="C35" s="289" t="str">
        <f>IF(C11="","",C11)</f>
        <v/>
      </c>
      <c r="G35" s="220" t="s">
        <v>97</v>
      </c>
      <c r="H35" s="14" t="s">
        <v>14</v>
      </c>
      <c r="I35" s="125" t="str">
        <f>IF(C35="","#N/A, Input cannot be blank",IF(LEN(SUBSTITUTE(C35,"-",""))=9,SUBSTITUTE(C35,"-",""),"#N/A, SSN# must be 9 digits"))</f>
        <v>#N/A, Input cannot be blank</v>
      </c>
      <c r="J35" s="145"/>
      <c r="K35" s="145"/>
      <c r="L35" s="14" t="s">
        <v>1417</v>
      </c>
      <c r="M35" s="14" t="s">
        <v>1414</v>
      </c>
      <c r="N35" s="14" t="s">
        <v>1450</v>
      </c>
      <c r="O35" s="14" t="s">
        <v>1416</v>
      </c>
      <c r="P35" s="14" t="s">
        <v>1129</v>
      </c>
      <c r="Q35" s="14" t="s">
        <v>1518</v>
      </c>
      <c r="R35" s="14" t="s">
        <v>1519</v>
      </c>
      <c r="T35" s="14" t="s">
        <v>1229</v>
      </c>
    </row>
    <row r="36" spans="2:20" ht="15" customHeight="1" outlineLevel="5" x14ac:dyDescent="0.25">
      <c r="B36" s="9" t="str">
        <f>B15</f>
        <v>DOB</v>
      </c>
      <c r="C36" s="197"/>
      <c r="G36" s="220" t="s">
        <v>98</v>
      </c>
      <c r="H36" s="14" t="s">
        <v>14</v>
      </c>
      <c r="I36" s="125" t="str">
        <f>IF(C36="","#N/A, Input cannot be blank",IFERROR(TEXT(EDATE(C36,0),"MM/DD/YYYY"),"#N/A,  Please enter a date format"))</f>
        <v>#N/A, Input cannot be blank</v>
      </c>
      <c r="J36" s="145"/>
      <c r="K36" s="145"/>
      <c r="L36" s="14" t="s">
        <v>1417</v>
      </c>
      <c r="M36" s="14" t="s">
        <v>1414</v>
      </c>
      <c r="N36" s="14" t="s">
        <v>1451</v>
      </c>
      <c r="O36" s="14" t="s">
        <v>1416</v>
      </c>
      <c r="P36" s="14" t="s">
        <v>1129</v>
      </c>
      <c r="Q36" s="14" t="s">
        <v>1508</v>
      </c>
      <c r="R36" s="14" t="s">
        <v>1520</v>
      </c>
      <c r="T36" s="14" t="s">
        <v>1216</v>
      </c>
    </row>
    <row r="37" spans="2:20" ht="30" customHeight="1" outlineLevel="5" x14ac:dyDescent="0.25">
      <c r="B37" s="9" t="s">
        <v>481</v>
      </c>
      <c r="C37" s="199"/>
      <c r="E37" s="14" t="s">
        <v>2207</v>
      </c>
      <c r="G37" s="220" t="s">
        <v>99</v>
      </c>
      <c r="H37" s="14" t="s">
        <v>29</v>
      </c>
      <c r="I37" s="125" t="str">
        <f>IF(C37="","#N/A, Input cannot be blank",IF(C37="Unknown","Unknown",IF(C37="Single","Single",IF(C37="Married","Married",IF(C37="Divorced","Divorced",IF(C37="Widowed","Widowed","#N/A, Uncertain marital status, please select from output dropdown list"))))))</f>
        <v>#N/A, Input cannot be blank</v>
      </c>
      <c r="J37" s="145"/>
      <c r="K37" s="145"/>
      <c r="L37" s="14" t="s">
        <v>1417</v>
      </c>
      <c r="M37" s="14" t="s">
        <v>1414</v>
      </c>
      <c r="N37" s="14" t="s">
        <v>1634</v>
      </c>
      <c r="O37" s="14" t="s">
        <v>1416</v>
      </c>
      <c r="P37" s="14" t="s">
        <v>1129</v>
      </c>
      <c r="Q37" s="14" t="s">
        <v>1521</v>
      </c>
      <c r="R37" s="14" t="s">
        <v>2143</v>
      </c>
      <c r="T37" s="14" t="s">
        <v>1622</v>
      </c>
    </row>
    <row r="38" spans="2:20" ht="15" customHeight="1" outlineLevel="5" x14ac:dyDescent="0.25">
      <c r="B38" s="9" t="s">
        <v>555</v>
      </c>
      <c r="C38" s="197"/>
      <c r="E38" s="2"/>
      <c r="G38" s="220" t="s">
        <v>100</v>
      </c>
      <c r="H38" s="14" t="s">
        <v>14</v>
      </c>
      <c r="I38" s="125" t="str">
        <f>IF(C38="","#N/A, Input cannot be blank",IFERROR(TEXT(EDATE(C38,0),"MM/DD/YYYY"),"#N/A,  Please enter a date format"))</f>
        <v>#N/A, Input cannot be blank</v>
      </c>
      <c r="J38" s="145"/>
      <c r="K38" s="145"/>
      <c r="L38" s="14" t="s">
        <v>1417</v>
      </c>
      <c r="M38" s="14" t="s">
        <v>1414</v>
      </c>
      <c r="N38" s="14" t="s">
        <v>2105</v>
      </c>
      <c r="O38" s="14" t="s">
        <v>1416</v>
      </c>
      <c r="P38" s="14" t="s">
        <v>1129</v>
      </c>
      <c r="Q38" s="14" t="s">
        <v>1508</v>
      </c>
      <c r="R38" s="14" t="s">
        <v>1522</v>
      </c>
      <c r="T38" s="14" t="s">
        <v>1218</v>
      </c>
    </row>
    <row r="39" spans="2:20" ht="15" customHeight="1" outlineLevel="5" x14ac:dyDescent="0.25">
      <c r="B39" s="218" t="str">
        <f>G39</f>
        <v>Status:</v>
      </c>
      <c r="C39" s="290"/>
      <c r="E39" s="14" t="s">
        <v>2174</v>
      </c>
      <c r="G39" s="220" t="s">
        <v>101</v>
      </c>
      <c r="H39" s="14" t="s">
        <v>29</v>
      </c>
      <c r="I39" s="189" t="s">
        <v>58</v>
      </c>
      <c r="J39" s="145"/>
      <c r="K39" s="145"/>
      <c r="L39" s="14" t="s">
        <v>1416</v>
      </c>
      <c r="M39" s="14" t="s">
        <v>1415</v>
      </c>
      <c r="N39" s="14" t="s">
        <v>1442</v>
      </c>
      <c r="O39" s="14" t="s">
        <v>1416</v>
      </c>
      <c r="P39" s="14" t="s">
        <v>1415</v>
      </c>
      <c r="Q39" s="14" t="s">
        <v>1425</v>
      </c>
      <c r="R39" s="14" t="s">
        <v>1523</v>
      </c>
      <c r="T39" s="14" t="s">
        <v>1221</v>
      </c>
    </row>
    <row r="40" spans="2:20" ht="30" customHeight="1" outlineLevel="5" x14ac:dyDescent="0.25">
      <c r="B40" s="10" t="s">
        <v>1352</v>
      </c>
      <c r="C40" s="291" t="str">
        <f>IF(OR(C36="",C23=""),"#N/A, Enrollment Start Date and/or DOB cannot be blank",IF(ISNUMBER(SEARCH("#N/A",I23)),"#N/A, Please check Enrollment Start Date",IF(ISNUMBER(SEARCH("#N/A",I36)),"#N/A, Please check DOB",IF(I23-I36&lt;=0,"#N/A, Enrollment Start Date&lt;=DOB, please double check",DATEDIF(I36,I23,"Y")))))</f>
        <v>#N/A, Enrollment Start Date and/or DOB cannot be blank</v>
      </c>
      <c r="E40" s="14" t="s">
        <v>2208</v>
      </c>
      <c r="G40" s="220" t="s">
        <v>102</v>
      </c>
      <c r="H40" s="14" t="s">
        <v>29</v>
      </c>
      <c r="I40" s="125" t="str">
        <f>IFERROR(IF(OR(C40="",ISNUMBER(SEARCH("#N/A",C40))),"#N/A, Please check error note in the input field",IF(C40&lt;65,"Unknown","No")),"#N/A, Please check enrollment start date and hire date")</f>
        <v>#N/A, Please check error note in the input field</v>
      </c>
      <c r="J40" s="145"/>
      <c r="K40" s="145"/>
      <c r="L40" s="14" t="s">
        <v>1416</v>
      </c>
      <c r="M40" s="14" t="s">
        <v>1129</v>
      </c>
      <c r="N40" s="14" t="s">
        <v>1452</v>
      </c>
      <c r="O40" s="14" t="s">
        <v>1416</v>
      </c>
      <c r="P40" s="14" t="s">
        <v>1129</v>
      </c>
      <c r="Q40" s="14" t="s">
        <v>1524</v>
      </c>
      <c r="R40" s="14" t="s">
        <v>1525</v>
      </c>
      <c r="T40" s="14" t="s">
        <v>1217</v>
      </c>
    </row>
    <row r="41" spans="2:20" ht="15" customHeight="1" outlineLevel="5" x14ac:dyDescent="0.25">
      <c r="B41" s="218" t="str">
        <f>G41</f>
        <v>Native Language:</v>
      </c>
      <c r="C41" s="290"/>
      <c r="E41" s="14" t="s">
        <v>2175</v>
      </c>
      <c r="G41" s="220" t="s">
        <v>484</v>
      </c>
      <c r="H41" s="14" t="s">
        <v>29</v>
      </c>
      <c r="I41" s="238" t="s">
        <v>485</v>
      </c>
      <c r="J41" s="145"/>
      <c r="K41" s="145"/>
      <c r="L41" s="14" t="s">
        <v>1416</v>
      </c>
      <c r="M41" s="14" t="s">
        <v>1415</v>
      </c>
      <c r="N41" s="14" t="s">
        <v>565</v>
      </c>
      <c r="O41" s="14" t="s">
        <v>1416</v>
      </c>
      <c r="P41" s="14" t="s">
        <v>1415</v>
      </c>
      <c r="Q41" s="14" t="s">
        <v>1426</v>
      </c>
      <c r="R41" s="14" t="s">
        <v>1526</v>
      </c>
      <c r="T41" s="14" t="s">
        <v>1268</v>
      </c>
    </row>
    <row r="42" spans="2:20" ht="15" customHeight="1" outlineLevel="5" x14ac:dyDescent="0.25">
      <c r="B42" s="218" t="str">
        <f>G42</f>
        <v>Preferred Written Language:</v>
      </c>
      <c r="C42" s="290"/>
      <c r="E42" s="14" t="s">
        <v>2175</v>
      </c>
      <c r="G42" s="220" t="s">
        <v>486</v>
      </c>
      <c r="H42" s="14" t="s">
        <v>29</v>
      </c>
      <c r="I42" s="238" t="s">
        <v>485</v>
      </c>
      <c r="J42" s="145"/>
      <c r="K42" s="145"/>
      <c r="L42" s="14" t="s">
        <v>1416</v>
      </c>
      <c r="M42" s="14" t="s">
        <v>1415</v>
      </c>
      <c r="N42" s="14" t="s">
        <v>565</v>
      </c>
      <c r="O42" s="14" t="s">
        <v>1416</v>
      </c>
      <c r="P42" s="14" t="s">
        <v>1415</v>
      </c>
      <c r="Q42" s="14" t="s">
        <v>1426</v>
      </c>
      <c r="R42" s="14" t="s">
        <v>1527</v>
      </c>
      <c r="T42" s="14" t="s">
        <v>1269</v>
      </c>
    </row>
    <row r="43" spans="2:20" ht="15" customHeight="1" outlineLevel="5" x14ac:dyDescent="0.25">
      <c r="B43" s="218" t="str">
        <f>G43</f>
        <v>Preferred Spoken Language:</v>
      </c>
      <c r="C43" s="290"/>
      <c r="E43" s="14" t="s">
        <v>2175</v>
      </c>
      <c r="G43" s="220" t="s">
        <v>487</v>
      </c>
      <c r="H43" s="14" t="s">
        <v>29</v>
      </c>
      <c r="I43" s="238" t="s">
        <v>485</v>
      </c>
      <c r="J43" s="145"/>
      <c r="K43" s="145"/>
      <c r="L43" s="14" t="s">
        <v>1416</v>
      </c>
      <c r="M43" s="14" t="s">
        <v>1415</v>
      </c>
      <c r="N43" s="14" t="s">
        <v>565</v>
      </c>
      <c r="O43" s="14" t="s">
        <v>1416</v>
      </c>
      <c r="P43" s="14" t="s">
        <v>1415</v>
      </c>
      <c r="Q43" s="14" t="s">
        <v>1426</v>
      </c>
      <c r="R43" s="14" t="s">
        <v>1528</v>
      </c>
      <c r="T43" s="14" t="s">
        <v>1270</v>
      </c>
    </row>
    <row r="44" spans="2:20" ht="15" customHeight="1" outlineLevel="5" x14ac:dyDescent="0.25">
      <c r="B44" s="218" t="s">
        <v>325</v>
      </c>
      <c r="C44" s="290"/>
      <c r="E44" s="14" t="s">
        <v>2173</v>
      </c>
      <c r="G44" s="220" t="s">
        <v>488</v>
      </c>
      <c r="H44" s="14" t="s">
        <v>558</v>
      </c>
      <c r="I44" s="238" t="s">
        <v>475</v>
      </c>
      <c r="J44" s="145"/>
      <c r="K44" s="145"/>
      <c r="L44" s="14" t="s">
        <v>1417</v>
      </c>
      <c r="M44" s="14" t="s">
        <v>1414</v>
      </c>
      <c r="N44" s="14" t="s">
        <v>1453</v>
      </c>
      <c r="O44" s="14" t="s">
        <v>1416</v>
      </c>
      <c r="P44" s="14" t="s">
        <v>1415</v>
      </c>
      <c r="Q44" s="14" t="s">
        <v>1427</v>
      </c>
      <c r="R44" s="14" t="s">
        <v>1529</v>
      </c>
      <c r="T44" s="14" t="s">
        <v>1220</v>
      </c>
    </row>
    <row r="45" spans="2:20" ht="15" customHeight="1" outlineLevel="5" x14ac:dyDescent="0.25">
      <c r="B45" s="218" t="s">
        <v>325</v>
      </c>
      <c r="C45" s="290"/>
      <c r="E45" s="14" t="s">
        <v>2173</v>
      </c>
      <c r="G45" s="220" t="s">
        <v>492</v>
      </c>
      <c r="H45" s="14" t="s">
        <v>558</v>
      </c>
      <c r="I45" s="238" t="s">
        <v>475</v>
      </c>
      <c r="J45" s="145"/>
      <c r="K45" s="145"/>
      <c r="L45" s="14" t="s">
        <v>1417</v>
      </c>
      <c r="M45" s="14" t="s">
        <v>1414</v>
      </c>
      <c r="N45" s="14" t="s">
        <v>1453</v>
      </c>
      <c r="O45" s="14" t="s">
        <v>1416</v>
      </c>
      <c r="P45" s="14" t="s">
        <v>1415</v>
      </c>
      <c r="Q45" s="14" t="s">
        <v>1427</v>
      </c>
      <c r="R45" s="14" t="s">
        <v>1530</v>
      </c>
      <c r="T45" s="14" t="s">
        <v>1219</v>
      </c>
    </row>
    <row r="46" spans="2:20" ht="15" customHeight="1" outlineLevel="5" x14ac:dyDescent="0.25">
      <c r="B46" s="218" t="s">
        <v>1198</v>
      </c>
      <c r="C46" s="290" t="s">
        <v>1882</v>
      </c>
      <c r="E46" s="14" t="s">
        <v>2176</v>
      </c>
      <c r="G46" s="220" t="s">
        <v>442</v>
      </c>
      <c r="H46" s="14" t="s">
        <v>29</v>
      </c>
      <c r="I46" s="238" t="s">
        <v>502</v>
      </c>
      <c r="J46" s="145"/>
      <c r="K46" s="145"/>
      <c r="L46" s="14" t="s">
        <v>1417</v>
      </c>
      <c r="M46" s="14" t="s">
        <v>1414</v>
      </c>
      <c r="N46" s="14" t="s">
        <v>1454</v>
      </c>
      <c r="O46" s="14" t="s">
        <v>1416</v>
      </c>
      <c r="P46" s="14" t="s">
        <v>1415</v>
      </c>
      <c r="Q46" s="14" t="s">
        <v>1428</v>
      </c>
      <c r="R46" s="14" t="s">
        <v>1531</v>
      </c>
      <c r="T46" s="14" t="s">
        <v>1455</v>
      </c>
    </row>
    <row r="47" spans="2:20" ht="15" customHeight="1" outlineLevel="5" x14ac:dyDescent="0.25">
      <c r="B47" s="218" t="str">
        <f>G47</f>
        <v>In care of:</v>
      </c>
      <c r="C47" s="290"/>
      <c r="E47" s="14" t="s">
        <v>2177</v>
      </c>
      <c r="G47" s="220" t="s">
        <v>503</v>
      </c>
      <c r="H47" s="14" t="s">
        <v>14</v>
      </c>
      <c r="I47" s="238"/>
      <c r="J47" s="145"/>
      <c r="K47" s="145"/>
      <c r="L47" s="14" t="s">
        <v>1416</v>
      </c>
      <c r="M47" s="14" t="s">
        <v>1415</v>
      </c>
      <c r="N47" s="14" t="s">
        <v>565</v>
      </c>
      <c r="O47" s="14" t="s">
        <v>1416</v>
      </c>
      <c r="P47" s="14" t="s">
        <v>1415</v>
      </c>
      <c r="Q47" s="14" t="s">
        <v>1424</v>
      </c>
      <c r="R47" s="14" t="s">
        <v>1532</v>
      </c>
      <c r="S47" s="1" t="s">
        <v>1665</v>
      </c>
      <c r="T47" s="14" t="s">
        <v>1456</v>
      </c>
    </row>
    <row r="48" spans="2:20" ht="15" customHeight="1" outlineLevel="5" x14ac:dyDescent="0.25">
      <c r="B48" s="9" t="s">
        <v>556</v>
      </c>
      <c r="C48" s="200" t="s">
        <v>2224</v>
      </c>
      <c r="E48" s="14" t="s">
        <v>2218</v>
      </c>
      <c r="G48" s="220" t="s">
        <v>103</v>
      </c>
      <c r="H48" s="14" t="s">
        <v>14</v>
      </c>
      <c r="I48" s="125" t="str">
        <f>TRIM(IF(OR(C48="",ISNUMBER(SEARCH("&lt;",C48))),"#N/A, Input cannot be blank",SUBSTITUTE(SUBSTITUTE(SUBSTITUTE(UPPER(IF(LEN(C48&amp;" "&amp;C49)&lt;=25, C48&amp;" "&amp;C49, LEFT(LEFT(C48&amp;" " &amp;C49,25),FIND("|",SUBSTITUTE(LEFT(C48&amp;" " &amp;C49,25)," ","|",LEN(LEFT(C48&amp;" " &amp;C49,25))-LEN(SUBSTITUTE(LEFT(C48&amp;" " &amp;C49,25)," ",""))))-1))),".",""),"#",""),",","")))</f>
        <v>#N/A, Input cannot be blank</v>
      </c>
      <c r="J48" s="14" t="str">
        <f>IF(LEN(C48&amp;" "&amp;C49)&gt;50,TEXT("Requested Address as:","xxx")&amp;" "&amp; TEXT(C48&amp;" "&amp;C49,"xxxxxxx")&amp;","&amp;" "&amp;TEXT("input into BCBS as:","xxxx")&amp;" "&amp; TEXT(I48&amp;" "&amp;I49,"xxxxxxx")&amp;". ","")</f>
        <v/>
      </c>
      <c r="K48" s="7"/>
      <c r="L48" s="14" t="s">
        <v>1417</v>
      </c>
      <c r="M48" s="14" t="s">
        <v>1414</v>
      </c>
      <c r="N48" s="14" t="s">
        <v>1636</v>
      </c>
      <c r="O48" s="14" t="s">
        <v>1416</v>
      </c>
      <c r="P48" s="14" t="s">
        <v>1129</v>
      </c>
      <c r="Q48" s="14" t="s">
        <v>1637</v>
      </c>
      <c r="R48" s="182" t="s">
        <v>2153</v>
      </c>
      <c r="S48" s="40" t="e">
        <f>IF(LEN(#REF!&amp;" "&amp;#REF!)&gt;50,"N/A","Error")</f>
        <v>#REF!</v>
      </c>
      <c r="T48" s="14" t="s">
        <v>1630</v>
      </c>
    </row>
    <row r="49" spans="1:23" ht="15" customHeight="1" outlineLevel="5" x14ac:dyDescent="0.25">
      <c r="B49" s="9" t="s">
        <v>557</v>
      </c>
      <c r="C49" s="200"/>
      <c r="E49" s="14" t="s">
        <v>2209</v>
      </c>
      <c r="G49" s="220" t="s">
        <v>104</v>
      </c>
      <c r="H49" s="14" t="s">
        <v>14</v>
      </c>
      <c r="I49" s="125" t="str">
        <f>TRIM(SUBSTITUTE(SUBSTITUTE(SUBSTITUTE(UPPER(IF(LEN(IF(C49="",C48,C48&amp;" "&amp;C49))&lt;25,"",IF(LEN(RIGHT(IF(C49="",C48,C48&amp;" "&amp;C49),LEN(IF(C49="",C48,C48&amp;" "&amp;C49))-LEN(I48)-1))&lt;=25,RIGHT(IF(C49="",C48,C48&amp;" "&amp;C49),LEN(IF(C49="",C48,C48&amp;" "&amp;C49))-LEN(I48)-1),LEFT(LEFT(RIGHT(IF(C49="",C48,C48&amp;" "&amp;C49),LEN(IF(C49="",C48,C48&amp;" "&amp;C49))-LEN(I48)-1),25),FIND("|",SUBSTITUTE(LEFT(RIGHT(IF(C49="",C48,C48&amp;" "&amp;C49),LEN(IF(C49="",C48,C48&amp;" "&amp;C49))-LEN(I48)-1),25)," ","|",LEN(LEFT(RIGHT(IF(C49="",C48,C48&amp;" "&amp;C49),LEN(IF(C49="",C48,C48&amp;" "&amp;C49))-LEN(I48)-1),25))-LEN(SUBSTITUTE(LEFT(RIGHT(IF(C49="",C48,C48&amp;" "&amp;C49),LEN(IF(C49="",C48,C48&amp;" "&amp;C49))-LEN(I48)-1),25)," ",""))))-1)))),".",""),"#",""),",",""))</f>
        <v/>
      </c>
      <c r="J49" s="145"/>
      <c r="K49" s="145"/>
      <c r="L49" s="14" t="s">
        <v>1417</v>
      </c>
      <c r="M49" s="14" t="s">
        <v>1414</v>
      </c>
      <c r="N49" s="14" t="s">
        <v>1623</v>
      </c>
      <c r="O49" s="14" t="s">
        <v>1416</v>
      </c>
      <c r="P49" s="14" t="s">
        <v>1129</v>
      </c>
      <c r="Q49" s="14" t="s">
        <v>1638</v>
      </c>
      <c r="R49" s="14" t="s">
        <v>1533</v>
      </c>
      <c r="S49" s="7" t="e">
        <v>#VALUE!</v>
      </c>
      <c r="T49" s="2" t="s">
        <v>1631</v>
      </c>
    </row>
    <row r="50" spans="1:23" ht="15" customHeight="1" outlineLevel="5" x14ac:dyDescent="0.25">
      <c r="B50" s="9" t="s">
        <v>6</v>
      </c>
      <c r="C50" s="197"/>
      <c r="G50" s="220" t="s">
        <v>105</v>
      </c>
      <c r="H50" s="14" t="s">
        <v>14</v>
      </c>
      <c r="I50" s="125" t="str">
        <f>IF(C50="","#N/A, Input cannot be blank",UPPER(C50))</f>
        <v>#N/A, Input cannot be blank</v>
      </c>
      <c r="J50" s="145"/>
      <c r="K50" s="145"/>
      <c r="L50" s="14" t="s">
        <v>1417</v>
      </c>
      <c r="M50" s="14" t="s">
        <v>1414</v>
      </c>
      <c r="N50" s="14" t="s">
        <v>1457</v>
      </c>
      <c r="O50" s="14" t="s">
        <v>1416</v>
      </c>
      <c r="P50" s="14" t="s">
        <v>1129</v>
      </c>
      <c r="Q50" s="14" t="s">
        <v>1512</v>
      </c>
      <c r="R50" s="14" t="s">
        <v>1535</v>
      </c>
      <c r="S50" s="7" t="e">
        <f>LEFT(#REF!&amp;" " &amp;#REF!,25)</f>
        <v>#REF!</v>
      </c>
      <c r="T50" s="14" t="s">
        <v>1534</v>
      </c>
    </row>
    <row r="51" spans="1:23" ht="15" customHeight="1" outlineLevel="5" x14ac:dyDescent="0.25">
      <c r="B51" s="9" t="s">
        <v>7</v>
      </c>
      <c r="C51" s="197"/>
      <c r="E51" s="14"/>
      <c r="G51" s="220" t="s">
        <v>106</v>
      </c>
      <c r="H51" s="14" t="s">
        <v>29</v>
      </c>
      <c r="I51" s="125" t="str">
        <f>IF(C51="","#N/A, Input cannot be blank",IFERROR(INDEX('Dropdown list'!AU:AU,MATCH(C51,'Dropdown list'!AU:AU,0),1),INDEX('Dropdown list'!AU:AU,MATCH(C51,'Dropdown list'!AT:AT,0),1)))</f>
        <v>#N/A, Input cannot be blank</v>
      </c>
      <c r="J51" s="145"/>
      <c r="K51" s="145"/>
      <c r="L51" s="14" t="s">
        <v>1417</v>
      </c>
      <c r="M51" s="14" t="s">
        <v>1414</v>
      </c>
      <c r="N51" s="14" t="s">
        <v>1458</v>
      </c>
      <c r="O51" s="14" t="s">
        <v>1416</v>
      </c>
      <c r="P51" s="14" t="s">
        <v>1129</v>
      </c>
      <c r="Q51" s="14" t="s">
        <v>1541</v>
      </c>
      <c r="R51" s="14" t="s">
        <v>1536</v>
      </c>
      <c r="S51" s="7"/>
      <c r="T51" s="14" t="s">
        <v>1540</v>
      </c>
    </row>
    <row r="52" spans="1:23" ht="15" customHeight="1" outlineLevel="5" x14ac:dyDescent="0.25">
      <c r="B52" s="9" t="s">
        <v>19</v>
      </c>
      <c r="C52" s="197"/>
      <c r="E52" s="14" t="s">
        <v>2213</v>
      </c>
      <c r="G52" s="220" t="s">
        <v>107</v>
      </c>
      <c r="H52" s="14" t="s">
        <v>14</v>
      </c>
      <c r="I52" s="125" t="str">
        <f>IF(C52="","#N/A, Input cannot be blank",IF(OR(LEN(SUBSTITUTE(C52,"-",""))=9,(LEN(SUBSTITUTE(C52,"-",""))=5)),SUBSTITUTE(C52,"-",""),"#N/A, Zip code must be 5 or 9 digits"))</f>
        <v>#N/A, Input cannot be blank</v>
      </c>
      <c r="J52" s="145"/>
      <c r="K52" s="145"/>
      <c r="L52" s="14" t="s">
        <v>1417</v>
      </c>
      <c r="M52" s="14" t="s">
        <v>1414</v>
      </c>
      <c r="N52" s="14" t="s">
        <v>1459</v>
      </c>
      <c r="O52" s="14" t="s">
        <v>1416</v>
      </c>
      <c r="P52" s="14" t="s">
        <v>1129</v>
      </c>
      <c r="Q52" s="14" t="s">
        <v>1544</v>
      </c>
      <c r="R52" s="14" t="s">
        <v>1537</v>
      </c>
      <c r="S52" s="7" t="e">
        <f>FIND("|",SUBSTITUTE(LEFT(#REF!&amp;" " &amp;#REF!,25)," ","|",LEN(LEFT(#REF!&amp;" " &amp;#REF!,25))-LEN(SUBSTITUTE(LEFT(#REF!&amp;" " &amp;#REF!,25)," ",""))))-1</f>
        <v>#REF!</v>
      </c>
      <c r="T52" s="14" t="s">
        <v>1224</v>
      </c>
    </row>
    <row r="53" spans="1:23" ht="15" customHeight="1" outlineLevel="5" x14ac:dyDescent="0.25">
      <c r="B53" s="9" t="s">
        <v>20</v>
      </c>
      <c r="C53" s="197"/>
      <c r="G53" s="220" t="s">
        <v>108</v>
      </c>
      <c r="H53" s="14" t="s">
        <v>14</v>
      </c>
      <c r="I53" s="125" t="str">
        <f>IF(C53="","",SUBSTITUTE(SUBSTITUTE(SUBSTITUTE(C53,"-",""),"(",""),")",""))</f>
        <v/>
      </c>
      <c r="J53" s="145"/>
      <c r="K53" s="145"/>
      <c r="L53" s="14" t="s">
        <v>1417</v>
      </c>
      <c r="M53" s="14" t="s">
        <v>1414</v>
      </c>
      <c r="N53" s="14" t="s">
        <v>2149</v>
      </c>
      <c r="O53" s="14" t="s">
        <v>1416</v>
      </c>
      <c r="P53" s="14" t="s">
        <v>1129</v>
      </c>
      <c r="Q53" s="14" t="s">
        <v>1543</v>
      </c>
      <c r="R53" s="14" t="s">
        <v>1538</v>
      </c>
      <c r="S53" s="7" t="e">
        <f>FIND("|",SUBSTITUTE(S50," ","|",LEN(S50)-LEN(SUBSTITUTE(S50," ",""))))-1</f>
        <v>#REF!</v>
      </c>
      <c r="T53" s="14" t="s">
        <v>1539</v>
      </c>
    </row>
    <row r="54" spans="1:23" ht="15" customHeight="1" outlineLevel="5" x14ac:dyDescent="0.25">
      <c r="B54" s="9" t="s">
        <v>1235</v>
      </c>
      <c r="C54" s="233" t="s">
        <v>2225</v>
      </c>
      <c r="E54" s="14" t="s">
        <v>2210</v>
      </c>
      <c r="G54" s="220" t="s">
        <v>109</v>
      </c>
      <c r="H54" s="14" t="s">
        <v>14</v>
      </c>
      <c r="I54" s="150" t="str">
        <f>IF(C44&lt;&gt;"","",IF(OR(C54="",ISNUMBER(SEARCH("&lt;",C54))),SUBSTITUTE(SUBSTITUTE(SUBSTITUTE(C55,"-",""),"(",""),")",""),SUBSTITUTE(SUBSTITUTE(SUBSTITUTE(C54,"-",""),"(",""),")","")))</f>
        <v/>
      </c>
      <c r="J54" s="174"/>
      <c r="K54" s="174"/>
      <c r="L54" s="14" t="s">
        <v>1417</v>
      </c>
      <c r="M54" s="14" t="s">
        <v>1414</v>
      </c>
      <c r="N54" s="14" t="s">
        <v>1461</v>
      </c>
      <c r="O54" s="14" t="s">
        <v>1416</v>
      </c>
      <c r="P54" s="14" t="s">
        <v>1129</v>
      </c>
      <c r="Q54" s="14" t="s">
        <v>2113</v>
      </c>
      <c r="R54" s="14" t="s">
        <v>1542</v>
      </c>
      <c r="S54" s="7" t="e">
        <f>LEFT(LEFT(#REF!&amp;" " &amp;#REF!,25),FIND("|",SUBSTITUTE(LEFT(#REF!&amp;" " &amp;#REF!,25)," ","|",LEN(LEFT(#REF!&amp;" " &amp;#REF!,25))-LEN(SUBSTITUTE(LEFT(#REF!&amp;" " &amp;#REF!,25)," ",""))))-1)</f>
        <v>#REF!</v>
      </c>
      <c r="T54" s="14" t="s">
        <v>1460</v>
      </c>
    </row>
    <row r="55" spans="1:23" ht="0.2" customHeight="1" outlineLevel="5" x14ac:dyDescent="0.25">
      <c r="B55" s="218" t="s">
        <v>1236</v>
      </c>
      <c r="C55" s="290"/>
      <c r="E55" s="18"/>
      <c r="G55" s="7"/>
      <c r="H55" s="7"/>
      <c r="I55" s="7"/>
      <c r="J55" s="7"/>
      <c r="K55" s="7"/>
      <c r="L55" s="14" t="s">
        <v>1417</v>
      </c>
      <c r="M55" s="14" t="s">
        <v>1414</v>
      </c>
      <c r="N55" s="14" t="s">
        <v>1462</v>
      </c>
      <c r="Q55" s="14"/>
      <c r="R55" s="14"/>
      <c r="S55" s="7"/>
      <c r="T55" s="61" t="s">
        <v>1237</v>
      </c>
    </row>
    <row r="56" spans="1:23" ht="15" customHeight="1" outlineLevel="5" x14ac:dyDescent="0.25">
      <c r="B56" s="9" t="s">
        <v>21</v>
      </c>
      <c r="C56" s="197"/>
      <c r="G56" s="220" t="s">
        <v>110</v>
      </c>
      <c r="H56" s="14" t="s">
        <v>14</v>
      </c>
      <c r="I56" s="125" t="str">
        <f>IF(C56="","",SUBSTITUTE(SUBSTITUTE(SUBSTITUTE(C56,"-",""),"(",""),")",""))</f>
        <v/>
      </c>
      <c r="J56" s="145"/>
      <c r="K56" s="145"/>
      <c r="L56" s="14" t="s">
        <v>1417</v>
      </c>
      <c r="M56" s="14" t="s">
        <v>1414</v>
      </c>
      <c r="N56" s="14" t="s">
        <v>1612</v>
      </c>
      <c r="O56" s="14" t="s">
        <v>1416</v>
      </c>
      <c r="P56" s="14" t="s">
        <v>1129</v>
      </c>
      <c r="Q56" s="14" t="s">
        <v>1543</v>
      </c>
      <c r="R56" s="14" t="s">
        <v>1546</v>
      </c>
      <c r="S56" s="7" t="e">
        <f>LEFT(S50,S53)</f>
        <v>#REF!</v>
      </c>
      <c r="T56" s="14" t="s">
        <v>1238</v>
      </c>
    </row>
    <row r="57" spans="1:23" ht="15" customHeight="1" outlineLevel="5" x14ac:dyDescent="0.25">
      <c r="B57" s="218" t="s">
        <v>1225</v>
      </c>
      <c r="C57" s="290"/>
      <c r="E57" s="14" t="s">
        <v>2178</v>
      </c>
      <c r="G57" s="220" t="s">
        <v>111</v>
      </c>
      <c r="H57" s="14" t="s">
        <v>14</v>
      </c>
      <c r="I57" s="189"/>
      <c r="J57" s="145"/>
      <c r="K57" s="145"/>
      <c r="L57" s="14" t="s">
        <v>1417</v>
      </c>
      <c r="M57" s="14" t="s">
        <v>1414</v>
      </c>
      <c r="N57" s="14" t="s">
        <v>1852</v>
      </c>
      <c r="O57" s="14" t="s">
        <v>1416</v>
      </c>
      <c r="P57" s="14" t="s">
        <v>1415</v>
      </c>
      <c r="Q57" s="14" t="s">
        <v>565</v>
      </c>
      <c r="R57" s="14" t="s">
        <v>1545</v>
      </c>
      <c r="T57" s="14" t="s">
        <v>1226</v>
      </c>
    </row>
    <row r="58" spans="1:23" ht="15" customHeight="1" outlineLevel="5" x14ac:dyDescent="0.25">
      <c r="B58" s="218" t="str">
        <f>G58</f>
        <v>Fax:</v>
      </c>
      <c r="C58" s="290"/>
      <c r="E58" s="14" t="s">
        <v>2172</v>
      </c>
      <c r="G58" s="220" t="s">
        <v>112</v>
      </c>
      <c r="H58" s="14" t="s">
        <v>14</v>
      </c>
      <c r="I58" s="238"/>
      <c r="J58" s="145"/>
      <c r="K58" s="145"/>
      <c r="L58" s="14" t="s">
        <v>1416</v>
      </c>
      <c r="M58" s="14" t="s">
        <v>1415</v>
      </c>
      <c r="N58" s="14" t="s">
        <v>565</v>
      </c>
      <c r="O58" s="14" t="s">
        <v>1416</v>
      </c>
      <c r="P58" s="14" t="s">
        <v>1415</v>
      </c>
      <c r="Q58" s="14" t="s">
        <v>565</v>
      </c>
      <c r="R58" s="14" t="s">
        <v>1545</v>
      </c>
      <c r="T58" s="14" t="s">
        <v>1227</v>
      </c>
    </row>
    <row r="59" spans="1:23" ht="15" customHeight="1" outlineLevel="5" x14ac:dyDescent="0.25">
      <c r="B59" s="9" t="s">
        <v>551</v>
      </c>
      <c r="C59" s="197"/>
      <c r="E59" s="14" t="s">
        <v>2211</v>
      </c>
      <c r="G59" s="220" t="s">
        <v>113</v>
      </c>
      <c r="H59" s="14" t="s">
        <v>14</v>
      </c>
      <c r="I59" s="125" t="str">
        <f>IF(C59="","",IF(LEN(C59)&gt;50,"#N/A",C59))</f>
        <v/>
      </c>
      <c r="J59" s="145"/>
      <c r="K59" s="145"/>
      <c r="L59" s="14" t="s">
        <v>1417</v>
      </c>
      <c r="M59" s="14" t="s">
        <v>1414</v>
      </c>
      <c r="N59" s="14" t="s">
        <v>1463</v>
      </c>
      <c r="O59" s="14" t="s">
        <v>1416</v>
      </c>
      <c r="P59" s="14" t="s">
        <v>1129</v>
      </c>
      <c r="Q59" s="14" t="s">
        <v>1548</v>
      </c>
      <c r="R59" s="14" t="s">
        <v>1547</v>
      </c>
      <c r="T59" s="14" t="s">
        <v>1228</v>
      </c>
    </row>
    <row r="60" spans="1:23" ht="20.100000000000001" customHeight="1" outlineLevel="1" x14ac:dyDescent="0.25">
      <c r="A60" s="256" t="s">
        <v>464</v>
      </c>
      <c r="B60" s="257"/>
      <c r="C60" s="258"/>
      <c r="E60" s="194"/>
      <c r="G60" s="240"/>
      <c r="H60" s="249"/>
      <c r="I60" s="250"/>
      <c r="J60" s="193"/>
      <c r="L60" s="194"/>
      <c r="M60" s="194"/>
      <c r="N60" s="194"/>
      <c r="O60" s="194"/>
      <c r="P60" s="194"/>
      <c r="Q60" s="194"/>
      <c r="R60" s="194"/>
      <c r="S60" s="194"/>
      <c r="T60" s="194"/>
      <c r="U60" s="194"/>
      <c r="V60" s="194"/>
      <c r="W60" s="194"/>
    </row>
    <row r="61" spans="1:23" ht="15" customHeight="1" outlineLevel="2" x14ac:dyDescent="0.25">
      <c r="B61" s="218" t="str">
        <f>G61</f>
        <v>CMS Employee Status Code:</v>
      </c>
      <c r="C61" s="7"/>
      <c r="E61" s="14" t="s">
        <v>2179</v>
      </c>
      <c r="G61" s="220" t="s">
        <v>114</v>
      </c>
      <c r="H61" s="14" t="s">
        <v>29</v>
      </c>
      <c r="I61" s="237" t="s">
        <v>61</v>
      </c>
      <c r="J61" s="145"/>
      <c r="K61" s="145"/>
      <c r="L61" s="14" t="s">
        <v>1416</v>
      </c>
      <c r="M61" s="14" t="s">
        <v>1415</v>
      </c>
      <c r="N61" s="14" t="s">
        <v>565</v>
      </c>
      <c r="O61" s="14" t="s">
        <v>1416</v>
      </c>
      <c r="P61" s="14" t="s">
        <v>1415</v>
      </c>
      <c r="Q61" s="14" t="s">
        <v>1549</v>
      </c>
      <c r="R61" s="14" t="s">
        <v>1550</v>
      </c>
      <c r="T61" s="14" t="s">
        <v>1239</v>
      </c>
    </row>
    <row r="62" spans="1:23" ht="15" customHeight="1" outlineLevel="2" x14ac:dyDescent="0.25">
      <c r="B62" s="218" t="str">
        <f>G62</f>
        <v>*Actively Employed:</v>
      </c>
      <c r="C62" s="7"/>
      <c r="E62" s="14" t="s">
        <v>2180</v>
      </c>
      <c r="G62" s="220" t="s">
        <v>1256</v>
      </c>
      <c r="H62" s="14" t="s">
        <v>14</v>
      </c>
      <c r="I62" s="237" t="s">
        <v>75</v>
      </c>
      <c r="J62" s="145"/>
      <c r="K62" s="145"/>
      <c r="L62" s="14" t="s">
        <v>1416</v>
      </c>
      <c r="M62" s="14" t="s">
        <v>1415</v>
      </c>
      <c r="N62" s="14" t="s">
        <v>565</v>
      </c>
      <c r="O62" s="14" t="s">
        <v>1416</v>
      </c>
      <c r="P62" s="14" t="s">
        <v>1415</v>
      </c>
      <c r="Q62" s="14" t="s">
        <v>1551</v>
      </c>
      <c r="R62" s="14" t="s">
        <v>1552</v>
      </c>
      <c r="T62" s="14" t="s">
        <v>1240</v>
      </c>
      <c r="U62" s="14" t="s">
        <v>1348</v>
      </c>
    </row>
    <row r="63" spans="1:23" ht="30" customHeight="1" outlineLevel="2" x14ac:dyDescent="0.25">
      <c r="B63" s="218" t="str">
        <f>G63</f>
        <v>Sub CDHP Elections:</v>
      </c>
      <c r="C63" s="7"/>
      <c r="D63" s="218"/>
      <c r="E63" s="14" t="s">
        <v>2159</v>
      </c>
      <c r="G63" s="220" t="s">
        <v>1233</v>
      </c>
      <c r="H63" s="14" t="s">
        <v>14</v>
      </c>
      <c r="I63" s="238" t="s">
        <v>2229</v>
      </c>
      <c r="J63" s="145"/>
      <c r="K63" s="145"/>
      <c r="L63" s="14" t="s">
        <v>1416</v>
      </c>
      <c r="M63" s="14" t="s">
        <v>1415</v>
      </c>
      <c r="N63" s="14" t="s">
        <v>565</v>
      </c>
      <c r="O63" s="14" t="s">
        <v>1416</v>
      </c>
      <c r="P63" s="14" t="s">
        <v>1415</v>
      </c>
      <c r="Q63" s="14" t="s">
        <v>565</v>
      </c>
      <c r="R63" s="14" t="s">
        <v>2158</v>
      </c>
      <c r="T63" s="14" t="s">
        <v>1346</v>
      </c>
      <c r="U63" s="14" t="s">
        <v>1347</v>
      </c>
    </row>
    <row r="64" spans="1:23" ht="30" customHeight="1" outlineLevel="2" x14ac:dyDescent="0.25">
      <c r="B64" s="218" t="str">
        <f>G64</f>
        <v>*This employee will be billed with all other employees with this criteria:</v>
      </c>
      <c r="C64" s="7"/>
      <c r="E64" s="14"/>
      <c r="G64" s="239" t="s">
        <v>1257</v>
      </c>
      <c r="H64" s="14" t="s">
        <v>29</v>
      </c>
      <c r="I64" s="125" t="str">
        <f>IF(AND(C64="",ISERROR(VLOOKUP(I7,Config!X:X,1,0))&lt;&gt;TRUE),"#N/A, Please select from output dropdown list",IF(I7&lt;&gt;"","&lt;Please update mapping list in Config tab if needed&gt;",""))</f>
        <v/>
      </c>
      <c r="J64" s="145"/>
      <c r="K64" s="145"/>
      <c r="L64" s="14" t="s">
        <v>1416</v>
      </c>
      <c r="M64" s="14" t="s">
        <v>1415</v>
      </c>
      <c r="N64" s="14" t="s">
        <v>565</v>
      </c>
      <c r="O64" s="142" t="s">
        <v>1429</v>
      </c>
      <c r="P64" s="142" t="s">
        <v>1129</v>
      </c>
      <c r="Q64" s="142" t="s">
        <v>1603</v>
      </c>
      <c r="R64" s="14" t="s">
        <v>1639</v>
      </c>
      <c r="T64" s="14" t="s">
        <v>1553</v>
      </c>
      <c r="U64" s="14" t="s">
        <v>1349</v>
      </c>
    </row>
    <row r="65" spans="1:23" ht="20.100000000000001" customHeight="1" outlineLevel="1" x14ac:dyDescent="0.25">
      <c r="A65" s="256" t="s">
        <v>465</v>
      </c>
      <c r="B65" s="257"/>
      <c r="C65" s="258"/>
      <c r="E65" s="194"/>
      <c r="G65" s="240"/>
      <c r="H65" s="249"/>
      <c r="I65" s="250"/>
      <c r="J65" s="193"/>
      <c r="L65" s="194"/>
      <c r="M65" s="194"/>
      <c r="N65" s="194"/>
      <c r="O65" s="194"/>
      <c r="P65" s="194"/>
      <c r="Q65" s="194"/>
      <c r="R65" s="194"/>
      <c r="S65" s="194"/>
      <c r="T65" s="194"/>
      <c r="U65" s="194"/>
      <c r="V65" s="194"/>
      <c r="W65" s="194"/>
    </row>
    <row r="66" spans="1:23" ht="15" customHeight="1" outlineLevel="2" x14ac:dyDescent="0.25">
      <c r="A66" s="251"/>
      <c r="B66" s="251" t="s">
        <v>2198</v>
      </c>
      <c r="C66" s="252"/>
      <c r="E66" s="155"/>
      <c r="G66" s="253"/>
      <c r="H66" s="254"/>
      <c r="I66" s="255"/>
      <c r="J66" s="154"/>
      <c r="L66" s="155"/>
      <c r="M66" s="155"/>
      <c r="N66" s="155"/>
      <c r="O66" s="155"/>
      <c r="P66" s="155"/>
      <c r="Q66" s="155"/>
      <c r="R66" s="155"/>
      <c r="S66" s="155"/>
      <c r="T66" s="155"/>
      <c r="U66" s="155"/>
      <c r="V66" s="155"/>
      <c r="W66" s="155"/>
    </row>
    <row r="67" spans="1:23" ht="30" customHeight="1" outlineLevel="4" x14ac:dyDescent="0.25">
      <c r="B67" s="218" t="str">
        <f>TEXT("Plan Name","xxx")&amp;" - "&amp;TEXT(B66,"xxx")</f>
        <v>Plan Name - Medical</v>
      </c>
      <c r="C67" s="218"/>
      <c r="E67" s="14" t="s">
        <v>2219</v>
      </c>
      <c r="G67" s="239" t="s">
        <v>2871</v>
      </c>
      <c r="H67" s="14" t="s">
        <v>29</v>
      </c>
      <c r="I67" s="125" t="str">
        <f>IF(AND(C67="",C77=""),"#N/A, Please select product type and/or product for Medical",IF(AND(C67="",C77&lt;&gt;"",COUNTIFS(Config!I:I,'Data Capture Template'!I7,Config!L:L,"Medical Plan")=0),"&lt;Please ignore, no Medical Plan for the group in BCBS&gt;", IF(AND(C67="",C77&lt;&gt;"",COUNTIFS(Config!I:I,'Data Capture Template'!I7,Config!L:L,"Medical Plan")&lt;&gt;0),"No Coverage",IF(C67="","#N/A, Please select No Coverage if Medical is not requested",IF(ISERROR(VLOOKUP(C67,Config!D:D,1,0)),"#N/A, Please update mapping list in Config tab, please report to OPEX to update mapping list for this situation",IF(INDEX(Config!L:L,MATCH(C67,Config!D:D,0),1)="Dental Plan","#N/A, The plan show as Dental Plan in Config but the plan name is in Medical section, please correct or contact Opex to update config if needed",IF(COUNTIF(Config!D:D,VLOOKUP(C67,Config!D:D,1,0))&gt;1,"#N/A, Dup plan name in Config tab, please select from output drop down list or contact Opex to update mapping list if needed",IF(OR(INDEX(Config!K:K,MATCH(C67,Config!D:D,0),1)="BAV",INDEX(Config!K:K,MATCH(C67,Config!D:D,0),1)="ADV",INDEX(Config!K:K,MATCH(C67,Config!D:D,0),1)="HMO"),"#N/A, Need medical group#, please manually handle the group in BCBS",INDEX(Config!E:E,MATCH(C67,Config!D:D,0),1)))))))))</f>
        <v>#N/A, Please select product type and/or product for Medical</v>
      </c>
      <c r="J67" s="145" t="str">
        <f>IF(C90&lt;&gt;"","",IF(ISNUMBER(SEARCH("#N/A", I69&amp;I79)),"",IF(INDEX(Config!AL:AL,MATCH(I69&amp;I79,Config!AK:AK,0),1)="","",IFERROR(INDEX(Config!AL:AL,MATCH(I69&amp;I79,Config!AK:AK,0),1),""))))</f>
        <v/>
      </c>
      <c r="L67" s="14" t="s">
        <v>1419</v>
      </c>
      <c r="M67" s="14" t="s">
        <v>1414</v>
      </c>
      <c r="N67" s="14" t="s">
        <v>2136</v>
      </c>
      <c r="O67" s="142" t="s">
        <v>1421</v>
      </c>
      <c r="P67" s="142" t="s">
        <v>1129</v>
      </c>
      <c r="Q67" s="142" t="s">
        <v>1640</v>
      </c>
      <c r="R67" s="142" t="s">
        <v>2154</v>
      </c>
      <c r="S67" s="6" t="str">
        <f>IFERROR(IF(INDEX(Config!P:P,MATCH(#REF!,Config!O:O,0),1)="N/A","#N/A",INDEX(Config!P:P,MATCH(#REF!,Config!O:O,0),1)),"#N/A")</f>
        <v>#N/A</v>
      </c>
      <c r="T67" s="14" t="s">
        <v>1560</v>
      </c>
      <c r="U67" s="14" t="s">
        <v>1248</v>
      </c>
    </row>
    <row r="68" spans="1:23" ht="30" customHeight="1" outlineLevel="4" x14ac:dyDescent="0.25">
      <c r="B68" s="218" t="str">
        <f>TEXT("Product","xxx")&amp;" - "&amp;TEXT(B66,"xxx")</f>
        <v>Product - Medical</v>
      </c>
      <c r="C68" s="218"/>
      <c r="E68" s="14" t="s">
        <v>2220</v>
      </c>
      <c r="G68" s="239" t="s">
        <v>2872</v>
      </c>
      <c r="H68" s="14" t="s">
        <v>29</v>
      </c>
      <c r="I68" s="125" t="str">
        <f>IF(OR(AND(I67="",I77=""),AND(I67="No Coverage",I77="No Coverage"),AND(I67="",I77="No Coverage"),AND(I67="No Coverage",I77="")),"#N/A, Please make sure select appropriate product type and product",IF(ISNUMBER(SEARCH("#N/A", I67)),"#N/A, There is an error for product type",IF(OR(I67="",I67="No Coverage", I67="&lt;Please ignore, no Medical Plan for the group in BCBS&gt;"),"",IF(OR(I67="BLUE ADV HMO",I67="BLUE PRECISION",I67="HMO",I67="HMO OF ILLINOIS"),"#N/A, Need medical group#, please manually handle the group in BCBS",IF(AND(C67="",ISERROR(VLOOKUP(I67,Config!N:N,1,0))=FALSE),"#N/A, Please select product", INDEX(Config!F:F,MATCH(C67,Config!D:D,0),1))))))</f>
        <v>#N/A, There is an error for product type</v>
      </c>
      <c r="J68" s="145"/>
      <c r="K68" s="145"/>
      <c r="L68" s="14" t="s">
        <v>1416</v>
      </c>
      <c r="M68" s="142" t="s">
        <v>1129</v>
      </c>
      <c r="N68" s="14" t="s">
        <v>1666</v>
      </c>
      <c r="O68" s="142" t="s">
        <v>1421</v>
      </c>
      <c r="P68" s="142" t="s">
        <v>1129</v>
      </c>
      <c r="Q68" s="142" t="s">
        <v>1554</v>
      </c>
      <c r="R68" s="142" t="s">
        <v>1556</v>
      </c>
      <c r="S68" s="6" t="e">
        <f>IF(OR(INDEX(Config!X:X,MATCH(#REF!,Config!O:O,0),1)="BAV",INDEX(Config!X:X,MATCH(#REF!,Config!O:O,0),1)="ADV",INDEX(Config!X:X,MATCH(#REF!,Config!O:O,0),1)="HMO"),"#N/A, Need Medical Group#",IFERROR(IF(INDEX(Config!P:P,MATCH(#REF!,Config!O:O,0),1)="N/A","#N/A",INDEX(Config!P:P,MATCH(#REF!,Config!O:O,0),1)),"#N/A"))</f>
        <v>#REF!</v>
      </c>
      <c r="T68" s="14" t="s">
        <v>1555</v>
      </c>
      <c r="U68" s="14" t="s">
        <v>1249</v>
      </c>
    </row>
    <row r="69" spans="1:23" ht="45" customHeight="1" outlineLevel="4" collapsed="1" x14ac:dyDescent="0.25">
      <c r="B69" s="218" t="str">
        <f>TEXT("Coverage Level","xxx")&amp;" - "&amp;TEXT(B66,"xxx")</f>
        <v>Coverage Level - Medical</v>
      </c>
      <c r="C69" s="218"/>
      <c r="E69" s="14" t="s">
        <v>2222</v>
      </c>
      <c r="G69" s="239" t="s">
        <v>2873</v>
      </c>
      <c r="H69" s="14" t="s">
        <v>561</v>
      </c>
      <c r="I69" s="125" t="str">
        <f>IF(ISNUMBER(SEARCH("#N/A",I68)),"#N/A, There is an error for product",IF(OR(I67="No Coverage",I67="",I67="&lt;Please ignore, no Medical Plan for the group in BCBS&gt;"),"",IF(C69="","#N/A, Please select Y/N",IF(OR(C69="Employee (Pending)",C69="Employee"),"N","Y"))))</f>
        <v>#N/A, There is an error for product</v>
      </c>
      <c r="J69" s="145"/>
      <c r="K69" s="145"/>
      <c r="L69" s="14" t="s">
        <v>1420</v>
      </c>
      <c r="M69" s="14" t="s">
        <v>1414</v>
      </c>
      <c r="N69" s="14" t="s">
        <v>2187</v>
      </c>
      <c r="O69" s="14" t="s">
        <v>1416</v>
      </c>
      <c r="P69" s="142" t="s">
        <v>1129</v>
      </c>
      <c r="Q69" s="142" t="s">
        <v>1557</v>
      </c>
      <c r="R69" s="142" t="s">
        <v>1558</v>
      </c>
      <c r="T69" s="14" t="s">
        <v>1246</v>
      </c>
      <c r="U69" s="14" t="s">
        <v>1250</v>
      </c>
    </row>
    <row r="70" spans="1:23" ht="15" customHeight="1" outlineLevel="3" collapsed="1" x14ac:dyDescent="0.25">
      <c r="A70" s="262"/>
      <c r="B70" s="263" t="s">
        <v>2228</v>
      </c>
      <c r="C70" s="264"/>
      <c r="E70" s="11"/>
      <c r="G70" s="265"/>
      <c r="H70" s="266"/>
      <c r="I70" s="267"/>
      <c r="J70" s="128"/>
      <c r="L70" s="11"/>
      <c r="M70" s="11"/>
      <c r="N70" s="11"/>
      <c r="O70" s="11"/>
      <c r="P70" s="11"/>
      <c r="Q70" s="11"/>
      <c r="R70" s="11"/>
      <c r="S70" s="11"/>
      <c r="T70" s="11"/>
      <c r="U70" s="11"/>
      <c r="V70" s="11"/>
      <c r="W70" s="11"/>
    </row>
    <row r="71" spans="1:23" ht="30" hidden="1" customHeight="1" outlineLevel="4" x14ac:dyDescent="0.25">
      <c r="B71" s="218" t="str">
        <f>B72</f>
        <v>PCP (Medical)</v>
      </c>
      <c r="C71" s="292"/>
      <c r="E71" s="14" t="s">
        <v>594</v>
      </c>
      <c r="G71" s="13" t="s">
        <v>1242</v>
      </c>
      <c r="H71" s="14" t="s">
        <v>14</v>
      </c>
      <c r="I71" s="129"/>
      <c r="J71" s="145"/>
      <c r="K71" s="145"/>
      <c r="L71" s="14" t="s">
        <v>1416</v>
      </c>
      <c r="M71" s="14" t="s">
        <v>1415</v>
      </c>
      <c r="N71" s="14" t="s">
        <v>565</v>
      </c>
      <c r="O71" s="14" t="s">
        <v>1416</v>
      </c>
      <c r="P71" s="14" t="s">
        <v>1415</v>
      </c>
      <c r="Q71" s="142" t="s">
        <v>565</v>
      </c>
      <c r="R71" s="142" t="s">
        <v>1561</v>
      </c>
      <c r="S71" s="14" t="s">
        <v>1195</v>
      </c>
      <c r="T71" s="14" t="s">
        <v>1641</v>
      </c>
      <c r="U71" s="14" t="s">
        <v>1255</v>
      </c>
    </row>
    <row r="72" spans="1:23" ht="30" hidden="1" customHeight="1" outlineLevel="4" x14ac:dyDescent="0.25">
      <c r="A72" s="7"/>
      <c r="B72" s="218" t="s">
        <v>592</v>
      </c>
      <c r="C72" s="292"/>
      <c r="E72" s="14" t="s">
        <v>1137</v>
      </c>
      <c r="G72" s="13" t="s">
        <v>121</v>
      </c>
      <c r="H72" s="14" t="s">
        <v>14</v>
      </c>
      <c r="I72" s="129"/>
      <c r="J72" s="145"/>
      <c r="K72" s="145"/>
      <c r="L72" s="14" t="s">
        <v>1416</v>
      </c>
      <c r="M72" s="14" t="s">
        <v>1415</v>
      </c>
      <c r="N72" s="14" t="s">
        <v>565</v>
      </c>
      <c r="O72" s="14" t="s">
        <v>1416</v>
      </c>
      <c r="P72" s="14" t="s">
        <v>1415</v>
      </c>
      <c r="Q72" s="142" t="s">
        <v>565</v>
      </c>
      <c r="R72" s="142" t="s">
        <v>1561</v>
      </c>
      <c r="S72" s="14" t="s">
        <v>1195</v>
      </c>
      <c r="T72" s="14" t="s">
        <v>1642</v>
      </c>
      <c r="U72" s="14" t="s">
        <v>1254</v>
      </c>
      <c r="V72" s="7"/>
      <c r="W72" s="7"/>
    </row>
    <row r="73" spans="1:23" ht="30" hidden="1" customHeight="1" outlineLevel="4" x14ac:dyDescent="0.25">
      <c r="A73" s="7"/>
      <c r="B73" s="218" t="str">
        <f>B72</f>
        <v>PCP (Medical)</v>
      </c>
      <c r="C73" s="292"/>
      <c r="E73" s="14" t="s">
        <v>1244</v>
      </c>
      <c r="G73" s="13" t="s">
        <v>1243</v>
      </c>
      <c r="H73" s="14" t="s">
        <v>561</v>
      </c>
      <c r="I73" s="129" t="s">
        <v>76</v>
      </c>
      <c r="J73" s="145"/>
      <c r="K73" s="145"/>
      <c r="L73" s="14" t="s">
        <v>1416</v>
      </c>
      <c r="M73" s="14" t="s">
        <v>1415</v>
      </c>
      <c r="N73" s="14" t="s">
        <v>565</v>
      </c>
      <c r="O73" s="14" t="s">
        <v>1416</v>
      </c>
      <c r="P73" s="14" t="s">
        <v>1415</v>
      </c>
      <c r="Q73" s="142" t="s">
        <v>1604</v>
      </c>
      <c r="R73" s="142" t="s">
        <v>1561</v>
      </c>
      <c r="S73" s="14" t="s">
        <v>1195</v>
      </c>
      <c r="T73" s="14" t="s">
        <v>1643</v>
      </c>
      <c r="U73" s="7"/>
      <c r="V73" s="7"/>
      <c r="W73" s="7"/>
    </row>
    <row r="74" spans="1:23" ht="30" hidden="1" customHeight="1" outlineLevel="4" x14ac:dyDescent="0.25">
      <c r="B74" s="218" t="s">
        <v>593</v>
      </c>
      <c r="C74" s="292"/>
      <c r="E74" s="14" t="s">
        <v>1136</v>
      </c>
      <c r="G74" s="13" t="s">
        <v>122</v>
      </c>
      <c r="H74" s="14" t="s">
        <v>14</v>
      </c>
      <c r="I74" s="129"/>
      <c r="J74" s="145"/>
      <c r="K74" s="145"/>
      <c r="L74" s="14" t="s">
        <v>1416</v>
      </c>
      <c r="M74" s="14" t="s">
        <v>1415</v>
      </c>
      <c r="N74" s="14" t="s">
        <v>565</v>
      </c>
      <c r="O74" s="14" t="s">
        <v>1416</v>
      </c>
      <c r="P74" s="14" t="s">
        <v>1415</v>
      </c>
      <c r="Q74" s="142" t="s">
        <v>1604</v>
      </c>
      <c r="R74" s="142" t="s">
        <v>1561</v>
      </c>
      <c r="S74" s="14" t="s">
        <v>1194</v>
      </c>
      <c r="T74" s="14" t="s">
        <v>1562</v>
      </c>
      <c r="U74" s="7"/>
    </row>
    <row r="75" spans="1:23" ht="30" hidden="1" customHeight="1" outlineLevel="4" x14ac:dyDescent="0.25">
      <c r="B75" s="218" t="str">
        <f>B74</f>
        <v>PCP (OBGYN)</v>
      </c>
      <c r="C75" s="292"/>
      <c r="E75" s="14" t="s">
        <v>1138</v>
      </c>
      <c r="G75" s="13" t="s">
        <v>1245</v>
      </c>
      <c r="H75" s="14" t="s">
        <v>561</v>
      </c>
      <c r="I75" s="129" t="s">
        <v>76</v>
      </c>
      <c r="J75" s="145"/>
      <c r="K75" s="145"/>
      <c r="L75" s="14" t="s">
        <v>1416</v>
      </c>
      <c r="M75" s="14" t="s">
        <v>1415</v>
      </c>
      <c r="N75" s="14" t="s">
        <v>565</v>
      </c>
      <c r="O75" s="14" t="s">
        <v>1416</v>
      </c>
      <c r="P75" s="14" t="s">
        <v>1415</v>
      </c>
      <c r="Q75" s="142" t="s">
        <v>565</v>
      </c>
      <c r="R75" s="142" t="s">
        <v>1561</v>
      </c>
      <c r="S75" s="14" t="s">
        <v>1194</v>
      </c>
      <c r="T75" s="14" t="s">
        <v>1563</v>
      </c>
    </row>
    <row r="76" spans="1:23" ht="15" customHeight="1" outlineLevel="2" x14ac:dyDescent="0.25">
      <c r="A76" s="251"/>
      <c r="B76" s="251" t="s">
        <v>2199</v>
      </c>
      <c r="C76" s="293"/>
      <c r="E76" s="155"/>
      <c r="G76" s="253"/>
      <c r="H76" s="254"/>
      <c r="I76" s="255"/>
      <c r="J76" s="154"/>
      <c r="L76" s="155"/>
      <c r="M76" s="155"/>
      <c r="N76" s="155"/>
      <c r="O76" s="155"/>
      <c r="P76" s="155"/>
      <c r="Q76" s="155"/>
      <c r="R76" s="155"/>
      <c r="S76" s="155"/>
      <c r="T76" s="155"/>
      <c r="U76" s="155"/>
      <c r="V76" s="155"/>
      <c r="W76" s="155"/>
    </row>
    <row r="77" spans="1:23" ht="30" customHeight="1" outlineLevel="3" x14ac:dyDescent="0.25">
      <c r="B77" s="218" t="str">
        <f>TEXT("Plan Name","xxx")&amp;" - "&amp;TEXT(B76,"xxx")</f>
        <v>Plan Name - Dental</v>
      </c>
      <c r="C77" s="218"/>
      <c r="E77" s="14" t="s">
        <v>2219</v>
      </c>
      <c r="G77" s="239" t="s">
        <v>2870</v>
      </c>
      <c r="H77" s="14" t="s">
        <v>29</v>
      </c>
      <c r="I77" s="125" t="str">
        <f>IF(AND(C77="",C67="",ISERROR(VLOOKUP(I67,Config!N:N,1,0))=TRUE),"#N/A, Please select product type and/or product for Dental",IF(OR(AND(C67="",C77="",ISERROR(VLOOKUP(I67,Config!N:N,1,0))=FALSE,COUNTIFS(Config!I:I,'Data Capture Template'!I7,Config!L:L,"Dental Plan")=0),AND(C67&lt;&gt;"",C77="",COUNTIFS(Config!I:I,'Data Capture Template'!I7,Config!L:L,"Dental Plan")=0)),"&lt;Please ignore, no Dental Plan for the group in BCBS&gt;",IF(AND(C67&lt;&gt;"",C77="",COUNTIFS(Config!I:I,'Data Capture Template'!I7,Config!L:L,"Dental Plan")&lt;&gt;0),"No Coverage",IF(C77="","#N/A, Please select product type and/or product for Dental",IF(C77&lt;&gt;"",IF(ISERROR(INDEX(Config!E:E,MATCH(C77,Config!D:D,0),1)),"#N/A, Please update mapping list in Config tab, please report to OPEX to update mapping list for this situation",IF(VLOOKUP(C77,Config!D:L,9,0)="Medical Plan","#N/A, The plan show as Medical Plan in Config tab but the plan name is inputed in Dental section, please correct or contact Opex to update config if needed",IF(COUNTIF(Config!D:D,VLOOKUP(C77,Config!D:D,1,0))&gt;1,"#N/A, Dup plan name in Config tab, please select from output drop down list or contact Opex to update mapping list if needed",IF(INDEX(Config!K:K,MATCH(C77,Config!D:D,0),1)="Dental HMO","#N/A, Need clinic#, please manually handle the group in BCBS",INDEX(Config!E:E,MATCH(C77,Config!D:D,0),1))))))))))</f>
        <v>#N/A, Please select product type and/or product for Dental</v>
      </c>
      <c r="J77" s="145" t="str">
        <f>IF(C90="","",IF((LEN(C90)-LEN(SUBSTITUTE(LOWER(C90),"child","")))/LEN("child")&gt;1,IF(INDEX(Config!AF:AF,MATCH(C69&amp;C79,Config!AD:AD,0),1)="","",INDEX(Config!AF:AF,MATCH(C69&amp;C79,Config!AD:AD,0),1)),IF(INDEX(Config!AE:AE,MATCH(C69&amp;C79,Config!AD:AD,0),1)="","",INDEX(Config!AE:AE,MATCH(C69&amp;C79,Config!AD:AD,0),1))))</f>
        <v/>
      </c>
      <c r="K77" s="145"/>
      <c r="L77" s="14" t="s">
        <v>1419</v>
      </c>
      <c r="M77" s="14" t="s">
        <v>1414</v>
      </c>
      <c r="N77" s="14" t="s">
        <v>1644</v>
      </c>
      <c r="O77" s="142" t="s">
        <v>1421</v>
      </c>
      <c r="P77" s="142" t="s">
        <v>1129</v>
      </c>
      <c r="Q77" s="142" t="s">
        <v>1646</v>
      </c>
      <c r="R77" s="142" t="s">
        <v>1645</v>
      </c>
      <c r="T77" s="14" t="s">
        <v>1564</v>
      </c>
      <c r="U77" s="14" t="s">
        <v>1251</v>
      </c>
    </row>
    <row r="78" spans="1:23" ht="30" customHeight="1" outlineLevel="3" x14ac:dyDescent="0.25">
      <c r="B78" s="218" t="str">
        <f>TEXT("Product","xxx")&amp;" - "&amp;TEXT(B76,"xxx")</f>
        <v>Product - Dental</v>
      </c>
      <c r="C78" s="218"/>
      <c r="E78" s="14" t="s">
        <v>2220</v>
      </c>
      <c r="G78" s="239" t="s">
        <v>2874</v>
      </c>
      <c r="H78" s="14" t="s">
        <v>29</v>
      </c>
      <c r="I78" s="125" t="str">
        <f>IF(OR(AND(I67="",I77=""),AND(I67="No Coverage",I77="No Coverage"),AND(I67="",I77="No Coverage"),AND(I67="No Coverage",I77="")),"##N/A, Please make sure select appropriate product type and product",IF(I77="DENTAL HMO","#N/A, Need clinic#, please manually handle the group in BCBS",IF(ISNUMBER(SEARCH("#N/A", I77)),"#N/A, There is an error for product type",IF(OR(I77="No Coverage",I77="",I77="&lt;Please ignore, no Dental Plan for the group in BCBS&gt;"),"",IF(AND(C77="",ISERROR(VLOOKUP(I77,Config!N:N,1,0))=FALSE),"#N/A, Please select product",INDEX(Config!F:F,MATCH(C77,Config!D:D,0),1))))))</f>
        <v>#N/A, There is an error for product type</v>
      </c>
      <c r="J78" s="145"/>
      <c r="K78" s="145"/>
      <c r="L78" s="14" t="s">
        <v>1416</v>
      </c>
      <c r="M78" s="142" t="s">
        <v>1129</v>
      </c>
      <c r="N78" s="14" t="s">
        <v>1667</v>
      </c>
      <c r="O78" s="142" t="s">
        <v>1421</v>
      </c>
      <c r="P78" s="142" t="s">
        <v>1129</v>
      </c>
      <c r="Q78" s="142" t="s">
        <v>1567</v>
      </c>
      <c r="R78" s="142" t="s">
        <v>1565</v>
      </c>
      <c r="T78" s="14" t="s">
        <v>1566</v>
      </c>
      <c r="U78" s="14" t="s">
        <v>1252</v>
      </c>
    </row>
    <row r="79" spans="1:23" ht="45" customHeight="1" outlineLevel="3" x14ac:dyDescent="0.25">
      <c r="B79" s="218" t="str">
        <f>TEXT("Coverage Level","xxx")&amp;" - "&amp;TEXT(B76,"xxx")</f>
        <v>Coverage Level - Dental</v>
      </c>
      <c r="C79" s="218"/>
      <c r="E79" s="14" t="s">
        <v>2221</v>
      </c>
      <c r="G79" s="239" t="s">
        <v>2875</v>
      </c>
      <c r="H79" s="14" t="s">
        <v>561</v>
      </c>
      <c r="I79" s="125" t="str">
        <f>IF(ISNUMBER(SEARCH("#N/A",I78)),"#N/A, There is an error for product",IF(OR(I77="No Coverage",I77="",I77="&lt;Please ignore, no Dental Plan for the group in BCBS&gt;"),"",IF(C79="","#N/A, Please select Y/N",IF(OR(C79="Employee (Pending)",C79="Employee"),"N","Y"))))</f>
        <v>#N/A, There is an error for product</v>
      </c>
      <c r="J79" s="145"/>
      <c r="K79" s="145"/>
      <c r="L79" s="14" t="s">
        <v>1420</v>
      </c>
      <c r="M79" s="14" t="s">
        <v>1414</v>
      </c>
      <c r="N79" s="14" t="s">
        <v>2188</v>
      </c>
      <c r="O79" s="14" t="s">
        <v>1416</v>
      </c>
      <c r="P79" s="142" t="s">
        <v>1129</v>
      </c>
      <c r="Q79" s="142" t="s">
        <v>1557</v>
      </c>
      <c r="R79" s="142" t="s">
        <v>1558</v>
      </c>
      <c r="T79" s="14" t="s">
        <v>1247</v>
      </c>
      <c r="U79" s="14" t="s">
        <v>1253</v>
      </c>
    </row>
    <row r="80" spans="1:23" ht="30" customHeight="1" outlineLevel="3" x14ac:dyDescent="0.25">
      <c r="B80" s="201" t="str">
        <f>G80</f>
        <v>*Dental Clinic Number:</v>
      </c>
      <c r="C80" s="282"/>
      <c r="E80" s="14"/>
      <c r="G80" s="239" t="s">
        <v>1241</v>
      </c>
      <c r="H80" s="14" t="s">
        <v>14</v>
      </c>
      <c r="I80" s="236" t="s">
        <v>2229</v>
      </c>
      <c r="J80" s="145"/>
      <c r="K80" s="145"/>
      <c r="L80" s="14" t="s">
        <v>1416</v>
      </c>
      <c r="M80" s="14" t="s">
        <v>1415</v>
      </c>
      <c r="N80" s="14" t="s">
        <v>2118</v>
      </c>
      <c r="O80" s="14" t="s">
        <v>1416</v>
      </c>
      <c r="P80" s="14" t="s">
        <v>1415</v>
      </c>
      <c r="Q80" s="14" t="s">
        <v>2117</v>
      </c>
      <c r="R80" s="182" t="s">
        <v>2202</v>
      </c>
      <c r="T80" s="14" t="s">
        <v>1284</v>
      </c>
      <c r="U80" s="18"/>
    </row>
    <row r="81" spans="1:23" ht="15" customHeight="1" outlineLevel="2" x14ac:dyDescent="0.25">
      <c r="A81" s="251"/>
      <c r="B81" s="251" t="s">
        <v>2203</v>
      </c>
      <c r="C81" s="294"/>
      <c r="E81" s="155"/>
      <c r="G81" s="253"/>
      <c r="H81" s="254"/>
      <c r="I81" s="255"/>
      <c r="J81" s="154"/>
      <c r="L81" s="155"/>
      <c r="M81" s="155"/>
      <c r="N81" s="155"/>
      <c r="O81" s="155"/>
      <c r="P81" s="155"/>
      <c r="Q81" s="155"/>
      <c r="R81" s="155"/>
      <c r="S81" s="155"/>
      <c r="T81" s="155"/>
      <c r="U81" s="155"/>
      <c r="V81" s="155"/>
      <c r="W81" s="155"/>
    </row>
    <row r="82" spans="1:23" ht="45" customHeight="1" outlineLevel="3" x14ac:dyDescent="0.25">
      <c r="B82" s="192" t="str">
        <f>G82</f>
        <v>Group Number:
(Prior Coverage section)</v>
      </c>
      <c r="C82" s="201"/>
      <c r="E82" s="14" t="s">
        <v>2172</v>
      </c>
      <c r="G82" s="239" t="s">
        <v>563</v>
      </c>
      <c r="H82" s="14" t="s">
        <v>14</v>
      </c>
      <c r="I82" s="237"/>
      <c r="J82" s="145"/>
      <c r="K82" s="145"/>
      <c r="L82" s="14" t="s">
        <v>1416</v>
      </c>
      <c r="M82" s="14" t="s">
        <v>1415</v>
      </c>
      <c r="N82" s="14" t="s">
        <v>565</v>
      </c>
      <c r="O82" s="14" t="s">
        <v>1416</v>
      </c>
      <c r="P82" s="14" t="s">
        <v>1415</v>
      </c>
      <c r="Q82" s="142" t="s">
        <v>565</v>
      </c>
      <c r="R82" s="142" t="s">
        <v>1569</v>
      </c>
      <c r="T82" s="14" t="s">
        <v>1568</v>
      </c>
    </row>
    <row r="83" spans="1:23" ht="45" customHeight="1" outlineLevel="3" x14ac:dyDescent="0.25">
      <c r="B83" s="192" t="str">
        <f>G83</f>
        <v>Employee ID Number:
(Prior Coverage section)</v>
      </c>
      <c r="C83" s="201"/>
      <c r="E83" s="14" t="s">
        <v>565</v>
      </c>
      <c r="G83" s="239" t="s">
        <v>564</v>
      </c>
      <c r="H83" s="14" t="s">
        <v>14</v>
      </c>
      <c r="I83" s="236"/>
      <c r="J83" s="145"/>
      <c r="K83" s="145"/>
      <c r="L83" s="14" t="s">
        <v>1416</v>
      </c>
      <c r="M83" s="14" t="s">
        <v>1415</v>
      </c>
      <c r="N83" s="14" t="s">
        <v>565</v>
      </c>
      <c r="O83" s="14" t="s">
        <v>1416</v>
      </c>
      <c r="P83" s="14" t="s">
        <v>1415</v>
      </c>
      <c r="Q83" s="142" t="s">
        <v>565</v>
      </c>
      <c r="R83" s="142" t="s">
        <v>1570</v>
      </c>
      <c r="T83" s="14" t="s">
        <v>1571</v>
      </c>
    </row>
    <row r="84" spans="1:23" ht="20.100000000000001" customHeight="1" outlineLevel="1" x14ac:dyDescent="0.25">
      <c r="A84" s="257" t="s">
        <v>515</v>
      </c>
      <c r="B84" s="258"/>
      <c r="C84" s="295"/>
      <c r="E84" s="194"/>
      <c r="G84" s="257"/>
      <c r="H84" s="258"/>
      <c r="I84" s="257"/>
      <c r="J84" s="193"/>
      <c r="L84" s="194"/>
      <c r="M84" s="194"/>
      <c r="N84" s="194"/>
      <c r="O84" s="194"/>
      <c r="P84" s="194"/>
      <c r="Q84" s="194"/>
      <c r="R84" s="194"/>
      <c r="S84" s="194"/>
      <c r="T84" s="194"/>
      <c r="U84" s="194"/>
      <c r="V84" s="194"/>
      <c r="W84" s="194"/>
    </row>
    <row r="85" spans="1:23" ht="45" customHeight="1" outlineLevel="2" collapsed="1" x14ac:dyDescent="0.25">
      <c r="A85" s="251" t="s">
        <v>2236</v>
      </c>
      <c r="B85" s="251"/>
      <c r="C85" s="294"/>
      <c r="E85" s="155"/>
      <c r="G85" s="253"/>
      <c r="H85" s="254"/>
      <c r="I85" s="283" t="str">
        <f>IF(C90="","",IF((LEN(C90)-LEN(SUBSTITUTE(LOWER(C90),"child","")))/LEN("child")&gt;1,IF(INDEX(Config!AG:AG,MATCH(C69&amp;C79,Config!AD:AD,0),1)="","",INDEX(Config!AG:AG,MATCH(C69&amp;C79,Config!AD:AD,0),1)),""))</f>
        <v/>
      </c>
      <c r="J85" s="154"/>
      <c r="L85" s="155"/>
      <c r="M85" s="155"/>
      <c r="N85" s="155"/>
      <c r="O85" s="155"/>
      <c r="P85" s="155"/>
      <c r="Q85" s="155"/>
      <c r="R85" s="155"/>
      <c r="S85" s="155"/>
      <c r="T85" s="155"/>
      <c r="U85" s="155"/>
      <c r="V85" s="155"/>
      <c r="W85" s="155"/>
    </row>
    <row r="86" spans="1:23" ht="15" hidden="1" customHeight="1" outlineLevel="4" x14ac:dyDescent="0.25">
      <c r="B86" s="10" t="s">
        <v>88</v>
      </c>
      <c r="C86" s="233"/>
      <c r="E86" s="14"/>
      <c r="G86" s="239" t="s">
        <v>95</v>
      </c>
      <c r="H86" s="14" t="s">
        <v>14</v>
      </c>
      <c r="I86" s="237" t="str">
        <f>IF(COUNTA($I$111:$I$479)=0,"",IF(LEFT(IF($I$111="","",I111)&amp;IF($I$136="","","|"&amp;I136)&amp;IF($I$161="","","|"&amp;I161)&amp;IF($I$186="","","|"&amp;I186)&amp;IF($I$211="","","|"&amp;I211)&amp;IF($I$236="","","|"&amp;I236)&amp;IF($I$261="","","|"&amp;I261)&amp;IF($I$286="","","|"&amp;I286)&amp;IF($I$311="","","|"&amp;I311)&amp;IF($I$336="","","|"&amp;I336)&amp;IF($I$361="","","|"&amp;I361)&amp;IF($I$386="","","|"&amp;I386)&amp;IF($I$411="","","|"&amp;I411)&amp;IF($I$436="","","|"&amp;I436)&amp;IF($I$461="","","|"&amp;I461),1)="|",RIGHT(IF($I$111="","",I111)&amp;IF($I$136="","","|"&amp;I136)&amp;IF($I$161="","","|"&amp;I161)&amp;IF($I$186="","","|"&amp;I186)&amp;IF($I$211="","","|"&amp;I211)&amp;IF($I$236="","","|"&amp;I236)&amp;IF($I$261="","","|"&amp;I261)&amp;IF($I$286="","","|"&amp;I286)&amp;IF($I$311="","","|"&amp;I311)&amp;IF($I$336="","","|"&amp;I336)&amp;IF($I$361="","","|"&amp;I361)&amp;IF($I$386="","","|"&amp;I386)&amp;IF($I$411="","","|"&amp;I411)&amp;IF($I$436="","","|"&amp;I436)&amp;IF($I$461="","","|"&amp;I461),LEN(IF($I$111="","",I111)&amp;IF($I$136="","","|"&amp;I136)&amp;IF($I$161="","","|"&amp;I161)&amp;IF($I$186="","","|"&amp;I186)&amp;IF($I$211="","","|"&amp;I211)&amp;IF($I$236="","","|"&amp;I236)&amp;IF($I$261="","","|"&amp;I261)&amp;IF($I$286="","","|"&amp;I286)&amp;IF($I$311="","","|"&amp;I311)&amp;IF($I$336="","","|"&amp;I336)&amp;IF($I$361="","","|"&amp;I361)&amp;IF($I$386="","","|"&amp;I386)&amp;IF($I$411="","","|"&amp;I411)&amp;IF($I$436="","","|"&amp;I436)&amp;IF($I$461="","","|"&amp;I461))-1),IF($I$111="","",I111)&amp;IF($I$136="","","|"&amp;I136)&amp;IF($I$161="","","|"&amp;I161)&amp;IF($I$186="","","|"&amp;I186)&amp;IF($I$211="","","|"&amp;I211)&amp;IF($I$236="","","|"&amp;I236)&amp;IF($I$261="","","|"&amp;I261)&amp;IF($I$286="","","|"&amp;I286)&amp;IF($I$311="","","|"&amp;I311)&amp;IF($I$336="","","|"&amp;I336)&amp;IF($I$361="","","|"&amp;I361)&amp;IF($I$386="","","|"&amp;I386)&amp;IF($I$411="","","|"&amp;I411)&amp;IF($I$436="","","|"&amp;I436)&amp;IF($I$461="","","|"&amp;I461)))</f>
        <v/>
      </c>
      <c r="J86" s="145"/>
      <c r="K86" s="145"/>
      <c r="L86" s="14" t="s">
        <v>1417</v>
      </c>
      <c r="M86" s="14" t="s">
        <v>1414</v>
      </c>
      <c r="N86" s="14" t="s">
        <v>1464</v>
      </c>
      <c r="O86" s="14" t="s">
        <v>1416</v>
      </c>
      <c r="P86" s="142" t="s">
        <v>1129</v>
      </c>
      <c r="Q86" s="142" t="s">
        <v>1548</v>
      </c>
      <c r="R86" s="142" t="s">
        <v>2155</v>
      </c>
      <c r="T86" s="14" t="s">
        <v>1572</v>
      </c>
    </row>
    <row r="87" spans="1:23" ht="15" hidden="1" customHeight="1" outlineLevel="4" x14ac:dyDescent="0.25">
      <c r="B87" s="10" t="s">
        <v>155</v>
      </c>
      <c r="C87" s="233"/>
      <c r="E87" s="14"/>
      <c r="G87" s="239" t="s">
        <v>155</v>
      </c>
      <c r="H87" s="14" t="s">
        <v>14</v>
      </c>
      <c r="I87" s="237"/>
      <c r="J87" s="145"/>
      <c r="K87" s="145"/>
      <c r="L87" s="14" t="s">
        <v>1417</v>
      </c>
      <c r="M87" s="14" t="s">
        <v>1414</v>
      </c>
      <c r="N87" s="14" t="s">
        <v>1465</v>
      </c>
      <c r="O87" s="14" t="s">
        <v>1416</v>
      </c>
      <c r="P87" s="14" t="s">
        <v>1415</v>
      </c>
      <c r="Q87" s="142" t="s">
        <v>565</v>
      </c>
      <c r="R87" s="142" t="s">
        <v>1573</v>
      </c>
      <c r="T87" s="14" t="s">
        <v>1261</v>
      </c>
    </row>
    <row r="88" spans="1:23" ht="15" hidden="1" customHeight="1" outlineLevel="4" x14ac:dyDescent="0.25">
      <c r="B88" s="10" t="s">
        <v>87</v>
      </c>
      <c r="C88" s="233"/>
      <c r="G88" s="239" t="s">
        <v>93</v>
      </c>
      <c r="H88" s="14" t="s">
        <v>14</v>
      </c>
      <c r="I88" s="237" t="str">
        <f t="shared" ref="I88:I90" si="0">IF(COUNTA($I$111:$I$479)=0,"",IF(LEFT(IF($I$111="","",I113)&amp;IF($I$136="","","|"&amp;I138)&amp;IF($I$161="","","|"&amp;I163)&amp;IF($I$186="","","|"&amp;I188)&amp;IF($I$211="","","|"&amp;I213)&amp;IF($I$236="","","|"&amp;I238)&amp;IF($I$261="","","|"&amp;I263)&amp;IF($I$286="","","|"&amp;I288)&amp;IF($I$311="","","|"&amp;I313)&amp;IF($I$336="","","|"&amp;I338)&amp;IF($I$361="","","|"&amp;I363)&amp;IF($I$386="","","|"&amp;I388)&amp;IF($I$411="","","|"&amp;I413)&amp;IF($I$436="","","|"&amp;I438)&amp;IF($I$461="","","|"&amp;I463),1)="|",RIGHT(IF($I$111="","",I113)&amp;IF($I$136="","","|"&amp;I138)&amp;IF($I$161="","","|"&amp;I163)&amp;IF($I$186="","","|"&amp;I188)&amp;IF($I$211="","","|"&amp;I213)&amp;IF($I$236="","","|"&amp;I238)&amp;IF($I$261="","","|"&amp;I263)&amp;IF($I$286="","","|"&amp;I288)&amp;IF($I$311="","","|"&amp;I313)&amp;IF($I$336="","","|"&amp;I338)&amp;IF($I$361="","","|"&amp;I363)&amp;IF($I$386="","","|"&amp;I388)&amp;IF($I$411="","","|"&amp;I413)&amp;IF($I$436="","","|"&amp;I438)&amp;IF($I$461="","","|"&amp;I463),LEN(IF($I$111="","",I113)&amp;IF($I$136="","","|"&amp;I138)&amp;IF($I$161="","","|"&amp;I163)&amp;IF($I$186="","","|"&amp;I188)&amp;IF($I$211="","","|"&amp;I213)&amp;IF($I$236="","","|"&amp;I238)&amp;IF($I$261="","","|"&amp;I263)&amp;IF($I$286="","","|"&amp;I288)&amp;IF($I$311="","","|"&amp;I313)&amp;IF($I$336="","","|"&amp;I338)&amp;IF($I$361="","","|"&amp;I363)&amp;IF($I$386="","","|"&amp;I388)&amp;IF($I$411="","","|"&amp;I413)&amp;IF($I$436="","","|"&amp;I438)&amp;IF($I$461="","","|"&amp;I463))-1),IF($I$111="","",I113)&amp;IF($I$136="","","|"&amp;I138)&amp;IF($I$161="","","|"&amp;I163)&amp;IF($I$186="","","|"&amp;I188)&amp;IF($I$211="","","|"&amp;I213)&amp;IF($I$236="","","|"&amp;I238)&amp;IF($I$261="","","|"&amp;I263)&amp;IF($I$286="","","|"&amp;I288)&amp;IF($I$311="","","|"&amp;I313)&amp;IF($I$336="","","|"&amp;I338)&amp;IF($I$361="","","|"&amp;I363)&amp;IF($I$386="","","|"&amp;I388)&amp;IF($I$411="","","|"&amp;I413)&amp;IF($I$436="","","|"&amp;I438)&amp;IF($I$461="","","|"&amp;I463)))</f>
        <v/>
      </c>
      <c r="J88" s="145"/>
      <c r="K88" s="145"/>
      <c r="L88" s="14" t="s">
        <v>1417</v>
      </c>
      <c r="M88" s="14" t="s">
        <v>1414</v>
      </c>
      <c r="N88" s="14" t="s">
        <v>1466</v>
      </c>
      <c r="O88" s="14" t="s">
        <v>1416</v>
      </c>
      <c r="P88" s="142" t="s">
        <v>1129</v>
      </c>
      <c r="Q88" s="142" t="s">
        <v>1548</v>
      </c>
      <c r="R88" s="142" t="s">
        <v>2156</v>
      </c>
      <c r="T88" s="14" t="s">
        <v>1260</v>
      </c>
    </row>
    <row r="89" spans="1:23" ht="15" hidden="1" customHeight="1" outlineLevel="4" x14ac:dyDescent="0.25">
      <c r="B89" s="10" t="s">
        <v>552</v>
      </c>
      <c r="C89" s="233"/>
      <c r="E89" s="14"/>
      <c r="G89" s="239" t="s">
        <v>94</v>
      </c>
      <c r="H89" s="14" t="s">
        <v>14</v>
      </c>
      <c r="I89" s="237" t="str">
        <f t="shared" si="0"/>
        <v/>
      </c>
      <c r="J89" s="145"/>
      <c r="K89" s="145"/>
      <c r="L89" s="14" t="s">
        <v>1417</v>
      </c>
      <c r="M89" s="14" t="s">
        <v>1414</v>
      </c>
      <c r="N89" s="14" t="s">
        <v>1467</v>
      </c>
      <c r="O89" s="14" t="s">
        <v>1416</v>
      </c>
      <c r="P89" s="142" t="s">
        <v>1129</v>
      </c>
      <c r="Q89" s="142" t="s">
        <v>1548</v>
      </c>
      <c r="R89" s="142" t="s">
        <v>1574</v>
      </c>
      <c r="T89" s="14" t="s">
        <v>1404</v>
      </c>
    </row>
    <row r="90" spans="1:23" ht="15" hidden="1" customHeight="1" outlineLevel="4" x14ac:dyDescent="0.25">
      <c r="B90" s="10" t="s">
        <v>26</v>
      </c>
      <c r="C90" s="233"/>
      <c r="E90" s="14"/>
      <c r="G90" s="239" t="s">
        <v>123</v>
      </c>
      <c r="H90" s="14" t="s">
        <v>29</v>
      </c>
      <c r="I90" s="237" t="str">
        <f t="shared" si="0"/>
        <v/>
      </c>
      <c r="J90" s="145"/>
      <c r="K90" s="145"/>
      <c r="L90" s="14" t="s">
        <v>1417</v>
      </c>
      <c r="M90" s="14" t="s">
        <v>1414</v>
      </c>
      <c r="N90" s="14" t="s">
        <v>1473</v>
      </c>
      <c r="O90" s="14" t="s">
        <v>1416</v>
      </c>
      <c r="P90" s="142" t="s">
        <v>1129</v>
      </c>
      <c r="Q90" s="142" t="s">
        <v>1578</v>
      </c>
      <c r="R90" s="142" t="s">
        <v>1647</v>
      </c>
      <c r="T90" s="14" t="s">
        <v>1575</v>
      </c>
    </row>
    <row r="91" spans="1:23" ht="15" hidden="1" customHeight="1" outlineLevel="4" x14ac:dyDescent="0.25">
      <c r="B91" s="10" t="s">
        <v>79</v>
      </c>
      <c r="C91" s="233"/>
      <c r="E91" s="14"/>
      <c r="H91" s="1"/>
      <c r="I91" s="1"/>
      <c r="J91" s="1"/>
      <c r="K91" s="7"/>
      <c r="L91" s="14" t="s">
        <v>1417</v>
      </c>
      <c r="M91" s="14" t="s">
        <v>1414</v>
      </c>
      <c r="N91" s="14" t="s">
        <v>1471</v>
      </c>
      <c r="T91" s="14" t="s">
        <v>1280</v>
      </c>
    </row>
    <row r="92" spans="1:23" ht="15" hidden="1" customHeight="1" outlineLevel="4" x14ac:dyDescent="0.25">
      <c r="B92" s="10" t="s">
        <v>409</v>
      </c>
      <c r="C92" s="233"/>
      <c r="E92" s="14"/>
      <c r="H92" s="1"/>
      <c r="I92" s="1"/>
      <c r="J92" s="1"/>
      <c r="K92" s="7"/>
      <c r="L92" s="14" t="s">
        <v>1417</v>
      </c>
      <c r="M92" s="14" t="s">
        <v>1414</v>
      </c>
      <c r="N92" s="14" t="s">
        <v>1472</v>
      </c>
      <c r="T92" s="14" t="s">
        <v>1280</v>
      </c>
    </row>
    <row r="93" spans="1:23" ht="15" hidden="1" customHeight="1" outlineLevel="4" x14ac:dyDescent="0.25">
      <c r="B93" s="10" t="s">
        <v>2</v>
      </c>
      <c r="C93" s="233"/>
      <c r="E93" s="14"/>
      <c r="G93" s="239" t="s">
        <v>96</v>
      </c>
      <c r="H93" s="14" t="s">
        <v>29</v>
      </c>
      <c r="I93" s="237" t="str">
        <f t="shared" ref="I93:I102" si="1">IF(COUNTA($I$111:$I$479)=0,"",IF(LEFT(IF($I$111="","",I118)&amp;IF($I$136="","","|"&amp;I143)&amp;IF($I$161="","","|"&amp;I168)&amp;IF($I$186="","","|"&amp;I193)&amp;IF($I$211="","","|"&amp;I218)&amp;IF($I$236="","","|"&amp;I243)&amp;IF($I$261="","","|"&amp;I268)&amp;IF($I$286="","","|"&amp;I293)&amp;IF($I$311="","","|"&amp;I318)&amp;IF($I$336="","","|"&amp;I343)&amp;IF($I$361="","","|"&amp;I368)&amp;IF($I$386="","","|"&amp;I393)&amp;IF($I$411="","","|"&amp;I418)&amp;IF($I$436="","","|"&amp;I443)&amp;IF($I$461="","","|"&amp;I468),1)="|",RIGHT(IF($I$111="","",I118)&amp;IF($I$136="","","|"&amp;I143)&amp;IF($I$161="","","|"&amp;I168)&amp;IF($I$186="","","|"&amp;I193)&amp;IF($I$211="","","|"&amp;I218)&amp;IF($I$236="","","|"&amp;I243)&amp;IF($I$261="","","|"&amp;I268)&amp;IF($I$286="","","|"&amp;I293)&amp;IF($I$311="","","|"&amp;I318)&amp;IF($I$336="","","|"&amp;I343)&amp;IF($I$361="","","|"&amp;I368)&amp;IF($I$386="","","|"&amp;I393)&amp;IF($I$411="","","|"&amp;I418)&amp;IF($I$436="","","|"&amp;I443)&amp;IF($I$461="","","|"&amp;I468),LEN(IF($I$111="","",I118)&amp;IF($I$136="","","|"&amp;I143)&amp;IF($I$161="","","|"&amp;I168)&amp;IF($I$186="","","|"&amp;I193)&amp;IF($I$211="","","|"&amp;I218)&amp;IF($I$236="","","|"&amp;I243)&amp;IF($I$261="","","|"&amp;I268)&amp;IF($I$286="","","|"&amp;I293)&amp;IF($I$311="","","|"&amp;I318)&amp;IF($I$336="","","|"&amp;I343)&amp;IF($I$361="","","|"&amp;I368)&amp;IF($I$386="","","|"&amp;I393)&amp;IF($I$411="","","|"&amp;I418)&amp;IF($I$436="","","|"&amp;I443)&amp;IF($I$461="","","|"&amp;I468))-1),IF($I$111="","",I118)&amp;IF($I$136="","","|"&amp;I143)&amp;IF($I$161="","","|"&amp;I168)&amp;IF($I$186="","","|"&amp;I193)&amp;IF($I$211="","","|"&amp;I218)&amp;IF($I$236="","","|"&amp;I243)&amp;IF($I$261="","","|"&amp;I268)&amp;IF($I$286="","","|"&amp;I293)&amp;IF($I$311="","","|"&amp;I318)&amp;IF($I$336="","","|"&amp;I343)&amp;IF($I$361="","","|"&amp;I368)&amp;IF($I$386="","","|"&amp;I393)&amp;IF($I$411="","","|"&amp;I418)&amp;IF($I$436="","","|"&amp;I443)&amp;IF($I$461="","","|"&amp;I468)))</f>
        <v/>
      </c>
      <c r="J93" s="145"/>
      <c r="K93" s="145"/>
      <c r="L93" s="14" t="s">
        <v>1417</v>
      </c>
      <c r="M93" s="14" t="s">
        <v>1414</v>
      </c>
      <c r="N93" s="14" t="s">
        <v>1474</v>
      </c>
      <c r="O93" s="14" t="s">
        <v>1416</v>
      </c>
      <c r="P93" s="142" t="s">
        <v>1129</v>
      </c>
      <c r="Q93" s="142" t="s">
        <v>1580</v>
      </c>
      <c r="R93" s="142" t="s">
        <v>1576</v>
      </c>
      <c r="T93" s="14" t="s">
        <v>1579</v>
      </c>
    </row>
    <row r="94" spans="1:23" ht="15" hidden="1" customHeight="1" outlineLevel="4" x14ac:dyDescent="0.25">
      <c r="B94" s="10" t="str">
        <f>G94</f>
        <v>Other Dependent:</v>
      </c>
      <c r="C94" s="233"/>
      <c r="E94" s="14"/>
      <c r="G94" s="239" t="s">
        <v>440</v>
      </c>
      <c r="H94" s="14" t="s">
        <v>29</v>
      </c>
      <c r="I94" s="237"/>
      <c r="J94" s="177"/>
      <c r="K94" s="177"/>
      <c r="L94" s="14" t="s">
        <v>1416</v>
      </c>
      <c r="M94" s="14" t="s">
        <v>1415</v>
      </c>
      <c r="N94" s="14" t="s">
        <v>1605</v>
      </c>
      <c r="O94" s="14" t="s">
        <v>1416</v>
      </c>
      <c r="P94" s="14" t="s">
        <v>1415</v>
      </c>
      <c r="Q94" s="142" t="s">
        <v>565</v>
      </c>
      <c r="R94" s="142" t="s">
        <v>1577</v>
      </c>
      <c r="T94" s="14" t="s">
        <v>1279</v>
      </c>
    </row>
    <row r="95" spans="1:23" ht="15" hidden="1" customHeight="1" outlineLevel="4" x14ac:dyDescent="0.25">
      <c r="B95" s="10" t="s">
        <v>8</v>
      </c>
      <c r="C95" s="233"/>
      <c r="G95" s="239" t="s">
        <v>125</v>
      </c>
      <c r="H95" s="14" t="s">
        <v>14</v>
      </c>
      <c r="I95" s="237" t="str">
        <f t="shared" si="1"/>
        <v/>
      </c>
      <c r="J95" s="145"/>
      <c r="K95" s="145"/>
      <c r="L95" s="14" t="s">
        <v>1417</v>
      </c>
      <c r="M95" s="14" t="s">
        <v>1414</v>
      </c>
      <c r="N95" s="14" t="s">
        <v>1475</v>
      </c>
      <c r="O95" s="14" t="s">
        <v>1416</v>
      </c>
      <c r="P95" s="142" t="s">
        <v>1129</v>
      </c>
      <c r="Q95" s="142" t="s">
        <v>1581</v>
      </c>
      <c r="R95" s="142" t="s">
        <v>1582</v>
      </c>
      <c r="T95" s="14" t="s">
        <v>1258</v>
      </c>
    </row>
    <row r="96" spans="1:23" ht="15" hidden="1" customHeight="1" outlineLevel="4" x14ac:dyDescent="0.25">
      <c r="B96" s="10" t="s">
        <v>3</v>
      </c>
      <c r="C96" s="233"/>
      <c r="E96" s="14"/>
      <c r="G96" s="239" t="s">
        <v>97</v>
      </c>
      <c r="H96" s="14" t="s">
        <v>14</v>
      </c>
      <c r="I96" s="237" t="str">
        <f t="shared" si="1"/>
        <v/>
      </c>
      <c r="J96" s="145"/>
      <c r="K96" s="145"/>
      <c r="L96" s="14" t="s">
        <v>1417</v>
      </c>
      <c r="M96" s="14" t="s">
        <v>1414</v>
      </c>
      <c r="N96" s="14" t="s">
        <v>1476</v>
      </c>
      <c r="O96" s="14" t="s">
        <v>1416</v>
      </c>
      <c r="P96" s="142" t="s">
        <v>1129</v>
      </c>
      <c r="Q96" s="142" t="s">
        <v>1583</v>
      </c>
      <c r="R96" s="142" t="s">
        <v>1584</v>
      </c>
      <c r="T96" s="14" t="s">
        <v>1230</v>
      </c>
    </row>
    <row r="97" spans="1:23" ht="15" hidden="1" customHeight="1" outlineLevel="4" x14ac:dyDescent="0.25">
      <c r="B97" s="10" t="str">
        <f t="shared" ref="B97:B102" si="2">G97</f>
        <v>Multiple Birth:</v>
      </c>
      <c r="C97" s="233"/>
      <c r="E97" s="14"/>
      <c r="G97" s="239" t="s">
        <v>506</v>
      </c>
      <c r="H97" s="14" t="s">
        <v>559</v>
      </c>
      <c r="I97" s="237"/>
      <c r="J97" s="145"/>
      <c r="K97" s="145"/>
      <c r="L97" s="14" t="s">
        <v>1416</v>
      </c>
      <c r="M97" s="14" t="s">
        <v>1415</v>
      </c>
      <c r="N97" s="14" t="s">
        <v>565</v>
      </c>
      <c r="O97" s="14" t="s">
        <v>1416</v>
      </c>
      <c r="P97" s="14" t="s">
        <v>1415</v>
      </c>
      <c r="Q97" s="142" t="s">
        <v>565</v>
      </c>
      <c r="R97" s="142" t="s">
        <v>1589</v>
      </c>
      <c r="T97" s="14" t="s">
        <v>1585</v>
      </c>
    </row>
    <row r="98" spans="1:23" ht="15" hidden="1" customHeight="1" outlineLevel="4" x14ac:dyDescent="0.25">
      <c r="B98" s="10" t="str">
        <f t="shared" si="2"/>
        <v>Native Language:</v>
      </c>
      <c r="C98" s="233"/>
      <c r="E98" s="14"/>
      <c r="G98" s="239" t="s">
        <v>484</v>
      </c>
      <c r="H98" s="14" t="s">
        <v>29</v>
      </c>
      <c r="I98" s="237" t="str">
        <f t="shared" si="1"/>
        <v/>
      </c>
      <c r="J98" s="145"/>
      <c r="K98" s="145"/>
      <c r="L98" s="14" t="s">
        <v>1416</v>
      </c>
      <c r="M98" s="14" t="s">
        <v>1415</v>
      </c>
      <c r="N98" s="14" t="s">
        <v>565</v>
      </c>
      <c r="O98" s="14" t="s">
        <v>1416</v>
      </c>
      <c r="P98" s="14" t="s">
        <v>1415</v>
      </c>
      <c r="Q98" s="142" t="s">
        <v>1430</v>
      </c>
      <c r="R98" s="142" t="s">
        <v>1586</v>
      </c>
      <c r="T98" s="14" t="s">
        <v>1263</v>
      </c>
    </row>
    <row r="99" spans="1:23" ht="15" hidden="1" customHeight="1" outlineLevel="4" x14ac:dyDescent="0.25">
      <c r="B99" s="10" t="str">
        <f t="shared" si="2"/>
        <v>Preferred Written Language:</v>
      </c>
      <c r="C99" s="233"/>
      <c r="E99" s="14"/>
      <c r="G99" s="239" t="s">
        <v>486</v>
      </c>
      <c r="H99" s="14" t="s">
        <v>29</v>
      </c>
      <c r="I99" s="237" t="str">
        <f t="shared" si="1"/>
        <v/>
      </c>
      <c r="J99" s="145"/>
      <c r="K99" s="145"/>
      <c r="L99" s="14" t="s">
        <v>1416</v>
      </c>
      <c r="M99" s="14" t="s">
        <v>1415</v>
      </c>
      <c r="N99" s="14" t="s">
        <v>565</v>
      </c>
      <c r="O99" s="14" t="s">
        <v>1416</v>
      </c>
      <c r="P99" s="14" t="s">
        <v>1415</v>
      </c>
      <c r="Q99" s="142" t="s">
        <v>1430</v>
      </c>
      <c r="R99" s="142" t="s">
        <v>1587</v>
      </c>
      <c r="T99" s="14" t="s">
        <v>1265</v>
      </c>
    </row>
    <row r="100" spans="1:23" ht="15" hidden="1" customHeight="1" outlineLevel="4" x14ac:dyDescent="0.25">
      <c r="B100" s="10" t="str">
        <f t="shared" si="2"/>
        <v>Preferred Spoken Language:</v>
      </c>
      <c r="C100" s="233"/>
      <c r="E100" s="14"/>
      <c r="G100" s="239" t="s">
        <v>487</v>
      </c>
      <c r="H100" s="14" t="s">
        <v>29</v>
      </c>
      <c r="I100" s="237" t="str">
        <f t="shared" si="1"/>
        <v/>
      </c>
      <c r="J100" s="145"/>
      <c r="K100" s="145"/>
      <c r="L100" s="14" t="s">
        <v>1416</v>
      </c>
      <c r="M100" s="14" t="s">
        <v>1415</v>
      </c>
      <c r="N100" s="14" t="s">
        <v>565</v>
      </c>
      <c r="O100" s="14" t="s">
        <v>1416</v>
      </c>
      <c r="P100" s="14" t="s">
        <v>1415</v>
      </c>
      <c r="Q100" s="142" t="s">
        <v>1430</v>
      </c>
      <c r="R100" s="142" t="s">
        <v>1588</v>
      </c>
      <c r="T100" s="14" t="s">
        <v>1266</v>
      </c>
    </row>
    <row r="101" spans="1:23" ht="15" hidden="1" customHeight="1" outlineLevel="4" x14ac:dyDescent="0.25">
      <c r="B101" s="10" t="str">
        <f t="shared" si="2"/>
        <v>Ethnicity (select all that apply):</v>
      </c>
      <c r="C101" s="233"/>
      <c r="E101" s="14"/>
      <c r="G101" s="239" t="s">
        <v>488</v>
      </c>
      <c r="H101" s="14" t="s">
        <v>558</v>
      </c>
      <c r="I101" s="237" t="str">
        <f t="shared" si="1"/>
        <v/>
      </c>
      <c r="J101" s="145"/>
      <c r="K101" s="145"/>
      <c r="L101" s="14" t="s">
        <v>1416</v>
      </c>
      <c r="M101" s="14" t="s">
        <v>1415</v>
      </c>
      <c r="N101" s="14" t="s">
        <v>565</v>
      </c>
      <c r="O101" s="14" t="s">
        <v>1416</v>
      </c>
      <c r="P101" s="14" t="s">
        <v>1415</v>
      </c>
      <c r="Q101" s="142" t="s">
        <v>1431</v>
      </c>
      <c r="R101" s="142" t="s">
        <v>1590</v>
      </c>
      <c r="T101" s="14" t="s">
        <v>1267</v>
      </c>
    </row>
    <row r="102" spans="1:23" ht="15" hidden="1" customHeight="1" outlineLevel="4" x14ac:dyDescent="0.25">
      <c r="B102" s="10" t="str">
        <f t="shared" si="2"/>
        <v>Race (select all that apply):</v>
      </c>
      <c r="C102" s="233"/>
      <c r="E102" s="14"/>
      <c r="G102" s="239" t="s">
        <v>492</v>
      </c>
      <c r="H102" s="14" t="s">
        <v>558</v>
      </c>
      <c r="I102" s="237" t="str">
        <f t="shared" si="1"/>
        <v/>
      </c>
      <c r="J102" s="145"/>
      <c r="K102" s="145"/>
      <c r="L102" s="14" t="s">
        <v>1416</v>
      </c>
      <c r="M102" s="14" t="s">
        <v>1415</v>
      </c>
      <c r="N102" s="14" t="s">
        <v>565</v>
      </c>
      <c r="O102" s="14" t="s">
        <v>1416</v>
      </c>
      <c r="P102" s="14" t="s">
        <v>1415</v>
      </c>
      <c r="Q102" s="142" t="s">
        <v>1431</v>
      </c>
      <c r="R102" s="142" t="s">
        <v>1591</v>
      </c>
      <c r="T102" s="14" t="s">
        <v>1271</v>
      </c>
    </row>
    <row r="103" spans="1:23" ht="15" hidden="1" customHeight="1" outlineLevel="4" x14ac:dyDescent="0.25">
      <c r="B103" s="10" t="s">
        <v>412</v>
      </c>
      <c r="C103" s="233"/>
      <c r="E103" s="14"/>
      <c r="G103" s="239" t="s">
        <v>537</v>
      </c>
      <c r="H103" s="14" t="s">
        <v>559</v>
      </c>
      <c r="I103" s="237" t="str">
        <f>IF($I$90="","",IF(OR(I128="Yes",I153="Yes",I178="Yes",I203="Yes",I228="Yes",I253="Yes",I278="Yes",I303="Yes",I328="Yes",I353="Yes",I378="Yes",I403="Yes",I428="Yes",I453="Yes",I478="Yes"),"Yes","No"))</f>
        <v/>
      </c>
      <c r="J103" s="145"/>
      <c r="K103" s="145"/>
      <c r="L103" s="14" t="s">
        <v>1417</v>
      </c>
      <c r="M103" s="14" t="s">
        <v>1414</v>
      </c>
      <c r="N103" s="142" t="s">
        <v>1477</v>
      </c>
      <c r="O103" s="14" t="s">
        <v>1416</v>
      </c>
      <c r="P103" s="14" t="s">
        <v>1415</v>
      </c>
      <c r="Q103" s="142" t="s">
        <v>1432</v>
      </c>
      <c r="R103" s="142" t="s">
        <v>1616</v>
      </c>
      <c r="T103" s="14" t="s">
        <v>1272</v>
      </c>
    </row>
    <row r="104" spans="1:23" ht="15" hidden="1" customHeight="1" outlineLevel="4" x14ac:dyDescent="0.25">
      <c r="B104" s="10" t="str">
        <f>G104</f>
        <v>Different address information than the employee?</v>
      </c>
      <c r="C104" s="233"/>
      <c r="E104" s="14"/>
      <c r="G104" s="239" t="s">
        <v>508</v>
      </c>
      <c r="H104" s="14" t="s">
        <v>559</v>
      </c>
      <c r="I104" s="237" t="str">
        <f>IF($I$90="","",IF(OR(I129="Yes",I154="Yes",I179="Yes",I204="Yes",I229="Yes",I254="Yes",I279="Yes",I304="Yes",I329="Yes",I354="Yes",I379="Yes",I404="Yes",I429="Yes",I454="Yes",I479="Yes"),"Yes","No"))</f>
        <v/>
      </c>
      <c r="J104" s="145"/>
      <c r="K104" s="145"/>
      <c r="L104" s="14" t="s">
        <v>1416</v>
      </c>
      <c r="M104" s="14" t="s">
        <v>1129</v>
      </c>
      <c r="N104" s="142" t="s">
        <v>1485</v>
      </c>
      <c r="O104" s="14" t="s">
        <v>1416</v>
      </c>
      <c r="P104" s="14" t="s">
        <v>1415</v>
      </c>
      <c r="Q104" s="142" t="s">
        <v>1432</v>
      </c>
      <c r="R104" s="142" t="s">
        <v>1592</v>
      </c>
      <c r="T104" s="14" t="s">
        <v>1273</v>
      </c>
    </row>
    <row r="105" spans="1:23" ht="15" hidden="1" customHeight="1" outlineLevel="4" x14ac:dyDescent="0.25">
      <c r="B105" s="10" t="s">
        <v>2903</v>
      </c>
      <c r="C105" s="233"/>
      <c r="E105" s="18"/>
      <c r="G105" s="18"/>
      <c r="H105" s="18"/>
      <c r="I105" s="145"/>
      <c r="J105" s="145"/>
      <c r="K105" s="145"/>
      <c r="L105" s="14" t="s">
        <v>1417</v>
      </c>
      <c r="M105" s="14" t="s">
        <v>1414</v>
      </c>
      <c r="N105" s="142" t="s">
        <v>1478</v>
      </c>
      <c r="T105" s="14" t="s">
        <v>1274</v>
      </c>
    </row>
    <row r="106" spans="1:23" ht="15" hidden="1" customHeight="1" outlineLevel="4" x14ac:dyDescent="0.25">
      <c r="B106" s="10" t="s">
        <v>2904</v>
      </c>
      <c r="C106" s="233"/>
      <c r="E106" s="18"/>
      <c r="G106" s="18"/>
      <c r="H106" s="18"/>
      <c r="I106" s="145"/>
      <c r="J106" s="145"/>
      <c r="K106" s="145"/>
      <c r="L106" s="14" t="s">
        <v>1417</v>
      </c>
      <c r="M106" s="14" t="s">
        <v>1414</v>
      </c>
      <c r="N106" s="142" t="s">
        <v>1479</v>
      </c>
      <c r="T106" s="14" t="s">
        <v>1275</v>
      </c>
    </row>
    <row r="107" spans="1:23" ht="15" hidden="1" customHeight="1" outlineLevel="4" x14ac:dyDescent="0.25">
      <c r="B107" s="10" t="s">
        <v>6</v>
      </c>
      <c r="C107" s="233"/>
      <c r="E107" s="18"/>
      <c r="G107" s="18"/>
      <c r="H107" s="18"/>
      <c r="I107" s="145"/>
      <c r="J107" s="145"/>
      <c r="K107" s="145"/>
      <c r="L107" s="14" t="s">
        <v>1417</v>
      </c>
      <c r="M107" s="14" t="s">
        <v>1414</v>
      </c>
      <c r="N107" s="142" t="s">
        <v>1480</v>
      </c>
      <c r="T107" s="14" t="s">
        <v>1276</v>
      </c>
    </row>
    <row r="108" spans="1:23" ht="15" hidden="1" customHeight="1" outlineLevel="4" x14ac:dyDescent="0.25">
      <c r="B108" s="10" t="s">
        <v>7</v>
      </c>
      <c r="C108" s="233"/>
      <c r="E108" s="18"/>
      <c r="G108" s="18"/>
      <c r="H108" s="18"/>
      <c r="I108" s="145"/>
      <c r="J108" s="145"/>
      <c r="K108" s="145"/>
      <c r="L108" s="14" t="s">
        <v>1417</v>
      </c>
      <c r="M108" s="14" t="s">
        <v>1414</v>
      </c>
      <c r="N108" s="142" t="s">
        <v>1481</v>
      </c>
      <c r="T108" s="14" t="s">
        <v>1277</v>
      </c>
    </row>
    <row r="109" spans="1:23" ht="15" hidden="1" customHeight="1" outlineLevel="4" x14ac:dyDescent="0.25">
      <c r="B109" s="10" t="s">
        <v>19</v>
      </c>
      <c r="C109" s="233"/>
      <c r="E109" s="18"/>
      <c r="G109" s="18"/>
      <c r="H109" s="18"/>
      <c r="I109" s="145"/>
      <c r="J109" s="145"/>
      <c r="K109" s="145"/>
      <c r="L109" s="14" t="s">
        <v>1417</v>
      </c>
      <c r="M109" s="14" t="s">
        <v>1414</v>
      </c>
      <c r="N109" s="142" t="s">
        <v>1482</v>
      </c>
      <c r="T109" s="14" t="s">
        <v>1278</v>
      </c>
    </row>
    <row r="110" spans="1:23" ht="15" customHeight="1" outlineLevel="2" x14ac:dyDescent="0.25">
      <c r="A110" s="251" t="s">
        <v>2235</v>
      </c>
      <c r="B110" s="251"/>
      <c r="C110" s="252"/>
      <c r="E110" s="155"/>
      <c r="G110" s="253"/>
      <c r="H110" s="254"/>
      <c r="I110" s="255"/>
      <c r="J110" s="154"/>
      <c r="L110" s="155"/>
      <c r="M110" s="155"/>
      <c r="N110" s="155"/>
      <c r="O110" s="155"/>
      <c r="P110" s="155"/>
      <c r="Q110" s="155"/>
      <c r="R110" s="155"/>
      <c r="S110" s="155"/>
      <c r="T110" s="155"/>
      <c r="U110" s="155"/>
      <c r="V110" s="155"/>
      <c r="W110" s="155"/>
    </row>
    <row r="111" spans="1:23" ht="15" customHeight="1" outlineLevel="3" x14ac:dyDescent="0.25">
      <c r="B111" s="9" t="s">
        <v>88</v>
      </c>
      <c r="C111" s="197" t="str">
        <f>IF(C86="","",IF(LEN(C86)-LEN(SUBSTITUTE(C86,"|",""))=0,C86,LEFT(C86,FIND("|",C86)-1)))</f>
        <v/>
      </c>
      <c r="E111" s="2" t="s">
        <v>2171</v>
      </c>
      <c r="G111" s="239" t="s">
        <v>95</v>
      </c>
      <c r="H111" s="14" t="s">
        <v>14</v>
      </c>
      <c r="I111" s="125" t="str">
        <f>IF(I115="","",IF(C111="","#N/A, Input cannot be blank",UPPER(LEFT(C111,20))))</f>
        <v/>
      </c>
      <c r="J111" s="14" t="str">
        <f>IF(LEN(C111)&gt;20,TEXT("Requested dependent#1 last name as:","xxx")&amp;" "&amp; TEXT(C111,"xxxxxxx")&amp;","&amp;" "&amp;TEXT("input into BCBS as:","xxxx")&amp;" "&amp; TEXT(I111,"xxxxxxx")&amp;". ","")</f>
        <v/>
      </c>
      <c r="K111" s="7"/>
      <c r="L111" s="14" t="s">
        <v>1416</v>
      </c>
      <c r="M111" s="142" t="s">
        <v>1129</v>
      </c>
      <c r="N111" s="142" t="s">
        <v>1483</v>
      </c>
      <c r="O111" s="14" t="s">
        <v>1416</v>
      </c>
      <c r="P111" s="142" t="s">
        <v>1129</v>
      </c>
      <c r="Q111" s="142" t="s">
        <v>1593</v>
      </c>
      <c r="T111" s="14" t="s">
        <v>1262</v>
      </c>
    </row>
    <row r="112" spans="1:23" ht="15" customHeight="1" outlineLevel="3" x14ac:dyDescent="0.25">
      <c r="B112" s="192" t="s">
        <v>155</v>
      </c>
      <c r="C112" s="201" t="str">
        <f>IF(C87="","",IF(LEN(C87)-LEN(SUBSTITUTE(C87,"|",""))=0,C87,LEFT(C87,FIND("|",C87)-1)))</f>
        <v/>
      </c>
      <c r="E112" s="14" t="s">
        <v>2172</v>
      </c>
      <c r="G112" s="239" t="s">
        <v>155</v>
      </c>
      <c r="H112" s="14" t="s">
        <v>14</v>
      </c>
      <c r="I112" s="189"/>
      <c r="J112" s="145"/>
      <c r="K112" s="7"/>
      <c r="L112" s="14" t="s">
        <v>1416</v>
      </c>
      <c r="M112" s="142" t="s">
        <v>1129</v>
      </c>
      <c r="N112" s="142" t="s">
        <v>1483</v>
      </c>
      <c r="O112" s="14" t="s">
        <v>1416</v>
      </c>
      <c r="P112" s="14" t="s">
        <v>1415</v>
      </c>
      <c r="Q112" s="142" t="s">
        <v>565</v>
      </c>
      <c r="T112" s="14" t="s">
        <v>1261</v>
      </c>
    </row>
    <row r="113" spans="2:20" ht="15" customHeight="1" outlineLevel="3" x14ac:dyDescent="0.25">
      <c r="B113" s="9" t="s">
        <v>87</v>
      </c>
      <c r="C113" s="197" t="str">
        <f>IF(C88="","",IF(LEN(C88)-LEN(SUBSTITUTE(C88,"|",""))=0,C88,LEFT(C88,FIND("|",C88)-1)))</f>
        <v/>
      </c>
      <c r="E113" s="2" t="s">
        <v>2170</v>
      </c>
      <c r="G113" s="239" t="s">
        <v>93</v>
      </c>
      <c r="H113" s="14" t="s">
        <v>14</v>
      </c>
      <c r="I113" s="125" t="str">
        <f>IF(I115="","",IF(C113="","#N/A, Input cannot be blank",UPPER(LEFT(C113,20))))</f>
        <v/>
      </c>
      <c r="J113" s="125" t="str">
        <f>IF(LEN(C113)&gt;20,TEXT("Requested dependent#1 first name as:","xxx")&amp;" "&amp; TEXT(C113,"xxxxxxx")&amp;","&amp;" "&amp; TEXT("input into BCBS as:","xxxx")&amp;" "&amp; TEXT(I113,"xxxxxxx")&amp;". ","")</f>
        <v/>
      </c>
      <c r="K113" s="7"/>
      <c r="L113" s="14" t="s">
        <v>1416</v>
      </c>
      <c r="M113" s="142" t="s">
        <v>1129</v>
      </c>
      <c r="N113" s="142" t="s">
        <v>1483</v>
      </c>
      <c r="O113" s="14" t="s">
        <v>1416</v>
      </c>
      <c r="P113" s="142" t="s">
        <v>1129</v>
      </c>
      <c r="Q113" s="142" t="s">
        <v>1593</v>
      </c>
      <c r="T113" s="14" t="s">
        <v>1260</v>
      </c>
    </row>
    <row r="114" spans="2:20" ht="15" customHeight="1" outlineLevel="3" x14ac:dyDescent="0.25">
      <c r="B114" s="9" t="s">
        <v>552</v>
      </c>
      <c r="C114" s="197" t="str">
        <f>IF(C89="","",LEFT(C89,1))</f>
        <v/>
      </c>
      <c r="E114" s="14" t="s">
        <v>547</v>
      </c>
      <c r="G114" s="239" t="s">
        <v>94</v>
      </c>
      <c r="H114" s="14" t="s">
        <v>14</v>
      </c>
      <c r="I114" s="125" t="str">
        <f>IF(OR(I115="",C114=""),"",UPPER(LEFT(C114,1)))</f>
        <v/>
      </c>
      <c r="J114" s="145"/>
      <c r="K114" s="145"/>
      <c r="L114" s="14" t="s">
        <v>1416</v>
      </c>
      <c r="M114" s="142" t="s">
        <v>1129</v>
      </c>
      <c r="N114" s="142" t="s">
        <v>1483</v>
      </c>
      <c r="O114" s="14" t="s">
        <v>1416</v>
      </c>
      <c r="P114" s="142" t="s">
        <v>1129</v>
      </c>
      <c r="Q114" s="142" t="s">
        <v>1593</v>
      </c>
      <c r="T114" s="14" t="s">
        <v>1596</v>
      </c>
    </row>
    <row r="115" spans="2:20" ht="30" customHeight="1" outlineLevel="3" x14ac:dyDescent="0.25">
      <c r="B115" s="9" t="s">
        <v>26</v>
      </c>
      <c r="C115" s="200" t="str">
        <f>IF(C90="","",IF(LEN(C90)-LEN(SUBSTITUTE(C90,"|",""))=0,C90,LEFT(C90,FIND("|",C90)-1)))</f>
        <v/>
      </c>
      <c r="E115" s="14" t="s">
        <v>2200</v>
      </c>
      <c r="G115" s="239" t="s">
        <v>123</v>
      </c>
      <c r="H115" s="14" t="s">
        <v>29</v>
      </c>
      <c r="I115" s="125" t="str">
        <f>IF(C111="","",IF(OR($I$69="Y",$I$79="Y"),IF(C115="","#N/A, Input cannot be blank",IF($C$44="",INDEX('Dropdown list'!$AD:$AD,MATCH(C115,'Dropdown list'!$AC:$AC,0),1),IF(C115="Child",IF(OR(ISNUMBER(MATCH(SUBSTITUTE($C$69," (Pending)",""),'Dropdown list'!$AL:$AL,0)),ISNUMBER(MATCH(SUBSTITUTE($C$79," (Pending)",""),'Dropdown list'!$AL:$AL,0))),INDEX('Dropdown list'!$AH:$AH,MATCH(C116&amp;C117,'Dropdown list'!$AG:$AG,0),1),""),IF(C115="Spouse",IF(OR(ISNUMBER(MATCH(SUBSTITUTE($C$69," (Pending)",""),'Dropdown list'!$AM:$AM,0)),ISNUMBER(MATCH(SUBSTITUTE($C$79," (Pending)",""),'Dropdown list'!$AM:$AM,0))),"Spouse",""),IF(C115="Domestic Partner",IF(OR(ISNUMBER(MATCH(SUBSTITUTE($C$69," (Pending)",""),'Dropdown list'!$AN:$AN,0)),ISNUMBER(MATCH(SUBSTITUTE($C$79," (Pending)",""),'Dropdown list'!$AN:$AN,0))),"Domestic Partner",""),INDEX('Dropdown list'!$AK:$AK,MATCH(C115,'Dropdown list'!$AJ:$AJ,0),1)))))),""))</f>
        <v/>
      </c>
      <c r="J115" s="145"/>
      <c r="K115" s="145"/>
      <c r="L115" s="14" t="s">
        <v>1416</v>
      </c>
      <c r="M115" s="142" t="s">
        <v>1129</v>
      </c>
      <c r="N115" s="142" t="s">
        <v>1483</v>
      </c>
      <c r="O115" s="14" t="s">
        <v>1416</v>
      </c>
      <c r="P115" s="142" t="s">
        <v>1129</v>
      </c>
      <c r="Q115" s="142" t="s">
        <v>1594</v>
      </c>
      <c r="T115" s="14" t="s">
        <v>1595</v>
      </c>
    </row>
    <row r="116" spans="2:20" ht="0.2" customHeight="1" outlineLevel="3" x14ac:dyDescent="0.25">
      <c r="B116" s="192" t="s">
        <v>79</v>
      </c>
      <c r="C116" s="201" t="str">
        <f>IF(C91="","",IF(LEN(C91)-LEN(SUBSTITUTE(C91,"|",""))=0,C91,LEFT(C91,FIND("|",C91)-1)))</f>
        <v/>
      </c>
      <c r="E116" s="14" t="s">
        <v>2191</v>
      </c>
      <c r="H116" s="1"/>
      <c r="I116" s="1"/>
      <c r="J116" s="145"/>
      <c r="K116" s="145"/>
      <c r="L116" s="14" t="s">
        <v>1416</v>
      </c>
      <c r="M116" s="142" t="s">
        <v>1129</v>
      </c>
      <c r="N116" s="142" t="s">
        <v>1483</v>
      </c>
      <c r="T116" s="14" t="s">
        <v>1597</v>
      </c>
    </row>
    <row r="117" spans="2:20" ht="0.2" customHeight="1" outlineLevel="3" x14ac:dyDescent="0.25">
      <c r="B117" s="192" t="s">
        <v>409</v>
      </c>
      <c r="C117" s="201" t="str">
        <f>IF(C92="","",IF(LEN(C92)-LEN(SUBSTITUTE(C92,"|",""))=0,C92,LEFT(C92,FIND("|",C92)-1)))</f>
        <v/>
      </c>
      <c r="E117" s="14"/>
      <c r="H117" s="1"/>
      <c r="I117" s="1"/>
      <c r="J117" s="145"/>
      <c r="K117" s="145"/>
      <c r="L117" s="14" t="s">
        <v>1416</v>
      </c>
      <c r="M117" s="142" t="s">
        <v>1129</v>
      </c>
      <c r="N117" s="142" t="s">
        <v>1483</v>
      </c>
      <c r="T117" s="14" t="s">
        <v>1280</v>
      </c>
    </row>
    <row r="118" spans="2:20" ht="15" customHeight="1" outlineLevel="3" x14ac:dyDescent="0.25">
      <c r="B118" s="9" t="s">
        <v>2</v>
      </c>
      <c r="C118" s="200" t="str">
        <f>IF(C93="","",IF(LEN(C93)-LEN(SUBSTITUTE(C93,"|",""))=0,C93,LEFT(C93,FIND("|",C93)-1)))</f>
        <v/>
      </c>
      <c r="E118" s="14" t="s">
        <v>553</v>
      </c>
      <c r="G118" s="239" t="s">
        <v>96</v>
      </c>
      <c r="H118" s="14" t="s">
        <v>29</v>
      </c>
      <c r="I118" s="125" t="str">
        <f>IF(I115="","",IF(C118="","#N/A, Input cannot be blank",IF(C118="M", "Male",IF(C118="F","Female","#N/A, Unidentified Gender"))))</f>
        <v/>
      </c>
      <c r="J118" s="145"/>
      <c r="K118" s="145"/>
      <c r="L118" s="14" t="s">
        <v>1416</v>
      </c>
      <c r="M118" s="142" t="s">
        <v>1129</v>
      </c>
      <c r="N118" s="142" t="s">
        <v>1483</v>
      </c>
      <c r="O118" s="14" t="s">
        <v>1416</v>
      </c>
      <c r="P118" s="142" t="s">
        <v>1129</v>
      </c>
      <c r="Q118" s="142" t="s">
        <v>1598</v>
      </c>
      <c r="T118" s="14" t="s">
        <v>1259</v>
      </c>
    </row>
    <row r="119" spans="2:20" ht="15" customHeight="1" outlineLevel="3" x14ac:dyDescent="0.25">
      <c r="B119" s="192" t="str">
        <f>G119</f>
        <v>Other Dependent:</v>
      </c>
      <c r="C119" s="201"/>
      <c r="E119" s="14" t="s">
        <v>2189</v>
      </c>
      <c r="G119" s="239" t="s">
        <v>440</v>
      </c>
      <c r="H119" s="14" t="s">
        <v>29</v>
      </c>
      <c r="I119" s="189"/>
      <c r="J119" s="145"/>
      <c r="K119" s="145"/>
      <c r="L119" s="14" t="s">
        <v>1416</v>
      </c>
      <c r="M119" s="14" t="s">
        <v>1415</v>
      </c>
      <c r="N119" s="142" t="s">
        <v>565</v>
      </c>
      <c r="O119" s="14" t="s">
        <v>1416</v>
      </c>
      <c r="P119" s="14" t="s">
        <v>1415</v>
      </c>
      <c r="Q119" s="142" t="s">
        <v>565</v>
      </c>
      <c r="T119" s="14" t="s">
        <v>1279</v>
      </c>
    </row>
    <row r="120" spans="2:20" ht="15" customHeight="1" outlineLevel="3" x14ac:dyDescent="0.25">
      <c r="B120" s="9" t="s">
        <v>8</v>
      </c>
      <c r="C120" s="197" t="str">
        <f>IF(C95="","",IF(LEN(C95)-LEN(SUBSTITUTE(C95,"|",""))=0,C95,LEFT(C95,FIND("|",C95)-1)))</f>
        <v/>
      </c>
      <c r="G120" s="239" t="s">
        <v>125</v>
      </c>
      <c r="H120" s="14" t="s">
        <v>14</v>
      </c>
      <c r="I120" s="125" t="str">
        <f>IF(I115="","",IF(C120="","#N/A, Input cannot be blank",IFERROR(TEXT(EDATE(C120,0),"MM/DD/YYYY"),"#N/A, Please enter a date format")))</f>
        <v/>
      </c>
      <c r="J120" s="145"/>
      <c r="K120" s="145"/>
      <c r="L120" s="14" t="s">
        <v>1416</v>
      </c>
      <c r="M120" s="142" t="s">
        <v>1129</v>
      </c>
      <c r="N120" s="142" t="s">
        <v>1483</v>
      </c>
      <c r="O120" s="14" t="s">
        <v>1416</v>
      </c>
      <c r="P120" s="142" t="s">
        <v>1129</v>
      </c>
      <c r="Q120" s="14" t="s">
        <v>1508</v>
      </c>
      <c r="T120" s="14" t="s">
        <v>1258</v>
      </c>
    </row>
    <row r="121" spans="2:20" ht="15" customHeight="1" outlineLevel="3" x14ac:dyDescent="0.25">
      <c r="B121" s="9" t="s">
        <v>3</v>
      </c>
      <c r="C121" s="197" t="str">
        <f>IF(C96="","",IF(LEN(C96)-LEN(SUBSTITUTE(C96,"|",""))=0,C96,LEFT(C96,FIND("|",C96)-1)))</f>
        <v/>
      </c>
      <c r="E121" s="14" t="s">
        <v>547</v>
      </c>
      <c r="G121" s="239" t="s">
        <v>97</v>
      </c>
      <c r="H121" s="14" t="s">
        <v>14</v>
      </c>
      <c r="I121" s="125" t="str">
        <f>IF(C121=" ",C121,IF(OR(I115="",C121=""),"",IF(LEN(SUBSTITUTE(C121,"-",""))=9,SUBSTITUTE(C121,"-",""),"#N/A, SSN# must be 9 digits")))</f>
        <v/>
      </c>
      <c r="J121" s="145"/>
      <c r="K121" s="145"/>
      <c r="L121" s="14" t="s">
        <v>1416</v>
      </c>
      <c r="M121" s="142" t="s">
        <v>1129</v>
      </c>
      <c r="N121" s="142" t="s">
        <v>1483</v>
      </c>
      <c r="O121" s="14" t="s">
        <v>1416</v>
      </c>
      <c r="P121" s="142" t="s">
        <v>1129</v>
      </c>
      <c r="Q121" s="14" t="s">
        <v>1518</v>
      </c>
      <c r="T121" s="14" t="s">
        <v>1230</v>
      </c>
    </row>
    <row r="122" spans="2:20" ht="15" customHeight="1" outlineLevel="3" x14ac:dyDescent="0.25">
      <c r="B122" s="192" t="str">
        <f t="shared" ref="B122:B127" si="3">G122</f>
        <v>Multiple Birth:</v>
      </c>
      <c r="C122" s="201"/>
      <c r="E122" s="14" t="s">
        <v>2189</v>
      </c>
      <c r="G122" s="239" t="s">
        <v>506</v>
      </c>
      <c r="H122" s="14" t="s">
        <v>559</v>
      </c>
      <c r="I122" s="237"/>
      <c r="J122" s="145"/>
      <c r="K122" s="145"/>
      <c r="L122" s="14" t="s">
        <v>1416</v>
      </c>
      <c r="M122" s="14" t="s">
        <v>1415</v>
      </c>
      <c r="N122" s="142" t="s">
        <v>565</v>
      </c>
      <c r="O122" s="14" t="s">
        <v>1416</v>
      </c>
      <c r="P122" s="14" t="s">
        <v>1415</v>
      </c>
      <c r="Q122" s="142" t="s">
        <v>565</v>
      </c>
      <c r="T122" s="14" t="s">
        <v>1264</v>
      </c>
    </row>
    <row r="123" spans="2:20" ht="15" customHeight="1" outlineLevel="3" x14ac:dyDescent="0.25">
      <c r="B123" s="192" t="str">
        <f t="shared" si="3"/>
        <v>Native Language:</v>
      </c>
      <c r="C123" s="201"/>
      <c r="E123" s="14" t="s">
        <v>2175</v>
      </c>
      <c r="G123" s="239" t="s">
        <v>484</v>
      </c>
      <c r="H123" s="14" t="s">
        <v>29</v>
      </c>
      <c r="I123" s="237" t="str">
        <f>IF(I115="","","English")</f>
        <v/>
      </c>
      <c r="J123" s="145"/>
      <c r="K123" s="145"/>
      <c r="L123" s="14" t="s">
        <v>1416</v>
      </c>
      <c r="M123" s="14" t="s">
        <v>1415</v>
      </c>
      <c r="N123" s="142" t="s">
        <v>565</v>
      </c>
      <c r="O123" s="14" t="s">
        <v>1416</v>
      </c>
      <c r="P123" s="14" t="s">
        <v>1415</v>
      </c>
      <c r="Q123" s="142" t="s">
        <v>1430</v>
      </c>
      <c r="T123" s="14" t="s">
        <v>1263</v>
      </c>
    </row>
    <row r="124" spans="2:20" ht="15" customHeight="1" outlineLevel="3" x14ac:dyDescent="0.25">
      <c r="B124" s="192" t="str">
        <f t="shared" si="3"/>
        <v>Preferred Written Language:</v>
      </c>
      <c r="C124" s="201"/>
      <c r="E124" s="14" t="s">
        <v>2175</v>
      </c>
      <c r="G124" s="239" t="s">
        <v>486</v>
      </c>
      <c r="H124" s="14" t="s">
        <v>29</v>
      </c>
      <c r="I124" s="237" t="str">
        <f>IF(I115="","","English")</f>
        <v/>
      </c>
      <c r="J124" s="145"/>
      <c r="K124" s="145"/>
      <c r="L124" s="14" t="s">
        <v>1416</v>
      </c>
      <c r="M124" s="14" t="s">
        <v>1415</v>
      </c>
      <c r="N124" s="142" t="s">
        <v>565</v>
      </c>
      <c r="O124" s="14" t="s">
        <v>1416</v>
      </c>
      <c r="P124" s="14" t="s">
        <v>1415</v>
      </c>
      <c r="Q124" s="142" t="s">
        <v>1430</v>
      </c>
      <c r="T124" s="14" t="s">
        <v>1265</v>
      </c>
    </row>
    <row r="125" spans="2:20" ht="15" customHeight="1" outlineLevel="3" x14ac:dyDescent="0.25">
      <c r="B125" s="192" t="str">
        <f t="shared" si="3"/>
        <v>Preferred Spoken Language:</v>
      </c>
      <c r="C125" s="201"/>
      <c r="E125" s="14" t="s">
        <v>2175</v>
      </c>
      <c r="G125" s="239" t="s">
        <v>487</v>
      </c>
      <c r="H125" s="14" t="s">
        <v>29</v>
      </c>
      <c r="I125" s="237" t="str">
        <f>IF(I115="","","English")</f>
        <v/>
      </c>
      <c r="J125" s="145"/>
      <c r="K125" s="145"/>
      <c r="L125" s="14" t="s">
        <v>1416</v>
      </c>
      <c r="M125" s="14" t="s">
        <v>1415</v>
      </c>
      <c r="N125" s="142" t="s">
        <v>565</v>
      </c>
      <c r="O125" s="14" t="s">
        <v>1416</v>
      </c>
      <c r="P125" s="14" t="s">
        <v>1415</v>
      </c>
      <c r="Q125" s="142" t="s">
        <v>1430</v>
      </c>
      <c r="T125" s="14" t="s">
        <v>1266</v>
      </c>
    </row>
    <row r="126" spans="2:20" ht="15" customHeight="1" outlineLevel="3" x14ac:dyDescent="0.25">
      <c r="B126" s="192" t="str">
        <f t="shared" si="3"/>
        <v>Ethnicity (select all that apply):</v>
      </c>
      <c r="C126" s="201"/>
      <c r="E126" s="14" t="s">
        <v>2173</v>
      </c>
      <c r="G126" s="220" t="s">
        <v>488</v>
      </c>
      <c r="H126" s="14" t="s">
        <v>558</v>
      </c>
      <c r="I126" s="237" t="str">
        <f>IF(I115="","","Unknown")</f>
        <v/>
      </c>
      <c r="J126" s="145"/>
      <c r="K126" s="145"/>
      <c r="L126" s="14" t="s">
        <v>1416</v>
      </c>
      <c r="M126" s="14" t="s">
        <v>1415</v>
      </c>
      <c r="N126" s="142" t="s">
        <v>565</v>
      </c>
      <c r="O126" s="14" t="s">
        <v>1416</v>
      </c>
      <c r="P126" s="14" t="s">
        <v>1415</v>
      </c>
      <c r="Q126" s="142" t="s">
        <v>1431</v>
      </c>
      <c r="T126" s="14" t="s">
        <v>1267</v>
      </c>
    </row>
    <row r="127" spans="2:20" ht="15" customHeight="1" outlineLevel="3" x14ac:dyDescent="0.25">
      <c r="B127" s="192" t="str">
        <f t="shared" si="3"/>
        <v>Race (select all that apply):</v>
      </c>
      <c r="C127" s="201"/>
      <c r="E127" s="14" t="s">
        <v>2173</v>
      </c>
      <c r="G127" s="239" t="s">
        <v>492</v>
      </c>
      <c r="H127" s="14" t="s">
        <v>558</v>
      </c>
      <c r="I127" s="237" t="str">
        <f>IF(I115="","","Unknown")</f>
        <v/>
      </c>
      <c r="J127" s="145"/>
      <c r="K127" s="145"/>
      <c r="L127" s="14" t="s">
        <v>1416</v>
      </c>
      <c r="M127" s="14" t="s">
        <v>1415</v>
      </c>
      <c r="N127" s="142" t="s">
        <v>565</v>
      </c>
      <c r="O127" s="14" t="s">
        <v>1416</v>
      </c>
      <c r="P127" s="14" t="s">
        <v>1415</v>
      </c>
      <c r="Q127" s="142" t="s">
        <v>1431</v>
      </c>
      <c r="T127" s="14" t="s">
        <v>1271</v>
      </c>
    </row>
    <row r="128" spans="2:20" ht="30" customHeight="1" outlineLevel="3" x14ac:dyDescent="0.25">
      <c r="B128" s="192" t="s">
        <v>412</v>
      </c>
      <c r="C128" s="201" t="str">
        <f>IF(C103="","",IF(LEN(C103)-LEN(SUBSTITUTE(C103,"|",""))=0,C103,LEFT(C103,FIND("|",C103)-1)))</f>
        <v/>
      </c>
      <c r="E128" s="14" t="s">
        <v>2190</v>
      </c>
      <c r="G128" s="239" t="s">
        <v>537</v>
      </c>
      <c r="H128" s="14" t="s">
        <v>559</v>
      </c>
      <c r="I128" s="150" t="str">
        <f>IF(I115="","",IF(OR(C128="",C128="No"),"No","Yes"))</f>
        <v/>
      </c>
      <c r="J128" s="145" t="str">
        <f>IF(I128="Yes", "Medicare Eligible is Yes for EN request for Dependent#1, please change ‘Medicare information’ to 'Yes'  and select Eligible in Dep Medicare tab in BCBS if needed. ","")</f>
        <v/>
      </c>
      <c r="K128" s="145"/>
      <c r="L128" s="14" t="s">
        <v>1417</v>
      </c>
      <c r="M128" s="14" t="s">
        <v>1414</v>
      </c>
      <c r="N128" s="142" t="s">
        <v>1483</v>
      </c>
      <c r="O128" s="14" t="s">
        <v>1416</v>
      </c>
      <c r="P128" s="14" t="s">
        <v>1415</v>
      </c>
      <c r="Q128" s="142" t="s">
        <v>1432</v>
      </c>
      <c r="T128" s="14" t="s">
        <v>1272</v>
      </c>
    </row>
    <row r="129" spans="1:23" ht="30" customHeight="1" outlineLevel="3" x14ac:dyDescent="0.25">
      <c r="B129" s="192" t="str">
        <f>G129</f>
        <v>Different address information than the employee?</v>
      </c>
      <c r="C129" s="201"/>
      <c r="E129" s="14" t="s">
        <v>2190</v>
      </c>
      <c r="G129" s="239" t="s">
        <v>508</v>
      </c>
      <c r="H129" s="14" t="s">
        <v>559</v>
      </c>
      <c r="I129" s="150" t="str">
        <f>IF(I115="","",IF(OR(C130="",TRIM(C130)&amp;TRIM(C131)&amp;TRIM(C132)&amp;TRIM(C133)&amp;TRIM(C134)=TRIM($C$48)&amp;TRIM($C$49)&amp;TRIM($C$50)&amp;TRIM($C$51)&amp;TRIM($C$52)),"No","Yes"))</f>
        <v/>
      </c>
      <c r="J129" s="145" t="str">
        <f>IF(I129="Yes", "Dependent have separate address for EN request for Dependen#1, please change ‘Different address information than the employee' to 'Yes' and update different address in Dep Address tab in BCBS if needed. ","")</f>
        <v/>
      </c>
      <c r="K129" s="145"/>
      <c r="L129" s="14" t="s">
        <v>1417</v>
      </c>
      <c r="M129" s="14" t="s">
        <v>1129</v>
      </c>
      <c r="N129" s="142" t="s">
        <v>1484</v>
      </c>
      <c r="O129" s="14" t="s">
        <v>1416</v>
      </c>
      <c r="P129" s="14" t="s">
        <v>1415</v>
      </c>
      <c r="Q129" s="142" t="s">
        <v>1432</v>
      </c>
      <c r="T129" s="14" t="s">
        <v>1273</v>
      </c>
    </row>
    <row r="130" spans="1:23" ht="30" hidden="1" outlineLevel="3" x14ac:dyDescent="0.25">
      <c r="B130" s="192" t="s">
        <v>414</v>
      </c>
      <c r="C130" s="201" t="str">
        <f>IF(C105="","",IF(LEN(C105)-LEN(SUBSTITUTE(C105,"|",""))=0,C105,LEFT(C105,FIND("|",C105)-1)))</f>
        <v/>
      </c>
      <c r="E130" s="18"/>
      <c r="G130" s="18"/>
      <c r="H130" s="18"/>
      <c r="I130" s="145"/>
      <c r="J130" s="145"/>
      <c r="K130" s="145"/>
      <c r="L130" s="14" t="s">
        <v>1417</v>
      </c>
      <c r="M130" s="14" t="s">
        <v>1414</v>
      </c>
      <c r="N130" s="142" t="s">
        <v>1483</v>
      </c>
      <c r="T130" s="14" t="s">
        <v>1274</v>
      </c>
    </row>
    <row r="131" spans="1:23" ht="30" hidden="1" outlineLevel="3" x14ac:dyDescent="0.25">
      <c r="B131" s="192" t="s">
        <v>416</v>
      </c>
      <c r="C131" s="201" t="str">
        <f>IF(C106="","",IF(LEN(C106)-LEN(SUBSTITUTE(C106,"|",""))=0,C106,LEFT(C106,FIND("|",C106)-1)))</f>
        <v/>
      </c>
      <c r="E131" s="18"/>
      <c r="G131" s="18"/>
      <c r="H131" s="18"/>
      <c r="I131" s="145"/>
      <c r="J131" s="145"/>
      <c r="K131" s="145"/>
      <c r="L131" s="14" t="s">
        <v>1417</v>
      </c>
      <c r="M131" s="14" t="s">
        <v>1414</v>
      </c>
      <c r="N131" s="142" t="s">
        <v>1483</v>
      </c>
      <c r="T131" s="14" t="s">
        <v>1275</v>
      </c>
    </row>
    <row r="132" spans="1:23" ht="30" hidden="1" outlineLevel="3" x14ac:dyDescent="0.25">
      <c r="B132" s="192" t="s">
        <v>6</v>
      </c>
      <c r="C132" s="201" t="str">
        <f>IF(C107="","",IF(LEN(C107)-LEN(SUBSTITUTE(C107,"|",""))=0,C107,LEFT(C107,FIND("|",C107)-1)))</f>
        <v/>
      </c>
      <c r="E132" s="18"/>
      <c r="G132" s="18"/>
      <c r="H132" s="18"/>
      <c r="I132" s="145"/>
      <c r="J132" s="145"/>
      <c r="K132" s="145"/>
      <c r="L132" s="14" t="s">
        <v>1417</v>
      </c>
      <c r="M132" s="14" t="s">
        <v>1414</v>
      </c>
      <c r="N132" s="142" t="s">
        <v>1483</v>
      </c>
      <c r="T132" s="14" t="s">
        <v>1276</v>
      </c>
    </row>
    <row r="133" spans="1:23" ht="30" hidden="1" outlineLevel="3" x14ac:dyDescent="0.25">
      <c r="B133" s="192" t="s">
        <v>7</v>
      </c>
      <c r="C133" s="201" t="str">
        <f>IF(C108="","",IF(LEN(C108)-LEN(SUBSTITUTE(C108,"|",""))=0,C108,LEFT(C108,FIND("|",C108)-1)))</f>
        <v/>
      </c>
      <c r="E133" s="18"/>
      <c r="G133" s="18"/>
      <c r="H133" s="18"/>
      <c r="I133" s="145"/>
      <c r="J133" s="145"/>
      <c r="K133" s="145"/>
      <c r="L133" s="14" t="s">
        <v>1417</v>
      </c>
      <c r="M133" s="14" t="s">
        <v>1414</v>
      </c>
      <c r="N133" s="142" t="s">
        <v>1483</v>
      </c>
      <c r="T133" s="14" t="s">
        <v>1277</v>
      </c>
    </row>
    <row r="134" spans="1:23" ht="30" hidden="1" outlineLevel="3" x14ac:dyDescent="0.25">
      <c r="B134" s="192" t="s">
        <v>19</v>
      </c>
      <c r="C134" s="201" t="str">
        <f>IF(C109="","",IF(LEN(C109)-LEN(SUBSTITUTE(C109,"|",""))=0,C109,LEFT(C109,FIND("|",C109)-1)))</f>
        <v/>
      </c>
      <c r="E134" s="18"/>
      <c r="G134" s="18"/>
      <c r="H134" s="18"/>
      <c r="I134" s="145"/>
      <c r="J134" s="145"/>
      <c r="K134" s="145"/>
      <c r="L134" s="14" t="s">
        <v>1417</v>
      </c>
      <c r="M134" s="14" t="s">
        <v>1414</v>
      </c>
      <c r="N134" s="142" t="s">
        <v>1483</v>
      </c>
      <c r="T134" s="14" t="s">
        <v>1278</v>
      </c>
    </row>
    <row r="135" spans="1:23" ht="15.75" outlineLevel="2" x14ac:dyDescent="0.25">
      <c r="A135" s="251" t="s">
        <v>2234</v>
      </c>
      <c r="B135" s="251"/>
      <c r="C135" s="252"/>
      <c r="E135" s="155"/>
      <c r="G135" s="253"/>
      <c r="H135" s="254"/>
      <c r="I135" s="255"/>
      <c r="J135" s="154"/>
      <c r="K135" s="7"/>
      <c r="L135" s="7"/>
      <c r="M135" s="7"/>
      <c r="N135" s="7"/>
      <c r="O135" s="7"/>
      <c r="P135" s="7"/>
      <c r="Q135" s="7"/>
      <c r="R135" s="7"/>
      <c r="S135" s="7"/>
      <c r="T135" s="7"/>
      <c r="U135" s="7"/>
      <c r="V135" s="7"/>
      <c r="W135" s="7"/>
    </row>
    <row r="136" spans="1:23" ht="45" outlineLevel="3" x14ac:dyDescent="0.25">
      <c r="B136" s="9" t="s">
        <v>88</v>
      </c>
      <c r="C136" s="197" t="str">
        <f>IF(C86="","",IFERROR(IF(LEN(RIGHT(C86,LEN(C86)-FIND("^",SUBSTITUTE(C86,"|","^",1))))-LEN(SUBSTITUTE(RIGHT(C86,LEN(C86)-FIND("^",SUBSTITUTE(C86,"|","^",1))),"|",""))=0,RIGHT(C86,LEN(C86)-FIND("^",SUBSTITUTE(C86,"|","^",1))),LEFT(RIGHT(C86,LEN(C86)-FIND("^",SUBSTITUTE(C86,"|","^",1))),FIND("|",RIGHT(C86,LEN(C86)-FIND("^",SUBSTITUTE(C86,"|","^",1))))-1)),""))</f>
        <v/>
      </c>
      <c r="E136" s="2" t="s">
        <v>2171</v>
      </c>
      <c r="G136" s="239" t="s">
        <v>95</v>
      </c>
      <c r="H136" s="14" t="s">
        <v>14</v>
      </c>
      <c r="I136" s="125" t="str">
        <f>IF(I140="","",IF(C136="","#N/A, Input cannot be blank",UPPER(LEFT(C136,20))))</f>
        <v/>
      </c>
      <c r="J136" s="14" t="str">
        <f>IF(LEN(C136)&gt;20,TEXT("Requested dependent#2 last name as:","xxx")&amp;" "&amp; TEXT(C136,"xxxxxxx")&amp;","&amp;" "&amp;TEXT("input into BCBS as:","xxxx")&amp;" "&amp; TEXT(I136,"xxxxxxx")&amp;". ","")</f>
        <v/>
      </c>
      <c r="K136" s="7"/>
      <c r="L136" s="7" t="s">
        <v>1416</v>
      </c>
      <c r="M136" s="7" t="s">
        <v>1129</v>
      </c>
      <c r="N136" s="7" t="s">
        <v>1483</v>
      </c>
      <c r="O136" s="7" t="s">
        <v>1416</v>
      </c>
      <c r="P136" s="7" t="s">
        <v>1129</v>
      </c>
      <c r="Q136" s="7" t="s">
        <v>1593</v>
      </c>
      <c r="R136" s="7"/>
      <c r="S136" s="7"/>
      <c r="T136" s="7" t="s">
        <v>1262</v>
      </c>
      <c r="U136" s="7"/>
      <c r="V136" s="7"/>
      <c r="W136" s="7"/>
    </row>
    <row r="137" spans="1:23" ht="15" customHeight="1" outlineLevel="3" x14ac:dyDescent="0.25">
      <c r="B137" s="192" t="s">
        <v>155</v>
      </c>
      <c r="C137" s="201" t="str">
        <f>IF(C87="","",IFERROR(IF(LEN(RIGHT(C87,LEN(C87)-FIND("^",SUBSTITUTE(C87,"|","^",1))))-LEN(SUBSTITUTE(RIGHT(C87,LEN(C87)-FIND("^",SUBSTITUTE(C87,"|","^",1))),"|",""))=0,RIGHT(C87,LEN(C87)-FIND("^",SUBSTITUTE(C87,"|","^",1))),LEFT(RIGHT(C87,LEN(C87)-FIND("^",SUBSTITUTE(C87,"|","^",1))),FIND("|",RIGHT(C87,LEN(C87)-FIND("^",SUBSTITUTE(C87,"|","^",1))))-1)),""))</f>
        <v/>
      </c>
      <c r="E137" s="14" t="s">
        <v>2172</v>
      </c>
      <c r="G137" s="239" t="s">
        <v>155</v>
      </c>
      <c r="H137" s="14" t="s">
        <v>14</v>
      </c>
      <c r="I137" s="189"/>
      <c r="J137" s="145"/>
      <c r="K137" s="7"/>
      <c r="L137" s="7" t="s">
        <v>1416</v>
      </c>
      <c r="M137" s="7" t="s">
        <v>1129</v>
      </c>
      <c r="N137" s="7" t="s">
        <v>1483</v>
      </c>
      <c r="O137" s="7" t="s">
        <v>1416</v>
      </c>
      <c r="P137" s="7" t="s">
        <v>1415</v>
      </c>
      <c r="Q137" s="7" t="s">
        <v>565</v>
      </c>
      <c r="R137" s="7"/>
      <c r="S137" s="7"/>
      <c r="T137" s="7" t="s">
        <v>1261</v>
      </c>
      <c r="U137" s="7"/>
      <c r="V137" s="7"/>
      <c r="W137" s="7"/>
    </row>
    <row r="138" spans="1:23" ht="15" customHeight="1" outlineLevel="3" x14ac:dyDescent="0.25">
      <c r="B138" s="9" t="s">
        <v>87</v>
      </c>
      <c r="C138" s="197" t="str">
        <f>IF(C88="","",IFERROR(IF(LEN(RIGHT(C88,LEN(C88)-FIND("^",SUBSTITUTE(C88,"|","^",1))))-LEN(SUBSTITUTE(RIGHT(C88,LEN(C88)-FIND("^",SUBSTITUTE(C88,"|","^",1))),"|",""))=0,RIGHT(C88,LEN(C88)-FIND("^",SUBSTITUTE(C88,"|","^",1))),LEFT(RIGHT(C88,LEN(C88)-FIND("^",SUBSTITUTE(C88,"|","^",1))),FIND("|",RIGHT(C88,LEN(C88)-FIND("^",SUBSTITUTE(C88,"|","^",1))))-1)),""))</f>
        <v/>
      </c>
      <c r="E138" s="2" t="s">
        <v>2170</v>
      </c>
      <c r="G138" s="239" t="s">
        <v>93</v>
      </c>
      <c r="H138" s="14" t="s">
        <v>14</v>
      </c>
      <c r="I138" s="125" t="str">
        <f>IF(I140="","",IF(C138="","#N/A, Input cannot be blank",UPPER(LEFT(C138,20))))</f>
        <v/>
      </c>
      <c r="J138" s="125" t="str">
        <f>IF(LEN(C138)&gt;20,TEXT("Requested dependent#2 first name as:","xxx")&amp;" "&amp; TEXT(C138,"xxxxxxx")&amp;","&amp;" "&amp; TEXT("input into BCBS as:","xxxx")&amp;" "&amp; TEXT(I138,"xxxxxxx")&amp;". ","")</f>
        <v/>
      </c>
      <c r="K138" s="7"/>
      <c r="L138" s="7" t="s">
        <v>1416</v>
      </c>
      <c r="M138" s="7" t="s">
        <v>1129</v>
      </c>
      <c r="N138" s="7" t="s">
        <v>1483</v>
      </c>
      <c r="O138" s="7" t="s">
        <v>1416</v>
      </c>
      <c r="P138" s="7" t="s">
        <v>1129</v>
      </c>
      <c r="Q138" s="7" t="s">
        <v>1593</v>
      </c>
      <c r="R138" s="7"/>
      <c r="S138" s="7"/>
      <c r="T138" s="7" t="s">
        <v>1260</v>
      </c>
      <c r="U138" s="7"/>
      <c r="V138" s="7"/>
      <c r="W138" s="7"/>
    </row>
    <row r="139" spans="1:23" ht="15" customHeight="1" outlineLevel="3" x14ac:dyDescent="0.25">
      <c r="B139" s="9" t="s">
        <v>552</v>
      </c>
      <c r="C139" s="197" t="str">
        <f>IF(C89="","",IFERROR(LEFT(RIGHT(C89,LEN(C89)-FIND("^",SUBSTITUTE(C89,"|","^",1))),1),""))</f>
        <v/>
      </c>
      <c r="E139" s="14" t="s">
        <v>547</v>
      </c>
      <c r="G139" s="239" t="s">
        <v>94</v>
      </c>
      <c r="H139" s="14" t="s">
        <v>14</v>
      </c>
      <c r="I139" s="125" t="str">
        <f>IF(OR(I140="",C139=""),"",UPPER(LEFT(C139,1)))</f>
        <v/>
      </c>
      <c r="J139" s="145"/>
      <c r="K139" s="7"/>
      <c r="L139" s="7" t="s">
        <v>1416</v>
      </c>
      <c r="M139" s="7" t="s">
        <v>1129</v>
      </c>
      <c r="N139" s="7" t="s">
        <v>1483</v>
      </c>
      <c r="O139" s="7" t="s">
        <v>1416</v>
      </c>
      <c r="P139" s="7" t="s">
        <v>1129</v>
      </c>
      <c r="Q139" s="7" t="s">
        <v>1593</v>
      </c>
      <c r="R139" s="7"/>
      <c r="S139" s="7"/>
      <c r="T139" s="7" t="s">
        <v>1596</v>
      </c>
      <c r="U139" s="7"/>
      <c r="V139" s="7"/>
      <c r="W139" s="7"/>
    </row>
    <row r="140" spans="1:23" ht="30" customHeight="1" outlineLevel="3" x14ac:dyDescent="0.25">
      <c r="B140" s="9" t="s">
        <v>26</v>
      </c>
      <c r="C140" s="197" t="str">
        <f>IF(C90="","",IFERROR(IF(LEN(RIGHT(C90,LEN(C90)-FIND("^",SUBSTITUTE(C90,"|","^",1))))-LEN(SUBSTITUTE(RIGHT(C90,LEN(C90)-FIND("^",SUBSTITUTE(C90,"|","^",1))),"|",""))=0,RIGHT(C90,LEN(C90)-FIND("^",SUBSTITUTE(C90,"|","^",1))),LEFT(RIGHT(C90,LEN(C90)-FIND("^",SUBSTITUTE(C90,"|","^",1))),FIND("|",RIGHT(C90,LEN(C90)-FIND("^",SUBSTITUTE(C90,"|","^",1))))-1)),""))</f>
        <v/>
      </c>
      <c r="E140" s="14" t="s">
        <v>2200</v>
      </c>
      <c r="G140" s="239" t="s">
        <v>123</v>
      </c>
      <c r="H140" s="14" t="s">
        <v>29</v>
      </c>
      <c r="I140" s="125" t="str">
        <f>IF(C136="","",IF(OR($I$69="Y",$I$79="Y"),IF(C140="","#N/A, Input cannot be blank",IF($C$44="",INDEX('Dropdown list'!$AD:$AD,MATCH(C140,'Dropdown list'!$AC:$AC,0),1),IF(C140="Child",IF(OR(ISNUMBER(MATCH(SUBSTITUTE($C$69," (Pending)",""),'Dropdown list'!$AL:$AL,0)),ISNUMBER(MATCH(SUBSTITUTE($C$79," (Pending)",""),'Dropdown list'!$AL:$AL,0))),INDEX('Dropdown list'!$AH:$AH,MATCH(C141&amp;C142,'Dropdown list'!$AG:$AG,0),1),""),IF(C140="Spouse",IF(OR(ISNUMBER(MATCH(SUBSTITUTE($C$69," (Pending)",""),'Dropdown list'!$AM:$AM,0)),ISNUMBER(MATCH(SUBSTITUTE($C$79," (Pending)",""),'Dropdown list'!$AM:$AM,0))),"Spouse",""),IF(C140="Domestic Partner",IF(OR(ISNUMBER(MATCH(SUBSTITUTE($C$69," (Pending)",""),'Dropdown list'!$AN:$AN,0)),ISNUMBER(MATCH(SUBSTITUTE($C$79," (Pending)",""),'Dropdown list'!$AN:$AN,0))),"Domestic Partner",""),INDEX('Dropdown list'!$AK:$AK,MATCH(C140,'Dropdown list'!$AJ:$AJ,0),1)))))),""))</f>
        <v/>
      </c>
      <c r="J140" s="145"/>
      <c r="K140" s="145"/>
      <c r="L140" s="14" t="s">
        <v>1416</v>
      </c>
      <c r="M140" s="142" t="s">
        <v>1129</v>
      </c>
      <c r="N140" s="142" t="s">
        <v>1483</v>
      </c>
      <c r="O140" s="14" t="s">
        <v>1416</v>
      </c>
      <c r="P140" s="142" t="s">
        <v>1129</v>
      </c>
      <c r="Q140" s="142" t="s">
        <v>1594</v>
      </c>
      <c r="T140" s="14" t="s">
        <v>1595</v>
      </c>
    </row>
    <row r="141" spans="1:23" ht="0.2" customHeight="1" outlineLevel="3" x14ac:dyDescent="0.25">
      <c r="B141" s="192" t="s">
        <v>79</v>
      </c>
      <c r="C141" s="201" t="str">
        <f>IF(C91="","",IFERROR(IF(LEN(RIGHT(C91,LEN(C91)-FIND("^",SUBSTITUTE(C91,"|","^",1))))-LEN(SUBSTITUTE(RIGHT(C91,LEN(C91)-FIND("^",SUBSTITUTE(C91,"|","^",1))),"|",""))=0,RIGHT(C91,LEN(C91)-FIND("^",SUBSTITUTE(C91,"|","^",1))),LEFT(RIGHT(C91,LEN(C91)-FIND("^",SUBSTITUTE(C91,"|","^",1))),FIND("|",RIGHT(C91,LEN(C91)-FIND("^",SUBSTITUTE(C91,"|","^",1))))-1)),""))</f>
        <v/>
      </c>
      <c r="E141" s="14" t="s">
        <v>2191</v>
      </c>
      <c r="H141" s="1"/>
      <c r="I141" s="1"/>
      <c r="J141" s="1"/>
      <c r="K141" s="7"/>
      <c r="L141" s="14" t="s">
        <v>1416</v>
      </c>
      <c r="M141" s="142" t="s">
        <v>1129</v>
      </c>
      <c r="N141" s="142" t="s">
        <v>1483</v>
      </c>
      <c r="T141" s="14" t="s">
        <v>1597</v>
      </c>
    </row>
    <row r="142" spans="1:23" ht="0.2" customHeight="1" outlineLevel="3" x14ac:dyDescent="0.25">
      <c r="B142" s="192" t="s">
        <v>409</v>
      </c>
      <c r="C142" s="201" t="str">
        <f>IF(C92="","",IFERROR(IF(LEN(RIGHT(C92,LEN(C92)-FIND("^",SUBSTITUTE(C92,"|","^",1))))-LEN(SUBSTITUTE(RIGHT(C92,LEN(C92)-FIND("^",SUBSTITUTE(C92,"|","^",1))),"|",""))=0,RIGHT(C92,LEN(C92)-FIND("^",SUBSTITUTE(C92,"|","^",1))),LEFT(RIGHT(C92,LEN(C92)-FIND("^",SUBSTITUTE(C92,"|","^",1))),FIND("|",RIGHT(C92,LEN(C92)-FIND("^",SUBSTITUTE(C92,"|","^",1))))-1)),""))</f>
        <v/>
      </c>
      <c r="E142" s="14"/>
      <c r="H142" s="1"/>
      <c r="I142" s="1"/>
      <c r="J142" s="1"/>
      <c r="K142" s="7"/>
      <c r="L142" s="14" t="s">
        <v>1416</v>
      </c>
      <c r="M142" s="142" t="s">
        <v>1129</v>
      </c>
      <c r="N142" s="142" t="s">
        <v>1483</v>
      </c>
      <c r="T142" s="14" t="s">
        <v>1280</v>
      </c>
    </row>
    <row r="143" spans="1:23" ht="15" customHeight="1" outlineLevel="3" x14ac:dyDescent="0.25">
      <c r="B143" s="9" t="s">
        <v>2</v>
      </c>
      <c r="C143" s="197" t="str">
        <f>IF(C93="","",IFERROR(IF(LEN(RIGHT(C93,LEN(C93)-FIND("^",SUBSTITUTE(C93,"|","^",1))))-LEN(SUBSTITUTE(RIGHT(C93,LEN(C93)-FIND("^",SUBSTITUTE(C93,"|","^",1))),"|",""))=0,RIGHT(C93,LEN(C93)-FIND("^",SUBSTITUTE(C93,"|","^",1))),LEFT(RIGHT(C93,LEN(C93)-FIND("^",SUBSTITUTE(C93,"|","^",1))),FIND("|",RIGHT(C93,LEN(C93)-FIND("^",SUBSTITUTE(C93,"|","^",1))))-1)),""))</f>
        <v/>
      </c>
      <c r="E143" s="14" t="s">
        <v>553</v>
      </c>
      <c r="G143" s="239" t="s">
        <v>96</v>
      </c>
      <c r="H143" s="14" t="s">
        <v>29</v>
      </c>
      <c r="I143" s="125" t="str">
        <f>IF(I140="","",IF(C143="","#N/A, Input cannot be blank",IF(C143="M", "Male",IF(C143="F","Female","#N/A, Unidentified Gender"))))</f>
        <v/>
      </c>
      <c r="J143" s="145"/>
      <c r="K143" s="145"/>
      <c r="L143" s="14" t="s">
        <v>1416</v>
      </c>
      <c r="M143" s="142" t="s">
        <v>1129</v>
      </c>
      <c r="N143" s="142" t="s">
        <v>1483</v>
      </c>
      <c r="O143" s="14" t="s">
        <v>1416</v>
      </c>
      <c r="P143" s="142" t="s">
        <v>1129</v>
      </c>
      <c r="Q143" s="142" t="s">
        <v>1598</v>
      </c>
      <c r="T143" s="14" t="s">
        <v>1259</v>
      </c>
    </row>
    <row r="144" spans="1:23" ht="15" customHeight="1" outlineLevel="3" x14ac:dyDescent="0.25">
      <c r="B144" s="192" t="str">
        <f>G144</f>
        <v>Other Dependent:</v>
      </c>
      <c r="C144" s="201"/>
      <c r="E144" s="14" t="s">
        <v>2189</v>
      </c>
      <c r="G144" s="239" t="s">
        <v>440</v>
      </c>
      <c r="H144" s="14" t="s">
        <v>29</v>
      </c>
      <c r="I144" s="189"/>
      <c r="J144" s="145"/>
      <c r="K144" s="145"/>
      <c r="L144" s="14" t="s">
        <v>1416</v>
      </c>
      <c r="M144" s="14" t="s">
        <v>1415</v>
      </c>
      <c r="N144" s="142" t="s">
        <v>565</v>
      </c>
      <c r="O144" s="14" t="s">
        <v>1416</v>
      </c>
      <c r="P144" s="14" t="s">
        <v>1415</v>
      </c>
      <c r="Q144" s="142" t="s">
        <v>565</v>
      </c>
      <c r="T144" s="14" t="s">
        <v>1279</v>
      </c>
    </row>
    <row r="145" spans="1:23" ht="15" customHeight="1" outlineLevel="3" x14ac:dyDescent="0.25">
      <c r="B145" s="9" t="s">
        <v>8</v>
      </c>
      <c r="C145" s="197" t="str">
        <f>IF(C95="","",IFERROR(IF(LEN(RIGHT(C95,LEN(C95)-FIND("^",SUBSTITUTE(C95,"|","^",1))))-LEN(SUBSTITUTE(RIGHT(C95,LEN(C95)-FIND("^",SUBSTITUTE(C95,"|","^",1))),"|",""))=0,RIGHT(C95,LEN(C95)-FIND("^",SUBSTITUTE(C95,"|","^",1))),LEFT(RIGHT(C95,LEN(C95)-FIND("^",SUBSTITUTE(C95,"|","^",1))),FIND("|",RIGHT(C95,LEN(C95)-FIND("^",SUBSTITUTE(C95,"|","^",1))))-1)),""))</f>
        <v/>
      </c>
      <c r="G145" s="239" t="s">
        <v>125</v>
      </c>
      <c r="H145" s="14" t="s">
        <v>14</v>
      </c>
      <c r="I145" s="125" t="str">
        <f>IF(I140="","",IF(C145="","#N/A, Input cannot be blank",IFERROR(TEXT(EDATE(C145,0),"MM/DD/YYYY"),"#N/A, Please enter a date format")))</f>
        <v/>
      </c>
      <c r="J145" s="145"/>
      <c r="K145" s="145"/>
      <c r="L145" s="14" t="s">
        <v>1416</v>
      </c>
      <c r="M145" s="142" t="s">
        <v>1129</v>
      </c>
      <c r="N145" s="142" t="s">
        <v>1483</v>
      </c>
      <c r="O145" s="14" t="s">
        <v>1416</v>
      </c>
      <c r="P145" s="142" t="s">
        <v>1129</v>
      </c>
      <c r="Q145" s="14" t="s">
        <v>1508</v>
      </c>
      <c r="T145" s="14" t="s">
        <v>1258</v>
      </c>
    </row>
    <row r="146" spans="1:23" ht="15" customHeight="1" outlineLevel="3" x14ac:dyDescent="0.25">
      <c r="B146" s="9" t="s">
        <v>3</v>
      </c>
      <c r="C146" s="197" t="str">
        <f>IF(C96="","",IFERROR(IF(LEN(RIGHT(C96,LEN(C96)-FIND("^",SUBSTITUTE(C96,"|","^",1))))-LEN(SUBSTITUTE(RIGHT(C96,LEN(C96)-FIND("^",SUBSTITUTE(C96,"|","^",1))),"|",""))=0,RIGHT(C96,LEN(C96)-FIND("^",SUBSTITUTE(C96,"|","^",1))),LEFT(RIGHT(C96,LEN(C96)-FIND("^",SUBSTITUTE(C96,"|","^",1))),FIND("|",RIGHT(C96,LEN(C96)-FIND("^",SUBSTITUTE(C96,"|","^",1))))-1)),""))</f>
        <v/>
      </c>
      <c r="E146" s="14" t="s">
        <v>547</v>
      </c>
      <c r="G146" s="239" t="s">
        <v>97</v>
      </c>
      <c r="H146" s="14" t="s">
        <v>14</v>
      </c>
      <c r="I146" s="125" t="str">
        <f>IF(C146=" ",C146,IF(OR(I140="",C146=""),"",IF(LEN(SUBSTITUTE(C146,"-",""))=9,SUBSTITUTE(C146,"-",""),"#N/A, SSN# must be 9 digits")))</f>
        <v/>
      </c>
      <c r="J146" s="145"/>
      <c r="K146" s="145"/>
      <c r="L146" s="14" t="s">
        <v>1416</v>
      </c>
      <c r="M146" s="142" t="s">
        <v>1129</v>
      </c>
      <c r="N146" s="142" t="s">
        <v>1483</v>
      </c>
      <c r="O146" s="14" t="s">
        <v>1416</v>
      </c>
      <c r="P146" s="142" t="s">
        <v>1129</v>
      </c>
      <c r="Q146" s="14" t="s">
        <v>1518</v>
      </c>
      <c r="T146" s="14" t="s">
        <v>1230</v>
      </c>
    </row>
    <row r="147" spans="1:23" ht="15" customHeight="1" outlineLevel="3" x14ac:dyDescent="0.25">
      <c r="B147" s="192" t="str">
        <f t="shared" ref="B147:B152" si="4">G147</f>
        <v>Multiple Birth:</v>
      </c>
      <c r="C147" s="201"/>
      <c r="E147" s="14" t="s">
        <v>2189</v>
      </c>
      <c r="G147" s="239" t="s">
        <v>506</v>
      </c>
      <c r="H147" s="14" t="s">
        <v>559</v>
      </c>
      <c r="I147" s="237"/>
      <c r="J147" s="145"/>
      <c r="K147" s="145"/>
      <c r="L147" s="14" t="s">
        <v>1416</v>
      </c>
      <c r="M147" s="14" t="s">
        <v>1415</v>
      </c>
      <c r="N147" s="142" t="s">
        <v>565</v>
      </c>
      <c r="O147" s="14" t="s">
        <v>1416</v>
      </c>
      <c r="P147" s="14" t="s">
        <v>1415</v>
      </c>
      <c r="Q147" s="142" t="s">
        <v>565</v>
      </c>
      <c r="T147" s="14" t="s">
        <v>1264</v>
      </c>
    </row>
    <row r="148" spans="1:23" ht="15" customHeight="1" outlineLevel="3" x14ac:dyDescent="0.25">
      <c r="B148" s="192" t="str">
        <f t="shared" si="4"/>
        <v>Native Language:</v>
      </c>
      <c r="C148" s="201"/>
      <c r="E148" s="14" t="s">
        <v>2175</v>
      </c>
      <c r="G148" s="239" t="s">
        <v>484</v>
      </c>
      <c r="H148" s="14" t="s">
        <v>29</v>
      </c>
      <c r="I148" s="237" t="str">
        <f>IF(I140="","","English")</f>
        <v/>
      </c>
      <c r="J148" s="145"/>
      <c r="K148" s="145"/>
      <c r="L148" s="14" t="s">
        <v>1416</v>
      </c>
      <c r="M148" s="14" t="s">
        <v>1415</v>
      </c>
      <c r="N148" s="142" t="s">
        <v>565</v>
      </c>
      <c r="O148" s="14" t="s">
        <v>1416</v>
      </c>
      <c r="P148" s="14" t="s">
        <v>1415</v>
      </c>
      <c r="Q148" s="142" t="s">
        <v>1430</v>
      </c>
      <c r="T148" s="14" t="s">
        <v>1263</v>
      </c>
    </row>
    <row r="149" spans="1:23" ht="15" customHeight="1" outlineLevel="3" x14ac:dyDescent="0.25">
      <c r="B149" s="192" t="str">
        <f t="shared" si="4"/>
        <v>Preferred Written Language:</v>
      </c>
      <c r="C149" s="201"/>
      <c r="E149" s="14" t="s">
        <v>2175</v>
      </c>
      <c r="G149" s="239" t="s">
        <v>486</v>
      </c>
      <c r="H149" s="14" t="s">
        <v>29</v>
      </c>
      <c r="I149" s="237" t="str">
        <f>IF(I140="","","English")</f>
        <v/>
      </c>
      <c r="J149" s="145"/>
      <c r="K149" s="145"/>
      <c r="L149" s="14" t="s">
        <v>1416</v>
      </c>
      <c r="M149" s="14" t="s">
        <v>1415</v>
      </c>
      <c r="N149" s="142" t="s">
        <v>565</v>
      </c>
      <c r="O149" s="14" t="s">
        <v>1416</v>
      </c>
      <c r="P149" s="14" t="s">
        <v>1415</v>
      </c>
      <c r="Q149" s="142" t="s">
        <v>1430</v>
      </c>
      <c r="T149" s="14" t="s">
        <v>1265</v>
      </c>
    </row>
    <row r="150" spans="1:23" ht="15" customHeight="1" outlineLevel="3" x14ac:dyDescent="0.25">
      <c r="B150" s="192" t="str">
        <f t="shared" si="4"/>
        <v>Preferred Spoken Language:</v>
      </c>
      <c r="C150" s="201"/>
      <c r="E150" s="14" t="s">
        <v>2175</v>
      </c>
      <c r="G150" s="239" t="s">
        <v>487</v>
      </c>
      <c r="H150" s="14" t="s">
        <v>29</v>
      </c>
      <c r="I150" s="237" t="str">
        <f>IF(I140="","","English")</f>
        <v/>
      </c>
      <c r="J150" s="145"/>
      <c r="K150" s="145"/>
      <c r="L150" s="14" t="s">
        <v>1416</v>
      </c>
      <c r="M150" s="14" t="s">
        <v>1415</v>
      </c>
      <c r="N150" s="142" t="s">
        <v>565</v>
      </c>
      <c r="O150" s="14" t="s">
        <v>1416</v>
      </c>
      <c r="P150" s="14" t="s">
        <v>1415</v>
      </c>
      <c r="Q150" s="142" t="s">
        <v>1430</v>
      </c>
      <c r="T150" s="14" t="s">
        <v>1266</v>
      </c>
    </row>
    <row r="151" spans="1:23" ht="15" customHeight="1" outlineLevel="3" x14ac:dyDescent="0.25">
      <c r="B151" s="192" t="str">
        <f t="shared" si="4"/>
        <v>Ethnicity (select all that apply):</v>
      </c>
      <c r="C151" s="201"/>
      <c r="E151" s="14" t="s">
        <v>2173</v>
      </c>
      <c r="G151" s="220" t="s">
        <v>488</v>
      </c>
      <c r="H151" s="14" t="s">
        <v>558</v>
      </c>
      <c r="I151" s="237" t="str">
        <f>IF(I140="","","Unknown")</f>
        <v/>
      </c>
      <c r="J151" s="145"/>
      <c r="K151" s="145"/>
      <c r="L151" s="14" t="s">
        <v>1416</v>
      </c>
      <c r="M151" s="14" t="s">
        <v>1415</v>
      </c>
      <c r="N151" s="142" t="s">
        <v>565</v>
      </c>
      <c r="O151" s="14" t="s">
        <v>1416</v>
      </c>
      <c r="P151" s="14" t="s">
        <v>1415</v>
      </c>
      <c r="Q151" s="142" t="s">
        <v>1431</v>
      </c>
      <c r="T151" s="14" t="s">
        <v>1267</v>
      </c>
    </row>
    <row r="152" spans="1:23" ht="15" customHeight="1" outlineLevel="3" x14ac:dyDescent="0.25">
      <c r="B152" s="192" t="str">
        <f t="shared" si="4"/>
        <v>Race (select all that apply):</v>
      </c>
      <c r="C152" s="201"/>
      <c r="E152" s="14" t="s">
        <v>2173</v>
      </c>
      <c r="G152" s="239" t="s">
        <v>492</v>
      </c>
      <c r="H152" s="14" t="s">
        <v>558</v>
      </c>
      <c r="I152" s="237" t="str">
        <f>IF(I140="","","Unknown")</f>
        <v/>
      </c>
      <c r="J152" s="145"/>
      <c r="K152" s="145"/>
      <c r="L152" s="14" t="s">
        <v>1416</v>
      </c>
      <c r="M152" s="14" t="s">
        <v>1415</v>
      </c>
      <c r="N152" s="142" t="s">
        <v>565</v>
      </c>
      <c r="O152" s="14" t="s">
        <v>1416</v>
      </c>
      <c r="P152" s="14" t="s">
        <v>1415</v>
      </c>
      <c r="Q152" s="142" t="s">
        <v>1431</v>
      </c>
      <c r="T152" s="14" t="s">
        <v>1271</v>
      </c>
    </row>
    <row r="153" spans="1:23" ht="30" customHeight="1" outlineLevel="3" x14ac:dyDescent="0.25">
      <c r="B153" s="192" t="s">
        <v>412</v>
      </c>
      <c r="C153" s="201" t="str">
        <f>IF(C103="","",IFERROR(IF(LEN(RIGHT(C103,LEN(C103)-FIND("^",SUBSTITUTE(C103,"|","^",1))))-LEN(SUBSTITUTE(RIGHT(C103,LEN(C103)-FIND("^",SUBSTITUTE(C103,"|","^",1))),"|",""))=0,RIGHT(C103,LEN(C103)-FIND("^",SUBSTITUTE(C103,"|","^",1))),LEFT(RIGHT(C103,LEN(C103)-FIND("^",SUBSTITUTE(C103,"|","^",1))),FIND("|",RIGHT(C103,LEN(C103)-FIND("^",SUBSTITUTE(C103,"|","^",1))))-1)),""))</f>
        <v/>
      </c>
      <c r="E153" s="14" t="s">
        <v>2190</v>
      </c>
      <c r="G153" s="239" t="s">
        <v>537</v>
      </c>
      <c r="H153" s="14" t="s">
        <v>559</v>
      </c>
      <c r="I153" s="150" t="str">
        <f>IF(I140="","",IF(OR(C153="",C153="No"),"No","Yes"))</f>
        <v/>
      </c>
      <c r="J153" s="145" t="str">
        <f>IF(I153="Yes", "Medicare Eligible is Yes for EN request for Dependent#2, please change ‘Medicare information’ to 'Yes'  and select Eligible in Dep Medicare tab in BCBS if needed. ","")</f>
        <v/>
      </c>
      <c r="K153" s="145"/>
      <c r="L153" s="14" t="s">
        <v>1417</v>
      </c>
      <c r="M153" s="14" t="s">
        <v>1414</v>
      </c>
      <c r="N153" s="142" t="s">
        <v>1483</v>
      </c>
      <c r="O153" s="14" t="s">
        <v>1416</v>
      </c>
      <c r="P153" s="14" t="s">
        <v>1415</v>
      </c>
      <c r="Q153" s="142" t="s">
        <v>1432</v>
      </c>
      <c r="T153" s="14" t="s">
        <v>1272</v>
      </c>
    </row>
    <row r="154" spans="1:23" ht="30" customHeight="1" outlineLevel="3" x14ac:dyDescent="0.25">
      <c r="B154" s="192" t="str">
        <f>G154</f>
        <v>Different address information than the employee?</v>
      </c>
      <c r="C154" s="201"/>
      <c r="E154" s="14" t="s">
        <v>2190</v>
      </c>
      <c r="G154" s="239" t="s">
        <v>508</v>
      </c>
      <c r="H154" s="14" t="s">
        <v>559</v>
      </c>
      <c r="I154" s="150" t="str">
        <f>IF(I140="","",IF(OR(C155="",TRIM(C155)&amp;TRIM(C156)&amp;TRIM(C157)&amp;TRIM(C158)&amp;TRIM(C159)=TRIM($C$48)&amp;TRIM($C$49)&amp;TRIM($C$50)&amp;TRIM($C$51)&amp;TRIM($C$52)),"No","Yes"))</f>
        <v/>
      </c>
      <c r="J154" s="145" t="str">
        <f>IF(I154="Yes", "Dependent have separate address for EN request for Dependen#2, please change ‘Different address information than the employee' to 'Yes' and update different address in Dep Address tab in BCBS if needed. ","")</f>
        <v/>
      </c>
      <c r="K154" s="145"/>
      <c r="L154" s="14" t="s">
        <v>1417</v>
      </c>
      <c r="M154" s="14" t="s">
        <v>1129</v>
      </c>
      <c r="N154" s="142" t="s">
        <v>1484</v>
      </c>
      <c r="O154" s="14" t="s">
        <v>1416</v>
      </c>
      <c r="P154" s="14" t="s">
        <v>1415</v>
      </c>
      <c r="Q154" s="142" t="s">
        <v>1432</v>
      </c>
      <c r="T154" s="14" t="s">
        <v>1273</v>
      </c>
    </row>
    <row r="155" spans="1:23" ht="0.2" customHeight="1" outlineLevel="3" x14ac:dyDescent="0.25">
      <c r="B155" s="192" t="s">
        <v>414</v>
      </c>
      <c r="C155" s="201" t="str">
        <f>IF(C105="","",IFERROR(IF(LEN(RIGHT(C105,LEN(C105)-FIND("^",SUBSTITUTE(C105,"|","^",1))))-LEN(SUBSTITUTE(RIGHT(C105,LEN(C105)-FIND("^",SUBSTITUTE(C105,"|","^",1))),"|",""))=0,RIGHT(C105,LEN(C105)-FIND("^",SUBSTITUTE(C105,"|","^",1))),LEFT(RIGHT(C105,LEN(C105)-FIND("^",SUBSTITUTE(C105,"|","^",1))),FIND("|",RIGHT(C105,LEN(C105)-FIND("^",SUBSTITUTE(C105,"|","^",1))))-1)),""))</f>
        <v/>
      </c>
      <c r="E155" s="18"/>
      <c r="G155" s="18"/>
      <c r="H155" s="18"/>
      <c r="I155" s="145"/>
      <c r="J155" s="145"/>
      <c r="K155" s="145"/>
      <c r="L155" s="14" t="s">
        <v>1417</v>
      </c>
      <c r="M155" s="14" t="s">
        <v>1414</v>
      </c>
      <c r="N155" s="142" t="s">
        <v>1483</v>
      </c>
      <c r="T155" s="14" t="s">
        <v>1274</v>
      </c>
    </row>
    <row r="156" spans="1:23" ht="0.2" customHeight="1" outlineLevel="3" x14ac:dyDescent="0.25">
      <c r="B156" s="192" t="s">
        <v>416</v>
      </c>
      <c r="C156" s="201" t="str">
        <f>IF(C106="","",IFERROR(IF(LEN(RIGHT(C106,LEN(C106)-FIND("^",SUBSTITUTE(C106,"|","^",1))))-LEN(SUBSTITUTE(RIGHT(C106,LEN(C106)-FIND("^",SUBSTITUTE(C106,"|","^",1))),"|",""))=0,RIGHT(C106,LEN(C106)-FIND("^",SUBSTITUTE(C106,"|","^",1))),LEFT(RIGHT(C106,LEN(C106)-FIND("^",SUBSTITUTE(C106,"|","^",1))),FIND("|",RIGHT(C106,LEN(C106)-FIND("^",SUBSTITUTE(C106,"|","^",1))))-1)),""))</f>
        <v/>
      </c>
      <c r="E156" s="18"/>
      <c r="G156" s="18"/>
      <c r="H156" s="18"/>
      <c r="I156" s="145"/>
      <c r="J156" s="145"/>
      <c r="K156" s="145"/>
      <c r="L156" s="14" t="s">
        <v>1417</v>
      </c>
      <c r="M156" s="14" t="s">
        <v>1414</v>
      </c>
      <c r="N156" s="142" t="s">
        <v>1483</v>
      </c>
      <c r="T156" s="14" t="s">
        <v>1275</v>
      </c>
    </row>
    <row r="157" spans="1:23" ht="0.2" customHeight="1" outlineLevel="3" x14ac:dyDescent="0.25">
      <c r="B157" s="192" t="s">
        <v>6</v>
      </c>
      <c r="C157" s="201" t="str">
        <f>IF(C107="","",IFERROR(IF(LEN(RIGHT(C107,LEN(C107)-FIND("^",SUBSTITUTE(C107,"|","^",1))))-LEN(SUBSTITUTE(RIGHT(C107,LEN(C107)-FIND("^",SUBSTITUTE(C107,"|","^",1))),"|",""))=0,RIGHT(C107,LEN(C107)-FIND("^",SUBSTITUTE(C107,"|","^",1))),LEFT(RIGHT(C107,LEN(C107)-FIND("^",SUBSTITUTE(C107,"|","^",1))),FIND("|",RIGHT(C107,LEN(C107)-FIND("^",SUBSTITUTE(C107,"|","^",1))))-1)),""))</f>
        <v/>
      </c>
      <c r="E157" s="18"/>
      <c r="G157" s="18"/>
      <c r="H157" s="18"/>
      <c r="I157" s="145"/>
      <c r="J157" s="145"/>
      <c r="K157" s="145"/>
      <c r="L157" s="14" t="s">
        <v>1417</v>
      </c>
      <c r="M157" s="14" t="s">
        <v>1414</v>
      </c>
      <c r="N157" s="142" t="s">
        <v>1483</v>
      </c>
      <c r="T157" s="14" t="s">
        <v>1276</v>
      </c>
    </row>
    <row r="158" spans="1:23" ht="0.2" customHeight="1" outlineLevel="3" x14ac:dyDescent="0.25">
      <c r="B158" s="192" t="s">
        <v>7</v>
      </c>
      <c r="C158" s="201" t="str">
        <f>IF(C108="","",IFERROR(IF(LEN(RIGHT(C108,LEN(C108)-FIND("^",SUBSTITUTE(C108,"|","^",1))))-LEN(SUBSTITUTE(RIGHT(C108,LEN(C108)-FIND("^",SUBSTITUTE(C108,"|","^",1))),"|",""))=0,RIGHT(C108,LEN(C108)-FIND("^",SUBSTITUTE(C108,"|","^",1))),LEFT(RIGHT(C108,LEN(C108)-FIND("^",SUBSTITUTE(C108,"|","^",1))),FIND("|",RIGHT(C108,LEN(C108)-FIND("^",SUBSTITUTE(C108,"|","^",1))))-1)),""))</f>
        <v/>
      </c>
      <c r="E158" s="18"/>
      <c r="G158" s="18"/>
      <c r="H158" s="18"/>
      <c r="I158" s="145"/>
      <c r="J158" s="145"/>
      <c r="K158" s="145"/>
      <c r="L158" s="14" t="s">
        <v>1417</v>
      </c>
      <c r="M158" s="14" t="s">
        <v>1414</v>
      </c>
      <c r="N158" s="142" t="s">
        <v>1483</v>
      </c>
      <c r="T158" s="14" t="s">
        <v>1277</v>
      </c>
    </row>
    <row r="159" spans="1:23" ht="0.2" customHeight="1" outlineLevel="3" x14ac:dyDescent="0.25">
      <c r="B159" s="192" t="s">
        <v>19</v>
      </c>
      <c r="C159" s="201" t="str">
        <f>IF(C109="","",IFERROR(IF(LEN(RIGHT(C109,LEN(C109)-FIND("^",SUBSTITUTE(C109,"|","^",1))))-LEN(SUBSTITUTE(RIGHT(C109,LEN(C109)-FIND("^",SUBSTITUTE(C109,"|","^",1))),"|",""))=0,RIGHT(C109,LEN(C109)-FIND("^",SUBSTITUTE(C109,"|","^",1))),LEFT(RIGHT(C109,LEN(C109)-FIND("^",SUBSTITUTE(C109,"|","^",1))),FIND("|",RIGHT(C109,LEN(C109)-FIND("^",SUBSTITUTE(C109,"|","^",1))))-1)),""))</f>
        <v/>
      </c>
      <c r="E159" s="18"/>
      <c r="G159" s="18"/>
      <c r="H159" s="18"/>
      <c r="I159" s="145"/>
      <c r="J159" s="145"/>
      <c r="K159" s="145"/>
      <c r="L159" s="14" t="s">
        <v>1417</v>
      </c>
      <c r="M159" s="14" t="s">
        <v>1414</v>
      </c>
      <c r="N159" s="142" t="s">
        <v>1483</v>
      </c>
      <c r="T159" s="14" t="s">
        <v>1278</v>
      </c>
    </row>
    <row r="160" spans="1:23" ht="15" customHeight="1" outlineLevel="2" x14ac:dyDescent="0.25">
      <c r="A160" s="251" t="s">
        <v>2233</v>
      </c>
      <c r="B160" s="251"/>
      <c r="C160" s="252"/>
      <c r="E160" s="155"/>
      <c r="G160" s="253"/>
      <c r="H160" s="254"/>
      <c r="I160" s="255"/>
      <c r="J160" s="154"/>
      <c r="K160" s="7"/>
      <c r="L160" s="7"/>
      <c r="M160" s="7"/>
      <c r="N160" s="7"/>
      <c r="O160" s="7"/>
      <c r="P160" s="7"/>
      <c r="Q160" s="7"/>
      <c r="R160" s="7"/>
      <c r="S160" s="7"/>
      <c r="T160" s="7"/>
      <c r="U160" s="7"/>
      <c r="V160" s="7"/>
      <c r="W160" s="7"/>
    </row>
    <row r="161" spans="2:23" ht="15" customHeight="1" outlineLevel="3" x14ac:dyDescent="0.25">
      <c r="B161" s="9" t="s">
        <v>88</v>
      </c>
      <c r="C161" s="197" t="str">
        <f>IF(C86="","",IFERROR(IF(LEN(RIGHT(C86,LEN(C86)-FIND("^",SUBSTITUTE(C86,"|","^",2))))-LEN(SUBSTITUTE(RIGHT(C86,LEN(C86)-FIND("^",SUBSTITUTE(C86,"|","^",2))),"|",""))=0,RIGHT(C86,LEN(C86)-FIND("^",SUBSTITUTE(C86,"|","^",2))),LEFT(RIGHT(C86,LEN(C86)-FIND("^",SUBSTITUTE(C86,"|","^",2))),FIND("|",RIGHT(C86,LEN(C86)-FIND("^",SUBSTITUTE(C86,"|","^",2))))-1)),""))</f>
        <v/>
      </c>
      <c r="E161" s="2" t="s">
        <v>2171</v>
      </c>
      <c r="G161" s="239" t="s">
        <v>95</v>
      </c>
      <c r="H161" s="14" t="s">
        <v>14</v>
      </c>
      <c r="I161" s="125" t="str">
        <f>IF(I165="","",IF(C161="","#N/A, Input cannot be blank",UPPER(LEFT(C161,20))))</f>
        <v/>
      </c>
      <c r="J161" s="14" t="str">
        <f>IF(LEN(C161)&gt;20,TEXT("Requested dependent#3 last name as:","xxx")&amp;" "&amp; TEXT(C161,"xxxxxxx")&amp;","&amp;" "&amp;TEXT("input into BCBS as:","xxxx")&amp;" "&amp; TEXT(I161,"xxxxxxx")&amp;". ","")</f>
        <v/>
      </c>
      <c r="K161" s="7"/>
      <c r="L161" s="7" t="s">
        <v>1416</v>
      </c>
      <c r="M161" s="7" t="s">
        <v>1129</v>
      </c>
      <c r="N161" s="7" t="s">
        <v>1483</v>
      </c>
      <c r="O161" s="7" t="s">
        <v>1416</v>
      </c>
      <c r="P161" s="7" t="s">
        <v>1129</v>
      </c>
      <c r="Q161" s="7" t="s">
        <v>1593</v>
      </c>
      <c r="R161" s="7"/>
      <c r="S161" s="7"/>
      <c r="T161" s="7" t="s">
        <v>1262</v>
      </c>
      <c r="U161" s="7"/>
      <c r="V161" s="7"/>
      <c r="W161" s="7"/>
    </row>
    <row r="162" spans="2:23" ht="15" customHeight="1" outlineLevel="3" x14ac:dyDescent="0.25">
      <c r="B162" s="192" t="s">
        <v>155</v>
      </c>
      <c r="C162" s="201" t="str">
        <f>IF(C87="","",IFERROR(IF(LEN(RIGHT(C87,LEN(C87)-FIND("^",SUBSTITUTE(C87,"|","^",2))))-LEN(SUBSTITUTE(RIGHT(C87,LEN(C87)-FIND("^",SUBSTITUTE(C87,"|","^",2))),"|",""))=0,RIGHT(C87,LEN(C87)-FIND("^",SUBSTITUTE(C87,"|","^",2))),LEFT(RIGHT(C87,LEN(C87)-FIND("^",SUBSTITUTE(C87,"|","^",2))),FIND("|",RIGHT(C87,LEN(C87)-FIND("^",SUBSTITUTE(C87,"|","^",2))))-1)),""))</f>
        <v/>
      </c>
      <c r="E162" s="14" t="s">
        <v>2172</v>
      </c>
      <c r="G162" s="239" t="s">
        <v>155</v>
      </c>
      <c r="H162" s="14" t="s">
        <v>14</v>
      </c>
      <c r="I162" s="189"/>
      <c r="J162" s="145"/>
      <c r="K162" s="7"/>
      <c r="L162" s="7" t="s">
        <v>1416</v>
      </c>
      <c r="M162" s="7" t="s">
        <v>1129</v>
      </c>
      <c r="N162" s="7" t="s">
        <v>1483</v>
      </c>
      <c r="O162" s="7" t="s">
        <v>1416</v>
      </c>
      <c r="P162" s="7" t="s">
        <v>1415</v>
      </c>
      <c r="Q162" s="7" t="s">
        <v>565</v>
      </c>
      <c r="R162" s="7"/>
      <c r="S162" s="7"/>
      <c r="T162" s="7" t="s">
        <v>1261</v>
      </c>
      <c r="U162" s="7"/>
      <c r="V162" s="7"/>
      <c r="W162" s="7"/>
    </row>
    <row r="163" spans="2:23" ht="15" customHeight="1" outlineLevel="3" x14ac:dyDescent="0.25">
      <c r="B163" s="9" t="s">
        <v>87</v>
      </c>
      <c r="C163" s="197" t="str">
        <f>IF(C88="","",IFERROR(IF(LEN(RIGHT(C88,LEN(C88)-FIND("^",SUBSTITUTE(C88,"|","^",2))))-LEN(SUBSTITUTE(RIGHT(C88,LEN(C88)-FIND("^",SUBSTITUTE(C88,"|","^",2))),"|",""))=0,RIGHT(C88,LEN(C88)-FIND("^",SUBSTITUTE(C88,"|","^",2))),LEFT(RIGHT(C88,LEN(C88)-FIND("^",SUBSTITUTE(C88,"|","^",2))),FIND("|",RIGHT(C88,LEN(C88)-FIND("^",SUBSTITUTE(C88,"|","^",2))))-1)),""))</f>
        <v/>
      </c>
      <c r="E163" s="2" t="s">
        <v>2170</v>
      </c>
      <c r="G163" s="239" t="s">
        <v>93</v>
      </c>
      <c r="H163" s="14" t="s">
        <v>14</v>
      </c>
      <c r="I163" s="125" t="str">
        <f>IF(I165="","",IF(C163="","#N/A, Input cannot be blank",UPPER(LEFT(C163,20))))</f>
        <v/>
      </c>
      <c r="J163" s="125" t="str">
        <f>IF(LEN(C163)&gt;20,TEXT("Requested dependent#3 first name as:","xxx")&amp;" "&amp; TEXT(C163,"xxxxxxx")&amp;","&amp;" "&amp; TEXT("input into BCBS as:","xxxx")&amp;" "&amp; TEXT(I163,"xxxxxxx")&amp;". ","")</f>
        <v/>
      </c>
      <c r="K163" s="7"/>
      <c r="L163" s="7" t="s">
        <v>1416</v>
      </c>
      <c r="M163" s="7" t="s">
        <v>1129</v>
      </c>
      <c r="N163" s="7" t="s">
        <v>1483</v>
      </c>
      <c r="O163" s="7" t="s">
        <v>1416</v>
      </c>
      <c r="P163" s="7" t="s">
        <v>1129</v>
      </c>
      <c r="Q163" s="7" t="s">
        <v>1593</v>
      </c>
      <c r="R163" s="7"/>
      <c r="S163" s="7"/>
      <c r="T163" s="7" t="s">
        <v>1260</v>
      </c>
      <c r="U163" s="7"/>
      <c r="V163" s="7"/>
      <c r="W163" s="7"/>
    </row>
    <row r="164" spans="2:23" ht="15" customHeight="1" outlineLevel="3" x14ac:dyDescent="0.25">
      <c r="B164" s="9" t="s">
        <v>552</v>
      </c>
      <c r="C164" s="197" t="str">
        <f>IF(C89="","",IFERROR(LEFT(RIGHT(C89,LEN(C89)-FIND("^",SUBSTITUTE(C89,"|","^",2))),1),""))</f>
        <v/>
      </c>
      <c r="E164" s="14" t="s">
        <v>547</v>
      </c>
      <c r="G164" s="239" t="s">
        <v>94</v>
      </c>
      <c r="H164" s="14" t="s">
        <v>14</v>
      </c>
      <c r="I164" s="125" t="str">
        <f>IF(OR(I165="",C164=""),"",UPPER(LEFT(C164,1)))</f>
        <v/>
      </c>
      <c r="J164" s="145"/>
      <c r="K164" s="7"/>
      <c r="L164" s="7" t="s">
        <v>1416</v>
      </c>
      <c r="M164" s="7" t="s">
        <v>1129</v>
      </c>
      <c r="N164" s="7" t="s">
        <v>1483</v>
      </c>
      <c r="O164" s="7" t="s">
        <v>1416</v>
      </c>
      <c r="P164" s="7" t="s">
        <v>1129</v>
      </c>
      <c r="Q164" s="7" t="s">
        <v>1593</v>
      </c>
      <c r="R164" s="7"/>
      <c r="S164" s="7"/>
      <c r="T164" s="7" t="s">
        <v>1596</v>
      </c>
      <c r="U164" s="7"/>
      <c r="V164" s="7"/>
      <c r="W164" s="7"/>
    </row>
    <row r="165" spans="2:23" ht="30" customHeight="1" outlineLevel="3" x14ac:dyDescent="0.25">
      <c r="B165" s="9" t="s">
        <v>26</v>
      </c>
      <c r="C165" s="200" t="str">
        <f>IF(C90="","",IFERROR(IF(LEN(RIGHT(C90,LEN(C90)-FIND("^",SUBSTITUTE(C90,"|","^",2))))-LEN(SUBSTITUTE(RIGHT(C90,LEN(C90)-FIND("^",SUBSTITUTE(C90,"|","^",2))),"|",""))=0,RIGHT(C90,LEN(C90)-FIND("^",SUBSTITUTE(C90,"|","^",2))),LEFT(RIGHT(C90,LEN(C90)-FIND("^",SUBSTITUTE(C90,"|","^",2))),FIND("|",RIGHT(C90,LEN(C90)-FIND("^",SUBSTITUTE(C90,"|","^",2))))-1)),""))</f>
        <v/>
      </c>
      <c r="E165" s="14" t="s">
        <v>2200</v>
      </c>
      <c r="G165" s="239" t="s">
        <v>123</v>
      </c>
      <c r="H165" s="14" t="s">
        <v>29</v>
      </c>
      <c r="I165" s="125" t="str">
        <f>IF(C161="","",IF(OR($I$69="Y",$I$79="Y"),IF(C165="","#N/A, Input cannot be blank",IF($C$44="",INDEX('Dropdown list'!$AD:$AD,MATCH(C165,'Dropdown list'!$AC:$AC,0),1),IF(C165="Child",IF(OR(ISNUMBER(MATCH(SUBSTITUTE($C$69," (Pending)",""),'Dropdown list'!$AL:$AL,0)),ISNUMBER(MATCH(SUBSTITUTE($C$79," (Pending)",""),'Dropdown list'!$AL:$AL,0))),INDEX('Dropdown list'!$AH:$AH,MATCH(C166&amp;C167,'Dropdown list'!$AG:$AG,0),1),""),IF(C165="Spouse",IF(OR(ISNUMBER(MATCH(SUBSTITUTE($C$69," (Pending)",""),'Dropdown list'!$AM:$AM,0)),ISNUMBER(MATCH(SUBSTITUTE($C$79," (Pending)",""),'Dropdown list'!$AM:$AM,0))),"Spouse",""),IF(C165="Domestic Partner",IF(OR(ISNUMBER(MATCH(SUBSTITUTE($C$69," (Pending)",""),'Dropdown list'!$AN:$AN,0)),ISNUMBER(MATCH(SUBSTITUTE($C$79," (Pending)",""),'Dropdown list'!$AN:$AN,0))),"Domestic Partner",""),INDEX('Dropdown list'!$AK:$AK,MATCH(C165,'Dropdown list'!$AJ:$AJ,0),1)))))),""))</f>
        <v/>
      </c>
      <c r="J165" s="145"/>
      <c r="K165" s="145"/>
      <c r="L165" s="14" t="s">
        <v>1416</v>
      </c>
      <c r="M165" s="142" t="s">
        <v>1129</v>
      </c>
      <c r="N165" s="142" t="s">
        <v>1483</v>
      </c>
      <c r="O165" s="14" t="s">
        <v>1416</v>
      </c>
      <c r="P165" s="142" t="s">
        <v>1129</v>
      </c>
      <c r="Q165" s="142" t="s">
        <v>1594</v>
      </c>
      <c r="T165" s="14" t="s">
        <v>1595</v>
      </c>
    </row>
    <row r="166" spans="2:23" ht="0.2" customHeight="1" outlineLevel="3" x14ac:dyDescent="0.25">
      <c r="B166" s="192" t="s">
        <v>79</v>
      </c>
      <c r="C166" s="201" t="str">
        <f>IF(C91="","",IFERROR(IF(LEN(RIGHT(C91,LEN(C91)-FIND("^",SUBSTITUTE(C91,"|","^",2))))-LEN(SUBSTITUTE(RIGHT(C91,LEN(C91)-FIND("^",SUBSTITUTE(C91,"|","^",2))),"|",""))=0,RIGHT(C91,LEN(C91)-FIND("^",SUBSTITUTE(C91,"|","^",2))),LEFT(RIGHT(C91,LEN(C91)-FIND("^",SUBSTITUTE(C91,"|","^",2))),FIND("|",RIGHT(C91,LEN(C91)-FIND("^",SUBSTITUTE(C91,"|","^",2))))-1)),""))</f>
        <v/>
      </c>
      <c r="E166" s="14" t="s">
        <v>2191</v>
      </c>
      <c r="H166" s="1"/>
      <c r="I166" s="1"/>
      <c r="J166" s="1"/>
      <c r="K166" s="7"/>
      <c r="L166" s="7" t="s">
        <v>1416</v>
      </c>
      <c r="M166" s="7" t="s">
        <v>1129</v>
      </c>
      <c r="N166" s="7" t="s">
        <v>1483</v>
      </c>
      <c r="O166" s="7"/>
      <c r="P166" s="7"/>
      <c r="Q166" s="7"/>
      <c r="R166" s="7"/>
      <c r="S166" s="7"/>
      <c r="T166" s="7" t="s">
        <v>1597</v>
      </c>
      <c r="U166" s="7"/>
      <c r="V166" s="7"/>
      <c r="W166" s="7"/>
    </row>
    <row r="167" spans="2:23" ht="0.2" customHeight="1" outlineLevel="3" x14ac:dyDescent="0.25">
      <c r="B167" s="192" t="s">
        <v>409</v>
      </c>
      <c r="C167" s="201" t="str">
        <f>IF(C92="","",IFERROR(IF(LEN(RIGHT(C92,LEN(C92)-FIND("^",SUBSTITUTE(C92,"|","^",2))))-LEN(SUBSTITUTE(RIGHT(C92,LEN(C92)-FIND("^",SUBSTITUTE(C92,"|","^",2))),"|",""))=0,RIGHT(C92,LEN(C92)-FIND("^",SUBSTITUTE(C92,"|","^",2))),LEFT(RIGHT(C92,LEN(C92)-FIND("^",SUBSTITUTE(C92,"|","^",2))),FIND("|",RIGHT(C92,LEN(C92)-FIND("^",SUBSTITUTE(C92,"|","^",2))))-1)),""))</f>
        <v/>
      </c>
      <c r="E167" s="14"/>
      <c r="H167" s="1"/>
      <c r="I167" s="1"/>
      <c r="J167" s="1"/>
      <c r="K167" s="7"/>
      <c r="L167" s="7" t="s">
        <v>1416</v>
      </c>
      <c r="M167" s="7" t="s">
        <v>1129</v>
      </c>
      <c r="N167" s="7" t="s">
        <v>1483</v>
      </c>
      <c r="O167" s="7"/>
      <c r="P167" s="7"/>
      <c r="Q167" s="7"/>
      <c r="R167" s="7"/>
      <c r="S167" s="7"/>
      <c r="T167" s="7" t="s">
        <v>1280</v>
      </c>
      <c r="U167" s="7"/>
      <c r="V167" s="7"/>
      <c r="W167" s="7"/>
    </row>
    <row r="168" spans="2:23" ht="15" customHeight="1" outlineLevel="3" x14ac:dyDescent="0.25">
      <c r="B168" s="9" t="s">
        <v>2</v>
      </c>
      <c r="C168" s="197" t="str">
        <f>IF(C93="","",IFERROR(IF(LEN(RIGHT(C93,LEN(C93)-FIND("^",SUBSTITUTE(C93,"|","^",2))))-LEN(SUBSTITUTE(RIGHT(C93,LEN(C93)-FIND("^",SUBSTITUTE(C93,"|","^",2))),"|",""))=0,RIGHT(C93,LEN(C93)-FIND("^",SUBSTITUTE(C93,"|","^",2))),LEFT(RIGHT(C93,LEN(C93)-FIND("^",SUBSTITUTE(C93,"|","^",2))),FIND("|",RIGHT(C93,LEN(C93)-FIND("^",SUBSTITUTE(C93,"|","^",2))))-1)),""))</f>
        <v/>
      </c>
      <c r="E168" s="14" t="s">
        <v>553</v>
      </c>
      <c r="G168" s="239" t="s">
        <v>96</v>
      </c>
      <c r="H168" s="14" t="s">
        <v>29</v>
      </c>
      <c r="I168" s="125" t="str">
        <f>IF(I165="","",IF(C168="","#N/A, Input cannot be blank",IF(C168="M", "Male",IF(C168="F","Female","#N/A, Unidentified Gender"))))</f>
        <v/>
      </c>
      <c r="J168" s="145"/>
      <c r="K168" s="7"/>
      <c r="L168" s="7" t="s">
        <v>1416</v>
      </c>
      <c r="M168" s="7" t="s">
        <v>1129</v>
      </c>
      <c r="N168" s="7" t="s">
        <v>1483</v>
      </c>
      <c r="O168" s="7" t="s">
        <v>1416</v>
      </c>
      <c r="P168" s="7" t="s">
        <v>1129</v>
      </c>
      <c r="Q168" s="7" t="s">
        <v>1598</v>
      </c>
      <c r="R168" s="7"/>
      <c r="S168" s="7"/>
      <c r="T168" s="7" t="s">
        <v>1259</v>
      </c>
      <c r="U168" s="7"/>
      <c r="V168" s="7"/>
      <c r="W168" s="7"/>
    </row>
    <row r="169" spans="2:23" ht="15" customHeight="1" outlineLevel="3" x14ac:dyDescent="0.25">
      <c r="B169" s="192" t="str">
        <f>G169</f>
        <v>Other Dependent:</v>
      </c>
      <c r="C169" s="201"/>
      <c r="E169" s="14" t="s">
        <v>2189</v>
      </c>
      <c r="G169" s="239" t="s">
        <v>440</v>
      </c>
      <c r="H169" s="14" t="s">
        <v>29</v>
      </c>
      <c r="I169" s="189"/>
      <c r="J169" s="145"/>
      <c r="K169" s="7"/>
      <c r="L169" s="7" t="s">
        <v>1416</v>
      </c>
      <c r="M169" s="7" t="s">
        <v>1415</v>
      </c>
      <c r="N169" s="7" t="s">
        <v>565</v>
      </c>
      <c r="O169" s="7" t="s">
        <v>1416</v>
      </c>
      <c r="P169" s="7" t="s">
        <v>1415</v>
      </c>
      <c r="Q169" s="7" t="s">
        <v>565</v>
      </c>
      <c r="R169" s="7"/>
      <c r="S169" s="7"/>
      <c r="T169" s="7" t="s">
        <v>1279</v>
      </c>
      <c r="U169" s="7"/>
      <c r="V169" s="7"/>
      <c r="W169" s="7"/>
    </row>
    <row r="170" spans="2:23" ht="15" customHeight="1" outlineLevel="3" x14ac:dyDescent="0.25">
      <c r="B170" s="9" t="s">
        <v>8</v>
      </c>
      <c r="C170" s="197" t="str">
        <f>IF(C95="","",IFERROR(IF(LEN(RIGHT(C95,LEN(C95)-FIND("^",SUBSTITUTE(C95,"|","^",2))))-LEN(SUBSTITUTE(RIGHT(C95,LEN(C95)-FIND("^",SUBSTITUTE(C95,"|","^",2))),"|",""))=0,RIGHT(C95,LEN(C95)-FIND("^",SUBSTITUTE(C95,"|","^",2))),LEFT(RIGHT(C95,LEN(C95)-FIND("^",SUBSTITUTE(C95,"|","^",2))),FIND("|",RIGHT(C95,LEN(C95)-FIND("^",SUBSTITUTE(C95,"|","^",2))))-1)),""))</f>
        <v/>
      </c>
      <c r="G170" s="239" t="s">
        <v>125</v>
      </c>
      <c r="H170" s="14" t="s">
        <v>14</v>
      </c>
      <c r="I170" s="125" t="str">
        <f>IF(I165="","",IF(C170="","#N/A, Input cannot be blank",IFERROR(TEXT(EDATE(C170,0),"MM/DD/YYYY"),"#N/A, Please enter a date format")))</f>
        <v/>
      </c>
      <c r="J170" s="145"/>
      <c r="K170" s="7"/>
      <c r="L170" s="7" t="s">
        <v>1416</v>
      </c>
      <c r="M170" s="7" t="s">
        <v>1129</v>
      </c>
      <c r="N170" s="7" t="s">
        <v>1483</v>
      </c>
      <c r="O170" s="7" t="s">
        <v>1416</v>
      </c>
      <c r="P170" s="7" t="s">
        <v>1129</v>
      </c>
      <c r="Q170" s="7" t="s">
        <v>1508</v>
      </c>
      <c r="R170" s="7"/>
      <c r="S170" s="7"/>
      <c r="T170" s="7" t="s">
        <v>1258</v>
      </c>
      <c r="U170" s="7"/>
      <c r="V170" s="7"/>
      <c r="W170" s="7"/>
    </row>
    <row r="171" spans="2:23" ht="15" customHeight="1" outlineLevel="3" x14ac:dyDescent="0.25">
      <c r="B171" s="9" t="s">
        <v>3</v>
      </c>
      <c r="C171" s="197" t="str">
        <f>IF(C96="","",IFERROR(IF(LEN(RIGHT(C96,LEN(C96)-FIND("^",SUBSTITUTE(C96,"|","^",2))))-LEN(SUBSTITUTE(RIGHT(C96,LEN(C96)-FIND("^",SUBSTITUTE(C96,"|","^",2))),"|",""))=0,RIGHT(C96,LEN(C96)-FIND("^",SUBSTITUTE(C96,"|","^",2))),LEFT(RIGHT(C96,LEN(C96)-FIND("^",SUBSTITUTE(C96,"|","^",2))),FIND("|",RIGHT(C96,LEN(C96)-FIND("^",SUBSTITUTE(C96,"|","^",2))))-1)),""))</f>
        <v/>
      </c>
      <c r="E171" s="14" t="s">
        <v>547</v>
      </c>
      <c r="G171" s="239" t="s">
        <v>97</v>
      </c>
      <c r="H171" s="14" t="s">
        <v>14</v>
      </c>
      <c r="I171" s="125" t="str">
        <f>IF(C171=" ",C171,IF(OR(I165="",C171=""),"",IF(LEN(SUBSTITUTE(C171,"-",""))=9,SUBSTITUTE(C171,"-",""),"#N/A, SSN# must be 9 digits")))</f>
        <v/>
      </c>
      <c r="J171" s="145"/>
      <c r="K171" s="7"/>
      <c r="L171" s="7" t="s">
        <v>1416</v>
      </c>
      <c r="M171" s="7" t="s">
        <v>1129</v>
      </c>
      <c r="N171" s="7" t="s">
        <v>1483</v>
      </c>
      <c r="O171" s="7" t="s">
        <v>1416</v>
      </c>
      <c r="P171" s="7" t="s">
        <v>1129</v>
      </c>
      <c r="Q171" s="7" t="s">
        <v>1518</v>
      </c>
      <c r="R171" s="7"/>
      <c r="S171" s="7"/>
      <c r="T171" s="7" t="s">
        <v>1230</v>
      </c>
      <c r="U171" s="7"/>
      <c r="V171" s="7"/>
      <c r="W171" s="7"/>
    </row>
    <row r="172" spans="2:23" ht="15" customHeight="1" outlineLevel="3" x14ac:dyDescent="0.25">
      <c r="B172" s="192" t="str">
        <f t="shared" ref="B172:B177" si="5">G172</f>
        <v>Multiple Birth:</v>
      </c>
      <c r="C172" s="201"/>
      <c r="E172" s="14" t="s">
        <v>2189</v>
      </c>
      <c r="G172" s="239" t="s">
        <v>506</v>
      </c>
      <c r="H172" s="14" t="s">
        <v>559</v>
      </c>
      <c r="I172" s="237"/>
      <c r="J172" s="145"/>
      <c r="K172" s="7"/>
      <c r="L172" s="7" t="s">
        <v>1416</v>
      </c>
      <c r="M172" s="7" t="s">
        <v>1415</v>
      </c>
      <c r="N172" s="7" t="s">
        <v>565</v>
      </c>
      <c r="O172" s="7" t="s">
        <v>1416</v>
      </c>
      <c r="P172" s="7" t="s">
        <v>1415</v>
      </c>
      <c r="Q172" s="7" t="s">
        <v>565</v>
      </c>
      <c r="R172" s="7"/>
      <c r="S172" s="7"/>
      <c r="T172" s="7" t="s">
        <v>1264</v>
      </c>
      <c r="U172" s="7"/>
      <c r="V172" s="7"/>
      <c r="W172" s="7"/>
    </row>
    <row r="173" spans="2:23" ht="15" customHeight="1" outlineLevel="3" x14ac:dyDescent="0.25">
      <c r="B173" s="192" t="str">
        <f t="shared" si="5"/>
        <v>Native Language:</v>
      </c>
      <c r="C173" s="201"/>
      <c r="E173" s="14" t="s">
        <v>2175</v>
      </c>
      <c r="G173" s="239" t="s">
        <v>484</v>
      </c>
      <c r="H173" s="14" t="s">
        <v>29</v>
      </c>
      <c r="I173" s="237" t="str">
        <f>IF(I165="","","English")</f>
        <v/>
      </c>
      <c r="J173" s="145"/>
      <c r="K173" s="7"/>
      <c r="L173" s="7" t="s">
        <v>1416</v>
      </c>
      <c r="M173" s="7" t="s">
        <v>1415</v>
      </c>
      <c r="N173" s="7" t="s">
        <v>565</v>
      </c>
      <c r="O173" s="7" t="s">
        <v>1416</v>
      </c>
      <c r="P173" s="7" t="s">
        <v>1415</v>
      </c>
      <c r="Q173" s="7" t="s">
        <v>1430</v>
      </c>
      <c r="R173" s="7"/>
      <c r="S173" s="7"/>
      <c r="T173" s="7" t="s">
        <v>1263</v>
      </c>
      <c r="U173" s="7"/>
      <c r="V173" s="7"/>
      <c r="W173" s="7"/>
    </row>
    <row r="174" spans="2:23" ht="15" customHeight="1" outlineLevel="3" x14ac:dyDescent="0.25">
      <c r="B174" s="192" t="str">
        <f t="shared" si="5"/>
        <v>Preferred Written Language:</v>
      </c>
      <c r="C174" s="201"/>
      <c r="E174" s="14" t="s">
        <v>2175</v>
      </c>
      <c r="G174" s="239" t="s">
        <v>486</v>
      </c>
      <c r="H174" s="14" t="s">
        <v>29</v>
      </c>
      <c r="I174" s="237" t="str">
        <f>IF(I165="","","English")</f>
        <v/>
      </c>
      <c r="J174" s="145"/>
      <c r="K174" s="7"/>
      <c r="L174" s="7" t="s">
        <v>1416</v>
      </c>
      <c r="M174" s="7" t="s">
        <v>1415</v>
      </c>
      <c r="N174" s="7" t="s">
        <v>565</v>
      </c>
      <c r="O174" s="7" t="s">
        <v>1416</v>
      </c>
      <c r="P174" s="7" t="s">
        <v>1415</v>
      </c>
      <c r="Q174" s="7" t="s">
        <v>1430</v>
      </c>
      <c r="R174" s="7"/>
      <c r="S174" s="7"/>
      <c r="T174" s="7" t="s">
        <v>1265</v>
      </c>
      <c r="U174" s="7"/>
      <c r="V174" s="7"/>
      <c r="W174" s="7"/>
    </row>
    <row r="175" spans="2:23" ht="15" customHeight="1" outlineLevel="3" x14ac:dyDescent="0.25">
      <c r="B175" s="192" t="str">
        <f t="shared" si="5"/>
        <v>Preferred Spoken Language:</v>
      </c>
      <c r="C175" s="201"/>
      <c r="E175" s="14" t="s">
        <v>2175</v>
      </c>
      <c r="G175" s="239" t="s">
        <v>487</v>
      </c>
      <c r="H175" s="14" t="s">
        <v>29</v>
      </c>
      <c r="I175" s="237" t="str">
        <f>IF(I165="","","English")</f>
        <v/>
      </c>
      <c r="J175" s="145"/>
      <c r="K175" s="7"/>
      <c r="L175" s="7" t="s">
        <v>1416</v>
      </c>
      <c r="M175" s="7" t="s">
        <v>1415</v>
      </c>
      <c r="N175" s="7" t="s">
        <v>565</v>
      </c>
      <c r="O175" s="7" t="s">
        <v>1416</v>
      </c>
      <c r="P175" s="7" t="s">
        <v>1415</v>
      </c>
      <c r="Q175" s="7" t="s">
        <v>1430</v>
      </c>
      <c r="R175" s="7"/>
      <c r="S175" s="7"/>
      <c r="T175" s="7" t="s">
        <v>1266</v>
      </c>
      <c r="U175" s="7"/>
      <c r="V175" s="7"/>
      <c r="W175" s="7"/>
    </row>
    <row r="176" spans="2:23" ht="15" customHeight="1" outlineLevel="3" x14ac:dyDescent="0.25">
      <c r="B176" s="192" t="str">
        <f t="shared" si="5"/>
        <v>Ethnicity (select all that apply):</v>
      </c>
      <c r="C176" s="201"/>
      <c r="E176" s="14" t="s">
        <v>2173</v>
      </c>
      <c r="G176" s="220" t="s">
        <v>488</v>
      </c>
      <c r="H176" s="14" t="s">
        <v>558</v>
      </c>
      <c r="I176" s="237" t="str">
        <f>IF(I165="","","Unknown")</f>
        <v/>
      </c>
      <c r="J176" s="145"/>
      <c r="K176" s="7"/>
      <c r="L176" s="7" t="s">
        <v>1416</v>
      </c>
      <c r="M176" s="7" t="s">
        <v>1415</v>
      </c>
      <c r="N176" s="7" t="s">
        <v>565</v>
      </c>
      <c r="O176" s="7" t="s">
        <v>1416</v>
      </c>
      <c r="P176" s="7" t="s">
        <v>1415</v>
      </c>
      <c r="Q176" s="7" t="s">
        <v>1431</v>
      </c>
      <c r="R176" s="7"/>
      <c r="S176" s="7"/>
      <c r="T176" s="7" t="s">
        <v>1267</v>
      </c>
      <c r="U176" s="7"/>
      <c r="V176" s="7"/>
      <c r="W176" s="7"/>
    </row>
    <row r="177" spans="1:23" ht="15" customHeight="1" outlineLevel="3" x14ac:dyDescent="0.25">
      <c r="B177" s="192" t="str">
        <f t="shared" si="5"/>
        <v>Race (select all that apply):</v>
      </c>
      <c r="C177" s="201"/>
      <c r="E177" s="14" t="s">
        <v>2173</v>
      </c>
      <c r="G177" s="239" t="s">
        <v>492</v>
      </c>
      <c r="H177" s="14" t="s">
        <v>558</v>
      </c>
      <c r="I177" s="237" t="str">
        <f>IF(I165="","","Unknown")</f>
        <v/>
      </c>
      <c r="J177" s="145"/>
      <c r="K177" s="7"/>
      <c r="L177" s="7" t="s">
        <v>1416</v>
      </c>
      <c r="M177" s="7" t="s">
        <v>1415</v>
      </c>
      <c r="N177" s="7" t="s">
        <v>565</v>
      </c>
      <c r="O177" s="7" t="s">
        <v>1416</v>
      </c>
      <c r="P177" s="7" t="s">
        <v>1415</v>
      </c>
      <c r="Q177" s="7" t="s">
        <v>1431</v>
      </c>
      <c r="R177" s="7"/>
      <c r="S177" s="7"/>
      <c r="T177" s="7" t="s">
        <v>1271</v>
      </c>
      <c r="U177" s="7"/>
      <c r="V177" s="7"/>
      <c r="W177" s="7"/>
    </row>
    <row r="178" spans="1:23" ht="30" customHeight="1" outlineLevel="3" x14ac:dyDescent="0.25">
      <c r="B178" s="192" t="s">
        <v>412</v>
      </c>
      <c r="C178" s="201" t="str">
        <f>IF(C103="","",IFERROR(IF(LEN(RIGHT(C103,LEN(C103)-FIND("^",SUBSTITUTE(C103,"|","^",2))))-LEN(SUBSTITUTE(RIGHT(C103,LEN(C103)-FIND("^",SUBSTITUTE(C103,"|","^",2))),"|",""))=0,RIGHT(C103,LEN(C103)-FIND("^",SUBSTITUTE(C103,"|","^",2))),LEFT(RIGHT(C103,LEN(C103)-FIND("^",SUBSTITUTE(C103,"|","^",2))),FIND("|",RIGHT(C103,LEN(C103)-FIND("^",SUBSTITUTE(C103,"|","^",2))))-1)),""))</f>
        <v/>
      </c>
      <c r="E178" s="14" t="s">
        <v>2190</v>
      </c>
      <c r="G178" s="239" t="s">
        <v>537</v>
      </c>
      <c r="H178" s="14" t="s">
        <v>559</v>
      </c>
      <c r="I178" s="150" t="str">
        <f>IF(I165="","",IF(OR(C178="",C178="No"),"No","Yes"))</f>
        <v/>
      </c>
      <c r="J178" s="145" t="str">
        <f>IF(I178="Yes", "Medicare Eligible is Yes for EN request for Dependent#3, please change ‘Medicare information’ to 'Yes'  and select Eligible in Dep Medicare tab in BCBS if needed. ","")</f>
        <v/>
      </c>
      <c r="K178" s="7"/>
      <c r="L178" s="7" t="s">
        <v>1417</v>
      </c>
      <c r="M178" s="7" t="s">
        <v>1414</v>
      </c>
      <c r="N178" s="7" t="s">
        <v>1483</v>
      </c>
      <c r="O178" s="7" t="s">
        <v>1416</v>
      </c>
      <c r="P178" s="7" t="s">
        <v>1415</v>
      </c>
      <c r="Q178" s="7" t="s">
        <v>1432</v>
      </c>
      <c r="R178" s="7"/>
      <c r="S178" s="7"/>
      <c r="T178" s="7" t="s">
        <v>1272</v>
      </c>
      <c r="U178" s="7"/>
      <c r="V178" s="7"/>
      <c r="W178" s="7"/>
    </row>
    <row r="179" spans="1:23" ht="30" customHeight="1" outlineLevel="3" x14ac:dyDescent="0.25">
      <c r="B179" s="192" t="str">
        <f>G179</f>
        <v>Different address information than the employee?</v>
      </c>
      <c r="C179" s="201"/>
      <c r="E179" s="14" t="s">
        <v>2190</v>
      </c>
      <c r="G179" s="239" t="s">
        <v>508</v>
      </c>
      <c r="H179" s="14" t="s">
        <v>559</v>
      </c>
      <c r="I179" s="150" t="str">
        <f>IF(I165="","",IF(OR(C180="",TRIM(C180)&amp;TRIM(C181)&amp;TRIM(C182)&amp;TRIM(C183)&amp;TRIM(C184)=TRIM($C$48)&amp;TRIM($C$49)&amp;TRIM($C$50)&amp;TRIM($C$51)&amp;TRIM($C$52)),"No","Yes"))</f>
        <v/>
      </c>
      <c r="J179" s="145" t="str">
        <f>IF(I179="Yes", "Dependent have separate address for EN request for Dependen#3, please change ‘Different address information than the employee' to 'Yes' and update different address in Dep Address tab in BCBS if needed. ","")</f>
        <v/>
      </c>
      <c r="K179" s="145"/>
      <c r="L179" s="14" t="s">
        <v>1417</v>
      </c>
      <c r="M179" s="14" t="s">
        <v>1129</v>
      </c>
      <c r="N179" s="142" t="s">
        <v>1484</v>
      </c>
      <c r="O179" s="14" t="s">
        <v>1416</v>
      </c>
      <c r="P179" s="14" t="s">
        <v>1415</v>
      </c>
      <c r="Q179" s="142" t="s">
        <v>1432</v>
      </c>
      <c r="T179" s="14" t="s">
        <v>1273</v>
      </c>
    </row>
    <row r="180" spans="1:23" ht="0.2" customHeight="1" outlineLevel="3" x14ac:dyDescent="0.25">
      <c r="B180" s="192" t="s">
        <v>414</v>
      </c>
      <c r="C180" s="201" t="str">
        <f>IF(C105="","",IFERROR(IF(LEN(RIGHT(C105,LEN(C105)-FIND("^",SUBSTITUTE(C105,"|","^",2))))-LEN(SUBSTITUTE(RIGHT(C105,LEN(C105)-FIND("^",SUBSTITUTE(C105,"|","^",2))),"|",""))=0,RIGHT(C105,LEN(C105)-FIND("^",SUBSTITUTE(C105,"|","^",2))),LEFT(RIGHT(C105,LEN(C105)-FIND("^",SUBSTITUTE(C105,"|","^",2))),FIND("|",RIGHT(C105,LEN(C105)-FIND("^",SUBSTITUTE(C105,"|","^",2))))-1)),""))</f>
        <v/>
      </c>
      <c r="E180" s="18"/>
      <c r="G180" s="18"/>
      <c r="H180" s="18"/>
      <c r="I180" s="145"/>
      <c r="J180" s="145"/>
      <c r="K180" s="7"/>
      <c r="L180" s="7" t="s">
        <v>1417</v>
      </c>
      <c r="M180" s="7" t="s">
        <v>1414</v>
      </c>
      <c r="N180" s="7" t="s">
        <v>1483</v>
      </c>
      <c r="O180" s="7"/>
      <c r="P180" s="7"/>
      <c r="Q180" s="7"/>
      <c r="R180" s="7"/>
      <c r="S180" s="7"/>
      <c r="T180" s="7" t="s">
        <v>1274</v>
      </c>
      <c r="U180" s="7"/>
      <c r="V180" s="7"/>
      <c r="W180" s="7"/>
    </row>
    <row r="181" spans="1:23" ht="0.2" customHeight="1" outlineLevel="3" x14ac:dyDescent="0.25">
      <c r="B181" s="192" t="s">
        <v>416</v>
      </c>
      <c r="C181" s="201" t="str">
        <f>IF(C106="","",IFERROR(IF(LEN(RIGHT(C106,LEN(C106)-FIND("^",SUBSTITUTE(C106,"|","^",2))))-LEN(SUBSTITUTE(RIGHT(C106,LEN(C106)-FIND("^",SUBSTITUTE(C106,"|","^",2))),"|",""))=0,RIGHT(C106,LEN(C106)-FIND("^",SUBSTITUTE(C106,"|","^",2))),LEFT(RIGHT(C106,LEN(C106)-FIND("^",SUBSTITUTE(C106,"|","^",2))),FIND("|",RIGHT(C106,LEN(C106)-FIND("^",SUBSTITUTE(C106,"|","^",2))))-1)),""))</f>
        <v/>
      </c>
      <c r="E181" s="18"/>
      <c r="G181" s="18"/>
      <c r="H181" s="18"/>
      <c r="I181" s="145"/>
      <c r="J181" s="145"/>
      <c r="K181" s="7"/>
      <c r="L181" s="7" t="s">
        <v>1417</v>
      </c>
      <c r="M181" s="7" t="s">
        <v>1414</v>
      </c>
      <c r="N181" s="7" t="s">
        <v>1483</v>
      </c>
      <c r="O181" s="7"/>
      <c r="P181" s="7"/>
      <c r="Q181" s="7"/>
      <c r="R181" s="7"/>
      <c r="S181" s="7"/>
      <c r="T181" s="7" t="s">
        <v>1275</v>
      </c>
      <c r="U181" s="7"/>
      <c r="V181" s="7"/>
      <c r="W181" s="7"/>
    </row>
    <row r="182" spans="1:23" ht="0.2" customHeight="1" outlineLevel="3" x14ac:dyDescent="0.25">
      <c r="B182" s="192" t="s">
        <v>6</v>
      </c>
      <c r="C182" s="201" t="str">
        <f>IF(C107="","",IFERROR(IF(LEN(RIGHT(C107,LEN(C107)-FIND("^",SUBSTITUTE(C107,"|","^",2))))-LEN(SUBSTITUTE(RIGHT(C107,LEN(C107)-FIND("^",SUBSTITUTE(C107,"|","^",2))),"|",""))=0,RIGHT(C107,LEN(C107)-FIND("^",SUBSTITUTE(C107,"|","^",2))),LEFT(RIGHT(C107,LEN(C107)-FIND("^",SUBSTITUTE(C107,"|","^",2))),FIND("|",RIGHT(C107,LEN(C107)-FIND("^",SUBSTITUTE(C107,"|","^",2))))-1)),""))</f>
        <v/>
      </c>
      <c r="E182" s="18"/>
      <c r="G182" s="18"/>
      <c r="H182" s="18"/>
      <c r="I182" s="145"/>
      <c r="J182" s="145"/>
      <c r="K182" s="7"/>
      <c r="L182" s="7" t="s">
        <v>1417</v>
      </c>
      <c r="M182" s="7" t="s">
        <v>1414</v>
      </c>
      <c r="N182" s="7" t="s">
        <v>1483</v>
      </c>
      <c r="O182" s="7"/>
      <c r="P182" s="7"/>
      <c r="Q182" s="7"/>
      <c r="R182" s="7"/>
      <c r="S182" s="7"/>
      <c r="T182" s="7" t="s">
        <v>1276</v>
      </c>
      <c r="U182" s="7"/>
      <c r="V182" s="7"/>
      <c r="W182" s="7"/>
    </row>
    <row r="183" spans="1:23" ht="0.2" customHeight="1" outlineLevel="3" x14ac:dyDescent="0.25">
      <c r="B183" s="192" t="s">
        <v>7</v>
      </c>
      <c r="C183" s="201" t="str">
        <f>IF(C108="","",IFERROR(IF(LEN(RIGHT(C108,LEN(C108)-FIND("^",SUBSTITUTE(C108,"|","^",2))))-LEN(SUBSTITUTE(RIGHT(C108,LEN(C108)-FIND("^",SUBSTITUTE(C108,"|","^",2))),"|",""))=0,RIGHT(C108,LEN(C108)-FIND("^",SUBSTITUTE(C108,"|","^",2))),LEFT(RIGHT(C108,LEN(C108)-FIND("^",SUBSTITUTE(C108,"|","^",2))),FIND("|",RIGHT(C108,LEN(C108)-FIND("^",SUBSTITUTE(C108,"|","^",2))))-1)),""))</f>
        <v/>
      </c>
      <c r="E183" s="18"/>
      <c r="G183" s="18"/>
      <c r="H183" s="18"/>
      <c r="I183" s="145"/>
      <c r="J183" s="145"/>
      <c r="K183" s="7"/>
      <c r="L183" s="7" t="s">
        <v>1417</v>
      </c>
      <c r="M183" s="7" t="s">
        <v>1414</v>
      </c>
      <c r="N183" s="7" t="s">
        <v>1483</v>
      </c>
      <c r="O183" s="7"/>
      <c r="P183" s="7"/>
      <c r="Q183" s="7"/>
      <c r="R183" s="7"/>
      <c r="S183" s="7"/>
      <c r="T183" s="7" t="s">
        <v>1277</v>
      </c>
      <c r="U183" s="7"/>
      <c r="V183" s="7"/>
      <c r="W183" s="7"/>
    </row>
    <row r="184" spans="1:23" ht="0.2" customHeight="1" outlineLevel="3" x14ac:dyDescent="0.25">
      <c r="B184" s="192" t="s">
        <v>19</v>
      </c>
      <c r="C184" s="201" t="str">
        <f>IF(C109="","",IFERROR(IF(LEN(RIGHT(C109,LEN(C109)-FIND("^",SUBSTITUTE(C109,"|","^",2))))-LEN(SUBSTITUTE(RIGHT(C109,LEN(C109)-FIND("^",SUBSTITUTE(C109,"|","^",2))),"|",""))=0,RIGHT(C109,LEN(C109)-FIND("^",SUBSTITUTE(C109,"|","^",2))),LEFT(RIGHT(C109,LEN(C109)-FIND("^",SUBSTITUTE(C109,"|","^",2))),FIND("|",RIGHT(C109,LEN(C109)-FIND("^",SUBSTITUTE(C109,"|","^",2))))-1)),""))</f>
        <v/>
      </c>
      <c r="E184" s="18"/>
      <c r="G184" s="18"/>
      <c r="H184" s="18"/>
      <c r="I184" s="145"/>
      <c r="J184" s="145"/>
      <c r="K184" s="7"/>
      <c r="L184" s="7" t="s">
        <v>1417</v>
      </c>
      <c r="M184" s="7" t="s">
        <v>1414</v>
      </c>
      <c r="N184" s="7" t="s">
        <v>1483</v>
      </c>
      <c r="O184" s="7"/>
      <c r="P184" s="7"/>
      <c r="Q184" s="7"/>
      <c r="R184" s="7"/>
      <c r="S184" s="7"/>
      <c r="T184" s="7" t="s">
        <v>1278</v>
      </c>
      <c r="U184" s="7"/>
      <c r="V184" s="7"/>
      <c r="W184" s="7"/>
    </row>
    <row r="185" spans="1:23" ht="15" customHeight="1" outlineLevel="2" x14ac:dyDescent="0.25">
      <c r="A185" s="251" t="s">
        <v>2232</v>
      </c>
      <c r="B185" s="251"/>
      <c r="C185" s="252"/>
      <c r="E185" s="155"/>
      <c r="G185" s="253"/>
      <c r="H185" s="254"/>
      <c r="I185" s="255"/>
      <c r="J185" s="154"/>
      <c r="K185" s="7"/>
      <c r="L185" s="7"/>
      <c r="M185" s="7"/>
      <c r="N185" s="7"/>
      <c r="O185" s="7"/>
      <c r="P185" s="7"/>
      <c r="Q185" s="7"/>
      <c r="R185" s="7"/>
      <c r="S185" s="7"/>
      <c r="T185" s="7"/>
      <c r="U185" s="7"/>
      <c r="V185" s="7"/>
      <c r="W185" s="7"/>
    </row>
    <row r="186" spans="1:23" ht="15" customHeight="1" outlineLevel="3" x14ac:dyDescent="0.25">
      <c r="B186" s="9" t="s">
        <v>88</v>
      </c>
      <c r="C186" s="197" t="str">
        <f>IF(C86="","",IFERROR(IF(LEN(RIGHT(C86,LEN(C86)-FIND("^",SUBSTITUTE(C86,"|","^",3))))-LEN(SUBSTITUTE(RIGHT(C86,LEN(C86)-FIND("^",SUBSTITUTE(C86,"|","^",3))),"|",""))=0,RIGHT(C86,LEN(C86)-FIND("^",SUBSTITUTE(C86,"|","^",3))),LEFT(RIGHT(C86,LEN(C86)-FIND("^",SUBSTITUTE(C86,"|","^",3))),FIND("|",RIGHT(C86,LEN(C86)-FIND("^",SUBSTITUTE(C86,"|","^",3))))-1)),""))</f>
        <v/>
      </c>
      <c r="E186" s="2" t="s">
        <v>2171</v>
      </c>
      <c r="G186" s="239" t="s">
        <v>95</v>
      </c>
      <c r="H186" s="14" t="s">
        <v>14</v>
      </c>
      <c r="I186" s="125" t="str">
        <f>IF(I190="","",IF(C186="","#N/A, Input cannot be blank",UPPER(LEFT(C186,20))))</f>
        <v/>
      </c>
      <c r="J186" s="14" t="str">
        <f>IF(LEN(C186)&gt;20,TEXT("Requested dependent#4 last name as:","xxx")&amp;" "&amp; TEXT(C186,"xxxxxxx")&amp;","&amp;" "&amp;TEXT("input into BCBS as:","xxxx")&amp;" "&amp; TEXT(I186,"xxxxxxx")&amp;". ","")</f>
        <v/>
      </c>
      <c r="K186" s="7"/>
      <c r="L186" s="7" t="s">
        <v>1416</v>
      </c>
      <c r="M186" s="7" t="s">
        <v>1129</v>
      </c>
      <c r="N186" s="7" t="s">
        <v>1483</v>
      </c>
      <c r="O186" s="7" t="s">
        <v>1416</v>
      </c>
      <c r="P186" s="7" t="s">
        <v>1129</v>
      </c>
      <c r="Q186" s="7" t="s">
        <v>1593</v>
      </c>
      <c r="R186" s="7"/>
      <c r="S186" s="7"/>
      <c r="T186" s="7" t="s">
        <v>1262</v>
      </c>
      <c r="U186" s="7"/>
      <c r="V186" s="7"/>
      <c r="W186" s="7"/>
    </row>
    <row r="187" spans="1:23" ht="15" customHeight="1" outlineLevel="3" x14ac:dyDescent="0.25">
      <c r="B187" s="192" t="s">
        <v>155</v>
      </c>
      <c r="C187" s="201" t="str">
        <f>IF(C87="","",IFERROR(IF(LEN(RIGHT(C87,LEN(C87)-FIND("^",SUBSTITUTE(C87,"|","^",3))))-LEN(SUBSTITUTE(RIGHT(C87,LEN(C87)-FIND("^",SUBSTITUTE(C87,"|","^",3))),"|",""))=0,RIGHT(C87,LEN(C87)-FIND("^",SUBSTITUTE(C87,"|","^",3))),LEFT(RIGHT(C87,LEN(C87)-FIND("^",SUBSTITUTE(C87,"|","^",3))),FIND("|",RIGHT(C87,LEN(C87)-FIND("^",SUBSTITUTE(C87,"|","^",3))))-1)),""))</f>
        <v/>
      </c>
      <c r="E187" s="14" t="s">
        <v>2172</v>
      </c>
      <c r="G187" s="239" t="s">
        <v>155</v>
      </c>
      <c r="H187" s="14" t="s">
        <v>14</v>
      </c>
      <c r="I187" s="189"/>
      <c r="J187" s="145"/>
      <c r="K187" s="7"/>
      <c r="L187" s="7" t="s">
        <v>1416</v>
      </c>
      <c r="M187" s="7" t="s">
        <v>1129</v>
      </c>
      <c r="N187" s="7" t="s">
        <v>1483</v>
      </c>
      <c r="O187" s="7" t="s">
        <v>1416</v>
      </c>
      <c r="P187" s="7" t="s">
        <v>1415</v>
      </c>
      <c r="Q187" s="7" t="s">
        <v>565</v>
      </c>
      <c r="R187" s="7"/>
      <c r="S187" s="7"/>
      <c r="T187" s="7" t="s">
        <v>1261</v>
      </c>
      <c r="U187" s="7"/>
      <c r="V187" s="7"/>
      <c r="W187" s="7"/>
    </row>
    <row r="188" spans="1:23" ht="15" customHeight="1" outlineLevel="3" x14ac:dyDescent="0.25">
      <c r="B188" s="9" t="s">
        <v>87</v>
      </c>
      <c r="C188" s="197" t="str">
        <f>IF(C88="","",IFERROR(IF(LEN(RIGHT(C88,LEN(C88)-FIND("^",SUBSTITUTE(C88,"|","^",3))))-LEN(SUBSTITUTE(RIGHT(C88,LEN(C88)-FIND("^",SUBSTITUTE(C88,"|","^",3))),"|",""))=0,RIGHT(C88,LEN(C88)-FIND("^",SUBSTITUTE(C88,"|","^",3))),LEFT(RIGHT(C88,LEN(C88)-FIND("^",SUBSTITUTE(C88,"|","^",3))),FIND("|",RIGHT(C88,LEN(C88)-FIND("^",SUBSTITUTE(C88,"|","^",3))))-1)),""))</f>
        <v/>
      </c>
      <c r="E188" s="2" t="s">
        <v>2170</v>
      </c>
      <c r="G188" s="239" t="s">
        <v>93</v>
      </c>
      <c r="H188" s="14" t="s">
        <v>14</v>
      </c>
      <c r="I188" s="125" t="str">
        <f>IF(I190="","",IF(C188="","#N/A, Input cannot be blank",UPPER(LEFT(C188,20))))</f>
        <v/>
      </c>
      <c r="J188" s="125" t="str">
        <f>IF(LEN(C188)&gt;20,TEXT("Requested dependent#4 first name as:","xxx")&amp;" "&amp; TEXT(C188,"xxxxxxx")&amp;","&amp;" "&amp; TEXT("input into BCBS as:","xxxx")&amp;" "&amp; TEXT(I188,"xxxxxxx")&amp;". ","")</f>
        <v/>
      </c>
      <c r="K188" s="7"/>
      <c r="L188" s="7" t="s">
        <v>1416</v>
      </c>
      <c r="M188" s="7" t="s">
        <v>1129</v>
      </c>
      <c r="N188" s="7" t="s">
        <v>1483</v>
      </c>
      <c r="O188" s="7" t="s">
        <v>1416</v>
      </c>
      <c r="P188" s="7" t="s">
        <v>1129</v>
      </c>
      <c r="Q188" s="7" t="s">
        <v>1593</v>
      </c>
      <c r="R188" s="7"/>
      <c r="S188" s="7"/>
      <c r="T188" s="7" t="s">
        <v>1260</v>
      </c>
      <c r="U188" s="7"/>
      <c r="V188" s="7"/>
      <c r="W188" s="7"/>
    </row>
    <row r="189" spans="1:23" ht="15" customHeight="1" outlineLevel="3" x14ac:dyDescent="0.25">
      <c r="B189" s="9" t="s">
        <v>552</v>
      </c>
      <c r="C189" s="197" t="str">
        <f>IF(C89="","",IFERROR(LEFT(RIGHT(C89,LEN(C89)-FIND("^",SUBSTITUTE(C89,"|","^",3))),1),""))</f>
        <v/>
      </c>
      <c r="E189" s="14" t="s">
        <v>547</v>
      </c>
      <c r="G189" s="239" t="s">
        <v>94</v>
      </c>
      <c r="H189" s="14" t="s">
        <v>14</v>
      </c>
      <c r="I189" s="125" t="str">
        <f>IF(OR(I190="",C189=""),"",UPPER(LEFT(C189,1)))</f>
        <v/>
      </c>
      <c r="J189" s="145"/>
      <c r="K189" s="7"/>
      <c r="L189" s="7" t="s">
        <v>1416</v>
      </c>
      <c r="M189" s="7" t="s">
        <v>1129</v>
      </c>
      <c r="N189" s="7" t="s">
        <v>1483</v>
      </c>
      <c r="O189" s="7" t="s">
        <v>1416</v>
      </c>
      <c r="P189" s="7" t="s">
        <v>1129</v>
      </c>
      <c r="Q189" s="7" t="s">
        <v>1593</v>
      </c>
      <c r="R189" s="7"/>
      <c r="S189" s="7"/>
      <c r="T189" s="7" t="s">
        <v>1596</v>
      </c>
      <c r="U189" s="7"/>
      <c r="V189" s="7"/>
      <c r="W189" s="7"/>
    </row>
    <row r="190" spans="1:23" ht="30" customHeight="1" outlineLevel="3" x14ac:dyDescent="0.25">
      <c r="B190" s="9" t="s">
        <v>26</v>
      </c>
      <c r="C190" s="200" t="str">
        <f>IF(C90="","",IFERROR(IF(LEN(RIGHT(C90,LEN(C90)-FIND("^",SUBSTITUTE(C90,"|","^",3))))-LEN(SUBSTITUTE(RIGHT(C90,LEN(C90)-FIND("^",SUBSTITUTE(C90,"|","^",3))),"|",""))=0,RIGHT(C90,LEN(C90)-FIND("^",SUBSTITUTE(C90,"|","^",3))),LEFT(RIGHT(C90,LEN(C90)-FIND("^",SUBSTITUTE(C90,"|","^",3))),FIND("|",RIGHT(C90,LEN(C90)-FIND("^",SUBSTITUTE(C90,"|","^",3))))-1)),""))</f>
        <v/>
      </c>
      <c r="E190" s="14" t="s">
        <v>2200</v>
      </c>
      <c r="G190" s="239" t="s">
        <v>123</v>
      </c>
      <c r="H190" s="14" t="s">
        <v>29</v>
      </c>
      <c r="I190" s="125" t="str">
        <f>IF(C186="","",IF(OR($I$69="Y",$I$79="Y"),IF(C190="","#N/A, Input cannot be blank",IF($C$44="",INDEX('Dropdown list'!$AD:$AD,MATCH(C190,'Dropdown list'!$AC:$AC,0),1),IF(C190="Child",IF(OR(ISNUMBER(MATCH(SUBSTITUTE($C$69," (Pending)",""),'Dropdown list'!$AL:$AL,0)),ISNUMBER(MATCH(SUBSTITUTE($C$79," (Pending)",""),'Dropdown list'!$AL:$AL,0))),INDEX('Dropdown list'!$AH:$AH,MATCH(C191&amp;C192,'Dropdown list'!$AG:$AG,0),1),""),IF(C190="Spouse",IF(OR(ISNUMBER(MATCH(SUBSTITUTE($C$69," (Pending)",""),'Dropdown list'!$AM:$AM,0)),ISNUMBER(MATCH(SUBSTITUTE($C$79," (Pending)",""),'Dropdown list'!$AM:$AM,0))),"Spouse",""),IF(C190="Domestic Partner",IF(OR(ISNUMBER(MATCH(SUBSTITUTE($C$69," (Pending)",""),'Dropdown list'!$AN:$AN,0)),ISNUMBER(MATCH(SUBSTITUTE($C$79," (Pending)",""),'Dropdown list'!$AN:$AN,0))),"Domestic Partner",""),INDEX('Dropdown list'!$AK:$AK,MATCH(C190,'Dropdown list'!$AJ:$AJ,0),1)))))),""))</f>
        <v/>
      </c>
      <c r="J190" s="145"/>
      <c r="K190" s="145"/>
      <c r="L190" s="14" t="s">
        <v>1416</v>
      </c>
      <c r="M190" s="142" t="s">
        <v>1129</v>
      </c>
      <c r="N190" s="142" t="s">
        <v>1483</v>
      </c>
      <c r="O190" s="14" t="s">
        <v>1416</v>
      </c>
      <c r="P190" s="142" t="s">
        <v>1129</v>
      </c>
      <c r="Q190" s="142" t="s">
        <v>1594</v>
      </c>
      <c r="T190" s="14" t="s">
        <v>1595</v>
      </c>
    </row>
    <row r="191" spans="1:23" ht="0.2" customHeight="1" outlineLevel="3" x14ac:dyDescent="0.25">
      <c r="B191" s="192" t="s">
        <v>79</v>
      </c>
      <c r="C191" s="201" t="str">
        <f>IF(C91="","",IFERROR(IF(LEN(RIGHT(C91,LEN(C91)-FIND("^",SUBSTITUTE(C91,"|","^",3))))-LEN(SUBSTITUTE(RIGHT(C91,LEN(C91)-FIND("^",SUBSTITUTE(C91,"|","^",3))),"|",""))=0,RIGHT(C91,LEN(C91)-FIND("^",SUBSTITUTE(C91,"|","^",3))),LEFT(RIGHT(C91,LEN(C91)-FIND("^",SUBSTITUTE(C91,"|","^",3))),FIND("|",RIGHT(C91,LEN(C91)-FIND("^",SUBSTITUTE(C91,"|","^",3))))-1)),""))</f>
        <v/>
      </c>
      <c r="E191" s="14" t="s">
        <v>2191</v>
      </c>
      <c r="H191" s="1"/>
      <c r="I191" s="1"/>
      <c r="J191" s="1"/>
      <c r="K191" s="7"/>
      <c r="L191" s="7" t="s">
        <v>1416</v>
      </c>
      <c r="M191" s="7" t="s">
        <v>1129</v>
      </c>
      <c r="N191" s="7" t="s">
        <v>1483</v>
      </c>
      <c r="O191" s="7"/>
      <c r="P191" s="7"/>
      <c r="Q191" s="7"/>
      <c r="R191" s="7"/>
      <c r="S191" s="7"/>
      <c r="T191" s="7" t="s">
        <v>1597</v>
      </c>
      <c r="U191" s="7"/>
      <c r="V191" s="7"/>
      <c r="W191" s="7"/>
    </row>
    <row r="192" spans="1:23" ht="0.2" customHeight="1" outlineLevel="3" x14ac:dyDescent="0.25">
      <c r="B192" s="192" t="s">
        <v>409</v>
      </c>
      <c r="C192" s="201" t="str">
        <f>IF(C92="","",IFERROR(IF(LEN(RIGHT(C92,LEN(C92)-FIND("^",SUBSTITUTE(C92,"|","^",3))))-LEN(SUBSTITUTE(RIGHT(C92,LEN(C92)-FIND("^",SUBSTITUTE(C92,"|","^",3))),"|",""))=0,RIGHT(C92,LEN(C92)-FIND("^",SUBSTITUTE(C92,"|","^",3))),LEFT(RIGHT(C92,LEN(C92)-FIND("^",SUBSTITUTE(C92,"|","^",3))),FIND("|",RIGHT(C92,LEN(C92)-FIND("^",SUBSTITUTE(C92,"|","^",3))))-1)),""))</f>
        <v/>
      </c>
      <c r="E192" s="14"/>
      <c r="H192" s="1"/>
      <c r="I192" s="1"/>
      <c r="J192" s="1"/>
      <c r="K192" s="7"/>
      <c r="L192" s="7" t="s">
        <v>1416</v>
      </c>
      <c r="M192" s="7" t="s">
        <v>1129</v>
      </c>
      <c r="N192" s="7" t="s">
        <v>1483</v>
      </c>
      <c r="O192" s="7"/>
      <c r="P192" s="7"/>
      <c r="Q192" s="7"/>
      <c r="R192" s="7"/>
      <c r="S192" s="7"/>
      <c r="T192" s="7" t="s">
        <v>1280</v>
      </c>
      <c r="U192" s="7"/>
      <c r="V192" s="7"/>
      <c r="W192" s="7"/>
    </row>
    <row r="193" spans="2:23" ht="15" customHeight="1" outlineLevel="3" x14ac:dyDescent="0.25">
      <c r="B193" s="9" t="s">
        <v>2</v>
      </c>
      <c r="C193" s="197" t="str">
        <f>IF(C93="","",IFERROR(IF(LEN(RIGHT(C93,LEN(C93)-FIND("^",SUBSTITUTE(C93,"|","^",3))))-LEN(SUBSTITUTE(RIGHT(C93,LEN(C93)-FIND("^",SUBSTITUTE(C93,"|","^",3))),"|",""))=0,RIGHT(C93,LEN(C93)-FIND("^",SUBSTITUTE(C93,"|","^",3))),LEFT(RIGHT(C93,LEN(C93)-FIND("^",SUBSTITUTE(C93,"|","^",3))),FIND("|",RIGHT(C93,LEN(C93)-FIND("^",SUBSTITUTE(C93,"|","^",3))))-1)),""))</f>
        <v/>
      </c>
      <c r="E193" s="14" t="s">
        <v>553</v>
      </c>
      <c r="G193" s="239" t="s">
        <v>96</v>
      </c>
      <c r="H193" s="14" t="s">
        <v>29</v>
      </c>
      <c r="I193" s="125" t="str">
        <f>IF(I190="","",IF(C193="","#N/A, Input cannot be blank",IF(C193="M", "Male",IF(C193="F","Female","#N/A, Unidentified Gender"))))</f>
        <v/>
      </c>
      <c r="J193" s="1"/>
      <c r="K193" s="7"/>
      <c r="L193" s="7" t="s">
        <v>1416</v>
      </c>
      <c r="M193" s="7" t="s">
        <v>1129</v>
      </c>
      <c r="N193" s="7" t="s">
        <v>1483</v>
      </c>
      <c r="O193" s="7" t="s">
        <v>1416</v>
      </c>
      <c r="P193" s="7" t="s">
        <v>1129</v>
      </c>
      <c r="Q193" s="7" t="s">
        <v>1598</v>
      </c>
      <c r="R193" s="7"/>
      <c r="S193" s="7"/>
      <c r="T193" s="7" t="s">
        <v>1259</v>
      </c>
      <c r="U193" s="7"/>
      <c r="V193" s="7"/>
      <c r="W193" s="7"/>
    </row>
    <row r="194" spans="2:23" ht="15" customHeight="1" outlineLevel="3" x14ac:dyDescent="0.25">
      <c r="B194" s="192" t="str">
        <f>G194</f>
        <v>Other Dependent:</v>
      </c>
      <c r="C194" s="201"/>
      <c r="E194" s="14" t="s">
        <v>2189</v>
      </c>
      <c r="G194" s="239" t="s">
        <v>440</v>
      </c>
      <c r="H194" s="14" t="s">
        <v>29</v>
      </c>
      <c r="I194" s="189"/>
      <c r="J194" s="1"/>
      <c r="K194" s="7"/>
      <c r="L194" s="7" t="s">
        <v>1416</v>
      </c>
      <c r="M194" s="7" t="s">
        <v>1415</v>
      </c>
      <c r="N194" s="7" t="s">
        <v>565</v>
      </c>
      <c r="O194" s="7" t="s">
        <v>1416</v>
      </c>
      <c r="P194" s="7" t="s">
        <v>1415</v>
      </c>
      <c r="Q194" s="7" t="s">
        <v>565</v>
      </c>
      <c r="R194" s="7"/>
      <c r="S194" s="7"/>
      <c r="T194" s="7" t="s">
        <v>1279</v>
      </c>
      <c r="U194" s="7"/>
      <c r="V194" s="7"/>
      <c r="W194" s="7"/>
    </row>
    <row r="195" spans="2:23" ht="15" customHeight="1" outlineLevel="3" x14ac:dyDescent="0.25">
      <c r="B195" s="9" t="s">
        <v>8</v>
      </c>
      <c r="C195" s="197" t="str">
        <f>IF(C95="","",IFERROR(IF(LEN(RIGHT(C95,LEN(C95)-FIND("^",SUBSTITUTE(C95,"|","^",3))))-LEN(SUBSTITUTE(RIGHT(C95,LEN(C95)-FIND("^",SUBSTITUTE(C95,"|","^",3))),"|",""))=0,RIGHT(C95,LEN(C95)-FIND("^",SUBSTITUTE(C95,"|","^",3))),LEFT(RIGHT(C95,LEN(C95)-FIND("^",SUBSTITUTE(C95,"|","^",3))),FIND("|",RIGHT(C95,LEN(C95)-FIND("^",SUBSTITUTE(C95,"|","^",3))))-1)),""))</f>
        <v/>
      </c>
      <c r="G195" s="239" t="s">
        <v>125</v>
      </c>
      <c r="H195" s="14" t="s">
        <v>14</v>
      </c>
      <c r="I195" s="125" t="str">
        <f>IF(I190="","",IF(C195="","#N/A, Input cannot be blank",IFERROR(TEXT(EDATE(C195,0),"MM/DD/YYYY"),"#N/A, Please enter a date format")))</f>
        <v/>
      </c>
      <c r="J195" s="1"/>
      <c r="K195" s="7"/>
      <c r="L195" s="7" t="s">
        <v>1416</v>
      </c>
      <c r="M195" s="7" t="s">
        <v>1129</v>
      </c>
      <c r="N195" s="7" t="s">
        <v>1483</v>
      </c>
      <c r="O195" s="7" t="s">
        <v>1416</v>
      </c>
      <c r="P195" s="7" t="s">
        <v>1129</v>
      </c>
      <c r="Q195" s="7" t="s">
        <v>1508</v>
      </c>
      <c r="R195" s="7"/>
      <c r="S195" s="7"/>
      <c r="T195" s="7" t="s">
        <v>1258</v>
      </c>
      <c r="U195" s="7"/>
      <c r="V195" s="7"/>
      <c r="W195" s="7"/>
    </row>
    <row r="196" spans="2:23" ht="15" customHeight="1" outlineLevel="3" x14ac:dyDescent="0.25">
      <c r="B196" s="9" t="s">
        <v>3</v>
      </c>
      <c r="C196" s="197" t="str">
        <f>IF(C96="","",IFERROR(IF(LEN(RIGHT(C96,LEN(C96)-FIND("^",SUBSTITUTE(C96,"|","^",3))))-LEN(SUBSTITUTE(RIGHT(C96,LEN(C96)-FIND("^",SUBSTITUTE(C96,"|","^",3))),"|",""))=0,RIGHT(C96,LEN(C96)-FIND("^",SUBSTITUTE(C96,"|","^",3))),LEFT(RIGHT(C96,LEN(C96)-FIND("^",SUBSTITUTE(C96,"|","^",3))),FIND("|",RIGHT(C96,LEN(C96)-FIND("^",SUBSTITUTE(C96,"|","^",3))))-1)),""))</f>
        <v/>
      </c>
      <c r="E196" s="14" t="s">
        <v>547</v>
      </c>
      <c r="G196" s="239" t="s">
        <v>97</v>
      </c>
      <c r="H196" s="14" t="s">
        <v>14</v>
      </c>
      <c r="I196" s="125" t="str">
        <f>IF(C196=" ",C196,IF(OR(I190="",C196=""),"",IF(LEN(SUBSTITUTE(C196,"-",""))=9,SUBSTITUTE(C196,"-",""),"#N/A, SSN# must be 9 digits")))</f>
        <v/>
      </c>
      <c r="J196" s="1"/>
      <c r="K196" s="7"/>
      <c r="L196" s="7" t="s">
        <v>1416</v>
      </c>
      <c r="M196" s="7" t="s">
        <v>1129</v>
      </c>
      <c r="N196" s="7" t="s">
        <v>1483</v>
      </c>
      <c r="O196" s="7" t="s">
        <v>1416</v>
      </c>
      <c r="P196" s="7" t="s">
        <v>1129</v>
      </c>
      <c r="Q196" s="7" t="s">
        <v>1518</v>
      </c>
      <c r="R196" s="7"/>
      <c r="S196" s="7"/>
      <c r="T196" s="7" t="s">
        <v>1230</v>
      </c>
      <c r="U196" s="7"/>
      <c r="V196" s="7"/>
      <c r="W196" s="7"/>
    </row>
    <row r="197" spans="2:23" ht="15" customHeight="1" outlineLevel="3" x14ac:dyDescent="0.25">
      <c r="B197" s="192" t="str">
        <f t="shared" ref="B197:B202" si="6">G197</f>
        <v>Multiple Birth:</v>
      </c>
      <c r="C197" s="201"/>
      <c r="E197" s="14" t="s">
        <v>2189</v>
      </c>
      <c r="G197" s="239" t="s">
        <v>506</v>
      </c>
      <c r="H197" s="14" t="s">
        <v>559</v>
      </c>
      <c r="I197" s="237"/>
      <c r="J197" s="1"/>
      <c r="K197" s="7"/>
      <c r="L197" s="7" t="s">
        <v>1416</v>
      </c>
      <c r="M197" s="7" t="s">
        <v>1415</v>
      </c>
      <c r="N197" s="7" t="s">
        <v>565</v>
      </c>
      <c r="O197" s="7" t="s">
        <v>1416</v>
      </c>
      <c r="P197" s="7" t="s">
        <v>1415</v>
      </c>
      <c r="Q197" s="7" t="s">
        <v>565</v>
      </c>
      <c r="R197" s="7"/>
      <c r="S197" s="7"/>
      <c r="T197" s="7" t="s">
        <v>1264</v>
      </c>
      <c r="U197" s="7"/>
      <c r="V197" s="7"/>
      <c r="W197" s="7"/>
    </row>
    <row r="198" spans="2:23" ht="15" customHeight="1" outlineLevel="3" x14ac:dyDescent="0.25">
      <c r="B198" s="192" t="str">
        <f t="shared" si="6"/>
        <v>Native Language:</v>
      </c>
      <c r="C198" s="201"/>
      <c r="E198" s="14" t="s">
        <v>2175</v>
      </c>
      <c r="G198" s="239" t="s">
        <v>484</v>
      </c>
      <c r="H198" s="14" t="s">
        <v>29</v>
      </c>
      <c r="I198" s="237" t="str">
        <f>IF(I190="","","English")</f>
        <v/>
      </c>
      <c r="J198" s="1"/>
      <c r="K198" s="7"/>
      <c r="L198" s="7" t="s">
        <v>1416</v>
      </c>
      <c r="M198" s="7" t="s">
        <v>1415</v>
      </c>
      <c r="N198" s="7" t="s">
        <v>565</v>
      </c>
      <c r="O198" s="7" t="s">
        <v>1416</v>
      </c>
      <c r="P198" s="7" t="s">
        <v>1415</v>
      </c>
      <c r="Q198" s="7" t="s">
        <v>1430</v>
      </c>
      <c r="R198" s="7"/>
      <c r="S198" s="7"/>
      <c r="T198" s="7" t="s">
        <v>1263</v>
      </c>
      <c r="U198" s="7"/>
      <c r="V198" s="7"/>
      <c r="W198" s="7"/>
    </row>
    <row r="199" spans="2:23" ht="15" customHeight="1" outlineLevel="3" x14ac:dyDescent="0.25">
      <c r="B199" s="192" t="str">
        <f t="shared" si="6"/>
        <v>Preferred Written Language:</v>
      </c>
      <c r="C199" s="201"/>
      <c r="E199" s="14" t="s">
        <v>2175</v>
      </c>
      <c r="G199" s="239" t="s">
        <v>486</v>
      </c>
      <c r="H199" s="14" t="s">
        <v>29</v>
      </c>
      <c r="I199" s="237" t="str">
        <f>IF(I190="","","English")</f>
        <v/>
      </c>
      <c r="J199" s="1"/>
      <c r="K199" s="7"/>
      <c r="L199" s="7" t="s">
        <v>1416</v>
      </c>
      <c r="M199" s="7" t="s">
        <v>1415</v>
      </c>
      <c r="N199" s="7" t="s">
        <v>565</v>
      </c>
      <c r="O199" s="7" t="s">
        <v>1416</v>
      </c>
      <c r="P199" s="7" t="s">
        <v>1415</v>
      </c>
      <c r="Q199" s="7" t="s">
        <v>1430</v>
      </c>
      <c r="R199" s="7"/>
      <c r="S199" s="7"/>
      <c r="T199" s="7" t="s">
        <v>1265</v>
      </c>
      <c r="U199" s="7"/>
      <c r="V199" s="7"/>
      <c r="W199" s="7"/>
    </row>
    <row r="200" spans="2:23" ht="15" customHeight="1" outlineLevel="3" x14ac:dyDescent="0.25">
      <c r="B200" s="192" t="str">
        <f t="shared" si="6"/>
        <v>Preferred Spoken Language:</v>
      </c>
      <c r="C200" s="201"/>
      <c r="E200" s="14" t="s">
        <v>2175</v>
      </c>
      <c r="G200" s="239" t="s">
        <v>487</v>
      </c>
      <c r="H200" s="14" t="s">
        <v>29</v>
      </c>
      <c r="I200" s="237" t="str">
        <f>IF(I190="","","English")</f>
        <v/>
      </c>
      <c r="J200" s="1"/>
      <c r="K200" s="7"/>
      <c r="L200" s="7" t="s">
        <v>1416</v>
      </c>
      <c r="M200" s="7" t="s">
        <v>1415</v>
      </c>
      <c r="N200" s="7" t="s">
        <v>565</v>
      </c>
      <c r="O200" s="7" t="s">
        <v>1416</v>
      </c>
      <c r="P200" s="7" t="s">
        <v>1415</v>
      </c>
      <c r="Q200" s="7" t="s">
        <v>1430</v>
      </c>
      <c r="R200" s="7"/>
      <c r="S200" s="7"/>
      <c r="T200" s="7" t="s">
        <v>1266</v>
      </c>
      <c r="U200" s="7"/>
      <c r="V200" s="7"/>
      <c r="W200" s="7"/>
    </row>
    <row r="201" spans="2:23" ht="15" customHeight="1" outlineLevel="3" x14ac:dyDescent="0.25">
      <c r="B201" s="192" t="str">
        <f t="shared" si="6"/>
        <v>Ethnicity (select all that apply):</v>
      </c>
      <c r="C201" s="201"/>
      <c r="E201" s="14" t="s">
        <v>2173</v>
      </c>
      <c r="G201" s="220" t="s">
        <v>488</v>
      </c>
      <c r="H201" s="14" t="s">
        <v>558</v>
      </c>
      <c r="I201" s="237" t="str">
        <f>IF(I190="","","Unknown")</f>
        <v/>
      </c>
      <c r="J201" s="1"/>
      <c r="K201" s="7"/>
      <c r="L201" s="7" t="s">
        <v>1416</v>
      </c>
      <c r="M201" s="7" t="s">
        <v>1415</v>
      </c>
      <c r="N201" s="7" t="s">
        <v>565</v>
      </c>
      <c r="O201" s="7" t="s">
        <v>1416</v>
      </c>
      <c r="P201" s="7" t="s">
        <v>1415</v>
      </c>
      <c r="Q201" s="7" t="s">
        <v>1431</v>
      </c>
      <c r="R201" s="7"/>
      <c r="S201" s="7"/>
      <c r="T201" s="7" t="s">
        <v>1267</v>
      </c>
      <c r="U201" s="7"/>
      <c r="V201" s="7"/>
      <c r="W201" s="7"/>
    </row>
    <row r="202" spans="2:23" ht="15" customHeight="1" outlineLevel="3" x14ac:dyDescent="0.25">
      <c r="B202" s="192" t="str">
        <f t="shared" si="6"/>
        <v>Race (select all that apply):</v>
      </c>
      <c r="C202" s="201"/>
      <c r="E202" s="14" t="s">
        <v>2173</v>
      </c>
      <c r="G202" s="239" t="s">
        <v>492</v>
      </c>
      <c r="H202" s="14" t="s">
        <v>558</v>
      </c>
      <c r="I202" s="237" t="str">
        <f>IF(I190="","","Unknown")</f>
        <v/>
      </c>
      <c r="J202" s="1"/>
      <c r="K202" s="7"/>
      <c r="L202" s="7" t="s">
        <v>1416</v>
      </c>
      <c r="M202" s="7" t="s">
        <v>1415</v>
      </c>
      <c r="N202" s="7" t="s">
        <v>565</v>
      </c>
      <c r="O202" s="7" t="s">
        <v>1416</v>
      </c>
      <c r="P202" s="7" t="s">
        <v>1415</v>
      </c>
      <c r="Q202" s="7" t="s">
        <v>1431</v>
      </c>
      <c r="R202" s="7"/>
      <c r="S202" s="7"/>
      <c r="T202" s="7" t="s">
        <v>1271</v>
      </c>
      <c r="U202" s="7"/>
      <c r="V202" s="7"/>
      <c r="W202" s="7"/>
    </row>
    <row r="203" spans="2:23" ht="30" customHeight="1" outlineLevel="3" x14ac:dyDescent="0.25">
      <c r="B203" s="192" t="s">
        <v>412</v>
      </c>
      <c r="C203" s="201" t="str">
        <f>IF(C103="","",IFERROR(IF(LEN(RIGHT(C103,LEN(C103)-FIND("^",SUBSTITUTE(C103,"|","^",3))))-LEN(SUBSTITUTE(RIGHT(C103,LEN(C103)-FIND("^",SUBSTITUTE(C103,"|","^",3))),"|",""))=0,RIGHT(C103,LEN(C103)-FIND("^",SUBSTITUTE(C103,"|","^",3))),LEFT(RIGHT(C103,LEN(C103)-FIND("^",SUBSTITUTE(C103,"|","^",3))),FIND("|",RIGHT(C103,LEN(C103)-FIND("^",SUBSTITUTE(C103,"|","^",3))))-1)),""))</f>
        <v/>
      </c>
      <c r="E203" s="14" t="s">
        <v>2190</v>
      </c>
      <c r="G203" s="239" t="s">
        <v>537</v>
      </c>
      <c r="H203" s="14" t="s">
        <v>559</v>
      </c>
      <c r="I203" s="150" t="str">
        <f>IF(I190="","",IF(OR(C203="",C203="No"),"No","Yes"))</f>
        <v/>
      </c>
      <c r="J203" s="145" t="str">
        <f>IF(I203="Yes", "Medicare Eligible is Yes for EN request for Dependent#4, please change ‘Medicare information’ to 'Yes'  and select Eligible in Dep Medicare tab in BCBS if needed. ","")</f>
        <v/>
      </c>
      <c r="K203" s="7"/>
      <c r="L203" s="7" t="s">
        <v>1417</v>
      </c>
      <c r="M203" s="7" t="s">
        <v>1414</v>
      </c>
      <c r="N203" s="7" t="s">
        <v>1483</v>
      </c>
      <c r="O203" s="7" t="s">
        <v>1416</v>
      </c>
      <c r="P203" s="7" t="s">
        <v>1415</v>
      </c>
      <c r="Q203" s="7" t="s">
        <v>1432</v>
      </c>
      <c r="R203" s="7"/>
      <c r="S203" s="7"/>
      <c r="T203" s="7" t="s">
        <v>1272</v>
      </c>
      <c r="U203" s="7"/>
      <c r="V203" s="7"/>
      <c r="W203" s="7"/>
    </row>
    <row r="204" spans="2:23" ht="30" customHeight="1" outlineLevel="3" x14ac:dyDescent="0.25">
      <c r="B204" s="192" t="str">
        <f>G204</f>
        <v>Different address information than the employee?</v>
      </c>
      <c r="C204" s="201"/>
      <c r="E204" s="14" t="s">
        <v>2190</v>
      </c>
      <c r="G204" s="239" t="s">
        <v>508</v>
      </c>
      <c r="H204" s="14" t="s">
        <v>559</v>
      </c>
      <c r="I204" s="150" t="str">
        <f>IF(I190="","",IF(OR(C205="",TRIM(C205)&amp;TRIM(C206)&amp;TRIM(C207)&amp;TRIM(C208)&amp;TRIM(C209)=TRIM($C$48)&amp;TRIM($C$49)&amp;TRIM($C$50)&amp;TRIM($C$51)&amp;TRIM($C$52)),"No","Yes"))</f>
        <v/>
      </c>
      <c r="J204" s="145" t="str">
        <f>IF(I204="Yes", "Dependent have separate address for EN request for Dependen#4, please change ‘Different address information than the employee' to 'Yes' and update different address in Dep Address tab in BCBS if needed. ","")</f>
        <v/>
      </c>
      <c r="K204" s="145"/>
      <c r="L204" s="14" t="s">
        <v>1417</v>
      </c>
      <c r="M204" s="14" t="s">
        <v>1129</v>
      </c>
      <c r="N204" s="142" t="s">
        <v>1484</v>
      </c>
      <c r="O204" s="14" t="s">
        <v>1416</v>
      </c>
      <c r="P204" s="14" t="s">
        <v>1415</v>
      </c>
      <c r="Q204" s="142" t="s">
        <v>1432</v>
      </c>
      <c r="T204" s="14" t="s">
        <v>1273</v>
      </c>
    </row>
    <row r="205" spans="2:23" ht="0.2" customHeight="1" outlineLevel="3" x14ac:dyDescent="0.25">
      <c r="B205" s="192" t="s">
        <v>414</v>
      </c>
      <c r="C205" s="201" t="str">
        <f>IF(C105="","",IFERROR(IF(LEN(RIGHT(C105,LEN(C105)-FIND("^",SUBSTITUTE(C105,"|","^",3))))-LEN(SUBSTITUTE(RIGHT(C105,LEN(C105)-FIND("^",SUBSTITUTE(C105,"|","^",3))),"|",""))=0,RIGHT(C105,LEN(C105)-FIND("^",SUBSTITUTE(C105,"|","^",3))),LEFT(RIGHT(C105,LEN(C105)-FIND("^",SUBSTITUTE(C105,"|","^",3))),FIND("|",RIGHT(C105,LEN(C105)-FIND("^",SUBSTITUTE(C105,"|","^",3))))-1)),""))</f>
        <v/>
      </c>
      <c r="E205" s="18"/>
      <c r="G205" s="18"/>
      <c r="H205" s="18"/>
      <c r="I205" s="145"/>
      <c r="J205" s="1"/>
      <c r="K205" s="7"/>
      <c r="L205" s="7" t="s">
        <v>1417</v>
      </c>
      <c r="M205" s="7" t="s">
        <v>1414</v>
      </c>
      <c r="N205" s="7" t="s">
        <v>1483</v>
      </c>
      <c r="O205" s="7"/>
      <c r="P205" s="7"/>
      <c r="Q205" s="7"/>
      <c r="R205" s="7"/>
      <c r="S205" s="7"/>
      <c r="T205" s="7" t="s">
        <v>1274</v>
      </c>
      <c r="U205" s="7"/>
      <c r="V205" s="7"/>
      <c r="W205" s="7"/>
    </row>
    <row r="206" spans="2:23" ht="0.2" customHeight="1" outlineLevel="3" x14ac:dyDescent="0.25">
      <c r="B206" s="192" t="s">
        <v>416</v>
      </c>
      <c r="C206" s="201" t="str">
        <f>IF(C106="","",IFERROR(IF(LEN(RIGHT(C106,LEN(C106)-FIND("^",SUBSTITUTE(C106,"|","^",3))))-LEN(SUBSTITUTE(RIGHT(C106,LEN(C106)-FIND("^",SUBSTITUTE(C106,"|","^",3))),"|",""))=0,RIGHT(C106,LEN(C106)-FIND("^",SUBSTITUTE(C106,"|","^",3))),LEFT(RIGHT(C106,LEN(C106)-FIND("^",SUBSTITUTE(C106,"|","^",3))),FIND("|",RIGHT(C106,LEN(C106)-FIND("^",SUBSTITUTE(C106,"|","^",3))))-1)),""))</f>
        <v/>
      </c>
      <c r="E206" s="18"/>
      <c r="G206" s="18"/>
      <c r="H206" s="18"/>
      <c r="I206" s="145"/>
      <c r="J206" s="1"/>
      <c r="K206" s="7"/>
      <c r="L206" s="7" t="s">
        <v>1417</v>
      </c>
      <c r="M206" s="7" t="s">
        <v>1414</v>
      </c>
      <c r="N206" s="7" t="s">
        <v>1483</v>
      </c>
      <c r="O206" s="7"/>
      <c r="P206" s="7"/>
      <c r="Q206" s="7"/>
      <c r="R206" s="7"/>
      <c r="S206" s="7"/>
      <c r="T206" s="7" t="s">
        <v>1275</v>
      </c>
      <c r="U206" s="7"/>
      <c r="V206" s="7"/>
      <c r="W206" s="7"/>
    </row>
    <row r="207" spans="2:23" ht="0.2" customHeight="1" outlineLevel="3" x14ac:dyDescent="0.25">
      <c r="B207" s="192" t="s">
        <v>6</v>
      </c>
      <c r="C207" s="201" t="str">
        <f>IF(C107="","",IFERROR(IF(LEN(RIGHT(C107,LEN(C107)-FIND("^",SUBSTITUTE(C107,"|","^",3))))-LEN(SUBSTITUTE(RIGHT(C107,LEN(C107)-FIND("^",SUBSTITUTE(C107,"|","^",3))),"|",""))=0,RIGHT(C107,LEN(C107)-FIND("^",SUBSTITUTE(C107,"|","^",3))),LEFT(RIGHT(C107,LEN(C107)-FIND("^",SUBSTITUTE(C107,"|","^",3))),FIND("|",RIGHT(C107,LEN(C107)-FIND("^",SUBSTITUTE(C107,"|","^",3))))-1)),""))</f>
        <v/>
      </c>
      <c r="E207" s="18"/>
      <c r="G207" s="18"/>
      <c r="H207" s="18"/>
      <c r="I207" s="145"/>
      <c r="J207" s="145"/>
      <c r="K207" s="7"/>
      <c r="L207" s="7" t="s">
        <v>1417</v>
      </c>
      <c r="M207" s="7" t="s">
        <v>1414</v>
      </c>
      <c r="N207" s="7" t="s">
        <v>1483</v>
      </c>
      <c r="O207" s="7"/>
      <c r="P207" s="7"/>
      <c r="Q207" s="7"/>
      <c r="R207" s="7"/>
      <c r="S207" s="7"/>
      <c r="T207" s="7" t="s">
        <v>1276</v>
      </c>
      <c r="U207" s="7"/>
      <c r="V207" s="7"/>
      <c r="W207" s="7"/>
    </row>
    <row r="208" spans="2:23" ht="0.2" customHeight="1" outlineLevel="3" x14ac:dyDescent="0.25">
      <c r="B208" s="192" t="s">
        <v>7</v>
      </c>
      <c r="C208" s="201" t="str">
        <f>IF(C108="","",IFERROR(IF(LEN(RIGHT(C108,LEN(C108)-FIND("^",SUBSTITUTE(C108,"|","^",3))))-LEN(SUBSTITUTE(RIGHT(C108,LEN(C108)-FIND("^",SUBSTITUTE(C108,"|","^",3))),"|",""))=0,RIGHT(C108,LEN(C108)-FIND("^",SUBSTITUTE(C108,"|","^",3))),LEFT(RIGHT(C108,LEN(C108)-FIND("^",SUBSTITUTE(C108,"|","^",3))),FIND("|",RIGHT(C108,LEN(C108)-FIND("^",SUBSTITUTE(C108,"|","^",3))))-1)),""))</f>
        <v/>
      </c>
      <c r="E208" s="18"/>
      <c r="G208" s="18"/>
      <c r="H208" s="18"/>
      <c r="I208" s="145"/>
      <c r="J208" s="145"/>
      <c r="K208" s="7"/>
      <c r="L208" s="7" t="s">
        <v>1417</v>
      </c>
      <c r="M208" s="7" t="s">
        <v>1414</v>
      </c>
      <c r="N208" s="7" t="s">
        <v>1483</v>
      </c>
      <c r="O208" s="7"/>
      <c r="P208" s="7"/>
      <c r="Q208" s="7"/>
      <c r="R208" s="7"/>
      <c r="S208" s="7"/>
      <c r="T208" s="7" t="s">
        <v>1277</v>
      </c>
      <c r="U208" s="7"/>
      <c r="V208" s="7"/>
      <c r="W208" s="7"/>
    </row>
    <row r="209" spans="1:23" ht="0.2" customHeight="1" outlineLevel="3" x14ac:dyDescent="0.25">
      <c r="B209" s="192" t="s">
        <v>19</v>
      </c>
      <c r="C209" s="201" t="str">
        <f>IF(C109="","",IFERROR(IF(LEN(RIGHT(C109,LEN(C109)-FIND("^",SUBSTITUTE(C109,"|","^",3))))-LEN(SUBSTITUTE(RIGHT(C109,LEN(C109)-FIND("^",SUBSTITUTE(C109,"|","^",3))),"|",""))=0,RIGHT(C109,LEN(C109)-FIND("^",SUBSTITUTE(C109,"|","^",3))),LEFT(RIGHT(C109,LEN(C109)-FIND("^",SUBSTITUTE(C109,"|","^",3))),FIND("|",RIGHT(C109,LEN(C109)-FIND("^",SUBSTITUTE(C109,"|","^",3))))-1)),""))</f>
        <v/>
      </c>
      <c r="E209" s="18"/>
      <c r="G209" s="18"/>
      <c r="H209" s="18"/>
      <c r="I209" s="145"/>
      <c r="J209" s="145"/>
      <c r="K209" s="7"/>
      <c r="L209" s="7" t="s">
        <v>1417</v>
      </c>
      <c r="M209" s="7" t="s">
        <v>1414</v>
      </c>
      <c r="N209" s="7" t="s">
        <v>1483</v>
      </c>
      <c r="O209" s="7"/>
      <c r="P209" s="7"/>
      <c r="Q209" s="7"/>
      <c r="R209" s="7"/>
      <c r="S209" s="7"/>
      <c r="T209" s="7" t="s">
        <v>1278</v>
      </c>
      <c r="U209" s="7"/>
      <c r="V209" s="7"/>
      <c r="W209" s="7"/>
    </row>
    <row r="210" spans="1:23" ht="15" customHeight="1" outlineLevel="2" x14ac:dyDescent="0.25">
      <c r="A210" s="251" t="s">
        <v>2230</v>
      </c>
      <c r="B210" s="251"/>
      <c r="C210" s="252"/>
      <c r="E210" s="155"/>
      <c r="G210" s="253"/>
      <c r="H210" s="254"/>
      <c r="I210" s="255"/>
      <c r="J210" s="154"/>
      <c r="K210" s="7"/>
      <c r="L210" s="7"/>
      <c r="M210" s="7"/>
      <c r="N210" s="7"/>
      <c r="O210" s="7"/>
      <c r="P210" s="7"/>
      <c r="Q210" s="7"/>
      <c r="R210" s="7"/>
      <c r="S210" s="7"/>
      <c r="T210" s="7"/>
      <c r="U210" s="7"/>
      <c r="V210" s="7"/>
      <c r="W210" s="7"/>
    </row>
    <row r="211" spans="1:23" ht="15" customHeight="1" outlineLevel="3" x14ac:dyDescent="0.25">
      <c r="B211" s="9" t="s">
        <v>88</v>
      </c>
      <c r="C211" s="197" t="str">
        <f>IF(C86="","",IFERROR(IF(LEN(RIGHT(C86,LEN(C86)-FIND("^",SUBSTITUTE(C86,"|","^",4))))-LEN(SUBSTITUTE(RIGHT(C86,LEN(C86)-FIND("^",SUBSTITUTE(C86,"|","^",4))),"|",""))=0,RIGHT(C86,LEN(C86)-FIND("^",SUBSTITUTE(C86,"|","^",4))),LEFT(RIGHT(C86,LEN(C86)-FIND("^",SUBSTITUTE(C86,"|","^",4))),FIND("|",RIGHT(C86,LEN(C86)-FIND("^",SUBSTITUTE(C86,"|","^",4))))-1)),""))</f>
        <v/>
      </c>
      <c r="E211" s="2" t="s">
        <v>2171</v>
      </c>
      <c r="G211" s="239" t="s">
        <v>95</v>
      </c>
      <c r="H211" s="14" t="s">
        <v>14</v>
      </c>
      <c r="I211" s="125" t="str">
        <f>IF(I215="","",IF(C211="","#N/A, Input cannot be blank",UPPER(LEFT(C211,20))))</f>
        <v/>
      </c>
      <c r="J211" s="14" t="str">
        <f>IF(LEN(C211)&gt;20,TEXT("Requested dependent#5 last name as:","xxx")&amp;" "&amp; TEXT(C211,"xxxxxxx")&amp;","&amp;" "&amp;TEXT("input into BCBS as:","xxxx")&amp;" "&amp; TEXT(I211,"xxxxxxx")&amp;". ","")</f>
        <v/>
      </c>
      <c r="K211" s="7"/>
      <c r="L211" s="7" t="s">
        <v>1416</v>
      </c>
      <c r="M211" s="7" t="s">
        <v>1129</v>
      </c>
      <c r="N211" s="7" t="s">
        <v>1483</v>
      </c>
      <c r="O211" s="7" t="s">
        <v>1416</v>
      </c>
      <c r="P211" s="7" t="s">
        <v>1129</v>
      </c>
      <c r="Q211" s="7" t="s">
        <v>1593</v>
      </c>
      <c r="R211" s="7"/>
      <c r="S211" s="7"/>
      <c r="T211" s="7" t="s">
        <v>1262</v>
      </c>
      <c r="U211" s="7"/>
      <c r="V211" s="7"/>
      <c r="W211" s="7"/>
    </row>
    <row r="212" spans="1:23" ht="15" customHeight="1" outlineLevel="3" x14ac:dyDescent="0.25">
      <c r="B212" s="192" t="s">
        <v>155</v>
      </c>
      <c r="C212" s="201" t="str">
        <f>IF(C87="","",IFERROR(IF(LEN(RIGHT(C87,LEN(C87)-FIND("^",SUBSTITUTE(C87,"|","^",4))))-LEN(SUBSTITUTE(RIGHT(C87,LEN(C87)-FIND("^",SUBSTITUTE(C87,"|","^",4))),"|",""))=0,RIGHT(C87,LEN(C87)-FIND("^",SUBSTITUTE(C87,"|","^",4))),LEFT(RIGHT(C87,LEN(C87)-FIND("^",SUBSTITUTE(C87,"|","^",4))),FIND("|",RIGHT(C87,LEN(C87)-FIND("^",SUBSTITUTE(C87,"|","^",4))))-1)),""))</f>
        <v/>
      </c>
      <c r="E212" s="14" t="s">
        <v>2172</v>
      </c>
      <c r="G212" s="239" t="s">
        <v>155</v>
      </c>
      <c r="H212" s="14" t="s">
        <v>14</v>
      </c>
      <c r="I212" s="189"/>
      <c r="J212" s="145"/>
      <c r="K212" s="7"/>
      <c r="L212" s="7" t="s">
        <v>1416</v>
      </c>
      <c r="M212" s="7" t="s">
        <v>1129</v>
      </c>
      <c r="N212" s="7" t="s">
        <v>1483</v>
      </c>
      <c r="O212" s="7" t="s">
        <v>1416</v>
      </c>
      <c r="P212" s="7" t="s">
        <v>1415</v>
      </c>
      <c r="Q212" s="7" t="s">
        <v>565</v>
      </c>
      <c r="R212" s="7"/>
      <c r="S212" s="7"/>
      <c r="T212" s="7" t="s">
        <v>1261</v>
      </c>
      <c r="U212" s="7"/>
      <c r="V212" s="7"/>
      <c r="W212" s="7"/>
    </row>
    <row r="213" spans="1:23" ht="15" customHeight="1" outlineLevel="3" x14ac:dyDescent="0.25">
      <c r="B213" s="9" t="s">
        <v>87</v>
      </c>
      <c r="C213" s="197" t="str">
        <f>IF(C88="","",IFERROR(IF(LEN(RIGHT(C88,LEN(C88)-FIND("^",SUBSTITUTE(C88,"|","^",4))))-LEN(SUBSTITUTE(RIGHT(C88,LEN(C88)-FIND("^",SUBSTITUTE(C88,"|","^",4))),"|",""))=0,RIGHT(C88,LEN(C88)-FIND("^",SUBSTITUTE(C88,"|","^",4))),LEFT(RIGHT(C88,LEN(C88)-FIND("^",SUBSTITUTE(C88,"|","^",4))),FIND("|",RIGHT(C88,LEN(C88)-FIND("^",SUBSTITUTE(C88,"|","^",4))))-1)),""))</f>
        <v/>
      </c>
      <c r="E213" s="2" t="s">
        <v>2170</v>
      </c>
      <c r="G213" s="239" t="s">
        <v>93</v>
      </c>
      <c r="H213" s="14" t="s">
        <v>14</v>
      </c>
      <c r="I213" s="125" t="str">
        <f>IF(I215="","",IF(C213="","#N/A, Input cannot be blank",UPPER(LEFT(C213,20))))</f>
        <v/>
      </c>
      <c r="J213" s="125" t="str">
        <f>IF(LEN(C213)&gt;20,TEXT("Requested dependent#5 first name as:","xxx")&amp;" "&amp; TEXT(C213,"xxxxxxx")&amp;","&amp;" "&amp; TEXT("input into BCBS as:","xxxx")&amp;" "&amp; TEXT(I213,"xxxxxxx")&amp;". ","")</f>
        <v/>
      </c>
      <c r="K213" s="7"/>
      <c r="L213" s="7" t="s">
        <v>1416</v>
      </c>
      <c r="M213" s="7" t="s">
        <v>1129</v>
      </c>
      <c r="N213" s="7" t="s">
        <v>1483</v>
      </c>
      <c r="O213" s="7" t="s">
        <v>1416</v>
      </c>
      <c r="P213" s="7" t="s">
        <v>1129</v>
      </c>
      <c r="Q213" s="7" t="s">
        <v>1593</v>
      </c>
      <c r="R213" s="7"/>
      <c r="S213" s="7"/>
      <c r="T213" s="7" t="s">
        <v>1260</v>
      </c>
      <c r="U213" s="7"/>
      <c r="V213" s="7"/>
      <c r="W213" s="7"/>
    </row>
    <row r="214" spans="1:23" ht="15" customHeight="1" outlineLevel="3" x14ac:dyDescent="0.25">
      <c r="B214" s="9" t="s">
        <v>552</v>
      </c>
      <c r="C214" s="197" t="str">
        <f>IF(C89="","",IFERROR(LEFT(RIGHT(C89,LEN(C89)-FIND("^",SUBSTITUTE(C89,"|","^",4))),1),""))</f>
        <v/>
      </c>
      <c r="E214" s="14" t="s">
        <v>547</v>
      </c>
      <c r="G214" s="239" t="s">
        <v>94</v>
      </c>
      <c r="H214" s="14" t="s">
        <v>14</v>
      </c>
      <c r="I214" s="125" t="str">
        <f>IF(OR(I215="",C214=""),"",UPPER(LEFT(C214,1)))</f>
        <v/>
      </c>
      <c r="J214" s="145"/>
      <c r="K214" s="7"/>
      <c r="L214" s="7" t="s">
        <v>1416</v>
      </c>
      <c r="M214" s="7" t="s">
        <v>1129</v>
      </c>
      <c r="N214" s="7" t="s">
        <v>1483</v>
      </c>
      <c r="O214" s="7" t="s">
        <v>1416</v>
      </c>
      <c r="P214" s="7" t="s">
        <v>1129</v>
      </c>
      <c r="Q214" s="7" t="s">
        <v>1593</v>
      </c>
      <c r="R214" s="7"/>
      <c r="S214" s="7"/>
      <c r="T214" s="7" t="s">
        <v>1596</v>
      </c>
      <c r="U214" s="7"/>
      <c r="V214" s="7"/>
      <c r="W214" s="7"/>
    </row>
    <row r="215" spans="1:23" ht="30" customHeight="1" outlineLevel="3" x14ac:dyDescent="0.25">
      <c r="B215" s="9" t="s">
        <v>26</v>
      </c>
      <c r="C215" s="200" t="str">
        <f>IF(C90="","",IFERROR(IF(LEN(RIGHT(C90,LEN(C90)-FIND("^",SUBSTITUTE(C90,"|","^",4))))-LEN(SUBSTITUTE(RIGHT(C90,LEN(C90)-FIND("^",SUBSTITUTE(C90,"|","^",4))),"|",""))=0,RIGHT(C90,LEN(C90)-FIND("^",SUBSTITUTE(C90,"|","^",4))),LEFT(RIGHT(C90,LEN(C90)-FIND("^",SUBSTITUTE(C90,"|","^",4))),FIND("|",RIGHT(C90,LEN(C90)-FIND("^",SUBSTITUTE(C90,"|","^",4))))-1)),""))</f>
        <v/>
      </c>
      <c r="E215" s="14" t="s">
        <v>2200</v>
      </c>
      <c r="G215" s="239" t="s">
        <v>123</v>
      </c>
      <c r="H215" s="14" t="s">
        <v>29</v>
      </c>
      <c r="I215" s="125" t="str">
        <f>IF(C211="","",IF(OR($I$69="Y",$I$79="Y"),IF(C215="","#N/A, Input cannot be blank",IF($C$44="",INDEX('Dropdown list'!$AD:$AD,MATCH(C215,'Dropdown list'!$AC:$AC,0),1),IF(C215="Child",IF(OR(ISNUMBER(MATCH(SUBSTITUTE($C$69," (Pending)",""),'Dropdown list'!$AL:$AL,0)),ISNUMBER(MATCH(SUBSTITUTE($C$79," (Pending)",""),'Dropdown list'!$AL:$AL,0))),INDEX('Dropdown list'!$AH:$AH,MATCH(C216&amp;C217,'Dropdown list'!$AG:$AG,0),1),""),IF(C215="Spouse",IF(OR(ISNUMBER(MATCH(SUBSTITUTE($C$69," (Pending)",""),'Dropdown list'!$AM:$AM,0)),ISNUMBER(MATCH(SUBSTITUTE($C$79," (Pending)",""),'Dropdown list'!$AM:$AM,0))),"Spouse",""),IF(C215="Domestic Partner",IF(OR(ISNUMBER(MATCH(SUBSTITUTE($C$69," (Pending)",""),'Dropdown list'!$AN:$AN,0)),ISNUMBER(MATCH(SUBSTITUTE($C$79," (Pending)",""),'Dropdown list'!$AN:$AN,0))),"Domestic Partner",""),INDEX('Dropdown list'!$AK:$AK,MATCH(C215,'Dropdown list'!$AJ:$AJ,0),1)))))),""))</f>
        <v/>
      </c>
      <c r="J215" s="145"/>
      <c r="K215" s="145"/>
      <c r="L215" s="14" t="s">
        <v>1416</v>
      </c>
      <c r="M215" s="142" t="s">
        <v>1129</v>
      </c>
      <c r="N215" s="142" t="s">
        <v>1483</v>
      </c>
      <c r="O215" s="14" t="s">
        <v>1416</v>
      </c>
      <c r="P215" s="142" t="s">
        <v>1129</v>
      </c>
      <c r="Q215" s="142" t="s">
        <v>1594</v>
      </c>
      <c r="T215" s="14" t="s">
        <v>1595</v>
      </c>
    </row>
    <row r="216" spans="1:23" ht="0.2" customHeight="1" outlineLevel="3" x14ac:dyDescent="0.25">
      <c r="B216" s="192" t="s">
        <v>79</v>
      </c>
      <c r="C216" s="201" t="str">
        <f>IF(C91="","",IFERROR(IF(LEN(RIGHT(C91,LEN(C91)-FIND("^",SUBSTITUTE(C91,"|","^",4))))-LEN(SUBSTITUTE(RIGHT(C91,LEN(C91)-FIND("^",SUBSTITUTE(C91,"|","^",4))),"|",""))=0,RIGHT(C91,LEN(C91)-FIND("^",SUBSTITUTE(C91,"|","^",4))),LEFT(RIGHT(C91,LEN(C91)-FIND("^",SUBSTITUTE(C91,"|","^",4))),FIND("|",RIGHT(C91,LEN(C91)-FIND("^",SUBSTITUTE(C91,"|","^",4))))-1)),""))</f>
        <v/>
      </c>
      <c r="E216" s="14" t="s">
        <v>2191</v>
      </c>
      <c r="H216" s="1"/>
      <c r="I216" s="1"/>
      <c r="J216" s="1"/>
      <c r="K216" s="7"/>
      <c r="L216" s="7" t="s">
        <v>1416</v>
      </c>
      <c r="M216" s="7" t="s">
        <v>1129</v>
      </c>
      <c r="N216" s="7" t="s">
        <v>1483</v>
      </c>
      <c r="O216" s="7"/>
      <c r="P216" s="7"/>
      <c r="Q216" s="7"/>
      <c r="R216" s="7"/>
      <c r="S216" s="7"/>
      <c r="T216" s="7" t="s">
        <v>1597</v>
      </c>
      <c r="U216" s="7"/>
      <c r="V216" s="7"/>
      <c r="W216" s="7"/>
    </row>
    <row r="217" spans="1:23" ht="0.2" customHeight="1" outlineLevel="3" x14ac:dyDescent="0.25">
      <c r="B217" s="192" t="s">
        <v>409</v>
      </c>
      <c r="C217" s="201" t="str">
        <f>IF(C92="","",IFERROR(IF(LEN(RIGHT(C92,LEN(C92)-FIND("^",SUBSTITUTE(C92,"|","^",4))))-LEN(SUBSTITUTE(RIGHT(C92,LEN(C92)-FIND("^",SUBSTITUTE(C92,"|","^",4))),"|",""))=0,RIGHT(C92,LEN(C92)-FIND("^",SUBSTITUTE(C92,"|","^",4))),LEFT(RIGHT(C92,LEN(C92)-FIND("^",SUBSTITUTE(C92,"|","^",4))),FIND("|",RIGHT(C92,LEN(C92)-FIND("^",SUBSTITUTE(C92,"|","^",4))))-1)),""))</f>
        <v/>
      </c>
      <c r="E217" s="14"/>
      <c r="H217" s="1"/>
      <c r="I217" s="1"/>
      <c r="J217" s="1"/>
      <c r="K217" s="7"/>
      <c r="L217" s="7" t="s">
        <v>1416</v>
      </c>
      <c r="M217" s="7" t="s">
        <v>1129</v>
      </c>
      <c r="N217" s="7" t="s">
        <v>1483</v>
      </c>
      <c r="O217" s="7"/>
      <c r="P217" s="7"/>
      <c r="Q217" s="7"/>
      <c r="R217" s="7"/>
      <c r="S217" s="7"/>
      <c r="T217" s="7" t="s">
        <v>1280</v>
      </c>
      <c r="U217" s="7"/>
      <c r="V217" s="7"/>
      <c r="W217" s="7"/>
    </row>
    <row r="218" spans="1:23" ht="15" customHeight="1" outlineLevel="3" x14ac:dyDescent="0.25">
      <c r="B218" s="9" t="s">
        <v>2</v>
      </c>
      <c r="C218" s="197" t="str">
        <f>IF(C93="","",IFERROR(IF(LEN(RIGHT(C93,LEN(C93)-FIND("^",SUBSTITUTE(C93,"|","^",4))))-LEN(SUBSTITUTE(RIGHT(C93,LEN(C93)-FIND("^",SUBSTITUTE(C93,"|","^",4))),"|",""))=0,RIGHT(C93,LEN(C93)-FIND("^",SUBSTITUTE(C93,"|","^",4))),LEFT(RIGHT(C93,LEN(C93)-FIND("^",SUBSTITUTE(C93,"|","^",4))),FIND("|",RIGHT(C93,LEN(C93)-FIND("^",SUBSTITUTE(C93,"|","^",4))))-1)),""))</f>
        <v/>
      </c>
      <c r="E218" s="14" t="s">
        <v>553</v>
      </c>
      <c r="G218" s="239" t="s">
        <v>96</v>
      </c>
      <c r="H218" s="14" t="s">
        <v>29</v>
      </c>
      <c r="I218" s="125" t="str">
        <f>IF(I215="","",IF(C218="","#N/A, Input cannot be blank",IF(C218="M", "Male",IF(C218="F","Female","#N/A, Unidentified Gender"))))</f>
        <v/>
      </c>
      <c r="J218" s="145"/>
      <c r="K218" s="7"/>
      <c r="L218" s="7" t="s">
        <v>1416</v>
      </c>
      <c r="M218" s="7" t="s">
        <v>1129</v>
      </c>
      <c r="N218" s="7" t="s">
        <v>1483</v>
      </c>
      <c r="O218" s="7" t="s">
        <v>1416</v>
      </c>
      <c r="P218" s="7" t="s">
        <v>1129</v>
      </c>
      <c r="Q218" s="7" t="s">
        <v>1598</v>
      </c>
      <c r="R218" s="7"/>
      <c r="S218" s="7"/>
      <c r="T218" s="7" t="s">
        <v>1259</v>
      </c>
      <c r="U218" s="7"/>
      <c r="V218" s="7"/>
      <c r="W218" s="7"/>
    </row>
    <row r="219" spans="1:23" ht="15" customHeight="1" outlineLevel="3" x14ac:dyDescent="0.25">
      <c r="B219" s="192" t="str">
        <f>G219</f>
        <v>Other Dependent:</v>
      </c>
      <c r="C219" s="201"/>
      <c r="E219" s="14" t="s">
        <v>2189</v>
      </c>
      <c r="G219" s="239" t="s">
        <v>440</v>
      </c>
      <c r="H219" s="14" t="s">
        <v>29</v>
      </c>
      <c r="I219" s="189"/>
      <c r="J219" s="145"/>
      <c r="K219" s="7"/>
      <c r="L219" s="7" t="s">
        <v>1416</v>
      </c>
      <c r="M219" s="7" t="s">
        <v>1415</v>
      </c>
      <c r="N219" s="7" t="s">
        <v>565</v>
      </c>
      <c r="O219" s="7" t="s">
        <v>1416</v>
      </c>
      <c r="P219" s="7" t="s">
        <v>1415</v>
      </c>
      <c r="Q219" s="7" t="s">
        <v>565</v>
      </c>
      <c r="R219" s="7"/>
      <c r="S219" s="7"/>
      <c r="T219" s="7" t="s">
        <v>1279</v>
      </c>
      <c r="U219" s="7"/>
      <c r="V219" s="7"/>
      <c r="W219" s="7"/>
    </row>
    <row r="220" spans="1:23" ht="15" customHeight="1" outlineLevel="3" x14ac:dyDescent="0.25">
      <c r="B220" s="9" t="s">
        <v>8</v>
      </c>
      <c r="C220" s="197" t="str">
        <f>IF(C95="","",IFERROR(IF(LEN(RIGHT(C95,LEN(C95)-FIND("^",SUBSTITUTE(C95,"|","^",4))))-LEN(SUBSTITUTE(RIGHT(C95,LEN(C95)-FIND("^",SUBSTITUTE(C95,"|","^",4))),"|",""))=0,RIGHT(C95,LEN(C95)-FIND("^",SUBSTITUTE(C95,"|","^",4))),LEFT(RIGHT(C95,LEN(C95)-FIND("^",SUBSTITUTE(C95,"|","^",4))),FIND("|",RIGHT(C95,LEN(C95)-FIND("^",SUBSTITUTE(C95,"|","^",4))))-1)),""))</f>
        <v/>
      </c>
      <c r="G220" s="239" t="s">
        <v>125</v>
      </c>
      <c r="H220" s="14" t="s">
        <v>14</v>
      </c>
      <c r="I220" s="125" t="str">
        <f>IF(I215="","",IF(C220="","#N/A, Input cannot be blank",IFERROR(TEXT(EDATE(C220,0),"MM/DD/YYYY"),"#N/A, Please enter a date format")))</f>
        <v/>
      </c>
      <c r="J220" s="145"/>
      <c r="K220" s="7"/>
      <c r="L220" s="7" t="s">
        <v>1416</v>
      </c>
      <c r="M220" s="7" t="s">
        <v>1129</v>
      </c>
      <c r="N220" s="7" t="s">
        <v>1483</v>
      </c>
      <c r="O220" s="7" t="s">
        <v>1416</v>
      </c>
      <c r="P220" s="7" t="s">
        <v>1129</v>
      </c>
      <c r="Q220" s="7" t="s">
        <v>1508</v>
      </c>
      <c r="R220" s="7"/>
      <c r="S220" s="7"/>
      <c r="T220" s="7" t="s">
        <v>1258</v>
      </c>
      <c r="U220" s="7"/>
      <c r="V220" s="7"/>
      <c r="W220" s="7"/>
    </row>
    <row r="221" spans="1:23" ht="15" customHeight="1" outlineLevel="3" x14ac:dyDescent="0.25">
      <c r="B221" s="9" t="s">
        <v>3</v>
      </c>
      <c r="C221" s="197" t="str">
        <f>IF(C96="","",IFERROR(IF(LEN(RIGHT(C96,LEN(C96)-FIND("^",SUBSTITUTE(C96,"|","^",4))))-LEN(SUBSTITUTE(RIGHT(C96,LEN(C96)-FIND("^",SUBSTITUTE(C96,"|","^",4))),"|",""))=0,RIGHT(C96,LEN(C96)-FIND("^",SUBSTITUTE(C96,"|","^",4))),LEFT(RIGHT(C96,LEN(C96)-FIND("^",SUBSTITUTE(C96,"|","^",4))),FIND("|",RIGHT(C96,LEN(C96)-FIND("^",SUBSTITUTE(C96,"|","^",4))))-1)),""))</f>
        <v/>
      </c>
      <c r="E221" s="14" t="s">
        <v>547</v>
      </c>
      <c r="G221" s="239" t="s">
        <v>97</v>
      </c>
      <c r="H221" s="14" t="s">
        <v>14</v>
      </c>
      <c r="I221" s="125" t="str">
        <f>IF(C221=" ",C221,IF(OR(I215="",C221=""),"",IF(LEN(SUBSTITUTE(C221,"-",""))=9,SUBSTITUTE(C221,"-",""),"#N/A, SSN# must be 9 digits")))</f>
        <v/>
      </c>
      <c r="J221" s="145"/>
      <c r="K221" s="7"/>
      <c r="L221" s="7" t="s">
        <v>1416</v>
      </c>
      <c r="M221" s="7" t="s">
        <v>1129</v>
      </c>
      <c r="N221" s="7" t="s">
        <v>1483</v>
      </c>
      <c r="O221" s="7" t="s">
        <v>1416</v>
      </c>
      <c r="P221" s="7" t="s">
        <v>1129</v>
      </c>
      <c r="Q221" s="7" t="s">
        <v>1518</v>
      </c>
      <c r="R221" s="7"/>
      <c r="S221" s="7"/>
      <c r="T221" s="7" t="s">
        <v>1230</v>
      </c>
      <c r="U221" s="7"/>
      <c r="V221" s="7"/>
      <c r="W221" s="7"/>
    </row>
    <row r="222" spans="1:23" ht="15" customHeight="1" outlineLevel="3" x14ac:dyDescent="0.25">
      <c r="B222" s="192" t="str">
        <f t="shared" ref="B222:B227" si="7">G222</f>
        <v>Multiple Birth:</v>
      </c>
      <c r="C222" s="201"/>
      <c r="E222" s="14" t="s">
        <v>2189</v>
      </c>
      <c r="G222" s="239" t="s">
        <v>506</v>
      </c>
      <c r="H222" s="14" t="s">
        <v>559</v>
      </c>
      <c r="I222" s="237"/>
      <c r="J222" s="145"/>
      <c r="K222" s="7"/>
      <c r="L222" s="7" t="s">
        <v>1416</v>
      </c>
      <c r="M222" s="7" t="s">
        <v>1415</v>
      </c>
      <c r="N222" s="7" t="s">
        <v>565</v>
      </c>
      <c r="O222" s="7" t="s">
        <v>1416</v>
      </c>
      <c r="P222" s="7" t="s">
        <v>1415</v>
      </c>
      <c r="Q222" s="7" t="s">
        <v>565</v>
      </c>
      <c r="R222" s="7"/>
      <c r="S222" s="7"/>
      <c r="T222" s="7" t="s">
        <v>1264</v>
      </c>
      <c r="U222" s="7"/>
      <c r="V222" s="7"/>
      <c r="W222" s="7"/>
    </row>
    <row r="223" spans="1:23" ht="15" customHeight="1" outlineLevel="3" x14ac:dyDescent="0.25">
      <c r="B223" s="192" t="str">
        <f t="shared" si="7"/>
        <v>Native Language:</v>
      </c>
      <c r="C223" s="201"/>
      <c r="E223" s="14" t="s">
        <v>2175</v>
      </c>
      <c r="G223" s="239" t="s">
        <v>484</v>
      </c>
      <c r="H223" s="14" t="s">
        <v>29</v>
      </c>
      <c r="I223" s="237" t="str">
        <f>IF(I215="","","English")</f>
        <v/>
      </c>
      <c r="J223" s="145"/>
      <c r="K223" s="7"/>
      <c r="L223" s="7" t="s">
        <v>1416</v>
      </c>
      <c r="M223" s="7" t="s">
        <v>1415</v>
      </c>
      <c r="N223" s="7" t="s">
        <v>565</v>
      </c>
      <c r="O223" s="7" t="s">
        <v>1416</v>
      </c>
      <c r="P223" s="7" t="s">
        <v>1415</v>
      </c>
      <c r="Q223" s="7" t="s">
        <v>1430</v>
      </c>
      <c r="R223" s="7"/>
      <c r="S223" s="7"/>
      <c r="T223" s="7" t="s">
        <v>1263</v>
      </c>
      <c r="U223" s="7"/>
      <c r="V223" s="7"/>
      <c r="W223" s="7"/>
    </row>
    <row r="224" spans="1:23" ht="15" customHeight="1" outlineLevel="3" x14ac:dyDescent="0.25">
      <c r="B224" s="192" t="str">
        <f t="shared" si="7"/>
        <v>Preferred Written Language:</v>
      </c>
      <c r="C224" s="201"/>
      <c r="E224" s="14" t="s">
        <v>2175</v>
      </c>
      <c r="G224" s="239" t="s">
        <v>486</v>
      </c>
      <c r="H224" s="14" t="s">
        <v>29</v>
      </c>
      <c r="I224" s="237" t="str">
        <f>IF(I215="","","English")</f>
        <v/>
      </c>
      <c r="J224" s="145"/>
      <c r="K224" s="7"/>
      <c r="L224" s="7" t="s">
        <v>1416</v>
      </c>
      <c r="M224" s="7" t="s">
        <v>1415</v>
      </c>
      <c r="N224" s="7" t="s">
        <v>565</v>
      </c>
      <c r="O224" s="7" t="s">
        <v>1416</v>
      </c>
      <c r="P224" s="7" t="s">
        <v>1415</v>
      </c>
      <c r="Q224" s="7" t="s">
        <v>1430</v>
      </c>
      <c r="R224" s="7"/>
      <c r="S224" s="7"/>
      <c r="T224" s="7" t="s">
        <v>1265</v>
      </c>
      <c r="U224" s="7"/>
      <c r="V224" s="7"/>
      <c r="W224" s="7"/>
    </row>
    <row r="225" spans="1:23" ht="15" customHeight="1" outlineLevel="3" x14ac:dyDescent="0.25">
      <c r="B225" s="192" t="str">
        <f t="shared" si="7"/>
        <v>Preferred Spoken Language:</v>
      </c>
      <c r="C225" s="201"/>
      <c r="E225" s="14" t="s">
        <v>2175</v>
      </c>
      <c r="G225" s="239" t="s">
        <v>487</v>
      </c>
      <c r="H225" s="14" t="s">
        <v>29</v>
      </c>
      <c r="I225" s="237" t="str">
        <f>IF(I215="","","English")</f>
        <v/>
      </c>
      <c r="J225" s="145"/>
      <c r="K225" s="7"/>
      <c r="L225" s="7" t="s">
        <v>1416</v>
      </c>
      <c r="M225" s="7" t="s">
        <v>1415</v>
      </c>
      <c r="N225" s="7" t="s">
        <v>565</v>
      </c>
      <c r="O225" s="7" t="s">
        <v>1416</v>
      </c>
      <c r="P225" s="7" t="s">
        <v>1415</v>
      </c>
      <c r="Q225" s="7" t="s">
        <v>1430</v>
      </c>
      <c r="R225" s="7"/>
      <c r="S225" s="7"/>
      <c r="T225" s="7" t="s">
        <v>1266</v>
      </c>
      <c r="U225" s="7"/>
      <c r="V225" s="7"/>
      <c r="W225" s="7"/>
    </row>
    <row r="226" spans="1:23" ht="15" customHeight="1" outlineLevel="3" x14ac:dyDescent="0.25">
      <c r="B226" s="192" t="str">
        <f t="shared" si="7"/>
        <v>Ethnicity (select all that apply):</v>
      </c>
      <c r="C226" s="201"/>
      <c r="E226" s="14" t="s">
        <v>2173</v>
      </c>
      <c r="G226" s="220" t="s">
        <v>488</v>
      </c>
      <c r="H226" s="14" t="s">
        <v>558</v>
      </c>
      <c r="I226" s="237" t="str">
        <f>IF(I215="","","Unknown")</f>
        <v/>
      </c>
      <c r="J226" s="145"/>
      <c r="K226" s="7"/>
      <c r="L226" s="7" t="s">
        <v>1416</v>
      </c>
      <c r="M226" s="7" t="s">
        <v>1415</v>
      </c>
      <c r="N226" s="7" t="s">
        <v>565</v>
      </c>
      <c r="O226" s="7" t="s">
        <v>1416</v>
      </c>
      <c r="P226" s="7" t="s">
        <v>1415</v>
      </c>
      <c r="Q226" s="7" t="s">
        <v>1431</v>
      </c>
      <c r="R226" s="7"/>
      <c r="S226" s="7"/>
      <c r="T226" s="7" t="s">
        <v>1267</v>
      </c>
      <c r="U226" s="7"/>
      <c r="V226" s="7"/>
      <c r="W226" s="7"/>
    </row>
    <row r="227" spans="1:23" ht="15" customHeight="1" outlineLevel="3" x14ac:dyDescent="0.25">
      <c r="B227" s="192" t="str">
        <f t="shared" si="7"/>
        <v>Race (select all that apply):</v>
      </c>
      <c r="C227" s="201"/>
      <c r="E227" s="14" t="s">
        <v>2173</v>
      </c>
      <c r="G227" s="239" t="s">
        <v>492</v>
      </c>
      <c r="H227" s="14" t="s">
        <v>558</v>
      </c>
      <c r="I227" s="237" t="str">
        <f>IF(I215="","","Unknown")</f>
        <v/>
      </c>
      <c r="J227" s="145"/>
      <c r="K227" s="7"/>
      <c r="L227" s="7" t="s">
        <v>1416</v>
      </c>
      <c r="M227" s="7" t="s">
        <v>1415</v>
      </c>
      <c r="N227" s="7" t="s">
        <v>565</v>
      </c>
      <c r="O227" s="7" t="s">
        <v>1416</v>
      </c>
      <c r="P227" s="7" t="s">
        <v>1415</v>
      </c>
      <c r="Q227" s="7" t="s">
        <v>1431</v>
      </c>
      <c r="R227" s="7"/>
      <c r="S227" s="7"/>
      <c r="T227" s="7" t="s">
        <v>1271</v>
      </c>
      <c r="U227" s="7"/>
      <c r="V227" s="7"/>
      <c r="W227" s="7"/>
    </row>
    <row r="228" spans="1:23" ht="30" customHeight="1" outlineLevel="3" x14ac:dyDescent="0.25">
      <c r="B228" s="192" t="s">
        <v>412</v>
      </c>
      <c r="C228" s="201" t="str">
        <f>IF(C103="","",IFERROR(IF(LEN(RIGHT(C103,LEN(C103)-FIND("^",SUBSTITUTE(C103,"|","^",4))))-LEN(SUBSTITUTE(RIGHT(C103,LEN(C103)-FIND("^",SUBSTITUTE(C103,"|","^",4))),"|",""))=0,RIGHT(C103,LEN(C103)-FIND("^",SUBSTITUTE(C103,"|","^",4))),LEFT(RIGHT(C103,LEN(C103)-FIND("^",SUBSTITUTE(C103,"|","^",4))),FIND("|",RIGHT(C103,LEN(C103)-FIND("^",SUBSTITUTE(C103,"|","^",4))))-1)),""))</f>
        <v/>
      </c>
      <c r="E228" s="14" t="s">
        <v>2190</v>
      </c>
      <c r="G228" s="239" t="s">
        <v>537</v>
      </c>
      <c r="H228" s="14" t="s">
        <v>559</v>
      </c>
      <c r="I228" s="150" t="str">
        <f>IF(I215="","",IF(OR(C228="",C228="No"),"No","Yes"))</f>
        <v/>
      </c>
      <c r="J228" s="145" t="str">
        <f>IF(I228="Yes", "Medicare Eligible is Yes for EN request for Dependent#5, please change ‘Medicare information’ to 'Yes'  and select Eligible in Dep Medicare tab in BCBS if needed. ","")</f>
        <v/>
      </c>
      <c r="K228" s="7"/>
      <c r="L228" s="7" t="s">
        <v>1417</v>
      </c>
      <c r="M228" s="7" t="s">
        <v>1414</v>
      </c>
      <c r="N228" s="7" t="s">
        <v>1483</v>
      </c>
      <c r="O228" s="7" t="s">
        <v>1416</v>
      </c>
      <c r="P228" s="7" t="s">
        <v>1415</v>
      </c>
      <c r="Q228" s="7" t="s">
        <v>1432</v>
      </c>
      <c r="R228" s="7"/>
      <c r="S228" s="7"/>
      <c r="T228" s="7" t="s">
        <v>1272</v>
      </c>
      <c r="U228" s="7"/>
      <c r="V228" s="7"/>
      <c r="W228" s="7"/>
    </row>
    <row r="229" spans="1:23" ht="30" customHeight="1" outlineLevel="3" x14ac:dyDescent="0.25">
      <c r="B229" s="192" t="str">
        <f>G229</f>
        <v>Different address information than the employee?</v>
      </c>
      <c r="C229" s="201"/>
      <c r="E229" s="14" t="s">
        <v>2190</v>
      </c>
      <c r="G229" s="239" t="s">
        <v>508</v>
      </c>
      <c r="H229" s="14" t="s">
        <v>559</v>
      </c>
      <c r="I229" s="150" t="str">
        <f>IF(I215="","",IF(OR(C230="",TRIM(C230)&amp;TRIM(C231)&amp;TRIM(C232)&amp;TRIM(C233)&amp;TRIM(C234)=TRIM($C$48)&amp;TRIM($C$49)&amp;TRIM($C$50)&amp;TRIM($C$51)&amp;TRIM($C$52)),"No","Yes"))</f>
        <v/>
      </c>
      <c r="J229" s="145" t="str">
        <f>IF(I229="Yes", "Dependent have separate address for EN request for Dependen#5, please change ‘Different address information than the employee' to 'Yes' and update different address in Dep Address tab in BCBS if needed. ","")</f>
        <v/>
      </c>
      <c r="K229" s="145"/>
      <c r="L229" s="14" t="s">
        <v>1417</v>
      </c>
      <c r="M229" s="14" t="s">
        <v>1129</v>
      </c>
      <c r="N229" s="142" t="s">
        <v>1484</v>
      </c>
      <c r="O229" s="14" t="s">
        <v>1416</v>
      </c>
      <c r="P229" s="14" t="s">
        <v>1415</v>
      </c>
      <c r="Q229" s="142" t="s">
        <v>1432</v>
      </c>
      <c r="T229" s="14" t="s">
        <v>1273</v>
      </c>
    </row>
    <row r="230" spans="1:23" ht="0.2" customHeight="1" outlineLevel="3" x14ac:dyDescent="0.25">
      <c r="B230" s="192" t="s">
        <v>414</v>
      </c>
      <c r="C230" s="201" t="str">
        <f>IF(C105="","",IFERROR(IF(LEN(RIGHT(C105,LEN(C105)-FIND("^",SUBSTITUTE(C105,"|","^",4))))-LEN(SUBSTITUTE(RIGHT(C105,LEN(C105)-FIND("^",SUBSTITUTE(C105,"|","^",4))),"|",""))=0,RIGHT(C105,LEN(C105)-FIND("^",SUBSTITUTE(C105,"|","^",4))),LEFT(RIGHT(C105,LEN(C105)-FIND("^",SUBSTITUTE(C105,"|","^",4))),FIND("|",RIGHT(C105,LEN(C105)-FIND("^",SUBSTITUTE(C105,"|","^",4))))-1)),""))</f>
        <v/>
      </c>
      <c r="E230" s="18"/>
      <c r="G230" s="18"/>
      <c r="H230" s="18"/>
      <c r="I230" s="145"/>
      <c r="J230" s="145"/>
      <c r="K230" s="7"/>
      <c r="L230" s="7" t="s">
        <v>1417</v>
      </c>
      <c r="M230" s="7" t="s">
        <v>1414</v>
      </c>
      <c r="N230" s="7" t="s">
        <v>1483</v>
      </c>
      <c r="O230" s="7"/>
      <c r="P230" s="7"/>
      <c r="Q230" s="7"/>
      <c r="R230" s="7"/>
      <c r="S230" s="7"/>
      <c r="T230" s="7" t="s">
        <v>1274</v>
      </c>
      <c r="U230" s="7"/>
      <c r="V230" s="7"/>
      <c r="W230" s="7"/>
    </row>
    <row r="231" spans="1:23" ht="0.2" customHeight="1" outlineLevel="3" x14ac:dyDescent="0.25">
      <c r="B231" s="192" t="s">
        <v>416</v>
      </c>
      <c r="C231" s="201" t="str">
        <f>IF(C106="","",IFERROR(IF(LEN(RIGHT(C106,LEN(C106)-FIND("^",SUBSTITUTE(C106,"|","^",4))))-LEN(SUBSTITUTE(RIGHT(C106,LEN(C106)-FIND("^",SUBSTITUTE(C106,"|","^",4))),"|",""))=0,RIGHT(C106,LEN(C106)-FIND("^",SUBSTITUTE(C106,"|","^",4))),LEFT(RIGHT(C106,LEN(C106)-FIND("^",SUBSTITUTE(C106,"|","^",4))),FIND("|",RIGHT(C106,LEN(C106)-FIND("^",SUBSTITUTE(C106,"|","^",4))))-1)),""))</f>
        <v/>
      </c>
      <c r="E231" s="18"/>
      <c r="G231" s="18"/>
      <c r="H231" s="18"/>
      <c r="I231" s="145"/>
      <c r="J231" s="145"/>
      <c r="K231" s="7"/>
      <c r="L231" s="7" t="s">
        <v>1417</v>
      </c>
      <c r="M231" s="7" t="s">
        <v>1414</v>
      </c>
      <c r="N231" s="7" t="s">
        <v>1483</v>
      </c>
      <c r="O231" s="7"/>
      <c r="P231" s="7"/>
      <c r="Q231" s="7"/>
      <c r="R231" s="7"/>
      <c r="S231" s="7"/>
      <c r="T231" s="7" t="s">
        <v>1275</v>
      </c>
      <c r="U231" s="7"/>
      <c r="V231" s="7"/>
      <c r="W231" s="7"/>
    </row>
    <row r="232" spans="1:23" ht="0.2" customHeight="1" outlineLevel="3" x14ac:dyDescent="0.25">
      <c r="B232" s="192" t="s">
        <v>6</v>
      </c>
      <c r="C232" s="201" t="str">
        <f>IF(C107="","",IFERROR(IF(LEN(RIGHT(C107,LEN(C107)-FIND("^",SUBSTITUTE(C107,"|","^",4))))-LEN(SUBSTITUTE(RIGHT(C107,LEN(C107)-FIND("^",SUBSTITUTE(C107,"|","^",4))),"|",""))=0,RIGHT(C107,LEN(C107)-FIND("^",SUBSTITUTE(C107,"|","^",4))),LEFT(RIGHT(C107,LEN(C107)-FIND("^",SUBSTITUTE(C107,"|","^",4))),FIND("|",RIGHT(C107,LEN(C107)-FIND("^",SUBSTITUTE(C107,"|","^",4))))-1)),""))</f>
        <v/>
      </c>
      <c r="E232" s="18"/>
      <c r="G232" s="18"/>
      <c r="H232" s="18"/>
      <c r="I232" s="145"/>
      <c r="J232" s="145"/>
      <c r="K232" s="7"/>
      <c r="L232" s="7" t="s">
        <v>1417</v>
      </c>
      <c r="M232" s="7" t="s">
        <v>1414</v>
      </c>
      <c r="N232" s="7" t="s">
        <v>1483</v>
      </c>
      <c r="O232" s="7"/>
      <c r="P232" s="7"/>
      <c r="Q232" s="7"/>
      <c r="R232" s="7"/>
      <c r="S232" s="7"/>
      <c r="T232" s="7" t="s">
        <v>1276</v>
      </c>
      <c r="U232" s="7"/>
      <c r="V232" s="7"/>
      <c r="W232" s="7"/>
    </row>
    <row r="233" spans="1:23" ht="0.2" customHeight="1" outlineLevel="3" x14ac:dyDescent="0.25">
      <c r="B233" s="192" t="s">
        <v>7</v>
      </c>
      <c r="C233" s="201" t="str">
        <f>IF(C108="","",IFERROR(IF(LEN(RIGHT(C108,LEN(C108)-FIND("^",SUBSTITUTE(C108,"|","^",4))))-LEN(SUBSTITUTE(RIGHT(C108,LEN(C108)-FIND("^",SUBSTITUTE(C108,"|","^",4))),"|",""))=0,RIGHT(C108,LEN(C108)-FIND("^",SUBSTITUTE(C108,"|","^",4))),LEFT(RIGHT(C108,LEN(C108)-FIND("^",SUBSTITUTE(C108,"|","^",4))),FIND("|",RIGHT(C108,LEN(C108)-FIND("^",SUBSTITUTE(C108,"|","^",4))))-1)),""))</f>
        <v/>
      </c>
      <c r="E233" s="18"/>
      <c r="G233" s="18"/>
      <c r="H233" s="18"/>
      <c r="I233" s="145"/>
      <c r="J233" s="145"/>
      <c r="K233" s="7"/>
      <c r="L233" s="7" t="s">
        <v>1417</v>
      </c>
      <c r="M233" s="7" t="s">
        <v>1414</v>
      </c>
      <c r="N233" s="7" t="s">
        <v>1483</v>
      </c>
      <c r="O233" s="7"/>
      <c r="P233" s="7"/>
      <c r="Q233" s="7"/>
      <c r="R233" s="7"/>
      <c r="S233" s="7"/>
      <c r="T233" s="7" t="s">
        <v>1277</v>
      </c>
      <c r="U233" s="7"/>
      <c r="V233" s="7"/>
      <c r="W233" s="7"/>
    </row>
    <row r="234" spans="1:23" ht="0.2" customHeight="1" outlineLevel="3" x14ac:dyDescent="0.25">
      <c r="B234" s="192" t="s">
        <v>19</v>
      </c>
      <c r="C234" s="201" t="str">
        <f>IF(C109="","",IFERROR(IF(LEN(RIGHT(C109,LEN(C109)-FIND("^",SUBSTITUTE(C109,"|","^",4))))-LEN(SUBSTITUTE(RIGHT(C109,LEN(C109)-FIND("^",SUBSTITUTE(C109,"|","^",4))),"|",""))=0,RIGHT(C109,LEN(C109)-FIND("^",SUBSTITUTE(C109,"|","^",4))),LEFT(RIGHT(C109,LEN(C109)-FIND("^",SUBSTITUTE(C109,"|","^",4))),FIND("|",RIGHT(C109,LEN(C109)-FIND("^",SUBSTITUTE(C109,"|","^",4))))-1)),""))</f>
        <v/>
      </c>
      <c r="E234" s="18"/>
      <c r="G234" s="18"/>
      <c r="H234" s="18"/>
      <c r="I234" s="145"/>
      <c r="J234" s="145"/>
      <c r="K234" s="7"/>
      <c r="L234" s="7" t="s">
        <v>1417</v>
      </c>
      <c r="M234" s="7" t="s">
        <v>1414</v>
      </c>
      <c r="N234" s="7" t="s">
        <v>1483</v>
      </c>
      <c r="O234" s="7"/>
      <c r="P234" s="7"/>
      <c r="Q234" s="7"/>
      <c r="R234" s="7"/>
      <c r="S234" s="7"/>
      <c r="T234" s="7" t="s">
        <v>1278</v>
      </c>
      <c r="U234" s="7"/>
      <c r="V234" s="7"/>
      <c r="W234" s="7"/>
    </row>
    <row r="235" spans="1:23" ht="15" customHeight="1" outlineLevel="2" x14ac:dyDescent="0.25">
      <c r="A235" s="251" t="s">
        <v>2231</v>
      </c>
      <c r="B235" s="251"/>
      <c r="C235" s="252"/>
      <c r="E235" s="155"/>
      <c r="G235" s="253"/>
      <c r="H235" s="254"/>
      <c r="I235" s="255"/>
      <c r="J235" s="154"/>
      <c r="K235" s="7"/>
      <c r="L235" s="7"/>
      <c r="M235" s="7"/>
      <c r="N235" s="7"/>
      <c r="O235" s="7"/>
      <c r="P235" s="7"/>
      <c r="Q235" s="7"/>
      <c r="R235" s="7"/>
      <c r="S235" s="7"/>
      <c r="T235" s="7"/>
      <c r="U235" s="7"/>
      <c r="V235" s="7"/>
      <c r="W235" s="7"/>
    </row>
    <row r="236" spans="1:23" ht="15" customHeight="1" outlineLevel="3" x14ac:dyDescent="0.25">
      <c r="B236" s="9" t="s">
        <v>88</v>
      </c>
      <c r="C236" s="197" t="str">
        <f>IF(C86="","",IFERROR(IF(LEN(RIGHT(C86,LEN(C86)-FIND("^",SUBSTITUTE(C86,"|","^",5))))-LEN(SUBSTITUTE(RIGHT(C86,LEN(C86)-FIND("^",SUBSTITUTE(C86,"|","^",5))),"|",""))=0,RIGHT(C86,LEN(C86)-FIND("^",SUBSTITUTE(C86,"|","^",5))),LEFT(RIGHT(C86,LEN(C86)-FIND("^",SUBSTITUTE(C86,"|","^",5))),FIND("|",RIGHT(C86,LEN(C86)-FIND("^",SUBSTITUTE(C86,"|","^",5))))-1)),""))</f>
        <v/>
      </c>
      <c r="E236" s="2" t="s">
        <v>2171</v>
      </c>
      <c r="G236" s="239" t="s">
        <v>95</v>
      </c>
      <c r="H236" s="14" t="s">
        <v>14</v>
      </c>
      <c r="I236" s="125" t="str">
        <f>IF(I240="","",IF(C236="","#N/A, Input cannot be blank",UPPER(LEFT(C236,20))))</f>
        <v/>
      </c>
      <c r="J236" s="14" t="str">
        <f>IF(LEN(C236)&gt;20,TEXT("Requested dependent#6 last name as:","xxx")&amp;" "&amp; TEXT(C236,"xxxxxxx")&amp;","&amp;" "&amp;TEXT("input into BCBS as:","xxxx")&amp;" "&amp; TEXT(I236,"xxxxxxx")&amp;". ","")</f>
        <v/>
      </c>
      <c r="K236" s="7"/>
      <c r="L236" s="7" t="s">
        <v>1416</v>
      </c>
      <c r="M236" s="7" t="s">
        <v>1129</v>
      </c>
      <c r="N236" s="7" t="s">
        <v>1483</v>
      </c>
      <c r="O236" s="7" t="s">
        <v>1416</v>
      </c>
      <c r="P236" s="7" t="s">
        <v>1129</v>
      </c>
      <c r="Q236" s="7" t="s">
        <v>1593</v>
      </c>
      <c r="R236" s="7"/>
      <c r="S236" s="7"/>
      <c r="T236" s="7" t="s">
        <v>1262</v>
      </c>
      <c r="U236" s="7"/>
      <c r="V236" s="7"/>
      <c r="W236" s="7"/>
    </row>
    <row r="237" spans="1:23" ht="15" customHeight="1" outlineLevel="3" x14ac:dyDescent="0.25">
      <c r="B237" s="192" t="s">
        <v>155</v>
      </c>
      <c r="C237" s="201" t="str">
        <f>IF(C87="","",IFERROR(IF(LEN(RIGHT(C87,LEN(C87)-FIND("^",SUBSTITUTE(C87,"|","^",5))))-LEN(SUBSTITUTE(RIGHT(C87,LEN(C87)-FIND("^",SUBSTITUTE(C87,"|","^",5))),"|",""))=0,RIGHT(C87,LEN(C87)-FIND("^",SUBSTITUTE(C87,"|","^",5))),LEFT(RIGHT(C87,LEN(C87)-FIND("^",SUBSTITUTE(C87,"|","^",5))),FIND("|",RIGHT(C87,LEN(C87)-FIND("^",SUBSTITUTE(C87,"|","^",5))))-1)),""))</f>
        <v/>
      </c>
      <c r="E237" s="14" t="s">
        <v>2172</v>
      </c>
      <c r="G237" s="239" t="s">
        <v>155</v>
      </c>
      <c r="H237" s="14" t="s">
        <v>14</v>
      </c>
      <c r="I237" s="189"/>
      <c r="J237" s="145"/>
      <c r="K237" s="7"/>
      <c r="L237" s="7" t="s">
        <v>1416</v>
      </c>
      <c r="M237" s="7" t="s">
        <v>1129</v>
      </c>
      <c r="N237" s="7" t="s">
        <v>1483</v>
      </c>
      <c r="O237" s="7" t="s">
        <v>1416</v>
      </c>
      <c r="P237" s="7" t="s">
        <v>1415</v>
      </c>
      <c r="Q237" s="7" t="s">
        <v>565</v>
      </c>
      <c r="R237" s="7"/>
      <c r="S237" s="7"/>
      <c r="T237" s="7" t="s">
        <v>1261</v>
      </c>
      <c r="U237" s="7"/>
      <c r="V237" s="7"/>
      <c r="W237" s="7"/>
    </row>
    <row r="238" spans="1:23" ht="15" customHeight="1" outlineLevel="3" x14ac:dyDescent="0.25">
      <c r="B238" s="9" t="s">
        <v>87</v>
      </c>
      <c r="C238" s="197" t="str">
        <f>IF(C88="","",IFERROR(IF(LEN(RIGHT(C88,LEN(C88)-FIND("^",SUBSTITUTE(C88,"|","^",5))))-LEN(SUBSTITUTE(RIGHT(C88,LEN(C88)-FIND("^",SUBSTITUTE(C88,"|","^",5))),"|",""))=0,RIGHT(C88,LEN(C88)-FIND("^",SUBSTITUTE(C88,"|","^",5))),LEFT(RIGHT(C88,LEN(C88)-FIND("^",SUBSTITUTE(C88,"|","^",5))),FIND("|",RIGHT(C88,LEN(C88)-FIND("^",SUBSTITUTE(C88,"|","^",5))))-1)),""))</f>
        <v/>
      </c>
      <c r="E238" s="2" t="s">
        <v>2170</v>
      </c>
      <c r="G238" s="239" t="s">
        <v>93</v>
      </c>
      <c r="H238" s="14" t="s">
        <v>14</v>
      </c>
      <c r="I238" s="125" t="str">
        <f>IF(I240="","",IF(C238="","#N/A, Input cannot be blank",UPPER(LEFT(C238,20))))</f>
        <v/>
      </c>
      <c r="J238" s="125" t="str">
        <f>IF(LEN(C238)&gt;20,TEXT("Requested dependent#6 first name as:","xxx")&amp;" "&amp; TEXT(C238,"xxxxxxx")&amp;","&amp;" "&amp; TEXT("input into BCBS as:","xxxx")&amp;" "&amp; TEXT(I238,"xxxxxxx")&amp;". ","")</f>
        <v/>
      </c>
      <c r="K238" s="7"/>
      <c r="L238" s="7" t="s">
        <v>1416</v>
      </c>
      <c r="M238" s="7" t="s">
        <v>1129</v>
      </c>
      <c r="N238" s="7" t="s">
        <v>1483</v>
      </c>
      <c r="O238" s="7" t="s">
        <v>1416</v>
      </c>
      <c r="P238" s="7" t="s">
        <v>1129</v>
      </c>
      <c r="Q238" s="7" t="s">
        <v>1593</v>
      </c>
      <c r="R238" s="7"/>
      <c r="S238" s="7"/>
      <c r="T238" s="7" t="s">
        <v>1260</v>
      </c>
      <c r="U238" s="7"/>
      <c r="V238" s="7"/>
      <c r="W238" s="7"/>
    </row>
    <row r="239" spans="1:23" ht="15" customHeight="1" outlineLevel="3" x14ac:dyDescent="0.25">
      <c r="B239" s="9" t="s">
        <v>552</v>
      </c>
      <c r="C239" s="197" t="str">
        <f>IF(C89="","",IFERROR(LEFT(RIGHT(C89,LEN(C89)-FIND("^",SUBSTITUTE(C89,"|","^",5))),1),""))</f>
        <v/>
      </c>
      <c r="E239" s="14" t="s">
        <v>547</v>
      </c>
      <c r="G239" s="239" t="s">
        <v>94</v>
      </c>
      <c r="H239" s="14" t="s">
        <v>14</v>
      </c>
      <c r="I239" s="125" t="str">
        <f>IF(OR(I240="",C239=""),"",UPPER(LEFT(C239,1)))</f>
        <v/>
      </c>
      <c r="J239" s="145"/>
      <c r="K239" s="7"/>
      <c r="L239" s="7" t="s">
        <v>1416</v>
      </c>
      <c r="M239" s="7" t="s">
        <v>1129</v>
      </c>
      <c r="N239" s="7" t="s">
        <v>1483</v>
      </c>
      <c r="O239" s="7" t="s">
        <v>1416</v>
      </c>
      <c r="P239" s="7" t="s">
        <v>1129</v>
      </c>
      <c r="Q239" s="7" t="s">
        <v>1593</v>
      </c>
      <c r="R239" s="7"/>
      <c r="S239" s="7"/>
      <c r="T239" s="7" t="s">
        <v>1596</v>
      </c>
      <c r="U239" s="7"/>
      <c r="V239" s="7"/>
      <c r="W239" s="7"/>
    </row>
    <row r="240" spans="1:23" ht="30" customHeight="1" outlineLevel="3" x14ac:dyDescent="0.25">
      <c r="B240" s="9" t="s">
        <v>26</v>
      </c>
      <c r="C240" s="200" t="str">
        <f>IF(C90="","",IFERROR(IF(LEN(RIGHT(C90,LEN(C90)-FIND("^",SUBSTITUTE(C90,"|","^",5))))-LEN(SUBSTITUTE(RIGHT(C90,LEN(C90)-FIND("^",SUBSTITUTE(C90,"|","^",5))),"|",""))=0,RIGHT(C90,LEN(C90)-FIND("^",SUBSTITUTE(C90,"|","^",5))),LEFT(RIGHT(C90,LEN(C90)-FIND("^",SUBSTITUTE(C90,"|","^",5))),FIND("|",RIGHT(C90,LEN(C90)-FIND("^",SUBSTITUTE(C90,"|","^",5))))-1)),""))</f>
        <v/>
      </c>
      <c r="E240" s="14" t="s">
        <v>2200</v>
      </c>
      <c r="G240" s="239" t="s">
        <v>123</v>
      </c>
      <c r="H240" s="14" t="s">
        <v>29</v>
      </c>
      <c r="I240" s="125" t="str">
        <f>IF(C236="","",IF(OR($I$69="Y",$I$79="Y"),IF(C240="","#N/A, Input cannot be blank",IF($C$44="",INDEX('Dropdown list'!$AD:$AD,MATCH(C240,'Dropdown list'!$AC:$AC,0),1),IF(C240="Child",IF(OR(ISNUMBER(MATCH(SUBSTITUTE($C$69," (Pending)",""),'Dropdown list'!$AL:$AL,0)),ISNUMBER(MATCH(SUBSTITUTE($C$79," (Pending)",""),'Dropdown list'!$AL:$AL,0))),INDEX('Dropdown list'!$AH:$AH,MATCH(C241&amp;C242,'Dropdown list'!$AG:$AG,0),1),""),IF(C240="Spouse",IF(OR(ISNUMBER(MATCH(SUBSTITUTE($C$69," (Pending)",""),'Dropdown list'!$AM:$AM,0)),ISNUMBER(MATCH(SUBSTITUTE($C$79," (Pending)",""),'Dropdown list'!$AM:$AM,0))),"Spouse",""),IF(C240="Domestic Partner",IF(OR(ISNUMBER(MATCH(SUBSTITUTE($C$69," (Pending)",""),'Dropdown list'!$AN:$AN,0)),ISNUMBER(MATCH(SUBSTITUTE($C$79," (Pending)",""),'Dropdown list'!$AN:$AN,0))),"Domestic Partner",""),INDEX('Dropdown list'!$AK:$AK,MATCH(C240,'Dropdown list'!$AJ:$AJ,0),1)))))),""))</f>
        <v/>
      </c>
      <c r="J240" s="145"/>
      <c r="K240" s="145"/>
      <c r="L240" s="14" t="s">
        <v>1416</v>
      </c>
      <c r="M240" s="142" t="s">
        <v>1129</v>
      </c>
      <c r="N240" s="142" t="s">
        <v>1483</v>
      </c>
      <c r="O240" s="14" t="s">
        <v>1416</v>
      </c>
      <c r="P240" s="142" t="s">
        <v>1129</v>
      </c>
      <c r="Q240" s="142" t="s">
        <v>1594</v>
      </c>
      <c r="T240" s="14" t="s">
        <v>1595</v>
      </c>
    </row>
    <row r="241" spans="2:23" ht="0.2" customHeight="1" outlineLevel="3" x14ac:dyDescent="0.25">
      <c r="B241" s="192" t="s">
        <v>79</v>
      </c>
      <c r="C241" s="201" t="str">
        <f>IF(C91="","",IFERROR(IF(LEN(RIGHT(C91,LEN(C91)-FIND("^",SUBSTITUTE(C91,"|","^",5))))-LEN(SUBSTITUTE(RIGHT(C91,LEN(C91)-FIND("^",SUBSTITUTE(C91,"|","^",5))),"|",""))=0,RIGHT(C91,LEN(C91)-FIND("^",SUBSTITUTE(C91,"|","^",5))),LEFT(RIGHT(C91,LEN(C91)-FIND("^",SUBSTITUTE(C91,"|","^",5))),FIND("|",RIGHT(C91,LEN(C91)-FIND("^",SUBSTITUTE(C91,"|","^",5))))-1)),""))</f>
        <v/>
      </c>
      <c r="E241" s="14" t="s">
        <v>2191</v>
      </c>
      <c r="H241" s="1"/>
      <c r="I241" s="1"/>
      <c r="J241" s="1"/>
      <c r="K241" s="7"/>
      <c r="L241" s="7" t="s">
        <v>1416</v>
      </c>
      <c r="M241" s="7" t="s">
        <v>1129</v>
      </c>
      <c r="N241" s="7" t="s">
        <v>1483</v>
      </c>
      <c r="O241" s="7"/>
      <c r="P241" s="7"/>
      <c r="Q241" s="7"/>
      <c r="R241" s="7"/>
      <c r="S241" s="7"/>
      <c r="T241" s="7" t="s">
        <v>1597</v>
      </c>
      <c r="U241" s="7"/>
      <c r="V241" s="7"/>
      <c r="W241" s="7"/>
    </row>
    <row r="242" spans="2:23" ht="0.2" customHeight="1" outlineLevel="3" x14ac:dyDescent="0.25">
      <c r="B242" s="192" t="s">
        <v>409</v>
      </c>
      <c r="C242" s="201" t="str">
        <f>IF(C92="","",IFERROR(IF(LEN(RIGHT(C92,LEN(C92)-FIND("^",SUBSTITUTE(C92,"|","^",5))))-LEN(SUBSTITUTE(RIGHT(C92,LEN(C92)-FIND("^",SUBSTITUTE(C92,"|","^",5))),"|",""))=0,RIGHT(C92,LEN(C92)-FIND("^",SUBSTITUTE(C92,"|","^",5))),LEFT(RIGHT(C92,LEN(C92)-FIND("^",SUBSTITUTE(C92,"|","^",5))),FIND("|",RIGHT(C92,LEN(C92)-FIND("^",SUBSTITUTE(C92,"|","^",5))))-1)),""))</f>
        <v/>
      </c>
      <c r="E242" s="14"/>
      <c r="H242" s="1"/>
      <c r="I242" s="1"/>
      <c r="J242" s="1"/>
      <c r="K242" s="7"/>
      <c r="L242" s="7" t="s">
        <v>1416</v>
      </c>
      <c r="M242" s="7" t="s">
        <v>1129</v>
      </c>
      <c r="N242" s="7" t="s">
        <v>1483</v>
      </c>
      <c r="O242" s="7"/>
      <c r="P242" s="7"/>
      <c r="Q242" s="7"/>
      <c r="R242" s="7"/>
      <c r="S242" s="7"/>
      <c r="T242" s="7" t="s">
        <v>1280</v>
      </c>
      <c r="U242" s="7"/>
      <c r="V242" s="7"/>
      <c r="W242" s="7"/>
    </row>
    <row r="243" spans="2:23" ht="15" customHeight="1" outlineLevel="3" x14ac:dyDescent="0.25">
      <c r="B243" s="9" t="s">
        <v>2</v>
      </c>
      <c r="C243" s="197" t="str">
        <f>IF(C93="","",IFERROR(IF(LEN(RIGHT(C93,LEN(C93)-FIND("^",SUBSTITUTE(C93,"|","^",5))))-LEN(SUBSTITUTE(RIGHT(C93,LEN(C93)-FIND("^",SUBSTITUTE(C93,"|","^",5))),"|",""))=0,RIGHT(C93,LEN(C93)-FIND("^",SUBSTITUTE(C93,"|","^",5))),LEFT(RIGHT(C93,LEN(C93)-FIND("^",SUBSTITUTE(C93,"|","^",5))),FIND("|",RIGHT(C93,LEN(C93)-FIND("^",SUBSTITUTE(C93,"|","^",5))))-1)),""))</f>
        <v/>
      </c>
      <c r="E243" s="14" t="s">
        <v>553</v>
      </c>
      <c r="G243" s="239" t="s">
        <v>96</v>
      </c>
      <c r="H243" s="14" t="s">
        <v>29</v>
      </c>
      <c r="I243" s="125" t="str">
        <f>IF(I240="","",IF(C243="","#N/A, Input cannot be blank",IF(C243="M", "Male",IF(C243="F","Female","#N/A, Unidentified Gender"))))</f>
        <v/>
      </c>
      <c r="J243" s="145"/>
      <c r="K243" s="7"/>
      <c r="L243" s="7" t="s">
        <v>1416</v>
      </c>
      <c r="M243" s="7" t="s">
        <v>1129</v>
      </c>
      <c r="N243" s="7" t="s">
        <v>1483</v>
      </c>
      <c r="O243" s="7" t="s">
        <v>1416</v>
      </c>
      <c r="P243" s="7" t="s">
        <v>1129</v>
      </c>
      <c r="Q243" s="7" t="s">
        <v>1598</v>
      </c>
      <c r="R243" s="7"/>
      <c r="S243" s="7"/>
      <c r="T243" s="7" t="s">
        <v>1259</v>
      </c>
      <c r="U243" s="7"/>
      <c r="V243" s="7"/>
      <c r="W243" s="7"/>
    </row>
    <row r="244" spans="2:23" ht="15" customHeight="1" outlineLevel="3" x14ac:dyDescent="0.25">
      <c r="B244" s="192" t="str">
        <f>G244</f>
        <v>Other Dependent:</v>
      </c>
      <c r="C244" s="201"/>
      <c r="E244" s="14" t="s">
        <v>2189</v>
      </c>
      <c r="G244" s="239" t="s">
        <v>440</v>
      </c>
      <c r="H244" s="14" t="s">
        <v>29</v>
      </c>
      <c r="I244" s="189"/>
      <c r="J244" s="145"/>
      <c r="K244" s="7"/>
      <c r="L244" s="7" t="s">
        <v>1416</v>
      </c>
      <c r="M244" s="7" t="s">
        <v>1415</v>
      </c>
      <c r="N244" s="7" t="s">
        <v>565</v>
      </c>
      <c r="O244" s="7" t="s">
        <v>1416</v>
      </c>
      <c r="P244" s="7" t="s">
        <v>1415</v>
      </c>
      <c r="Q244" s="7" t="s">
        <v>565</v>
      </c>
      <c r="R244" s="7"/>
      <c r="S244" s="7"/>
      <c r="T244" s="7" t="s">
        <v>1279</v>
      </c>
      <c r="U244" s="7"/>
      <c r="V244" s="7"/>
      <c r="W244" s="7"/>
    </row>
    <row r="245" spans="2:23" ht="15" customHeight="1" outlineLevel="3" x14ac:dyDescent="0.25">
      <c r="B245" s="9" t="s">
        <v>8</v>
      </c>
      <c r="C245" s="197" t="str">
        <f>IF(C95="","",IFERROR(IF(LEN(RIGHT(C95,LEN(C95)-FIND("^",SUBSTITUTE(C95,"|","^",5))))-LEN(SUBSTITUTE(RIGHT(C95,LEN(C95)-FIND("^",SUBSTITUTE(C95,"|","^",5))),"|",""))=0,RIGHT(C95,LEN(C95)-FIND("^",SUBSTITUTE(C95,"|","^",5))),LEFT(RIGHT(C95,LEN(C95)-FIND("^",SUBSTITUTE(C95,"|","^",5))),FIND("|",RIGHT(C95,LEN(C95)-FIND("^",SUBSTITUTE(C95,"|","^",5))))-1)),""))</f>
        <v/>
      </c>
      <c r="G245" s="239" t="s">
        <v>125</v>
      </c>
      <c r="H245" s="14" t="s">
        <v>14</v>
      </c>
      <c r="I245" s="125" t="str">
        <f>IF(I240="","",IF(C245="","#N/A, Input cannot be blank",IFERROR(TEXT(EDATE(C245,0),"MM/DD/YYYY"),"#N/A, Please enter a date format")))</f>
        <v/>
      </c>
      <c r="J245" s="145"/>
      <c r="K245" s="7"/>
      <c r="L245" s="7" t="s">
        <v>1416</v>
      </c>
      <c r="M245" s="7" t="s">
        <v>1129</v>
      </c>
      <c r="N245" s="7" t="s">
        <v>1483</v>
      </c>
      <c r="O245" s="7" t="s">
        <v>1416</v>
      </c>
      <c r="P245" s="7" t="s">
        <v>1129</v>
      </c>
      <c r="Q245" s="7" t="s">
        <v>1508</v>
      </c>
      <c r="R245" s="7"/>
      <c r="S245" s="7"/>
      <c r="T245" s="7" t="s">
        <v>1258</v>
      </c>
      <c r="U245" s="7"/>
      <c r="V245" s="7"/>
      <c r="W245" s="7"/>
    </row>
    <row r="246" spans="2:23" ht="15" customHeight="1" outlineLevel="3" x14ac:dyDescent="0.25">
      <c r="B246" s="9" t="s">
        <v>3</v>
      </c>
      <c r="C246" s="197" t="str">
        <f>IF(C96="","",IFERROR(IF(LEN(RIGHT(C96,LEN(C96)-FIND("^",SUBSTITUTE(C96,"|","^",5))))-LEN(SUBSTITUTE(RIGHT(C96,LEN(C96)-FIND("^",SUBSTITUTE(C96,"|","^",5))),"|",""))=0,RIGHT(C96,LEN(C96)-FIND("^",SUBSTITUTE(C96,"|","^",5))),LEFT(RIGHT(C96,LEN(C96)-FIND("^",SUBSTITUTE(C96,"|","^",5))),FIND("|",RIGHT(C96,LEN(C96)-FIND("^",SUBSTITUTE(C96,"|","^",5))))-1)),""))</f>
        <v/>
      </c>
      <c r="E246" s="14" t="s">
        <v>547</v>
      </c>
      <c r="G246" s="239" t="s">
        <v>97</v>
      </c>
      <c r="H246" s="14" t="s">
        <v>14</v>
      </c>
      <c r="I246" s="125" t="str">
        <f>IF(C246=" ",C246,IF(OR(I240="",C246=""),"",IF(LEN(SUBSTITUTE(C246,"-",""))=9,SUBSTITUTE(C246,"-",""),"#N/A, SSN# must be 9 digits")))</f>
        <v/>
      </c>
      <c r="J246" s="145"/>
      <c r="K246" s="7"/>
      <c r="L246" s="7" t="s">
        <v>1416</v>
      </c>
      <c r="M246" s="7" t="s">
        <v>1129</v>
      </c>
      <c r="N246" s="7" t="s">
        <v>1483</v>
      </c>
      <c r="O246" s="7" t="s">
        <v>1416</v>
      </c>
      <c r="P246" s="7" t="s">
        <v>1129</v>
      </c>
      <c r="Q246" s="7" t="s">
        <v>1518</v>
      </c>
      <c r="R246" s="7"/>
      <c r="S246" s="7"/>
      <c r="T246" s="7" t="s">
        <v>1230</v>
      </c>
      <c r="U246" s="7"/>
      <c r="V246" s="7"/>
      <c r="W246" s="7"/>
    </row>
    <row r="247" spans="2:23" ht="15" customHeight="1" outlineLevel="3" x14ac:dyDescent="0.25">
      <c r="B247" s="192" t="str">
        <f t="shared" ref="B247:B252" si="8">G247</f>
        <v>Multiple Birth:</v>
      </c>
      <c r="C247" s="201"/>
      <c r="E247" s="14" t="s">
        <v>2189</v>
      </c>
      <c r="G247" s="239" t="s">
        <v>506</v>
      </c>
      <c r="H247" s="14" t="s">
        <v>559</v>
      </c>
      <c r="I247" s="237"/>
      <c r="J247" s="145"/>
      <c r="K247" s="7"/>
      <c r="L247" s="7" t="s">
        <v>1416</v>
      </c>
      <c r="M247" s="7" t="s">
        <v>1415</v>
      </c>
      <c r="N247" s="7" t="s">
        <v>565</v>
      </c>
      <c r="O247" s="7" t="s">
        <v>1416</v>
      </c>
      <c r="P247" s="7" t="s">
        <v>1415</v>
      </c>
      <c r="Q247" s="7" t="s">
        <v>565</v>
      </c>
      <c r="R247" s="7"/>
      <c r="S247" s="7"/>
      <c r="T247" s="7" t="s">
        <v>1264</v>
      </c>
      <c r="U247" s="7"/>
      <c r="V247" s="7"/>
      <c r="W247" s="7"/>
    </row>
    <row r="248" spans="2:23" ht="15" customHeight="1" outlineLevel="3" x14ac:dyDescent="0.25">
      <c r="B248" s="192" t="str">
        <f t="shared" si="8"/>
        <v>Native Language:</v>
      </c>
      <c r="C248" s="201"/>
      <c r="E248" s="14" t="s">
        <v>2175</v>
      </c>
      <c r="G248" s="239" t="s">
        <v>484</v>
      </c>
      <c r="H248" s="14" t="s">
        <v>29</v>
      </c>
      <c r="I248" s="237" t="str">
        <f>IF(I240="","","English")</f>
        <v/>
      </c>
      <c r="J248" s="145"/>
      <c r="K248" s="7"/>
      <c r="L248" s="7" t="s">
        <v>1416</v>
      </c>
      <c r="M248" s="7" t="s">
        <v>1415</v>
      </c>
      <c r="N248" s="7" t="s">
        <v>565</v>
      </c>
      <c r="O248" s="7" t="s">
        <v>1416</v>
      </c>
      <c r="P248" s="7" t="s">
        <v>1415</v>
      </c>
      <c r="Q248" s="7" t="s">
        <v>1430</v>
      </c>
      <c r="R248" s="7"/>
      <c r="S248" s="7"/>
      <c r="T248" s="7" t="s">
        <v>1263</v>
      </c>
      <c r="U248" s="7"/>
      <c r="V248" s="7"/>
      <c r="W248" s="7"/>
    </row>
    <row r="249" spans="2:23" ht="15" customHeight="1" outlineLevel="3" x14ac:dyDescent="0.25">
      <c r="B249" s="192" t="str">
        <f t="shared" si="8"/>
        <v>Preferred Written Language:</v>
      </c>
      <c r="C249" s="201"/>
      <c r="E249" s="14" t="s">
        <v>2175</v>
      </c>
      <c r="G249" s="239" t="s">
        <v>486</v>
      </c>
      <c r="H249" s="14" t="s">
        <v>29</v>
      </c>
      <c r="I249" s="237" t="str">
        <f>IF(I240="","","English")</f>
        <v/>
      </c>
      <c r="J249" s="145"/>
      <c r="K249" s="7"/>
      <c r="L249" s="7" t="s">
        <v>1416</v>
      </c>
      <c r="M249" s="7" t="s">
        <v>1415</v>
      </c>
      <c r="N249" s="7" t="s">
        <v>565</v>
      </c>
      <c r="O249" s="7" t="s">
        <v>1416</v>
      </c>
      <c r="P249" s="7" t="s">
        <v>1415</v>
      </c>
      <c r="Q249" s="7" t="s">
        <v>1430</v>
      </c>
      <c r="R249" s="7"/>
      <c r="S249" s="7"/>
      <c r="T249" s="7" t="s">
        <v>1265</v>
      </c>
      <c r="U249" s="7"/>
      <c r="V249" s="7"/>
      <c r="W249" s="7"/>
    </row>
    <row r="250" spans="2:23" ht="15" customHeight="1" outlineLevel="3" x14ac:dyDescent="0.25">
      <c r="B250" s="192" t="str">
        <f t="shared" si="8"/>
        <v>Preferred Spoken Language:</v>
      </c>
      <c r="C250" s="201"/>
      <c r="E250" s="14" t="s">
        <v>2175</v>
      </c>
      <c r="G250" s="239" t="s">
        <v>487</v>
      </c>
      <c r="H250" s="14" t="s">
        <v>29</v>
      </c>
      <c r="I250" s="237" t="str">
        <f>IF(I240="","","English")</f>
        <v/>
      </c>
      <c r="J250" s="145"/>
      <c r="K250" s="7"/>
      <c r="L250" s="7" t="s">
        <v>1416</v>
      </c>
      <c r="M250" s="7" t="s">
        <v>1415</v>
      </c>
      <c r="N250" s="7" t="s">
        <v>565</v>
      </c>
      <c r="O250" s="7" t="s">
        <v>1416</v>
      </c>
      <c r="P250" s="7" t="s">
        <v>1415</v>
      </c>
      <c r="Q250" s="7" t="s">
        <v>1430</v>
      </c>
      <c r="R250" s="7"/>
      <c r="S250" s="7"/>
      <c r="T250" s="7" t="s">
        <v>1266</v>
      </c>
      <c r="U250" s="7"/>
      <c r="V250" s="7"/>
      <c r="W250" s="7"/>
    </row>
    <row r="251" spans="2:23" ht="15" customHeight="1" outlineLevel="3" x14ac:dyDescent="0.25">
      <c r="B251" s="192" t="str">
        <f t="shared" si="8"/>
        <v>Ethnicity (select all that apply):</v>
      </c>
      <c r="C251" s="201"/>
      <c r="E251" s="14" t="s">
        <v>2173</v>
      </c>
      <c r="G251" s="220" t="s">
        <v>488</v>
      </c>
      <c r="H251" s="14" t="s">
        <v>558</v>
      </c>
      <c r="I251" s="237" t="str">
        <f>IF(I240="","","Unknown")</f>
        <v/>
      </c>
      <c r="J251" s="145"/>
      <c r="K251" s="7"/>
      <c r="L251" s="7" t="s">
        <v>1416</v>
      </c>
      <c r="M251" s="7" t="s">
        <v>1415</v>
      </c>
      <c r="N251" s="7" t="s">
        <v>565</v>
      </c>
      <c r="O251" s="7" t="s">
        <v>1416</v>
      </c>
      <c r="P251" s="7" t="s">
        <v>1415</v>
      </c>
      <c r="Q251" s="7" t="s">
        <v>1431</v>
      </c>
      <c r="R251" s="7"/>
      <c r="S251" s="7"/>
      <c r="T251" s="7" t="s">
        <v>1267</v>
      </c>
      <c r="U251" s="7"/>
      <c r="V251" s="7"/>
      <c r="W251" s="7"/>
    </row>
    <row r="252" spans="2:23" ht="15" customHeight="1" outlineLevel="3" x14ac:dyDescent="0.25">
      <c r="B252" s="192" t="str">
        <f t="shared" si="8"/>
        <v>Race (select all that apply):</v>
      </c>
      <c r="C252" s="201"/>
      <c r="E252" s="14" t="s">
        <v>2173</v>
      </c>
      <c r="G252" s="239" t="s">
        <v>492</v>
      </c>
      <c r="H252" s="14" t="s">
        <v>558</v>
      </c>
      <c r="I252" s="237" t="str">
        <f>IF(I240="","","Unknown")</f>
        <v/>
      </c>
      <c r="J252" s="145"/>
      <c r="K252" s="7"/>
      <c r="L252" s="7" t="s">
        <v>1416</v>
      </c>
      <c r="M252" s="7" t="s">
        <v>1415</v>
      </c>
      <c r="N252" s="7" t="s">
        <v>565</v>
      </c>
      <c r="O252" s="7" t="s">
        <v>1416</v>
      </c>
      <c r="P252" s="7" t="s">
        <v>1415</v>
      </c>
      <c r="Q252" s="7" t="s">
        <v>1431</v>
      </c>
      <c r="R252" s="7"/>
      <c r="S252" s="7"/>
      <c r="T252" s="7" t="s">
        <v>1271</v>
      </c>
      <c r="U252" s="7"/>
      <c r="V252" s="7"/>
      <c r="W252" s="7"/>
    </row>
    <row r="253" spans="2:23" ht="30" customHeight="1" outlineLevel="3" x14ac:dyDescent="0.25">
      <c r="B253" s="192" t="s">
        <v>412</v>
      </c>
      <c r="C253" s="201" t="str">
        <f>IF(C103="","",IFERROR(IF(LEN(RIGHT(C103,LEN(C103)-FIND("^",SUBSTITUTE(C103,"|","^",5))))-LEN(SUBSTITUTE(RIGHT(C103,LEN(C103)-FIND("^",SUBSTITUTE(C103,"|","^",5))),"|",""))=0,RIGHT(C103,LEN(C103)-FIND("^",SUBSTITUTE(C103,"|","^",5))),LEFT(RIGHT(C103,LEN(C103)-FIND("^",SUBSTITUTE(C103,"|","^",5))),FIND("|",RIGHT(C103,LEN(C103)-FIND("^",SUBSTITUTE(C103,"|","^",5))))-1)),""))</f>
        <v/>
      </c>
      <c r="E253" s="14" t="s">
        <v>2190</v>
      </c>
      <c r="G253" s="239" t="s">
        <v>537</v>
      </c>
      <c r="H253" s="14" t="s">
        <v>559</v>
      </c>
      <c r="I253" s="150" t="str">
        <f>IF(I240="","",IF(OR(C253="",C253="No"),"No","Yes"))</f>
        <v/>
      </c>
      <c r="J253" s="145" t="str">
        <f>IF(I253="Yes", "Medicare Eligible is Yes for EN request for Dependent#6, please change ‘Medicare information’ to 'Yes'  and select Eligible in Dep Medicare tab in BCBS if needed. ","")</f>
        <v/>
      </c>
      <c r="K253" s="7"/>
      <c r="L253" s="7" t="s">
        <v>1417</v>
      </c>
      <c r="M253" s="7" t="s">
        <v>1414</v>
      </c>
      <c r="N253" s="7" t="s">
        <v>1483</v>
      </c>
      <c r="O253" s="7" t="s">
        <v>1416</v>
      </c>
      <c r="P253" s="7" t="s">
        <v>1415</v>
      </c>
      <c r="Q253" s="7" t="s">
        <v>1432</v>
      </c>
      <c r="R253" s="7"/>
      <c r="S253" s="7"/>
      <c r="T253" s="7" t="s">
        <v>1272</v>
      </c>
      <c r="U253" s="7"/>
      <c r="V253" s="7"/>
      <c r="W253" s="7"/>
    </row>
    <row r="254" spans="2:23" ht="30" customHeight="1" outlineLevel="3" x14ac:dyDescent="0.25">
      <c r="B254" s="192" t="str">
        <f>G254</f>
        <v>Different address information than the employee?</v>
      </c>
      <c r="C254" s="201"/>
      <c r="E254" s="14" t="s">
        <v>2190</v>
      </c>
      <c r="G254" s="239" t="s">
        <v>508</v>
      </c>
      <c r="H254" s="14" t="s">
        <v>559</v>
      </c>
      <c r="I254" s="150" t="str">
        <f>IF(I240="","",IF(OR(C255="",TRIM(C255)&amp;TRIM(C256)&amp;TRIM(C257)&amp;TRIM(C258)&amp;TRIM(C259)=TRIM($C$48)&amp;TRIM($C$49)&amp;TRIM($C$50)&amp;TRIM($C$51)&amp;TRIM($C$52)),"No","Yes"))</f>
        <v/>
      </c>
      <c r="J254" s="145" t="str">
        <f>IF(I254="Yes", "Dependent have separate address for EN request for Dependen#6, please change ‘Different address information than the employee' to 'Yes' and update different address in Dep Address tab in BCBS if needed. ","")</f>
        <v/>
      </c>
      <c r="K254" s="7"/>
      <c r="L254" s="7" t="s">
        <v>1417</v>
      </c>
      <c r="M254" s="7" t="s">
        <v>1129</v>
      </c>
      <c r="N254" s="7" t="s">
        <v>1484</v>
      </c>
      <c r="O254" s="7" t="s">
        <v>1416</v>
      </c>
      <c r="P254" s="7" t="s">
        <v>1415</v>
      </c>
      <c r="Q254" s="7" t="s">
        <v>1432</v>
      </c>
      <c r="R254" s="7"/>
      <c r="S254" s="7"/>
      <c r="T254" s="7" t="s">
        <v>1273</v>
      </c>
      <c r="U254" s="7"/>
      <c r="V254" s="7"/>
      <c r="W254" s="7"/>
    </row>
    <row r="255" spans="2:23" ht="0.2" customHeight="1" outlineLevel="3" x14ac:dyDescent="0.25">
      <c r="B255" s="192" t="s">
        <v>414</v>
      </c>
      <c r="C255" s="201" t="str">
        <f>IF(C105="","",IFERROR(IF(LEN(RIGHT(C105,LEN(C105)-FIND("^",SUBSTITUTE(C105,"|","^",5))))-LEN(SUBSTITUTE(RIGHT(C105,LEN(C105)-FIND("^",SUBSTITUTE(C105,"|","^",5))),"|",""))=0,RIGHT(C105,LEN(C105)-FIND("^",SUBSTITUTE(C105,"|","^",5))),LEFT(RIGHT(C105,LEN(C105)-FIND("^",SUBSTITUTE(C105,"|","^",5))),FIND("|",RIGHT(C105,LEN(C105)-FIND("^",SUBSTITUTE(C105,"|","^",5))))-1)),""))</f>
        <v/>
      </c>
      <c r="E255" s="18"/>
      <c r="G255" s="18"/>
      <c r="H255" s="18"/>
      <c r="I255" s="145"/>
      <c r="J255" s="145"/>
      <c r="K255" s="7"/>
      <c r="L255" s="7" t="s">
        <v>1417</v>
      </c>
      <c r="M255" s="7" t="s">
        <v>1414</v>
      </c>
      <c r="N255" s="7" t="s">
        <v>1483</v>
      </c>
      <c r="O255" s="7"/>
      <c r="P255" s="7"/>
      <c r="Q255" s="7"/>
      <c r="R255" s="7"/>
      <c r="S255" s="7"/>
      <c r="T255" s="7" t="s">
        <v>1274</v>
      </c>
      <c r="U255" s="7"/>
      <c r="V255" s="7"/>
      <c r="W255" s="7"/>
    </row>
    <row r="256" spans="2:23" ht="0.2" customHeight="1" outlineLevel="3" x14ac:dyDescent="0.25">
      <c r="B256" s="192" t="s">
        <v>416</v>
      </c>
      <c r="C256" s="201" t="str">
        <f>IF(C106="","",IFERROR(IF(LEN(RIGHT(C106,LEN(C106)-FIND("^",SUBSTITUTE(C106,"|","^",5))))-LEN(SUBSTITUTE(RIGHT(C106,LEN(C106)-FIND("^",SUBSTITUTE(C106,"|","^",5))),"|",""))=0,RIGHT(C106,LEN(C106)-FIND("^",SUBSTITUTE(C106,"|","^",5))),LEFT(RIGHT(C106,LEN(C106)-FIND("^",SUBSTITUTE(C106,"|","^",5))),FIND("|",RIGHT(C106,LEN(C106)-FIND("^",SUBSTITUTE(C106,"|","^",5))))-1)),""))</f>
        <v/>
      </c>
      <c r="E256" s="18"/>
      <c r="G256" s="18"/>
      <c r="H256" s="18"/>
      <c r="I256" s="145"/>
      <c r="J256" s="145"/>
      <c r="K256" s="7"/>
      <c r="L256" s="7" t="s">
        <v>1417</v>
      </c>
      <c r="M256" s="7" t="s">
        <v>1414</v>
      </c>
      <c r="N256" s="7" t="s">
        <v>1483</v>
      </c>
      <c r="O256" s="7"/>
      <c r="P256" s="7"/>
      <c r="Q256" s="7"/>
      <c r="R256" s="7"/>
      <c r="S256" s="7"/>
      <c r="T256" s="7" t="s">
        <v>1275</v>
      </c>
      <c r="U256" s="7"/>
      <c r="V256" s="7"/>
      <c r="W256" s="7"/>
    </row>
    <row r="257" spans="1:23" ht="0.2" customHeight="1" outlineLevel="3" x14ac:dyDescent="0.25">
      <c r="B257" s="192" t="s">
        <v>6</v>
      </c>
      <c r="C257" s="201" t="str">
        <f>IF(C107="","",IFERROR(IF(LEN(RIGHT(C107,LEN(C107)-FIND("^",SUBSTITUTE(C107,"|","^",5))))-LEN(SUBSTITUTE(RIGHT(C107,LEN(C107)-FIND("^",SUBSTITUTE(C107,"|","^",5))),"|",""))=0,RIGHT(C107,LEN(C107)-FIND("^",SUBSTITUTE(C107,"|","^",5))),LEFT(RIGHT(C107,LEN(C107)-FIND("^",SUBSTITUTE(C107,"|","^",5))),FIND("|",RIGHT(C107,LEN(C107)-FIND("^",SUBSTITUTE(C107,"|","^",5))))-1)),""))</f>
        <v/>
      </c>
      <c r="E257" s="18"/>
      <c r="G257" s="18"/>
      <c r="H257" s="18"/>
      <c r="I257" s="145"/>
      <c r="J257" s="145"/>
      <c r="K257" s="7"/>
      <c r="L257" s="7" t="s">
        <v>1417</v>
      </c>
      <c r="M257" s="7" t="s">
        <v>1414</v>
      </c>
      <c r="N257" s="7" t="s">
        <v>1483</v>
      </c>
      <c r="O257" s="7"/>
      <c r="P257" s="7"/>
      <c r="Q257" s="7"/>
      <c r="R257" s="7"/>
      <c r="S257" s="7"/>
      <c r="T257" s="7" t="s">
        <v>1276</v>
      </c>
      <c r="U257" s="7"/>
      <c r="V257" s="7"/>
      <c r="W257" s="7"/>
    </row>
    <row r="258" spans="1:23" ht="0.2" customHeight="1" outlineLevel="3" x14ac:dyDescent="0.25">
      <c r="B258" s="192" t="s">
        <v>7</v>
      </c>
      <c r="C258" s="201" t="str">
        <f>IF(C108="","",IFERROR(IF(LEN(RIGHT(C108,LEN(C108)-FIND("^",SUBSTITUTE(C108,"|","^",5))))-LEN(SUBSTITUTE(RIGHT(C108,LEN(C108)-FIND("^",SUBSTITUTE(C108,"|","^",5))),"|",""))=0,RIGHT(C108,LEN(C108)-FIND("^",SUBSTITUTE(C108,"|","^",5))),LEFT(RIGHT(C108,LEN(C108)-FIND("^",SUBSTITUTE(C108,"|","^",5))),FIND("|",RIGHT(C108,LEN(C108)-FIND("^",SUBSTITUTE(C108,"|","^",5))))-1)),""))</f>
        <v/>
      </c>
      <c r="E258" s="18"/>
      <c r="G258" s="18"/>
      <c r="H258" s="18"/>
      <c r="I258" s="145"/>
      <c r="J258" s="145"/>
      <c r="K258" s="7"/>
      <c r="L258" s="7" t="s">
        <v>1417</v>
      </c>
      <c r="M258" s="7" t="s">
        <v>1414</v>
      </c>
      <c r="N258" s="7" t="s">
        <v>1483</v>
      </c>
      <c r="O258" s="7"/>
      <c r="P258" s="7"/>
      <c r="Q258" s="7"/>
      <c r="R258" s="7"/>
      <c r="S258" s="7"/>
      <c r="T258" s="7" t="s">
        <v>1277</v>
      </c>
      <c r="U258" s="7"/>
      <c r="V258" s="7"/>
      <c r="W258" s="7"/>
    </row>
    <row r="259" spans="1:23" ht="0.2" customHeight="1" outlineLevel="3" x14ac:dyDescent="0.25">
      <c r="B259" s="192" t="s">
        <v>19</v>
      </c>
      <c r="C259" s="201" t="str">
        <f>IF(C109="","",IFERROR(IF(LEN(RIGHT(C109,LEN(C109)-FIND("^",SUBSTITUTE(C109,"|","^",5))))-LEN(SUBSTITUTE(RIGHT(C109,LEN(C109)-FIND("^",SUBSTITUTE(C109,"|","^",5))),"|",""))=0,RIGHT(C109,LEN(C109)-FIND("^",SUBSTITUTE(C109,"|","^",5))),LEFT(RIGHT(C109,LEN(C109)-FIND("^",SUBSTITUTE(C109,"|","^",5))),FIND("|",RIGHT(C109,LEN(C109)-FIND("^",SUBSTITUTE(C109,"|","^",5))))-1)),""))</f>
        <v/>
      </c>
      <c r="E259" s="18"/>
      <c r="G259" s="18"/>
      <c r="H259" s="18"/>
      <c r="I259" s="145"/>
      <c r="J259" s="145"/>
      <c r="K259" s="7"/>
      <c r="L259" s="7" t="s">
        <v>1417</v>
      </c>
      <c r="M259" s="7" t="s">
        <v>1414</v>
      </c>
      <c r="N259" s="7" t="s">
        <v>1483</v>
      </c>
      <c r="O259" s="7"/>
      <c r="P259" s="7"/>
      <c r="Q259" s="7"/>
      <c r="R259" s="7"/>
      <c r="S259" s="7"/>
      <c r="T259" s="7" t="s">
        <v>1278</v>
      </c>
      <c r="U259" s="7"/>
      <c r="V259" s="7"/>
      <c r="W259" s="7"/>
    </row>
    <row r="260" spans="1:23" ht="15" customHeight="1" outlineLevel="2" x14ac:dyDescent="0.25">
      <c r="A260" s="251" t="s">
        <v>2237</v>
      </c>
      <c r="B260" s="251"/>
      <c r="C260" s="252"/>
      <c r="E260" s="155"/>
      <c r="G260" s="253"/>
      <c r="H260" s="254"/>
      <c r="I260" s="255"/>
      <c r="J260" s="154"/>
      <c r="K260" s="7"/>
      <c r="L260" s="7"/>
      <c r="M260" s="7"/>
      <c r="N260" s="7"/>
      <c r="O260" s="7"/>
      <c r="P260" s="7"/>
      <c r="Q260" s="7"/>
      <c r="R260" s="7"/>
      <c r="S260" s="7"/>
      <c r="T260" s="7"/>
      <c r="U260" s="7"/>
      <c r="V260" s="7"/>
      <c r="W260" s="7"/>
    </row>
    <row r="261" spans="1:23" ht="15" customHeight="1" outlineLevel="3" x14ac:dyDescent="0.25">
      <c r="B261" s="9" t="s">
        <v>88</v>
      </c>
      <c r="C261" s="197" t="str">
        <f>IF(C86="","",IFERROR(IF(LEN(RIGHT(C86,LEN(C86)-FIND("^",SUBSTITUTE(C86,"|","^",6))))-LEN(SUBSTITUTE(RIGHT(C86,LEN(C86)-FIND("^",SUBSTITUTE(C86,"|","^",6))),"|",""))=0,RIGHT(C86,LEN(C86)-FIND("^",SUBSTITUTE(C86,"|","^",6))),LEFT(RIGHT(C86,LEN(C86)-FIND("^",SUBSTITUTE(C86,"|","^",6))),FIND("|",RIGHT(C86,LEN(C86)-FIND("^",SUBSTITUTE(C86,"|","^",6))))-1)),""))</f>
        <v/>
      </c>
      <c r="E261" s="2" t="s">
        <v>2171</v>
      </c>
      <c r="G261" s="239" t="s">
        <v>95</v>
      </c>
      <c r="H261" s="14" t="s">
        <v>14</v>
      </c>
      <c r="I261" s="125" t="str">
        <f>IF(I265="","",IF(C261="","#N/A, Input cannot be blank",UPPER(LEFT(C261,20))))</f>
        <v/>
      </c>
      <c r="J261" s="14" t="str">
        <f>IF(LEN(C261)&gt;20,TEXT("Requested dependent#7 last name as:","xxx")&amp;" "&amp; TEXT(C261,"xxxxxxx")&amp;","&amp;" "&amp;TEXT("input into BCBS as:","xxxx")&amp;" "&amp; TEXT(I261,"xxxxxxx")&amp;". ","")</f>
        <v/>
      </c>
      <c r="K261" s="7"/>
      <c r="L261" s="7" t="s">
        <v>1416</v>
      </c>
      <c r="M261" s="7" t="s">
        <v>1129</v>
      </c>
      <c r="N261" s="7" t="s">
        <v>1483</v>
      </c>
      <c r="O261" s="7" t="s">
        <v>1416</v>
      </c>
      <c r="P261" s="7" t="s">
        <v>1129</v>
      </c>
      <c r="Q261" s="7" t="s">
        <v>1593</v>
      </c>
      <c r="R261" s="7"/>
      <c r="S261" s="7"/>
      <c r="T261" s="7" t="s">
        <v>1262</v>
      </c>
      <c r="U261" s="7"/>
      <c r="V261" s="7"/>
      <c r="W261" s="7"/>
    </row>
    <row r="262" spans="1:23" ht="15" customHeight="1" outlineLevel="3" x14ac:dyDescent="0.25">
      <c r="B262" s="192" t="s">
        <v>155</v>
      </c>
      <c r="C262" s="201" t="str">
        <f>IF(C87="","",IFERROR(IF(LEN(RIGHT(C87,LEN(C87)-FIND("^",SUBSTITUTE(C87,"|","^",6))))-LEN(SUBSTITUTE(RIGHT(C87,LEN(C87)-FIND("^",SUBSTITUTE(C87,"|","^",6))),"|",""))=0,RIGHT(C87,LEN(C87)-FIND("^",SUBSTITUTE(C87,"|","^",6))),LEFT(RIGHT(C87,LEN(C87)-FIND("^",SUBSTITUTE(C87,"|","^",6))),FIND("|",RIGHT(C87,LEN(C87)-FIND("^",SUBSTITUTE(C87,"|","^",6))))-1)),""))</f>
        <v/>
      </c>
      <c r="E262" s="14" t="s">
        <v>2172</v>
      </c>
      <c r="G262" s="239" t="s">
        <v>155</v>
      </c>
      <c r="H262" s="14" t="s">
        <v>14</v>
      </c>
      <c r="I262" s="189"/>
      <c r="J262" s="145"/>
      <c r="K262" s="7"/>
      <c r="L262" s="7" t="s">
        <v>1416</v>
      </c>
      <c r="M262" s="7" t="s">
        <v>1129</v>
      </c>
      <c r="N262" s="7" t="s">
        <v>1483</v>
      </c>
      <c r="O262" s="7" t="s">
        <v>1416</v>
      </c>
      <c r="P262" s="7" t="s">
        <v>1415</v>
      </c>
      <c r="Q262" s="7" t="s">
        <v>565</v>
      </c>
      <c r="R262" s="7"/>
      <c r="S262" s="7"/>
      <c r="T262" s="7" t="s">
        <v>1261</v>
      </c>
      <c r="U262" s="7"/>
      <c r="V262" s="7"/>
      <c r="W262" s="7"/>
    </row>
    <row r="263" spans="1:23" ht="15" customHeight="1" outlineLevel="3" x14ac:dyDescent="0.25">
      <c r="B263" s="9" t="s">
        <v>87</v>
      </c>
      <c r="C263" s="197" t="str">
        <f>IF(C88="","",IFERROR(IF(LEN(RIGHT(C88,LEN(C88)-FIND("^",SUBSTITUTE(C88,"|","^",6))))-LEN(SUBSTITUTE(RIGHT(C88,LEN(C88)-FIND("^",SUBSTITUTE(C88,"|","^",6))),"|",""))=0,RIGHT(C88,LEN(C88)-FIND("^",SUBSTITUTE(C88,"|","^",6))),LEFT(RIGHT(C88,LEN(C88)-FIND("^",SUBSTITUTE(C88,"|","^",6))),FIND("|",RIGHT(C88,LEN(C88)-FIND("^",SUBSTITUTE(C88,"|","^",6))))-1)),""))</f>
        <v/>
      </c>
      <c r="E263" s="2" t="s">
        <v>2170</v>
      </c>
      <c r="G263" s="239" t="s">
        <v>93</v>
      </c>
      <c r="H263" s="14" t="s">
        <v>14</v>
      </c>
      <c r="I263" s="125" t="str">
        <f>IF(I265="","",IF(C263="","#N/A, Input cannot be blank",UPPER(LEFT(C263,20))))</f>
        <v/>
      </c>
      <c r="J263" s="125" t="str">
        <f>IF(LEN(C263)&gt;20,TEXT("Requested dependent#7 first name as:","xxx")&amp;" "&amp; TEXT(C263,"xxxxxxx")&amp;","&amp;" "&amp; TEXT("input into BCBS as:","xxxx")&amp;" "&amp; TEXT(I263,"xxxxxxx")&amp;". ","")</f>
        <v/>
      </c>
      <c r="K263" s="7"/>
      <c r="L263" s="7" t="s">
        <v>1416</v>
      </c>
      <c r="M263" s="7" t="s">
        <v>1129</v>
      </c>
      <c r="N263" s="7" t="s">
        <v>1483</v>
      </c>
      <c r="O263" s="7" t="s">
        <v>1416</v>
      </c>
      <c r="P263" s="7" t="s">
        <v>1129</v>
      </c>
      <c r="Q263" s="7" t="s">
        <v>1593</v>
      </c>
      <c r="R263" s="7"/>
      <c r="S263" s="7"/>
      <c r="T263" s="7" t="s">
        <v>1260</v>
      </c>
      <c r="U263" s="7"/>
      <c r="V263" s="7"/>
      <c r="W263" s="7"/>
    </row>
    <row r="264" spans="1:23" ht="15" customHeight="1" outlineLevel="3" x14ac:dyDescent="0.25">
      <c r="B264" s="9" t="s">
        <v>552</v>
      </c>
      <c r="C264" s="197" t="str">
        <f>IF(C89="","",IFERROR(LEFT(RIGHT(C89,LEN(C89)-FIND("^",SUBSTITUTE(C89,"|","^",6))),1),""))</f>
        <v/>
      </c>
      <c r="E264" s="14" t="s">
        <v>547</v>
      </c>
      <c r="G264" s="239" t="s">
        <v>94</v>
      </c>
      <c r="H264" s="14" t="s">
        <v>14</v>
      </c>
      <c r="I264" s="125" t="str">
        <f>IF(OR(I265="",C264=""),"",UPPER(LEFT(C264,1)))</f>
        <v/>
      </c>
      <c r="J264" s="145"/>
      <c r="K264" s="145"/>
      <c r="L264" s="14" t="s">
        <v>1416</v>
      </c>
      <c r="M264" s="142" t="s">
        <v>1129</v>
      </c>
      <c r="N264" s="142" t="s">
        <v>1483</v>
      </c>
      <c r="O264" s="14" t="s">
        <v>1416</v>
      </c>
      <c r="P264" s="142" t="s">
        <v>1129</v>
      </c>
      <c r="Q264" s="142" t="s">
        <v>1593</v>
      </c>
      <c r="T264" s="14" t="s">
        <v>1596</v>
      </c>
    </row>
    <row r="265" spans="1:23" ht="30" customHeight="1" outlineLevel="3" x14ac:dyDescent="0.25">
      <c r="B265" s="9" t="s">
        <v>26</v>
      </c>
      <c r="C265" s="200" t="str">
        <f>IF(C90="","",IFERROR(IF(LEN(RIGHT(C90,LEN(C90)-FIND("^",SUBSTITUTE(C90,"|","^",6))))-LEN(SUBSTITUTE(RIGHT(C90,LEN(C90)-FIND("^",SUBSTITUTE(C90,"|","^",6))),"|",""))=0,RIGHT(C90,LEN(C90)-FIND("^",SUBSTITUTE(C90,"|","^",6))),LEFT(RIGHT(C90,LEN(C90)-FIND("^",SUBSTITUTE(C90,"|","^",6))),FIND("|",RIGHT(C90,LEN(C90)-FIND("^",SUBSTITUTE(C90,"|","^",6))))-1)),""))</f>
        <v/>
      </c>
      <c r="E265" s="14" t="s">
        <v>2200</v>
      </c>
      <c r="G265" s="239" t="s">
        <v>123</v>
      </c>
      <c r="H265" s="14" t="s">
        <v>29</v>
      </c>
      <c r="I265" s="125" t="str">
        <f>IF(C261="","",IF(OR($I$69="Y",$I$79="Y"),IF(C265="","#N/A, Input cannot be blank",IF($C$44="",INDEX('Dropdown list'!$AD:$AD,MATCH(C265,'Dropdown list'!$AC:$AC,0),1),IF(C265="Child",IF(OR(ISNUMBER(MATCH(SUBSTITUTE($C$69," (Pending)",""),'Dropdown list'!$AL:$AL,0)),ISNUMBER(MATCH(SUBSTITUTE($C$79," (Pending)",""),'Dropdown list'!$AL:$AL,0))),INDEX('Dropdown list'!$AH:$AH,MATCH(C266&amp;C267,'Dropdown list'!$AG:$AG,0),1),""),IF(C265="Spouse",IF(OR(ISNUMBER(MATCH(SUBSTITUTE($C$69," (Pending)",""),'Dropdown list'!$AM:$AM,0)),ISNUMBER(MATCH(SUBSTITUTE($C$79," (Pending)",""),'Dropdown list'!$AM:$AM,0))),"Spouse",""),IF(C265="Domestic Partner",IF(OR(ISNUMBER(MATCH(SUBSTITUTE($C$69," (Pending)",""),'Dropdown list'!$AN:$AN,0)),ISNUMBER(MATCH(SUBSTITUTE($C$79," (Pending)",""),'Dropdown list'!$AN:$AN,0))),"Domestic Partner",""),INDEX('Dropdown list'!$AK:$AK,MATCH(C265,'Dropdown list'!$AJ:$AJ,0),1)))))),""))</f>
        <v/>
      </c>
      <c r="J265" s="145"/>
      <c r="K265" s="145"/>
      <c r="L265" s="14" t="s">
        <v>1416</v>
      </c>
      <c r="M265" s="142" t="s">
        <v>1129</v>
      </c>
      <c r="N265" s="142" t="s">
        <v>1483</v>
      </c>
      <c r="O265" s="14" t="s">
        <v>1416</v>
      </c>
      <c r="P265" s="142" t="s">
        <v>1129</v>
      </c>
      <c r="Q265" s="142" t="s">
        <v>1594</v>
      </c>
      <c r="T265" s="14" t="s">
        <v>1595</v>
      </c>
    </row>
    <row r="266" spans="1:23" ht="0.2" customHeight="1" outlineLevel="3" x14ac:dyDescent="0.25">
      <c r="B266" s="192" t="s">
        <v>79</v>
      </c>
      <c r="C266" s="201" t="str">
        <f>IF(C91="","",IFERROR(IF(LEN(RIGHT(C91,LEN(C91)-FIND("^",SUBSTITUTE(C91,"|","^",6))))-LEN(SUBSTITUTE(RIGHT(C91,LEN(C91)-FIND("^",SUBSTITUTE(C91,"|","^",6))),"|",""))=0,RIGHT(C91,LEN(C91)-FIND("^",SUBSTITUTE(C91,"|","^",6))),LEFT(RIGHT(C91,LEN(C91)-FIND("^",SUBSTITUTE(C91,"|","^",6))),FIND("|",RIGHT(C91,LEN(C91)-FIND("^",SUBSTITUTE(C91,"|","^",6))))-1)),""))</f>
        <v/>
      </c>
      <c r="E266" s="14" t="s">
        <v>2191</v>
      </c>
      <c r="H266" s="1"/>
      <c r="I266" s="1"/>
      <c r="J266" s="1"/>
      <c r="K266" s="7"/>
      <c r="L266" s="14" t="s">
        <v>1416</v>
      </c>
      <c r="M266" s="142" t="s">
        <v>1129</v>
      </c>
      <c r="N266" s="142" t="s">
        <v>1483</v>
      </c>
      <c r="T266" s="14" t="s">
        <v>1597</v>
      </c>
    </row>
    <row r="267" spans="1:23" ht="0.2" customHeight="1" outlineLevel="3" x14ac:dyDescent="0.25">
      <c r="B267" s="192" t="s">
        <v>409</v>
      </c>
      <c r="C267" s="201" t="str">
        <f>IF(C92="","",IFERROR(IF(LEN(RIGHT(C92,LEN(C92)-FIND("^",SUBSTITUTE(C92,"|","^",6))))-LEN(SUBSTITUTE(RIGHT(C92,LEN(C92)-FIND("^",SUBSTITUTE(C92,"|","^",6))),"|",""))=0,RIGHT(C92,LEN(C92)-FIND("^",SUBSTITUTE(C92,"|","^",6))),LEFT(RIGHT(C92,LEN(C92)-FIND("^",SUBSTITUTE(C92,"|","^",6))),FIND("|",RIGHT(C92,LEN(C92)-FIND("^",SUBSTITUTE(C92,"|","^",6))))-1)),""))</f>
        <v/>
      </c>
      <c r="E267" s="14"/>
      <c r="H267" s="1"/>
      <c r="I267" s="1"/>
      <c r="J267" s="1"/>
      <c r="K267" s="7"/>
      <c r="L267" s="14" t="s">
        <v>1416</v>
      </c>
      <c r="M267" s="142" t="s">
        <v>1129</v>
      </c>
      <c r="N267" s="142" t="s">
        <v>1483</v>
      </c>
      <c r="T267" s="14" t="s">
        <v>1280</v>
      </c>
    </row>
    <row r="268" spans="1:23" ht="15" customHeight="1" outlineLevel="3" x14ac:dyDescent="0.25">
      <c r="B268" s="9" t="s">
        <v>2</v>
      </c>
      <c r="C268" s="197" t="str">
        <f>IF(C93="","",IFERROR(IF(LEN(RIGHT(C93,LEN(C93)-FIND("^",SUBSTITUTE(C93,"|","^",6))))-LEN(SUBSTITUTE(RIGHT(C93,LEN(C93)-FIND("^",SUBSTITUTE(C93,"|","^",6))),"|",""))=0,RIGHT(C93,LEN(C93)-FIND("^",SUBSTITUTE(C93,"|","^",6))),LEFT(RIGHT(C93,LEN(C93)-FIND("^",SUBSTITUTE(C93,"|","^",6))),FIND("|",RIGHT(C93,LEN(C93)-FIND("^",SUBSTITUTE(C93,"|","^",6))))-1)),""))</f>
        <v/>
      </c>
      <c r="E268" s="14" t="s">
        <v>553</v>
      </c>
      <c r="G268" s="239" t="s">
        <v>96</v>
      </c>
      <c r="H268" s="14" t="s">
        <v>29</v>
      </c>
      <c r="I268" s="125" t="str">
        <f>IF(I265="","",IF(C268="","#N/A, Input cannot be blank",IF(C268="M", "Male",IF(C268="F","Female","#N/A, Unidentified Gender"))))</f>
        <v/>
      </c>
      <c r="J268" s="145"/>
      <c r="K268" s="145"/>
      <c r="L268" s="14" t="s">
        <v>1416</v>
      </c>
      <c r="M268" s="142" t="s">
        <v>1129</v>
      </c>
      <c r="N268" s="142" t="s">
        <v>1483</v>
      </c>
      <c r="O268" s="14" t="s">
        <v>1416</v>
      </c>
      <c r="P268" s="142" t="s">
        <v>1129</v>
      </c>
      <c r="Q268" s="142" t="s">
        <v>1598</v>
      </c>
      <c r="T268" s="14" t="s">
        <v>1259</v>
      </c>
    </row>
    <row r="269" spans="1:23" ht="15" customHeight="1" outlineLevel="3" x14ac:dyDescent="0.25">
      <c r="B269" s="192" t="str">
        <f>G269</f>
        <v>Other Dependent:</v>
      </c>
      <c r="C269" s="201"/>
      <c r="E269" s="14" t="s">
        <v>2189</v>
      </c>
      <c r="G269" s="239" t="s">
        <v>440</v>
      </c>
      <c r="H269" s="14" t="s">
        <v>29</v>
      </c>
      <c r="I269" s="189"/>
      <c r="J269" s="145"/>
      <c r="K269" s="145"/>
      <c r="L269" s="14" t="s">
        <v>1416</v>
      </c>
      <c r="M269" s="14" t="s">
        <v>1415</v>
      </c>
      <c r="N269" s="142" t="s">
        <v>565</v>
      </c>
      <c r="O269" s="14" t="s">
        <v>1416</v>
      </c>
      <c r="P269" s="14" t="s">
        <v>1415</v>
      </c>
      <c r="Q269" s="142" t="s">
        <v>565</v>
      </c>
      <c r="T269" s="14" t="s">
        <v>1279</v>
      </c>
    </row>
    <row r="270" spans="1:23" ht="15" customHeight="1" outlineLevel="3" x14ac:dyDescent="0.25">
      <c r="B270" s="9" t="s">
        <v>8</v>
      </c>
      <c r="C270" s="197" t="str">
        <f>IF(C95="","",IFERROR(IF(LEN(RIGHT(C95,LEN(C95)-FIND("^",SUBSTITUTE(C95,"|","^",6))))-LEN(SUBSTITUTE(RIGHT(C95,LEN(C95)-FIND("^",SUBSTITUTE(C95,"|","^",6))),"|",""))=0,RIGHT(C95,LEN(C95)-FIND("^",SUBSTITUTE(C95,"|","^",6))),LEFT(RIGHT(C95,LEN(C95)-FIND("^",SUBSTITUTE(C95,"|","^",6))),FIND("|",RIGHT(C95,LEN(C95)-FIND("^",SUBSTITUTE(C95,"|","^",6))))-1)),""))</f>
        <v/>
      </c>
      <c r="G270" s="239" t="s">
        <v>125</v>
      </c>
      <c r="H270" s="14" t="s">
        <v>14</v>
      </c>
      <c r="I270" s="125" t="str">
        <f>IF(I265="","",IF(C270="","#N/A, Input cannot be blank",IFERROR(TEXT(EDATE(C270,0),"MM/DD/YYYY"),"#N/A, Please enter a date format")))</f>
        <v/>
      </c>
      <c r="J270" s="145"/>
      <c r="K270" s="145"/>
      <c r="L270" s="14" t="s">
        <v>1416</v>
      </c>
      <c r="M270" s="142" t="s">
        <v>1129</v>
      </c>
      <c r="N270" s="142" t="s">
        <v>1483</v>
      </c>
      <c r="O270" s="14" t="s">
        <v>1416</v>
      </c>
      <c r="P270" s="142" t="s">
        <v>1129</v>
      </c>
      <c r="Q270" s="14" t="s">
        <v>1508</v>
      </c>
      <c r="T270" s="14" t="s">
        <v>1258</v>
      </c>
    </row>
    <row r="271" spans="1:23" ht="15" customHeight="1" outlineLevel="3" x14ac:dyDescent="0.25">
      <c r="B271" s="9" t="s">
        <v>3</v>
      </c>
      <c r="C271" s="197" t="str">
        <f>IF(C96="","",IFERROR(IF(LEN(RIGHT(C96,LEN(C96)-FIND("^",SUBSTITUTE(C96,"|","^",6))))-LEN(SUBSTITUTE(RIGHT(C96,LEN(C96)-FIND("^",SUBSTITUTE(C96,"|","^",6))),"|",""))=0,RIGHT(C96,LEN(C96)-FIND("^",SUBSTITUTE(C96,"|","^",6))),LEFT(RIGHT(C96,LEN(C96)-FIND("^",SUBSTITUTE(C96,"|","^",6))),FIND("|",RIGHT(C96,LEN(C96)-FIND("^",SUBSTITUTE(C96,"|","^",6))))-1)),""))</f>
        <v/>
      </c>
      <c r="E271" s="14" t="s">
        <v>547</v>
      </c>
      <c r="G271" s="239" t="s">
        <v>97</v>
      </c>
      <c r="H271" s="14" t="s">
        <v>14</v>
      </c>
      <c r="I271" s="125" t="str">
        <f>IF(C271=" ",C271,IF(OR(I265="",C271=""),"",IF(LEN(SUBSTITUTE(C271,"-",""))=9,SUBSTITUTE(C271,"-",""),"#N/A, SSN# must be 9 digits")))</f>
        <v/>
      </c>
      <c r="J271" s="145"/>
      <c r="K271" s="145"/>
      <c r="L271" s="14" t="s">
        <v>1416</v>
      </c>
      <c r="M271" s="142" t="s">
        <v>1129</v>
      </c>
      <c r="N271" s="142" t="s">
        <v>1483</v>
      </c>
      <c r="O271" s="14" t="s">
        <v>1416</v>
      </c>
      <c r="P271" s="142" t="s">
        <v>1129</v>
      </c>
      <c r="Q271" s="14" t="s">
        <v>1518</v>
      </c>
      <c r="T271" s="14" t="s">
        <v>1230</v>
      </c>
    </row>
    <row r="272" spans="1:23" ht="15" customHeight="1" outlineLevel="3" x14ac:dyDescent="0.25">
      <c r="B272" s="192" t="str">
        <f t="shared" ref="B272:B277" si="9">G272</f>
        <v>Multiple Birth:</v>
      </c>
      <c r="C272" s="201"/>
      <c r="E272" s="14" t="s">
        <v>2189</v>
      </c>
      <c r="G272" s="239" t="s">
        <v>506</v>
      </c>
      <c r="H272" s="14" t="s">
        <v>559</v>
      </c>
      <c r="I272" s="237"/>
      <c r="J272" s="145"/>
      <c r="K272" s="145"/>
      <c r="L272" s="14" t="s">
        <v>1416</v>
      </c>
      <c r="M272" s="14" t="s">
        <v>1415</v>
      </c>
      <c r="N272" s="142" t="s">
        <v>565</v>
      </c>
      <c r="O272" s="14" t="s">
        <v>1416</v>
      </c>
      <c r="P272" s="14" t="s">
        <v>1415</v>
      </c>
      <c r="Q272" s="142" t="s">
        <v>565</v>
      </c>
      <c r="T272" s="14" t="s">
        <v>1264</v>
      </c>
    </row>
    <row r="273" spans="1:23" ht="15" customHeight="1" outlineLevel="3" x14ac:dyDescent="0.25">
      <c r="B273" s="192" t="str">
        <f t="shared" si="9"/>
        <v>Native Language:</v>
      </c>
      <c r="C273" s="201"/>
      <c r="E273" s="14" t="s">
        <v>2175</v>
      </c>
      <c r="G273" s="239" t="s">
        <v>484</v>
      </c>
      <c r="H273" s="14" t="s">
        <v>29</v>
      </c>
      <c r="I273" s="237" t="str">
        <f>IF(I265="","","English")</f>
        <v/>
      </c>
      <c r="J273" s="145"/>
      <c r="K273" s="145"/>
      <c r="L273" s="14" t="s">
        <v>1416</v>
      </c>
      <c r="M273" s="14" t="s">
        <v>1415</v>
      </c>
      <c r="N273" s="142" t="s">
        <v>565</v>
      </c>
      <c r="O273" s="14" t="s">
        <v>1416</v>
      </c>
      <c r="P273" s="14" t="s">
        <v>1415</v>
      </c>
      <c r="Q273" s="142" t="s">
        <v>1430</v>
      </c>
      <c r="T273" s="14" t="s">
        <v>1263</v>
      </c>
    </row>
    <row r="274" spans="1:23" ht="15" customHeight="1" outlineLevel="3" x14ac:dyDescent="0.25">
      <c r="B274" s="192" t="str">
        <f t="shared" si="9"/>
        <v>Preferred Written Language:</v>
      </c>
      <c r="C274" s="201"/>
      <c r="E274" s="14" t="s">
        <v>2175</v>
      </c>
      <c r="G274" s="239" t="s">
        <v>486</v>
      </c>
      <c r="H274" s="14" t="s">
        <v>29</v>
      </c>
      <c r="I274" s="237" t="str">
        <f>IF(I265="","","English")</f>
        <v/>
      </c>
      <c r="J274" s="145"/>
      <c r="K274" s="145"/>
      <c r="L274" s="14" t="s">
        <v>1416</v>
      </c>
      <c r="M274" s="14" t="s">
        <v>1415</v>
      </c>
      <c r="N274" s="142" t="s">
        <v>565</v>
      </c>
      <c r="O274" s="14" t="s">
        <v>1416</v>
      </c>
      <c r="P274" s="14" t="s">
        <v>1415</v>
      </c>
      <c r="Q274" s="142" t="s">
        <v>1430</v>
      </c>
      <c r="T274" s="14" t="s">
        <v>1265</v>
      </c>
    </row>
    <row r="275" spans="1:23" ht="15" customHeight="1" outlineLevel="3" x14ac:dyDescent="0.25">
      <c r="B275" s="192" t="str">
        <f t="shared" si="9"/>
        <v>Preferred Spoken Language:</v>
      </c>
      <c r="C275" s="201"/>
      <c r="E275" s="14" t="s">
        <v>2175</v>
      </c>
      <c r="G275" s="239" t="s">
        <v>487</v>
      </c>
      <c r="H275" s="14" t="s">
        <v>29</v>
      </c>
      <c r="I275" s="237" t="str">
        <f>IF(I265="","","English")</f>
        <v/>
      </c>
      <c r="J275" s="145"/>
      <c r="K275" s="145"/>
      <c r="L275" s="14" t="s">
        <v>1416</v>
      </c>
      <c r="M275" s="14" t="s">
        <v>1415</v>
      </c>
      <c r="N275" s="142" t="s">
        <v>565</v>
      </c>
      <c r="O275" s="14" t="s">
        <v>1416</v>
      </c>
      <c r="P275" s="14" t="s">
        <v>1415</v>
      </c>
      <c r="Q275" s="142" t="s">
        <v>1430</v>
      </c>
      <c r="T275" s="14" t="s">
        <v>1266</v>
      </c>
    </row>
    <row r="276" spans="1:23" ht="15" customHeight="1" outlineLevel="3" x14ac:dyDescent="0.25">
      <c r="B276" s="192" t="str">
        <f t="shared" si="9"/>
        <v>Ethnicity (select all that apply):</v>
      </c>
      <c r="C276" s="201"/>
      <c r="E276" s="14" t="s">
        <v>2173</v>
      </c>
      <c r="G276" s="220" t="s">
        <v>488</v>
      </c>
      <c r="H276" s="14" t="s">
        <v>558</v>
      </c>
      <c r="I276" s="237" t="str">
        <f>IF(I265="","","Unknown")</f>
        <v/>
      </c>
      <c r="J276" s="145"/>
      <c r="K276" s="145"/>
      <c r="L276" s="14" t="s">
        <v>1416</v>
      </c>
      <c r="M276" s="14" t="s">
        <v>1415</v>
      </c>
      <c r="N276" s="142" t="s">
        <v>565</v>
      </c>
      <c r="O276" s="14" t="s">
        <v>1416</v>
      </c>
      <c r="P276" s="14" t="s">
        <v>1415</v>
      </c>
      <c r="Q276" s="142" t="s">
        <v>1431</v>
      </c>
      <c r="T276" s="14" t="s">
        <v>1267</v>
      </c>
    </row>
    <row r="277" spans="1:23" ht="15" customHeight="1" outlineLevel="3" x14ac:dyDescent="0.25">
      <c r="B277" s="192" t="str">
        <f t="shared" si="9"/>
        <v>Race (select all that apply):</v>
      </c>
      <c r="C277" s="201"/>
      <c r="E277" s="14" t="s">
        <v>2173</v>
      </c>
      <c r="G277" s="239" t="s">
        <v>492</v>
      </c>
      <c r="H277" s="14" t="s">
        <v>558</v>
      </c>
      <c r="I277" s="237" t="str">
        <f>IF(I265="","","Unknown")</f>
        <v/>
      </c>
      <c r="J277" s="145"/>
      <c r="K277" s="145"/>
      <c r="L277" s="14" t="s">
        <v>1416</v>
      </c>
      <c r="M277" s="14" t="s">
        <v>1415</v>
      </c>
      <c r="N277" s="142" t="s">
        <v>565</v>
      </c>
      <c r="O277" s="14" t="s">
        <v>1416</v>
      </c>
      <c r="P277" s="14" t="s">
        <v>1415</v>
      </c>
      <c r="Q277" s="142" t="s">
        <v>1431</v>
      </c>
      <c r="T277" s="14" t="s">
        <v>1271</v>
      </c>
    </row>
    <row r="278" spans="1:23" ht="30" customHeight="1" outlineLevel="3" x14ac:dyDescent="0.25">
      <c r="B278" s="192" t="s">
        <v>412</v>
      </c>
      <c r="C278" s="201" t="str">
        <f>IF(C103="","",IFERROR(IF(LEN(RIGHT(C103,LEN(C103)-FIND("^",SUBSTITUTE(C103,"|","^",6))))-LEN(SUBSTITUTE(RIGHT(C103,LEN(C103)-FIND("^",SUBSTITUTE(C103,"|","^",6))),"|",""))=0,RIGHT(C103,LEN(C103)-FIND("^",SUBSTITUTE(C103,"|","^",6))),LEFT(RIGHT(C103,LEN(C103)-FIND("^",SUBSTITUTE(C103,"|","^",6))),FIND("|",RIGHT(C103,LEN(C103)-FIND("^",SUBSTITUTE(C103,"|","^",6))))-1)),""))</f>
        <v/>
      </c>
      <c r="E278" s="14" t="s">
        <v>2190</v>
      </c>
      <c r="G278" s="239" t="s">
        <v>537</v>
      </c>
      <c r="H278" s="14" t="s">
        <v>559</v>
      </c>
      <c r="I278" s="150" t="str">
        <f>IF(I265="","",IF(OR(C278="",C278="No"),"No","Yes"))</f>
        <v/>
      </c>
      <c r="J278" s="145" t="str">
        <f>IF(I278="Yes", "Medicare Eligible is Yes for EN request for Dependent#7, please change ‘Medicare information’ to 'Yes'  and select Eligible in Dep Medicare tab in BCBS if needed. ","")</f>
        <v/>
      </c>
      <c r="K278" s="145"/>
      <c r="L278" s="14" t="s">
        <v>1417</v>
      </c>
      <c r="M278" s="14" t="s">
        <v>1414</v>
      </c>
      <c r="N278" s="142" t="s">
        <v>1483</v>
      </c>
      <c r="O278" s="14" t="s">
        <v>1416</v>
      </c>
      <c r="P278" s="14" t="s">
        <v>1415</v>
      </c>
      <c r="Q278" s="142" t="s">
        <v>1432</v>
      </c>
      <c r="T278" s="14" t="s">
        <v>1272</v>
      </c>
    </row>
    <row r="279" spans="1:23" ht="30" customHeight="1" outlineLevel="3" x14ac:dyDescent="0.25">
      <c r="B279" s="192" t="str">
        <f>G279</f>
        <v>Different address information than the employee?</v>
      </c>
      <c r="C279" s="201"/>
      <c r="E279" s="14" t="s">
        <v>2190</v>
      </c>
      <c r="G279" s="239" t="s">
        <v>508</v>
      </c>
      <c r="H279" s="14" t="s">
        <v>559</v>
      </c>
      <c r="I279" s="150" t="str">
        <f>IF(I265="","",IF(OR(C280="",TRIM(C280)&amp;TRIM(C281)&amp;TRIM(C282)&amp;TRIM(C283)&amp;TRIM(C284)=TRIM($C$48)&amp;TRIM($C$49)&amp;TRIM($C$50)&amp;TRIM($C$51)&amp;TRIM($C$52)),"No","Yes"))</f>
        <v/>
      </c>
      <c r="J279" s="145" t="str">
        <f>IF(I279="Yes", "Dependent have separate address for EN request for Dependen#7, please change ‘Different address information than the employee' to 'Yes' and update different address in Dep Address tab in BCBS if needed. ","")</f>
        <v/>
      </c>
      <c r="K279" s="145"/>
      <c r="L279" s="14" t="s">
        <v>1417</v>
      </c>
      <c r="M279" s="14" t="s">
        <v>1129</v>
      </c>
      <c r="N279" s="142" t="s">
        <v>1484</v>
      </c>
      <c r="O279" s="14" t="s">
        <v>1416</v>
      </c>
      <c r="P279" s="14" t="s">
        <v>1415</v>
      </c>
      <c r="Q279" s="142" t="s">
        <v>1432</v>
      </c>
      <c r="T279" s="14" t="s">
        <v>1273</v>
      </c>
    </row>
    <row r="280" spans="1:23" ht="0.2" customHeight="1" outlineLevel="3" x14ac:dyDescent="0.25">
      <c r="B280" s="192" t="s">
        <v>414</v>
      </c>
      <c r="C280" s="201" t="str">
        <f>IF(C105="","",IFERROR(IF(LEN(RIGHT(C105,LEN(C105)-FIND("^",SUBSTITUTE(C105,"|","^",6))))-LEN(SUBSTITUTE(RIGHT(C105,LEN(C105)-FIND("^",SUBSTITUTE(C105,"|","^",6))),"|",""))=0,RIGHT(C105,LEN(C105)-FIND("^",SUBSTITUTE(C105,"|","^",6))),LEFT(RIGHT(C105,LEN(C105)-FIND("^",SUBSTITUTE(C105,"|","^",6))),FIND("|",RIGHT(C105,LEN(C105)-FIND("^",SUBSTITUTE(C105,"|","^",6))))-1)),""))</f>
        <v/>
      </c>
      <c r="E280" s="18"/>
      <c r="G280" s="18"/>
      <c r="H280" s="18"/>
      <c r="I280" s="145"/>
      <c r="J280" s="145"/>
      <c r="K280" s="145"/>
      <c r="L280" s="14" t="s">
        <v>1417</v>
      </c>
      <c r="M280" s="14" t="s">
        <v>1414</v>
      </c>
      <c r="N280" s="142" t="s">
        <v>1483</v>
      </c>
      <c r="T280" s="14" t="s">
        <v>1274</v>
      </c>
    </row>
    <row r="281" spans="1:23" ht="0.2" customHeight="1" outlineLevel="3" x14ac:dyDescent="0.25">
      <c r="B281" s="192" t="s">
        <v>416</v>
      </c>
      <c r="C281" s="201" t="str">
        <f>IF(C106="","",IFERROR(IF(LEN(RIGHT(C106,LEN(C106)-FIND("^",SUBSTITUTE(C106,"|","^",6))))-LEN(SUBSTITUTE(RIGHT(C106,LEN(C106)-FIND("^",SUBSTITUTE(C106,"|","^",6))),"|",""))=0,RIGHT(C106,LEN(C106)-FIND("^",SUBSTITUTE(C106,"|","^",6))),LEFT(RIGHT(C106,LEN(C106)-FIND("^",SUBSTITUTE(C106,"|","^",6))),FIND("|",RIGHT(C106,LEN(C106)-FIND("^",SUBSTITUTE(C106,"|","^",6))))-1)),""))</f>
        <v/>
      </c>
      <c r="E281" s="18"/>
      <c r="G281" s="18"/>
      <c r="H281" s="18"/>
      <c r="I281" s="145"/>
      <c r="J281" s="145"/>
      <c r="K281" s="145"/>
      <c r="L281" s="14" t="s">
        <v>1417</v>
      </c>
      <c r="M281" s="14" t="s">
        <v>1414</v>
      </c>
      <c r="N281" s="142" t="s">
        <v>1483</v>
      </c>
      <c r="T281" s="14" t="s">
        <v>1275</v>
      </c>
    </row>
    <row r="282" spans="1:23" ht="0.2" customHeight="1" outlineLevel="3" x14ac:dyDescent="0.25">
      <c r="B282" s="192" t="s">
        <v>6</v>
      </c>
      <c r="C282" s="201" t="str">
        <f>IF(C107="","",IFERROR(IF(LEN(RIGHT(C107,LEN(C107)-FIND("^",SUBSTITUTE(C107,"|","^",6))))-LEN(SUBSTITUTE(RIGHT(C107,LEN(C107)-FIND("^",SUBSTITUTE(C107,"|","^",6))),"|",""))=0,RIGHT(C107,LEN(C107)-FIND("^",SUBSTITUTE(C107,"|","^",6))),LEFT(RIGHT(C107,LEN(C107)-FIND("^",SUBSTITUTE(C107,"|","^",6))),FIND("|",RIGHT(C107,LEN(C107)-FIND("^",SUBSTITUTE(C107,"|","^",6))))-1)),""))</f>
        <v/>
      </c>
      <c r="E282" s="18"/>
      <c r="G282" s="18"/>
      <c r="H282" s="18"/>
      <c r="I282" s="145"/>
      <c r="J282" s="145"/>
      <c r="K282" s="145"/>
      <c r="L282" s="14" t="s">
        <v>1417</v>
      </c>
      <c r="M282" s="14" t="s">
        <v>1414</v>
      </c>
      <c r="N282" s="142" t="s">
        <v>1483</v>
      </c>
      <c r="T282" s="14" t="s">
        <v>1276</v>
      </c>
    </row>
    <row r="283" spans="1:23" ht="0.2" customHeight="1" outlineLevel="3" x14ac:dyDescent="0.25">
      <c r="B283" s="192" t="s">
        <v>7</v>
      </c>
      <c r="C283" s="201" t="str">
        <f>IF(C108="","",IFERROR(IF(LEN(RIGHT(C108,LEN(C108)-FIND("^",SUBSTITUTE(C108,"|","^",6))))-LEN(SUBSTITUTE(RIGHT(C108,LEN(C108)-FIND("^",SUBSTITUTE(C108,"|","^",6))),"|",""))=0,RIGHT(C108,LEN(C108)-FIND("^",SUBSTITUTE(C108,"|","^",6))),LEFT(RIGHT(C108,LEN(C108)-FIND("^",SUBSTITUTE(C108,"|","^",6))),FIND("|",RIGHT(C108,LEN(C108)-FIND("^",SUBSTITUTE(C108,"|","^",6))))-1)),""))</f>
        <v/>
      </c>
      <c r="E283" s="18"/>
      <c r="G283" s="18"/>
      <c r="H283" s="18"/>
      <c r="I283" s="145"/>
      <c r="J283" s="145"/>
      <c r="K283" s="145"/>
      <c r="L283" s="14" t="s">
        <v>1417</v>
      </c>
      <c r="M283" s="14" t="s">
        <v>1414</v>
      </c>
      <c r="N283" s="142" t="s">
        <v>1483</v>
      </c>
      <c r="T283" s="14" t="s">
        <v>1277</v>
      </c>
    </row>
    <row r="284" spans="1:23" ht="0.2" customHeight="1" outlineLevel="3" x14ac:dyDescent="0.25">
      <c r="B284" s="192" t="s">
        <v>19</v>
      </c>
      <c r="C284" s="201" t="str">
        <f>IF(C109="","",IFERROR(IF(LEN(RIGHT(C109,LEN(C109)-FIND("^",SUBSTITUTE(C109,"|","^",6))))-LEN(SUBSTITUTE(RIGHT(C109,LEN(C109)-FIND("^",SUBSTITUTE(C109,"|","^",6))),"|",""))=0,RIGHT(C109,LEN(C109)-FIND("^",SUBSTITUTE(C109,"|","^",6))),LEFT(RIGHT(C109,LEN(C109)-FIND("^",SUBSTITUTE(C109,"|","^",6))),FIND("|",RIGHT(C109,LEN(C109)-FIND("^",SUBSTITUTE(C109,"|","^",6))))-1)),""))</f>
        <v/>
      </c>
      <c r="E284" s="18"/>
      <c r="G284" s="18"/>
      <c r="H284" s="18"/>
      <c r="I284" s="145"/>
      <c r="J284" s="145"/>
      <c r="K284" s="145"/>
      <c r="L284" s="14" t="s">
        <v>1417</v>
      </c>
      <c r="M284" s="14" t="s">
        <v>1414</v>
      </c>
      <c r="N284" s="142" t="s">
        <v>1483</v>
      </c>
      <c r="T284" s="14" t="s">
        <v>1278</v>
      </c>
    </row>
    <row r="285" spans="1:23" ht="15" customHeight="1" outlineLevel="2" x14ac:dyDescent="0.25">
      <c r="A285" s="251" t="s">
        <v>2238</v>
      </c>
      <c r="B285" s="251"/>
      <c r="C285" s="252"/>
      <c r="E285" s="155"/>
      <c r="G285" s="253"/>
      <c r="H285" s="254"/>
      <c r="I285" s="255"/>
      <c r="J285" s="154"/>
      <c r="K285" s="7"/>
      <c r="L285" s="155"/>
      <c r="M285" s="155"/>
      <c r="N285" s="155"/>
      <c r="O285" s="155"/>
      <c r="P285" s="155"/>
      <c r="Q285" s="155"/>
      <c r="R285" s="155"/>
      <c r="S285" s="155"/>
      <c r="T285" s="155"/>
      <c r="U285" s="155"/>
      <c r="V285" s="155"/>
      <c r="W285" s="155"/>
    </row>
    <row r="286" spans="1:23" ht="15" customHeight="1" outlineLevel="3" x14ac:dyDescent="0.25">
      <c r="B286" s="9" t="s">
        <v>88</v>
      </c>
      <c r="C286" s="197" t="str">
        <f>IF(C86="","",IFERROR(IF(LEN(RIGHT(C86,LEN(C86)-FIND("^",SUBSTITUTE(C86,"|","^",7))))-LEN(SUBSTITUTE(RIGHT(C86,LEN(C86)-FIND("^",SUBSTITUTE(C86,"|","^",7))),"|",""))=0,RIGHT(C86,LEN(C86)-FIND("^",SUBSTITUTE(C86,"|","^",7))),LEFT(RIGHT(C86,LEN(C86)-FIND("^",SUBSTITUTE(C86,"|","^",7))),FIND("|",RIGHT(C86,LEN(C86)-FIND("^",SUBSTITUTE(C86,"|","^",7))))-1)),""))</f>
        <v/>
      </c>
      <c r="E286" s="2" t="s">
        <v>2171</v>
      </c>
      <c r="G286" s="239" t="s">
        <v>95</v>
      </c>
      <c r="H286" s="14" t="s">
        <v>14</v>
      </c>
      <c r="I286" s="125" t="str">
        <f>IF(I290="","",IF(C286="","#N/A, Input cannot be blank",UPPER(LEFT(C286,20))))</f>
        <v/>
      </c>
      <c r="J286" s="14" t="str">
        <f>IF(LEN(C286)&gt;20,TEXT("Requested dependent#8 last name as:","xxx")&amp;" "&amp; TEXT(C286,"xxxxxxx")&amp;","&amp;" "&amp;TEXT("input into BCBS as:","xxxx")&amp;" "&amp; TEXT(I286,"xxxxxxx")&amp;". ","")</f>
        <v/>
      </c>
      <c r="K286" s="7"/>
      <c r="L286" s="14" t="s">
        <v>1416</v>
      </c>
      <c r="M286" s="142" t="s">
        <v>1129</v>
      </c>
      <c r="N286" s="142" t="s">
        <v>1483</v>
      </c>
      <c r="O286" s="14" t="s">
        <v>1416</v>
      </c>
      <c r="P286" s="142" t="s">
        <v>1129</v>
      </c>
      <c r="Q286" s="142" t="s">
        <v>1593</v>
      </c>
      <c r="T286" s="14" t="s">
        <v>1262</v>
      </c>
    </row>
    <row r="287" spans="1:23" ht="15" customHeight="1" outlineLevel="3" x14ac:dyDescent="0.25">
      <c r="B287" s="192" t="s">
        <v>155</v>
      </c>
      <c r="C287" s="201" t="str">
        <f>IF(C87="","",IFERROR(IF(LEN(RIGHT(C87,LEN(C87)-FIND("^",SUBSTITUTE(C87,"|","^",7))))-LEN(SUBSTITUTE(RIGHT(C87,LEN(C87)-FIND("^",SUBSTITUTE(C87,"|","^",7))),"|",""))=0,RIGHT(C87,LEN(C87)-FIND("^",SUBSTITUTE(C87,"|","^",7))),LEFT(RIGHT(C87,LEN(C87)-FIND("^",SUBSTITUTE(C87,"|","^",7))),FIND("|",RIGHT(C87,LEN(C87)-FIND("^",SUBSTITUTE(C87,"|","^",7))))-1)),""))</f>
        <v/>
      </c>
      <c r="E287" s="14" t="s">
        <v>2172</v>
      </c>
      <c r="G287" s="239" t="s">
        <v>155</v>
      </c>
      <c r="H287" s="14" t="s">
        <v>14</v>
      </c>
      <c r="I287" s="189"/>
      <c r="J287" s="145"/>
      <c r="K287" s="7"/>
      <c r="L287" s="14" t="s">
        <v>1416</v>
      </c>
      <c r="M287" s="142" t="s">
        <v>1129</v>
      </c>
      <c r="N287" s="142" t="s">
        <v>1483</v>
      </c>
      <c r="O287" s="14" t="s">
        <v>1416</v>
      </c>
      <c r="P287" s="14" t="s">
        <v>1415</v>
      </c>
      <c r="Q287" s="142" t="s">
        <v>565</v>
      </c>
      <c r="T287" s="14" t="s">
        <v>1261</v>
      </c>
    </row>
    <row r="288" spans="1:23" ht="15" customHeight="1" outlineLevel="3" x14ac:dyDescent="0.25">
      <c r="B288" s="9" t="s">
        <v>87</v>
      </c>
      <c r="C288" s="197" t="str">
        <f>IF(C88="","",IFERROR(IF(LEN(RIGHT(C88,LEN(C88)-FIND("^",SUBSTITUTE(C88,"|","^",7))))-LEN(SUBSTITUTE(RIGHT(C88,LEN(C88)-FIND("^",SUBSTITUTE(C88,"|","^",7))),"|",""))=0,RIGHT(C88,LEN(C88)-FIND("^",SUBSTITUTE(C88,"|","^",7))),LEFT(RIGHT(C88,LEN(C88)-FIND("^",SUBSTITUTE(C88,"|","^",7))),FIND("|",RIGHT(C88,LEN(C88)-FIND("^",SUBSTITUTE(C88,"|","^",7))))-1)),""))</f>
        <v/>
      </c>
      <c r="E288" s="2" t="s">
        <v>2170</v>
      </c>
      <c r="G288" s="239" t="s">
        <v>93</v>
      </c>
      <c r="H288" s="14" t="s">
        <v>14</v>
      </c>
      <c r="I288" s="125" t="str">
        <f>IF(I290="","",IF(C288="","#N/A, Input cannot be blank",UPPER(LEFT(C288,20))))</f>
        <v/>
      </c>
      <c r="J288" s="125" t="str">
        <f>IF(LEN(C288)&gt;20,TEXT("Requested dependent#8 first name as:","xxx")&amp;" "&amp; TEXT(C288,"xxxxxxx")&amp;","&amp;" "&amp; TEXT("input into BCBS as:","xxxx")&amp;" "&amp; TEXT(I288,"xxxxxxx")&amp;". ","")</f>
        <v/>
      </c>
      <c r="K288" s="7"/>
      <c r="L288" s="14" t="s">
        <v>1416</v>
      </c>
      <c r="M288" s="142" t="s">
        <v>1129</v>
      </c>
      <c r="N288" s="142" t="s">
        <v>1483</v>
      </c>
      <c r="O288" s="14" t="s">
        <v>1416</v>
      </c>
      <c r="P288" s="142" t="s">
        <v>1129</v>
      </c>
      <c r="Q288" s="142" t="s">
        <v>1593</v>
      </c>
      <c r="T288" s="14" t="s">
        <v>1260</v>
      </c>
    </row>
    <row r="289" spans="2:20" ht="15" customHeight="1" outlineLevel="3" x14ac:dyDescent="0.25">
      <c r="B289" s="9" t="s">
        <v>552</v>
      </c>
      <c r="C289" s="197" t="str">
        <f>IF(C89="","",IFERROR(LEFT(RIGHT(C89,LEN(C89)-FIND("^",SUBSTITUTE(C89,"|","^",7))),1),""))</f>
        <v/>
      </c>
      <c r="E289" s="14" t="s">
        <v>547</v>
      </c>
      <c r="G289" s="239" t="s">
        <v>94</v>
      </c>
      <c r="H289" s="14" t="s">
        <v>14</v>
      </c>
      <c r="I289" s="125" t="str">
        <f>IF(OR(I290="",C289=""),"",UPPER(LEFT(C289,1)))</f>
        <v/>
      </c>
      <c r="J289" s="145"/>
      <c r="K289" s="7"/>
      <c r="L289" s="14" t="s">
        <v>1416</v>
      </c>
      <c r="M289" s="142" t="s">
        <v>1129</v>
      </c>
      <c r="N289" s="142" t="s">
        <v>1483</v>
      </c>
      <c r="O289" s="14" t="s">
        <v>1416</v>
      </c>
      <c r="P289" s="142" t="s">
        <v>1129</v>
      </c>
      <c r="Q289" s="142" t="s">
        <v>1593</v>
      </c>
      <c r="T289" s="14" t="s">
        <v>1596</v>
      </c>
    </row>
    <row r="290" spans="2:20" ht="30" customHeight="1" outlineLevel="3" x14ac:dyDescent="0.25">
      <c r="B290" s="9" t="s">
        <v>26</v>
      </c>
      <c r="C290" s="200" t="str">
        <f>IF(C90="","",IFERROR(IF(LEN(RIGHT(C90,LEN(C90)-FIND("^",SUBSTITUTE(C90,"|","^",7))))-LEN(SUBSTITUTE(RIGHT(C90,LEN(C90)-FIND("^",SUBSTITUTE(C90,"|","^",7))),"|",""))=0,RIGHT(C90,LEN(C90)-FIND("^",SUBSTITUTE(C90,"|","^",7))),LEFT(RIGHT(C90,LEN(C90)-FIND("^",SUBSTITUTE(C90,"|","^",7))),FIND("|",RIGHT(C90,LEN(C90)-FIND("^",SUBSTITUTE(C90,"|","^",7))))-1)),""))</f>
        <v/>
      </c>
      <c r="E290" s="14" t="s">
        <v>2200</v>
      </c>
      <c r="G290" s="239" t="s">
        <v>123</v>
      </c>
      <c r="H290" s="14" t="s">
        <v>29</v>
      </c>
      <c r="I290" s="125" t="str">
        <f>IF(C286="","",IF(OR($I$69="Y",$I$79="Y"),IF(C290="","#N/A, Input cannot be blank",IF($C$44="",INDEX('Dropdown list'!$AD:$AD,MATCH(C290,'Dropdown list'!$AC:$AC,0),1),IF(C290="Child",IF(OR(ISNUMBER(MATCH(SUBSTITUTE($C$69," (Pending)",""),'Dropdown list'!$AL:$AL,0)),ISNUMBER(MATCH(SUBSTITUTE($C$79," (Pending)",""),'Dropdown list'!$AL:$AL,0))),INDEX('Dropdown list'!$AH:$AH,MATCH(C291&amp;C292,'Dropdown list'!$AG:$AG,0),1),""),IF(C290="Spouse",IF(OR(ISNUMBER(MATCH(SUBSTITUTE($C$69," (Pending)",""),'Dropdown list'!$AM:$AM,0)),ISNUMBER(MATCH(SUBSTITUTE($C$79," (Pending)",""),'Dropdown list'!$AM:$AM,0))),"Spouse",""),IF(C290="Domestic Partner",IF(OR(ISNUMBER(MATCH(SUBSTITUTE($C$69," (Pending)",""),'Dropdown list'!$AN:$AN,0)),ISNUMBER(MATCH(SUBSTITUTE($C$79," (Pending)",""),'Dropdown list'!$AN:$AN,0))),"Domestic Partner",""),INDEX('Dropdown list'!$AK:$AK,MATCH(C290,'Dropdown list'!$AJ:$AJ,0),1)))))),""))</f>
        <v/>
      </c>
      <c r="J290" s="145"/>
      <c r="K290" s="145"/>
      <c r="L290" s="14" t="s">
        <v>1416</v>
      </c>
      <c r="M290" s="142" t="s">
        <v>1129</v>
      </c>
      <c r="N290" s="142" t="s">
        <v>1483</v>
      </c>
      <c r="O290" s="14" t="s">
        <v>1416</v>
      </c>
      <c r="P290" s="142" t="s">
        <v>1129</v>
      </c>
      <c r="Q290" s="142" t="s">
        <v>1594</v>
      </c>
      <c r="T290" s="14" t="s">
        <v>1595</v>
      </c>
    </row>
    <row r="291" spans="2:20" ht="0.2" customHeight="1" outlineLevel="3" x14ac:dyDescent="0.25">
      <c r="B291" s="192" t="s">
        <v>79</v>
      </c>
      <c r="C291" s="201" t="str">
        <f>IF(C91="","",IFERROR(IF(LEN(RIGHT(C91,LEN(C91)-FIND("^",SUBSTITUTE(C91,"|","^",7))))-LEN(SUBSTITUTE(RIGHT(C91,LEN(C91)-FIND("^",SUBSTITUTE(C91,"|","^",7))),"|",""))=0,RIGHT(C91,LEN(C91)-FIND("^",SUBSTITUTE(C91,"|","^",7))),LEFT(RIGHT(C91,LEN(C91)-FIND("^",SUBSTITUTE(C91,"|","^",7))),FIND("|",RIGHT(C91,LEN(C91)-FIND("^",SUBSTITUTE(C91,"|","^",7))))-1)),""))</f>
        <v/>
      </c>
      <c r="E291" s="14" t="s">
        <v>2191</v>
      </c>
      <c r="H291" s="1"/>
      <c r="I291" s="1"/>
      <c r="J291" s="1"/>
      <c r="K291" s="7"/>
      <c r="L291" s="14" t="s">
        <v>1416</v>
      </c>
      <c r="M291" s="142" t="s">
        <v>1129</v>
      </c>
      <c r="N291" s="142" t="s">
        <v>1483</v>
      </c>
      <c r="T291" s="14" t="s">
        <v>1597</v>
      </c>
    </row>
    <row r="292" spans="2:20" ht="0.2" customHeight="1" outlineLevel="3" x14ac:dyDescent="0.25">
      <c r="B292" s="192" t="s">
        <v>409</v>
      </c>
      <c r="C292" s="201" t="str">
        <f>IF(C92="","",IFERROR(IF(LEN(RIGHT(C92,LEN(C92)-FIND("^",SUBSTITUTE(C92,"|","^",7))))-LEN(SUBSTITUTE(RIGHT(C92,LEN(C92)-FIND("^",SUBSTITUTE(C92,"|","^",7))),"|",""))=0,RIGHT(C92,LEN(C92)-FIND("^",SUBSTITUTE(C92,"|","^",7))),LEFT(RIGHT(C92,LEN(C92)-FIND("^",SUBSTITUTE(C92,"|","^",7))),FIND("|",RIGHT(C92,LEN(C92)-FIND("^",SUBSTITUTE(C92,"|","^",7))))-1)),""))</f>
        <v/>
      </c>
      <c r="E292" s="14"/>
      <c r="H292" s="1"/>
      <c r="I292" s="1"/>
      <c r="J292" s="1"/>
      <c r="K292" s="7"/>
      <c r="L292" s="14" t="s">
        <v>1416</v>
      </c>
      <c r="M292" s="142" t="s">
        <v>1129</v>
      </c>
      <c r="N292" s="142" t="s">
        <v>1483</v>
      </c>
      <c r="T292" s="14" t="s">
        <v>1280</v>
      </c>
    </row>
    <row r="293" spans="2:20" ht="15" customHeight="1" outlineLevel="3" x14ac:dyDescent="0.25">
      <c r="B293" s="9" t="s">
        <v>2</v>
      </c>
      <c r="C293" s="197" t="str">
        <f>IF(C93="","",IFERROR(IF(LEN(RIGHT(C93,LEN(C93)-FIND("^",SUBSTITUTE(C93,"|","^",7))))-LEN(SUBSTITUTE(RIGHT(C93,LEN(C93)-FIND("^",SUBSTITUTE(C93,"|","^",7))),"|",""))=0,RIGHT(C93,LEN(C93)-FIND("^",SUBSTITUTE(C93,"|","^",7))),LEFT(RIGHT(C93,LEN(C93)-FIND("^",SUBSTITUTE(C93,"|","^",7))),FIND("|",RIGHT(C93,LEN(C93)-FIND("^",SUBSTITUTE(C93,"|","^",7))))-1)),""))</f>
        <v/>
      </c>
      <c r="E293" s="14" t="s">
        <v>553</v>
      </c>
      <c r="G293" s="239" t="s">
        <v>96</v>
      </c>
      <c r="H293" s="14" t="s">
        <v>29</v>
      </c>
      <c r="I293" s="125" t="str">
        <f>IF(I290="","",IF(C293="","#N/A, Input cannot be blank",IF(C293="M", "Male",IF(C293="F","Female","#N/A, Unidentified Gender"))))</f>
        <v/>
      </c>
      <c r="J293" s="145"/>
      <c r="K293" s="145"/>
      <c r="L293" s="14" t="s">
        <v>1416</v>
      </c>
      <c r="M293" s="142" t="s">
        <v>1129</v>
      </c>
      <c r="N293" s="142" t="s">
        <v>1483</v>
      </c>
      <c r="O293" s="14" t="s">
        <v>1416</v>
      </c>
      <c r="P293" s="142" t="s">
        <v>1129</v>
      </c>
      <c r="Q293" s="142" t="s">
        <v>1598</v>
      </c>
      <c r="T293" s="14" t="s">
        <v>1259</v>
      </c>
    </row>
    <row r="294" spans="2:20" ht="15" customHeight="1" outlineLevel="3" x14ac:dyDescent="0.25">
      <c r="B294" s="192" t="str">
        <f>G294</f>
        <v>Other Dependent:</v>
      </c>
      <c r="C294" s="201"/>
      <c r="E294" s="14" t="s">
        <v>2189</v>
      </c>
      <c r="G294" s="239" t="s">
        <v>440</v>
      </c>
      <c r="H294" s="14" t="s">
        <v>29</v>
      </c>
      <c r="I294" s="189"/>
      <c r="J294" s="145"/>
      <c r="K294" s="145"/>
      <c r="L294" s="14" t="s">
        <v>1416</v>
      </c>
      <c r="M294" s="14" t="s">
        <v>1415</v>
      </c>
      <c r="N294" s="142" t="s">
        <v>565</v>
      </c>
      <c r="O294" s="14" t="s">
        <v>1416</v>
      </c>
      <c r="P294" s="14" t="s">
        <v>1415</v>
      </c>
      <c r="Q294" s="142" t="s">
        <v>565</v>
      </c>
      <c r="T294" s="14" t="s">
        <v>1279</v>
      </c>
    </row>
    <row r="295" spans="2:20" ht="15" customHeight="1" outlineLevel="3" x14ac:dyDescent="0.25">
      <c r="B295" s="9" t="s">
        <v>8</v>
      </c>
      <c r="C295" s="197" t="str">
        <f>IF(C95="","",IFERROR(IF(LEN(RIGHT(C95,LEN(C95)-FIND("^",SUBSTITUTE(C95,"|","^",7))))-LEN(SUBSTITUTE(RIGHT(C95,LEN(C95)-FIND("^",SUBSTITUTE(C95,"|","^",7))),"|",""))=0,RIGHT(C95,LEN(C95)-FIND("^",SUBSTITUTE(C95,"|","^",7))),LEFT(RIGHT(C95,LEN(C95)-FIND("^",SUBSTITUTE(C95,"|","^",7))),FIND("|",RIGHT(C95,LEN(C95)-FIND("^",SUBSTITUTE(C95,"|","^",7))))-1)),""))</f>
        <v/>
      </c>
      <c r="G295" s="239" t="s">
        <v>125</v>
      </c>
      <c r="H295" s="14" t="s">
        <v>14</v>
      </c>
      <c r="I295" s="125" t="str">
        <f>IF(I290="","",IF(C295="","#N/A, Input cannot be blank",IFERROR(TEXT(EDATE(C295,0),"MM/DD/YYYY"),"#N/A, Please enter a date format")))</f>
        <v/>
      </c>
      <c r="J295" s="145"/>
      <c r="K295" s="145"/>
      <c r="L295" s="14" t="s">
        <v>1416</v>
      </c>
      <c r="M295" s="142" t="s">
        <v>1129</v>
      </c>
      <c r="N295" s="142" t="s">
        <v>1483</v>
      </c>
      <c r="O295" s="14" t="s">
        <v>1416</v>
      </c>
      <c r="P295" s="142" t="s">
        <v>1129</v>
      </c>
      <c r="Q295" s="14" t="s">
        <v>1508</v>
      </c>
      <c r="T295" s="14" t="s">
        <v>1258</v>
      </c>
    </row>
    <row r="296" spans="2:20" ht="15" customHeight="1" outlineLevel="3" x14ac:dyDescent="0.25">
      <c r="B296" s="9" t="s">
        <v>3</v>
      </c>
      <c r="C296" s="197" t="str">
        <f>IF(C96="","",IFERROR(IF(LEN(RIGHT(C96,LEN(C96)-FIND("^",SUBSTITUTE(C96,"|","^",7))))-LEN(SUBSTITUTE(RIGHT(C96,LEN(C96)-FIND("^",SUBSTITUTE(C96,"|","^",7))),"|",""))=0,RIGHT(C96,LEN(C96)-FIND("^",SUBSTITUTE(C96,"|","^",7))),LEFT(RIGHT(C96,LEN(C96)-FIND("^",SUBSTITUTE(C96,"|","^",7))),FIND("|",RIGHT(C96,LEN(C96)-FIND("^",SUBSTITUTE(C96,"|","^",7))))-1)),""))</f>
        <v/>
      </c>
      <c r="E296" s="14" t="s">
        <v>547</v>
      </c>
      <c r="G296" s="239" t="s">
        <v>97</v>
      </c>
      <c r="H296" s="14" t="s">
        <v>14</v>
      </c>
      <c r="I296" s="125" t="str">
        <f>IF(C296=" ",C296,IF(OR(I290="",C296=""),"",IF(LEN(SUBSTITUTE(C296,"-",""))=9,SUBSTITUTE(C296,"-",""),"#N/A, SSN# must be 9 digits")))</f>
        <v/>
      </c>
      <c r="J296" s="145"/>
      <c r="K296" s="145"/>
      <c r="L296" s="14" t="s">
        <v>1416</v>
      </c>
      <c r="M296" s="142" t="s">
        <v>1129</v>
      </c>
      <c r="N296" s="142" t="s">
        <v>1483</v>
      </c>
      <c r="O296" s="14" t="s">
        <v>1416</v>
      </c>
      <c r="P296" s="142" t="s">
        <v>1129</v>
      </c>
      <c r="Q296" s="14" t="s">
        <v>1518</v>
      </c>
      <c r="T296" s="14" t="s">
        <v>1230</v>
      </c>
    </row>
    <row r="297" spans="2:20" ht="15" customHeight="1" outlineLevel="3" x14ac:dyDescent="0.25">
      <c r="B297" s="192" t="str">
        <f t="shared" ref="B297:B302" si="10">G297</f>
        <v>Multiple Birth:</v>
      </c>
      <c r="C297" s="201"/>
      <c r="E297" s="14" t="s">
        <v>2189</v>
      </c>
      <c r="G297" s="239" t="s">
        <v>506</v>
      </c>
      <c r="H297" s="14" t="s">
        <v>559</v>
      </c>
      <c r="I297" s="237"/>
      <c r="J297" s="145"/>
      <c r="K297" s="145"/>
      <c r="L297" s="14" t="s">
        <v>1416</v>
      </c>
      <c r="M297" s="14" t="s">
        <v>1415</v>
      </c>
      <c r="N297" s="142" t="s">
        <v>565</v>
      </c>
      <c r="O297" s="14" t="s">
        <v>1416</v>
      </c>
      <c r="P297" s="14" t="s">
        <v>1415</v>
      </c>
      <c r="Q297" s="142" t="s">
        <v>565</v>
      </c>
      <c r="T297" s="14" t="s">
        <v>1264</v>
      </c>
    </row>
    <row r="298" spans="2:20" ht="15" customHeight="1" outlineLevel="3" x14ac:dyDescent="0.25">
      <c r="B298" s="192" t="str">
        <f t="shared" si="10"/>
        <v>Native Language:</v>
      </c>
      <c r="C298" s="201"/>
      <c r="E298" s="14" t="s">
        <v>2175</v>
      </c>
      <c r="G298" s="239" t="s">
        <v>484</v>
      </c>
      <c r="H298" s="14" t="s">
        <v>29</v>
      </c>
      <c r="I298" s="237" t="str">
        <f>IF(I290="","","English")</f>
        <v/>
      </c>
      <c r="J298" s="145"/>
      <c r="K298" s="145"/>
      <c r="L298" s="14" t="s">
        <v>1416</v>
      </c>
      <c r="M298" s="14" t="s">
        <v>1415</v>
      </c>
      <c r="N298" s="142" t="s">
        <v>565</v>
      </c>
      <c r="O298" s="14" t="s">
        <v>1416</v>
      </c>
      <c r="P298" s="14" t="s">
        <v>1415</v>
      </c>
      <c r="Q298" s="142" t="s">
        <v>1430</v>
      </c>
      <c r="T298" s="14" t="s">
        <v>1263</v>
      </c>
    </row>
    <row r="299" spans="2:20" ht="15" customHeight="1" outlineLevel="3" x14ac:dyDescent="0.25">
      <c r="B299" s="192" t="str">
        <f t="shared" si="10"/>
        <v>Preferred Written Language:</v>
      </c>
      <c r="C299" s="201"/>
      <c r="E299" s="14" t="s">
        <v>2175</v>
      </c>
      <c r="G299" s="239" t="s">
        <v>486</v>
      </c>
      <c r="H299" s="14" t="s">
        <v>29</v>
      </c>
      <c r="I299" s="237" t="str">
        <f>IF(I290="","","English")</f>
        <v/>
      </c>
      <c r="J299" s="145"/>
      <c r="K299" s="145"/>
      <c r="L299" s="14" t="s">
        <v>1416</v>
      </c>
      <c r="M299" s="14" t="s">
        <v>1415</v>
      </c>
      <c r="N299" s="142" t="s">
        <v>565</v>
      </c>
      <c r="O299" s="14" t="s">
        <v>1416</v>
      </c>
      <c r="P299" s="14" t="s">
        <v>1415</v>
      </c>
      <c r="Q299" s="142" t="s">
        <v>1430</v>
      </c>
      <c r="T299" s="14" t="s">
        <v>1265</v>
      </c>
    </row>
    <row r="300" spans="2:20" ht="15" customHeight="1" outlineLevel="3" x14ac:dyDescent="0.25">
      <c r="B300" s="192" t="str">
        <f t="shared" si="10"/>
        <v>Preferred Spoken Language:</v>
      </c>
      <c r="C300" s="201"/>
      <c r="E300" s="14" t="s">
        <v>2175</v>
      </c>
      <c r="G300" s="239" t="s">
        <v>487</v>
      </c>
      <c r="H300" s="14" t="s">
        <v>29</v>
      </c>
      <c r="I300" s="237" t="str">
        <f>IF(I290="","","English")</f>
        <v/>
      </c>
      <c r="J300" s="145"/>
      <c r="K300" s="145"/>
      <c r="L300" s="14" t="s">
        <v>1416</v>
      </c>
      <c r="M300" s="14" t="s">
        <v>1415</v>
      </c>
      <c r="N300" s="142" t="s">
        <v>565</v>
      </c>
      <c r="O300" s="14" t="s">
        <v>1416</v>
      </c>
      <c r="P300" s="14" t="s">
        <v>1415</v>
      </c>
      <c r="Q300" s="142" t="s">
        <v>1430</v>
      </c>
      <c r="T300" s="14" t="s">
        <v>1266</v>
      </c>
    </row>
    <row r="301" spans="2:20" ht="15" customHeight="1" outlineLevel="3" x14ac:dyDescent="0.25">
      <c r="B301" s="192" t="str">
        <f t="shared" si="10"/>
        <v>Ethnicity (select all that apply):</v>
      </c>
      <c r="C301" s="201"/>
      <c r="E301" s="14" t="s">
        <v>2173</v>
      </c>
      <c r="G301" s="220" t="s">
        <v>488</v>
      </c>
      <c r="H301" s="14" t="s">
        <v>558</v>
      </c>
      <c r="I301" s="237" t="str">
        <f>IF(I290="","","Unknown")</f>
        <v/>
      </c>
      <c r="J301" s="145"/>
      <c r="K301" s="145"/>
      <c r="L301" s="14" t="s">
        <v>1416</v>
      </c>
      <c r="M301" s="14" t="s">
        <v>1415</v>
      </c>
      <c r="N301" s="142" t="s">
        <v>565</v>
      </c>
      <c r="O301" s="14" t="s">
        <v>1416</v>
      </c>
      <c r="P301" s="14" t="s">
        <v>1415</v>
      </c>
      <c r="Q301" s="142" t="s">
        <v>1431</v>
      </c>
      <c r="T301" s="14" t="s">
        <v>1267</v>
      </c>
    </row>
    <row r="302" spans="2:20" ht="15" customHeight="1" outlineLevel="3" x14ac:dyDescent="0.25">
      <c r="B302" s="192" t="str">
        <f t="shared" si="10"/>
        <v>Race (select all that apply):</v>
      </c>
      <c r="C302" s="201"/>
      <c r="E302" s="14" t="s">
        <v>2173</v>
      </c>
      <c r="G302" s="239" t="s">
        <v>492</v>
      </c>
      <c r="H302" s="14" t="s">
        <v>558</v>
      </c>
      <c r="I302" s="237" t="str">
        <f>IF(I290="","","Unknown")</f>
        <v/>
      </c>
      <c r="J302" s="145"/>
      <c r="K302" s="145"/>
      <c r="L302" s="14" t="s">
        <v>1416</v>
      </c>
      <c r="M302" s="14" t="s">
        <v>1415</v>
      </c>
      <c r="N302" s="142" t="s">
        <v>565</v>
      </c>
      <c r="O302" s="14" t="s">
        <v>1416</v>
      </c>
      <c r="P302" s="14" t="s">
        <v>1415</v>
      </c>
      <c r="Q302" s="142" t="s">
        <v>1431</v>
      </c>
      <c r="T302" s="14" t="s">
        <v>1271</v>
      </c>
    </row>
    <row r="303" spans="2:20" ht="30" customHeight="1" outlineLevel="3" x14ac:dyDescent="0.25">
      <c r="B303" s="192" t="s">
        <v>412</v>
      </c>
      <c r="C303" s="201" t="str">
        <f>IF(C103="","",IFERROR(IF(LEN(RIGHT(C103,LEN(C103)-FIND("^",SUBSTITUTE(C103,"|","^",7))))-LEN(SUBSTITUTE(RIGHT(C103,LEN(C103)-FIND("^",SUBSTITUTE(C103,"|","^",7))),"|",""))=0,RIGHT(C103,LEN(C103)-FIND("^",SUBSTITUTE(C103,"|","^",7))),LEFT(RIGHT(C103,LEN(C103)-FIND("^",SUBSTITUTE(C103,"|","^",7))),FIND("|",RIGHT(C103,LEN(C103)-FIND("^",SUBSTITUTE(C103,"|","^",7))))-1)),""))</f>
        <v/>
      </c>
      <c r="E303" s="14" t="s">
        <v>2190</v>
      </c>
      <c r="G303" s="239" t="s">
        <v>537</v>
      </c>
      <c r="H303" s="14" t="s">
        <v>559</v>
      </c>
      <c r="I303" s="150" t="str">
        <f>IF(I290="","",IF(OR(C303="",C303="No"),"No","Yes"))</f>
        <v/>
      </c>
      <c r="J303" s="145" t="str">
        <f>IF(I303="Yes", "Medicare Eligible is Yes for EN request for Dependent#8, please change ‘Medicare information’ to 'Yes'  and select Eligible in Dep Medicare tab in BCBS if needed. ","")</f>
        <v/>
      </c>
      <c r="K303" s="145"/>
      <c r="L303" s="14" t="s">
        <v>1417</v>
      </c>
      <c r="M303" s="14" t="s">
        <v>1414</v>
      </c>
      <c r="N303" s="142" t="s">
        <v>1483</v>
      </c>
      <c r="O303" s="14" t="s">
        <v>1416</v>
      </c>
      <c r="P303" s="14" t="s">
        <v>1415</v>
      </c>
      <c r="Q303" s="142" t="s">
        <v>1432</v>
      </c>
      <c r="T303" s="14" t="s">
        <v>1272</v>
      </c>
    </row>
    <row r="304" spans="2:20" ht="30" customHeight="1" outlineLevel="3" x14ac:dyDescent="0.25">
      <c r="B304" s="192" t="str">
        <f>G304</f>
        <v>Different address information than the employee?</v>
      </c>
      <c r="C304" s="201"/>
      <c r="E304" s="14" t="s">
        <v>2190</v>
      </c>
      <c r="G304" s="239" t="s">
        <v>508</v>
      </c>
      <c r="H304" s="14" t="s">
        <v>559</v>
      </c>
      <c r="I304" s="150" t="str">
        <f>IF(I290="","",IF(OR(C305="",TRIM(C305)&amp;TRIM(C306)&amp;TRIM(C307)&amp;TRIM(C308)&amp;TRIM(C309)=TRIM($C$48)&amp;TRIM($C$49)&amp;TRIM($C$50)&amp;TRIM($C$51)&amp;TRIM($C$52)),"No","Yes"))</f>
        <v/>
      </c>
      <c r="J304" s="145" t="str">
        <f>IF(I304="Yes", "Dependent have separate address for EN request for Dependen#8, please change ‘Different address information than the employee' to 'Yes' and update different address in Dep Address tab in BCBS if needed. ","")</f>
        <v/>
      </c>
      <c r="K304" s="145"/>
      <c r="L304" s="14" t="s">
        <v>1417</v>
      </c>
      <c r="M304" s="14" t="s">
        <v>1129</v>
      </c>
      <c r="N304" s="142" t="s">
        <v>1484</v>
      </c>
      <c r="O304" s="14" t="s">
        <v>1416</v>
      </c>
      <c r="P304" s="14" t="s">
        <v>1415</v>
      </c>
      <c r="Q304" s="142" t="s">
        <v>1432</v>
      </c>
      <c r="T304" s="14" t="s">
        <v>1273</v>
      </c>
    </row>
    <row r="305" spans="1:23" ht="0.2" customHeight="1" outlineLevel="3" x14ac:dyDescent="0.25">
      <c r="B305" s="192" t="s">
        <v>414</v>
      </c>
      <c r="C305" s="201" t="str">
        <f>IF(C105="","",IFERROR(IF(LEN(RIGHT(C105,LEN(C105)-FIND("^",SUBSTITUTE(C105,"|","^",7))))-LEN(SUBSTITUTE(RIGHT(C105,LEN(C105)-FIND("^",SUBSTITUTE(C105,"|","^",7))),"|",""))=0,RIGHT(C105,LEN(C105)-FIND("^",SUBSTITUTE(C105,"|","^",7))),LEFT(RIGHT(C105,LEN(C105)-FIND("^",SUBSTITUTE(C105,"|","^",7))),FIND("|",RIGHT(C105,LEN(C105)-FIND("^",SUBSTITUTE(C105,"|","^",7))))-1)),""))</f>
        <v/>
      </c>
      <c r="E305" s="18"/>
      <c r="G305" s="18"/>
      <c r="H305" s="18"/>
      <c r="I305" s="145"/>
      <c r="J305" s="145"/>
      <c r="K305" s="145"/>
      <c r="L305" s="14" t="s">
        <v>1417</v>
      </c>
      <c r="M305" s="14" t="s">
        <v>1414</v>
      </c>
      <c r="N305" s="142" t="s">
        <v>1483</v>
      </c>
      <c r="T305" s="14" t="s">
        <v>1274</v>
      </c>
    </row>
    <row r="306" spans="1:23" ht="0.2" customHeight="1" outlineLevel="3" x14ac:dyDescent="0.25">
      <c r="B306" s="192" t="s">
        <v>416</v>
      </c>
      <c r="C306" s="201" t="str">
        <f>IF(C106="","",IFERROR(IF(LEN(RIGHT(C106,LEN(C106)-FIND("^",SUBSTITUTE(C106,"|","^",7))))-LEN(SUBSTITUTE(RIGHT(C106,LEN(C106)-FIND("^",SUBSTITUTE(C106,"|","^",7))),"|",""))=0,RIGHT(C106,LEN(C106)-FIND("^",SUBSTITUTE(C106,"|","^",7))),LEFT(RIGHT(C106,LEN(C106)-FIND("^",SUBSTITUTE(C106,"|","^",7))),FIND("|",RIGHT(C106,LEN(C106)-FIND("^",SUBSTITUTE(C106,"|","^",7))))-1)),""))</f>
        <v/>
      </c>
      <c r="E306" s="18"/>
      <c r="G306" s="18"/>
      <c r="H306" s="18"/>
      <c r="I306" s="145"/>
      <c r="J306" s="145"/>
      <c r="K306" s="145"/>
      <c r="L306" s="14" t="s">
        <v>1417</v>
      </c>
      <c r="M306" s="14" t="s">
        <v>1414</v>
      </c>
      <c r="N306" s="142" t="s">
        <v>1483</v>
      </c>
      <c r="T306" s="14" t="s">
        <v>1275</v>
      </c>
    </row>
    <row r="307" spans="1:23" ht="0.2" customHeight="1" outlineLevel="3" x14ac:dyDescent="0.25">
      <c r="B307" s="192" t="s">
        <v>6</v>
      </c>
      <c r="C307" s="201" t="str">
        <f>IF(C107="","",IFERROR(IF(LEN(RIGHT(C107,LEN(C107)-FIND("^",SUBSTITUTE(C107,"|","^",7))))-LEN(SUBSTITUTE(RIGHT(C107,LEN(C107)-FIND("^",SUBSTITUTE(C107,"|","^",7))),"|",""))=0,RIGHT(C107,LEN(C107)-FIND("^",SUBSTITUTE(C107,"|","^",7))),LEFT(RIGHT(C107,LEN(C107)-FIND("^",SUBSTITUTE(C107,"|","^",7))),FIND("|",RIGHT(C107,LEN(C107)-FIND("^",SUBSTITUTE(C107,"|","^",7))))-1)),""))</f>
        <v/>
      </c>
      <c r="E307" s="18"/>
      <c r="G307" s="18"/>
      <c r="H307" s="18"/>
      <c r="I307" s="145"/>
      <c r="J307" s="145"/>
      <c r="K307" s="145"/>
      <c r="L307" s="14" t="s">
        <v>1417</v>
      </c>
      <c r="M307" s="14" t="s">
        <v>1414</v>
      </c>
      <c r="N307" s="142" t="s">
        <v>1483</v>
      </c>
      <c r="T307" s="14" t="s">
        <v>1276</v>
      </c>
    </row>
    <row r="308" spans="1:23" ht="0.2" customHeight="1" outlineLevel="3" x14ac:dyDescent="0.25">
      <c r="B308" s="192" t="s">
        <v>7</v>
      </c>
      <c r="C308" s="201" t="str">
        <f>IF(C108="","",IFERROR(IF(LEN(RIGHT(C108,LEN(C108)-FIND("^",SUBSTITUTE(C108,"|","^",7))))-LEN(SUBSTITUTE(RIGHT(C108,LEN(C108)-FIND("^",SUBSTITUTE(C108,"|","^",7))),"|",""))=0,RIGHT(C108,LEN(C108)-FIND("^",SUBSTITUTE(C108,"|","^",7))),LEFT(RIGHT(C108,LEN(C108)-FIND("^",SUBSTITUTE(C108,"|","^",7))),FIND("|",RIGHT(C108,LEN(C108)-FIND("^",SUBSTITUTE(C108,"|","^",7))))-1)),""))</f>
        <v/>
      </c>
      <c r="E308" s="18"/>
      <c r="G308" s="18"/>
      <c r="H308" s="18"/>
      <c r="I308" s="145"/>
      <c r="J308" s="145"/>
      <c r="K308" s="145"/>
      <c r="L308" s="14" t="s">
        <v>1417</v>
      </c>
      <c r="M308" s="14" t="s">
        <v>1414</v>
      </c>
      <c r="N308" s="142" t="s">
        <v>1483</v>
      </c>
      <c r="T308" s="14" t="s">
        <v>1277</v>
      </c>
    </row>
    <row r="309" spans="1:23" ht="0.2" customHeight="1" outlineLevel="3" x14ac:dyDescent="0.25">
      <c r="B309" s="192" t="s">
        <v>19</v>
      </c>
      <c r="C309" s="201" t="str">
        <f>IF(C109="","",IFERROR(IF(LEN(RIGHT(C109,LEN(C109)-FIND("^",SUBSTITUTE(C109,"|","^",7))))-LEN(SUBSTITUTE(RIGHT(C109,LEN(C109)-FIND("^",SUBSTITUTE(C109,"|","^",7))),"|",""))=0,RIGHT(C109,LEN(C109)-FIND("^",SUBSTITUTE(C109,"|","^",7))),LEFT(RIGHT(C109,LEN(C109)-FIND("^",SUBSTITUTE(C109,"|","^",7))),FIND("|",RIGHT(C109,LEN(C109)-FIND("^",SUBSTITUTE(C109,"|","^",7))))-1)),""))</f>
        <v/>
      </c>
      <c r="E309" s="18"/>
      <c r="G309" s="18"/>
      <c r="H309" s="18"/>
      <c r="I309" s="145"/>
      <c r="J309" s="145"/>
      <c r="K309" s="145"/>
      <c r="L309" s="14" t="s">
        <v>1417</v>
      </c>
      <c r="M309" s="14" t="s">
        <v>1414</v>
      </c>
      <c r="N309" s="142" t="s">
        <v>1483</v>
      </c>
      <c r="T309" s="14" t="s">
        <v>1278</v>
      </c>
    </row>
    <row r="310" spans="1:23" ht="15" customHeight="1" outlineLevel="2" x14ac:dyDescent="0.25">
      <c r="A310" s="251" t="s">
        <v>1635</v>
      </c>
      <c r="B310" s="251"/>
      <c r="C310" s="252"/>
      <c r="E310" s="155"/>
      <c r="G310" s="251"/>
      <c r="H310" s="251"/>
      <c r="I310" s="252"/>
      <c r="J310" s="154"/>
      <c r="K310" s="7"/>
      <c r="L310" s="7"/>
      <c r="M310" s="7"/>
      <c r="N310" s="7"/>
      <c r="O310" s="7"/>
      <c r="P310" s="7"/>
      <c r="Q310" s="7"/>
      <c r="R310" s="7"/>
      <c r="S310" s="7"/>
      <c r="T310" s="7"/>
      <c r="U310" s="7"/>
      <c r="V310" s="7"/>
      <c r="W310" s="7"/>
    </row>
    <row r="311" spans="1:23" ht="15" customHeight="1" outlineLevel="3" x14ac:dyDescent="0.25">
      <c r="B311" s="9" t="s">
        <v>88</v>
      </c>
      <c r="C311" s="197" t="str">
        <f>IF(C86="","",IFERROR(IF(LEN(RIGHT(C86,LEN(C86)-FIND("^",SUBSTITUTE(C86,"|","^",8))))-LEN(SUBSTITUTE(RIGHT(C86,LEN(C86)-FIND("^",SUBSTITUTE(C86,"|","^",8))),"|",""))=0,RIGHT(C86,LEN(C86)-FIND("^",SUBSTITUTE(C86,"|","^",8))),LEFT(RIGHT(C86,LEN(C86)-FIND("^",SUBSTITUTE(C86,"|","^",8))),FIND("|",RIGHT(C86,LEN(C86)-FIND("^",SUBSTITUTE(C86,"|","^",8))))-1)),""))</f>
        <v/>
      </c>
      <c r="E311" s="2" t="s">
        <v>2171</v>
      </c>
      <c r="G311" s="239" t="s">
        <v>95</v>
      </c>
      <c r="H311" s="14" t="s">
        <v>14</v>
      </c>
      <c r="I311" s="125" t="str">
        <f>IF(I315="","",IF(C311="","#N/A, Input cannot be blank",UPPER(LEFT(C311,20))))</f>
        <v/>
      </c>
      <c r="J311" s="14" t="str">
        <f>IF(LEN(C311)&gt;20,TEXT("Requested dependent#9 last name as:","xxx")&amp;" "&amp; TEXT(C311,"xxxxxxx")&amp;","&amp;" "&amp;TEXT("input into BCBS as:","xxxx")&amp;" "&amp; TEXT(I311,"xxxxxxx")&amp;". ","")</f>
        <v/>
      </c>
      <c r="K311" s="7"/>
      <c r="L311" s="7" t="s">
        <v>1416</v>
      </c>
      <c r="M311" s="7" t="s">
        <v>1129</v>
      </c>
      <c r="N311" s="7" t="s">
        <v>1483</v>
      </c>
      <c r="O311" s="7" t="s">
        <v>1416</v>
      </c>
      <c r="P311" s="7" t="s">
        <v>1129</v>
      </c>
      <c r="Q311" s="7" t="s">
        <v>1593</v>
      </c>
      <c r="R311" s="7"/>
      <c r="S311" s="7"/>
      <c r="T311" s="7" t="s">
        <v>1262</v>
      </c>
      <c r="U311" s="7"/>
      <c r="V311" s="7"/>
      <c r="W311" s="7"/>
    </row>
    <row r="312" spans="1:23" ht="15" customHeight="1" outlineLevel="3" x14ac:dyDescent="0.25">
      <c r="B312" s="192" t="s">
        <v>155</v>
      </c>
      <c r="C312" s="201" t="str">
        <f>IF(C87="","",IFERROR(IF(LEN(RIGHT(C87,LEN(C87)-FIND("^",SUBSTITUTE(C87,"|","^",8))))-LEN(SUBSTITUTE(RIGHT(C87,LEN(C87)-FIND("^",SUBSTITUTE(C87,"|","^",8))),"|",""))=0,RIGHT(C87,LEN(C87)-FIND("^",SUBSTITUTE(C87,"|","^",8))),LEFT(RIGHT(C87,LEN(C87)-FIND("^",SUBSTITUTE(C87,"|","^",8))),FIND("|",RIGHT(C87,LEN(C87)-FIND("^",SUBSTITUTE(C87,"|","^",8))))-1)),""))</f>
        <v/>
      </c>
      <c r="E312" s="14" t="s">
        <v>2172</v>
      </c>
      <c r="G312" s="239" t="s">
        <v>155</v>
      </c>
      <c r="H312" s="14" t="s">
        <v>14</v>
      </c>
      <c r="I312" s="189"/>
      <c r="J312" s="145"/>
      <c r="K312" s="7"/>
      <c r="L312" s="7" t="s">
        <v>1416</v>
      </c>
      <c r="M312" s="7" t="s">
        <v>1129</v>
      </c>
      <c r="N312" s="7" t="s">
        <v>1483</v>
      </c>
      <c r="O312" s="7" t="s">
        <v>1416</v>
      </c>
      <c r="P312" s="7" t="s">
        <v>1415</v>
      </c>
      <c r="Q312" s="7" t="s">
        <v>565</v>
      </c>
      <c r="R312" s="7"/>
      <c r="S312" s="7"/>
      <c r="T312" s="7" t="s">
        <v>1261</v>
      </c>
      <c r="U312" s="7"/>
      <c r="V312" s="7"/>
      <c r="W312" s="7"/>
    </row>
    <row r="313" spans="1:23" ht="15" customHeight="1" outlineLevel="3" x14ac:dyDescent="0.25">
      <c r="B313" s="9" t="s">
        <v>87</v>
      </c>
      <c r="C313" s="197" t="str">
        <f>IF(C88="","",IFERROR(IF(LEN(RIGHT(C88,LEN(C88)-FIND("^",SUBSTITUTE(C88,"|","^",8))))-LEN(SUBSTITUTE(RIGHT(C88,LEN(C88)-FIND("^",SUBSTITUTE(C88,"|","^",8))),"|",""))=0,RIGHT(C88,LEN(C88)-FIND("^",SUBSTITUTE(C88,"|","^",8))),LEFT(RIGHT(C88,LEN(C88)-FIND("^",SUBSTITUTE(C88,"|","^",8))),FIND("|",RIGHT(C88,LEN(C88)-FIND("^",SUBSTITUTE(C88,"|","^",8))))-1)),""))</f>
        <v/>
      </c>
      <c r="E313" s="2" t="s">
        <v>2170</v>
      </c>
      <c r="G313" s="239" t="s">
        <v>93</v>
      </c>
      <c r="H313" s="14" t="s">
        <v>14</v>
      </c>
      <c r="I313" s="125" t="str">
        <f>IF(I315="","",IF(C313="","#N/A, Input cannot be blank",UPPER(LEFT(C313,20))))</f>
        <v/>
      </c>
      <c r="J313" s="125" t="str">
        <f>IF(LEN(C313)&gt;20,TEXT("Requested dependent#9 first name as:","xxx")&amp;" "&amp; TEXT(C313,"xxxxxxx")&amp;","&amp;" "&amp; TEXT("input into BCBS as:","xxxx")&amp;" "&amp; TEXT(I313,"xxxxxxx")&amp;". ","")</f>
        <v/>
      </c>
      <c r="K313" s="7"/>
      <c r="L313" s="7" t="s">
        <v>1416</v>
      </c>
      <c r="M313" s="7" t="s">
        <v>1129</v>
      </c>
      <c r="N313" s="7" t="s">
        <v>1483</v>
      </c>
      <c r="O313" s="7" t="s">
        <v>1416</v>
      </c>
      <c r="P313" s="7" t="s">
        <v>1129</v>
      </c>
      <c r="Q313" s="7" t="s">
        <v>1593</v>
      </c>
      <c r="R313" s="7"/>
      <c r="S313" s="7"/>
      <c r="T313" s="7" t="s">
        <v>1260</v>
      </c>
      <c r="U313" s="7"/>
      <c r="V313" s="7"/>
      <c r="W313" s="7"/>
    </row>
    <row r="314" spans="1:23" ht="15" customHeight="1" outlineLevel="3" x14ac:dyDescent="0.25">
      <c r="B314" s="9" t="s">
        <v>552</v>
      </c>
      <c r="C314" s="197" t="str">
        <f>IF(C89="","",IFERROR(LEFT(RIGHT(C89,LEN(C89)-FIND("^",SUBSTITUTE(C89,"|","^",8))),1),""))</f>
        <v/>
      </c>
      <c r="E314" s="14" t="s">
        <v>547</v>
      </c>
      <c r="G314" s="239" t="s">
        <v>94</v>
      </c>
      <c r="H314" s="14" t="s">
        <v>14</v>
      </c>
      <c r="I314" s="125" t="str">
        <f>IF(OR(I315="",C314=""),"",UPPER(LEFT(C314,1)))</f>
        <v/>
      </c>
      <c r="J314" s="145"/>
      <c r="K314" s="7"/>
      <c r="L314" s="7" t="s">
        <v>1416</v>
      </c>
      <c r="M314" s="7" t="s">
        <v>1129</v>
      </c>
      <c r="N314" s="7" t="s">
        <v>1483</v>
      </c>
      <c r="O314" s="7" t="s">
        <v>1416</v>
      </c>
      <c r="P314" s="7" t="s">
        <v>1129</v>
      </c>
      <c r="Q314" s="7" t="s">
        <v>1593</v>
      </c>
      <c r="R314" s="7"/>
      <c r="S314" s="7"/>
      <c r="T314" s="7" t="s">
        <v>1596</v>
      </c>
      <c r="U314" s="7"/>
      <c r="V314" s="7"/>
      <c r="W314" s="7"/>
    </row>
    <row r="315" spans="1:23" ht="30" customHeight="1" outlineLevel="3" x14ac:dyDescent="0.25">
      <c r="B315" s="9" t="s">
        <v>26</v>
      </c>
      <c r="C315" s="200" t="str">
        <f>IF(C90="","",IFERROR(IF(LEN(RIGHT(C90,LEN(C90)-FIND("^",SUBSTITUTE(C90,"|","^",8))))-LEN(SUBSTITUTE(RIGHT(C90,LEN(C90)-FIND("^",SUBSTITUTE(C90,"|","^",8))),"|",""))=0,RIGHT(C90,LEN(C90)-FIND("^",SUBSTITUTE(C90,"|","^",8))),LEFT(RIGHT(C90,LEN(C90)-FIND("^",SUBSTITUTE(C90,"|","^",8))),FIND("|",RIGHT(C90,LEN(C90)-FIND("^",SUBSTITUTE(C90,"|","^",8))))-1)),""))</f>
        <v/>
      </c>
      <c r="E315" s="14" t="s">
        <v>2200</v>
      </c>
      <c r="G315" s="239" t="s">
        <v>123</v>
      </c>
      <c r="H315" s="14" t="s">
        <v>29</v>
      </c>
      <c r="I315" s="125" t="str">
        <f>IF(C311="","",IF(OR($I$69="Y",$I$79="Y"),IF(C315="","#N/A, Input cannot be blank",IF($C$44="",INDEX('Dropdown list'!$AD:$AD,MATCH(C315,'Dropdown list'!$AC:$AC,0),1),IF(C315="Child",IF(OR(ISNUMBER(MATCH(SUBSTITUTE($C$69," (Pending)",""),'Dropdown list'!$AL:$AL,0)),ISNUMBER(MATCH(SUBSTITUTE($C$79," (Pending)",""),'Dropdown list'!$AL:$AL,0))),INDEX('Dropdown list'!$AH:$AH,MATCH(C316&amp;C317,'Dropdown list'!$AG:$AG,0),1),""),IF(C315="Spouse",IF(OR(ISNUMBER(MATCH(SUBSTITUTE($C$69," (Pending)",""),'Dropdown list'!$AM:$AM,0)),ISNUMBER(MATCH(SUBSTITUTE($C$79," (Pending)",""),'Dropdown list'!$AM:$AM,0))),"Spouse",""),IF(C315="Domestic Partner",IF(OR(ISNUMBER(MATCH(SUBSTITUTE($C$69," (Pending)",""),'Dropdown list'!$AN:$AN,0)),ISNUMBER(MATCH(SUBSTITUTE($C$79," (Pending)",""),'Dropdown list'!$AN:$AN,0))),"Domestic Partner",""),INDEX('Dropdown list'!$AK:$AK,MATCH(C315,'Dropdown list'!$AJ:$AJ,0),1)))))),""))</f>
        <v/>
      </c>
      <c r="J315" s="145"/>
      <c r="K315" s="145"/>
      <c r="L315" s="14" t="s">
        <v>1416</v>
      </c>
      <c r="M315" s="142" t="s">
        <v>1129</v>
      </c>
      <c r="N315" s="142" t="s">
        <v>1483</v>
      </c>
      <c r="O315" s="14" t="s">
        <v>1416</v>
      </c>
      <c r="P315" s="142" t="s">
        <v>1129</v>
      </c>
      <c r="Q315" s="142" t="s">
        <v>1594</v>
      </c>
      <c r="T315" s="14" t="s">
        <v>1595</v>
      </c>
    </row>
    <row r="316" spans="1:23" ht="0.2" customHeight="1" outlineLevel="3" x14ac:dyDescent="0.25">
      <c r="B316" s="192" t="s">
        <v>79</v>
      </c>
      <c r="C316" s="201" t="str">
        <f>IF(C91="","",IFERROR(IF(LEN(RIGHT(C91,LEN(C91)-FIND("^",SUBSTITUTE(C91,"|","^",8))))-LEN(SUBSTITUTE(RIGHT(C91,LEN(C91)-FIND("^",SUBSTITUTE(C91,"|","^",8))),"|",""))=0,RIGHT(C91,LEN(C91)-FIND("^",SUBSTITUTE(C91,"|","^",8))),LEFT(RIGHT(C91,LEN(C91)-FIND("^",SUBSTITUTE(C91,"|","^",8))),FIND("|",RIGHT(C91,LEN(C91)-FIND("^",SUBSTITUTE(C91,"|","^",8))))-1)),""))</f>
        <v/>
      </c>
      <c r="E316" s="14" t="s">
        <v>2191</v>
      </c>
      <c r="H316" s="1"/>
      <c r="I316" s="1"/>
      <c r="J316" s="1"/>
      <c r="K316" s="7"/>
      <c r="L316" s="7" t="s">
        <v>1416</v>
      </c>
      <c r="M316" s="7" t="s">
        <v>1129</v>
      </c>
      <c r="N316" s="7" t="s">
        <v>1483</v>
      </c>
      <c r="O316" s="7"/>
      <c r="P316" s="7"/>
      <c r="Q316" s="7"/>
      <c r="R316" s="7"/>
      <c r="S316" s="7"/>
      <c r="T316" s="7" t="s">
        <v>1597</v>
      </c>
      <c r="U316" s="7"/>
      <c r="V316" s="7"/>
      <c r="W316" s="7"/>
    </row>
    <row r="317" spans="1:23" ht="0.2" customHeight="1" outlineLevel="3" x14ac:dyDescent="0.25">
      <c r="B317" s="192" t="s">
        <v>409</v>
      </c>
      <c r="C317" s="201" t="str">
        <f>IF(C92="","",IFERROR(IF(LEN(RIGHT(C92,LEN(C92)-FIND("^",SUBSTITUTE(C92,"|","^",8))))-LEN(SUBSTITUTE(RIGHT(C92,LEN(C92)-FIND("^",SUBSTITUTE(C92,"|","^",8))),"|",""))=0,RIGHT(C92,LEN(C92)-FIND("^",SUBSTITUTE(C92,"|","^",8))),LEFT(RIGHT(C92,LEN(C92)-FIND("^",SUBSTITUTE(C92,"|","^",8))),FIND("|",RIGHT(C92,LEN(C92)-FIND("^",SUBSTITUTE(C92,"|","^",8))))-1)),""))</f>
        <v/>
      </c>
      <c r="E317" s="14"/>
      <c r="H317" s="1"/>
      <c r="I317" s="1"/>
      <c r="J317" s="1"/>
      <c r="K317" s="7"/>
      <c r="L317" s="7" t="s">
        <v>1416</v>
      </c>
      <c r="M317" s="7" t="s">
        <v>1129</v>
      </c>
      <c r="N317" s="7" t="s">
        <v>1483</v>
      </c>
      <c r="O317" s="7"/>
      <c r="P317" s="7"/>
      <c r="Q317" s="7"/>
      <c r="R317" s="7"/>
      <c r="S317" s="7"/>
      <c r="T317" s="7" t="s">
        <v>1280</v>
      </c>
      <c r="U317" s="7"/>
      <c r="V317" s="7"/>
      <c r="W317" s="7"/>
    </row>
    <row r="318" spans="1:23" ht="15" customHeight="1" outlineLevel="3" x14ac:dyDescent="0.25">
      <c r="B318" s="9" t="s">
        <v>2</v>
      </c>
      <c r="C318" s="197" t="str">
        <f>IF(C93="","",IFERROR(IF(LEN(RIGHT(C93,LEN(C93)-FIND("^",SUBSTITUTE(C93,"|","^",8))))-LEN(SUBSTITUTE(RIGHT(C93,LEN(C93)-FIND("^",SUBSTITUTE(C93,"|","^",8))),"|",""))=0,RIGHT(C93,LEN(C93)-FIND("^",SUBSTITUTE(C93,"|","^",8))),LEFT(RIGHT(C93,LEN(C93)-FIND("^",SUBSTITUTE(C93,"|","^",8))),FIND("|",RIGHT(C93,LEN(C93)-FIND("^",SUBSTITUTE(C93,"|","^",8))))-1)),""))</f>
        <v/>
      </c>
      <c r="E318" s="14" t="s">
        <v>553</v>
      </c>
      <c r="G318" s="239" t="s">
        <v>96</v>
      </c>
      <c r="H318" s="14" t="s">
        <v>29</v>
      </c>
      <c r="I318" s="125" t="str">
        <f>IF(I315="","",IF(C318="","#N/A, Input cannot be blank",IF(C318="M", "Male",IF(C318="F","Female","#N/A, Unidentified Gender"))))</f>
        <v/>
      </c>
      <c r="J318" s="1"/>
      <c r="K318" s="7"/>
      <c r="L318" s="7" t="s">
        <v>1416</v>
      </c>
      <c r="M318" s="7" t="s">
        <v>1129</v>
      </c>
      <c r="N318" s="7" t="s">
        <v>1483</v>
      </c>
      <c r="O318" s="7" t="s">
        <v>1416</v>
      </c>
      <c r="P318" s="7" t="s">
        <v>1129</v>
      </c>
      <c r="Q318" s="7" t="s">
        <v>1598</v>
      </c>
      <c r="R318" s="7"/>
      <c r="S318" s="7"/>
      <c r="T318" s="7" t="s">
        <v>1259</v>
      </c>
      <c r="U318" s="7"/>
      <c r="V318" s="7"/>
      <c r="W318" s="7"/>
    </row>
    <row r="319" spans="1:23" ht="15" customHeight="1" outlineLevel="3" x14ac:dyDescent="0.25">
      <c r="B319" s="192" t="str">
        <f>G319</f>
        <v>Other Dependent:</v>
      </c>
      <c r="C319" s="201"/>
      <c r="E319" s="14" t="s">
        <v>2189</v>
      </c>
      <c r="G319" s="239" t="s">
        <v>440</v>
      </c>
      <c r="H319" s="14" t="s">
        <v>29</v>
      </c>
      <c r="I319" s="189"/>
      <c r="J319" s="1"/>
      <c r="K319" s="7"/>
      <c r="L319" s="7" t="s">
        <v>1416</v>
      </c>
      <c r="M319" s="7" t="s">
        <v>1415</v>
      </c>
      <c r="N319" s="7" t="s">
        <v>565</v>
      </c>
      <c r="O319" s="7" t="s">
        <v>1416</v>
      </c>
      <c r="P319" s="7" t="s">
        <v>1415</v>
      </c>
      <c r="Q319" s="7" t="s">
        <v>565</v>
      </c>
      <c r="R319" s="7"/>
      <c r="S319" s="7"/>
      <c r="T319" s="7" t="s">
        <v>1279</v>
      </c>
      <c r="U319" s="7"/>
      <c r="V319" s="7"/>
      <c r="W319" s="7"/>
    </row>
    <row r="320" spans="1:23" ht="15" customHeight="1" outlineLevel="3" x14ac:dyDescent="0.25">
      <c r="B320" s="9" t="s">
        <v>8</v>
      </c>
      <c r="C320" s="197" t="str">
        <f>IF(C95="","",IFERROR(IF(LEN(RIGHT(C95,LEN(C95)-FIND("^",SUBSTITUTE(C95,"|","^",8))))-LEN(SUBSTITUTE(RIGHT(C95,LEN(C95)-FIND("^",SUBSTITUTE(C95,"|","^",8))),"|",""))=0,RIGHT(C95,LEN(C95)-FIND("^",SUBSTITUTE(C95,"|","^",8))),LEFT(RIGHT(C95,LEN(C95)-FIND("^",SUBSTITUTE(C95,"|","^",8))),FIND("|",RIGHT(C95,LEN(C95)-FIND("^",SUBSTITUTE(C95,"|","^",8))))-1)),""))</f>
        <v/>
      </c>
      <c r="G320" s="239" t="s">
        <v>125</v>
      </c>
      <c r="H320" s="14" t="s">
        <v>14</v>
      </c>
      <c r="I320" s="125" t="str">
        <f>IF(I315="","",IF(C320="","#N/A, Input cannot be blank",IFERROR(TEXT(EDATE(C320,0),"MM/DD/YYYY"),"#N/A, Please enter a date format")))</f>
        <v/>
      </c>
      <c r="J320" s="1"/>
      <c r="K320" s="7"/>
      <c r="L320" s="7" t="s">
        <v>1416</v>
      </c>
      <c r="M320" s="7" t="s">
        <v>1129</v>
      </c>
      <c r="N320" s="7" t="s">
        <v>1483</v>
      </c>
      <c r="O320" s="7" t="s">
        <v>1416</v>
      </c>
      <c r="P320" s="7" t="s">
        <v>1129</v>
      </c>
      <c r="Q320" s="7" t="s">
        <v>1508</v>
      </c>
      <c r="R320" s="7"/>
      <c r="S320" s="7"/>
      <c r="T320" s="7" t="s">
        <v>1258</v>
      </c>
      <c r="U320" s="7"/>
      <c r="V320" s="7"/>
      <c r="W320" s="7"/>
    </row>
    <row r="321" spans="1:23" ht="15" customHeight="1" outlineLevel="3" x14ac:dyDescent="0.25">
      <c r="B321" s="9" t="s">
        <v>3</v>
      </c>
      <c r="C321" s="197" t="str">
        <f>IF(C96="","",IFERROR(IF(LEN(RIGHT(C96,LEN(C96)-FIND("^",SUBSTITUTE(C96,"|","^",8))))-LEN(SUBSTITUTE(RIGHT(C96,LEN(C96)-FIND("^",SUBSTITUTE(C96,"|","^",8))),"|",""))=0,RIGHT(C96,LEN(C96)-FIND("^",SUBSTITUTE(C96,"|","^",8))),LEFT(RIGHT(C96,LEN(C96)-FIND("^",SUBSTITUTE(C96,"|","^",8))),FIND("|",RIGHT(C96,LEN(C96)-FIND("^",SUBSTITUTE(C96,"|","^",8))))-1)),""))</f>
        <v/>
      </c>
      <c r="E321" s="14" t="s">
        <v>547</v>
      </c>
      <c r="G321" s="239" t="s">
        <v>97</v>
      </c>
      <c r="H321" s="14" t="s">
        <v>14</v>
      </c>
      <c r="I321" s="125" t="str">
        <f>IF(C321=" ",C321,IF(OR(I315="",C321=""),"",IF(LEN(SUBSTITUTE(C321,"-",""))=9,SUBSTITUTE(C321,"-",""),"#N/A, SSN# must be 9 digits")))</f>
        <v/>
      </c>
      <c r="J321" s="1"/>
      <c r="K321" s="7"/>
      <c r="L321" s="7" t="s">
        <v>1416</v>
      </c>
      <c r="M321" s="7" t="s">
        <v>1129</v>
      </c>
      <c r="N321" s="7" t="s">
        <v>1483</v>
      </c>
      <c r="O321" s="7" t="s">
        <v>1416</v>
      </c>
      <c r="P321" s="7" t="s">
        <v>1129</v>
      </c>
      <c r="Q321" s="7" t="s">
        <v>1518</v>
      </c>
      <c r="R321" s="7"/>
      <c r="S321" s="7"/>
      <c r="T321" s="7" t="s">
        <v>1230</v>
      </c>
      <c r="U321" s="7"/>
      <c r="V321" s="7"/>
      <c r="W321" s="7"/>
    </row>
    <row r="322" spans="1:23" ht="15" customHeight="1" outlineLevel="3" x14ac:dyDescent="0.25">
      <c r="B322" s="192" t="str">
        <f t="shared" ref="B322:B327" si="11">G322</f>
        <v>Multiple Birth:</v>
      </c>
      <c r="C322" s="201"/>
      <c r="E322" s="14" t="s">
        <v>2189</v>
      </c>
      <c r="G322" s="239" t="s">
        <v>506</v>
      </c>
      <c r="H322" s="14" t="s">
        <v>559</v>
      </c>
      <c r="I322" s="237"/>
      <c r="J322" s="1"/>
      <c r="K322" s="7"/>
      <c r="L322" s="7" t="s">
        <v>1416</v>
      </c>
      <c r="M322" s="7" t="s">
        <v>1415</v>
      </c>
      <c r="N322" s="7" t="s">
        <v>565</v>
      </c>
      <c r="O322" s="7" t="s">
        <v>1416</v>
      </c>
      <c r="P322" s="7" t="s">
        <v>1415</v>
      </c>
      <c r="Q322" s="7" t="s">
        <v>565</v>
      </c>
      <c r="R322" s="7"/>
      <c r="S322" s="7"/>
      <c r="T322" s="7" t="s">
        <v>1264</v>
      </c>
      <c r="U322" s="7"/>
      <c r="V322" s="7"/>
      <c r="W322" s="7"/>
    </row>
    <row r="323" spans="1:23" ht="15" customHeight="1" outlineLevel="3" x14ac:dyDescent="0.25">
      <c r="B323" s="192" t="str">
        <f t="shared" si="11"/>
        <v>Native Language:</v>
      </c>
      <c r="C323" s="201"/>
      <c r="E323" s="14" t="s">
        <v>2175</v>
      </c>
      <c r="G323" s="239" t="s">
        <v>484</v>
      </c>
      <c r="H323" s="14" t="s">
        <v>29</v>
      </c>
      <c r="I323" s="237" t="str">
        <f>IF(I315="","","English")</f>
        <v/>
      </c>
      <c r="J323" s="1"/>
      <c r="K323" s="7"/>
      <c r="L323" s="7" t="s">
        <v>1416</v>
      </c>
      <c r="M323" s="7" t="s">
        <v>1415</v>
      </c>
      <c r="N323" s="7" t="s">
        <v>565</v>
      </c>
      <c r="O323" s="7" t="s">
        <v>1416</v>
      </c>
      <c r="P323" s="7" t="s">
        <v>1415</v>
      </c>
      <c r="Q323" s="7" t="s">
        <v>1430</v>
      </c>
      <c r="R323" s="7"/>
      <c r="S323" s="7"/>
      <c r="T323" s="7" t="s">
        <v>1263</v>
      </c>
      <c r="U323" s="7"/>
      <c r="V323" s="7"/>
      <c r="W323" s="7"/>
    </row>
    <row r="324" spans="1:23" ht="15" customHeight="1" outlineLevel="3" x14ac:dyDescent="0.25">
      <c r="B324" s="192" t="str">
        <f t="shared" si="11"/>
        <v>Preferred Written Language:</v>
      </c>
      <c r="C324" s="201"/>
      <c r="E324" s="14" t="s">
        <v>2175</v>
      </c>
      <c r="G324" s="239" t="s">
        <v>486</v>
      </c>
      <c r="H324" s="14" t="s">
        <v>29</v>
      </c>
      <c r="I324" s="237" t="str">
        <f>IF(I315="","","English")</f>
        <v/>
      </c>
      <c r="J324" s="1"/>
      <c r="K324" s="7"/>
      <c r="L324" s="7" t="s">
        <v>1416</v>
      </c>
      <c r="M324" s="7" t="s">
        <v>1415</v>
      </c>
      <c r="N324" s="7" t="s">
        <v>565</v>
      </c>
      <c r="O324" s="7" t="s">
        <v>1416</v>
      </c>
      <c r="P324" s="7" t="s">
        <v>1415</v>
      </c>
      <c r="Q324" s="7" t="s">
        <v>1430</v>
      </c>
      <c r="R324" s="7"/>
      <c r="S324" s="7"/>
      <c r="T324" s="7" t="s">
        <v>1265</v>
      </c>
      <c r="U324" s="7"/>
      <c r="V324" s="7"/>
      <c r="W324" s="7"/>
    </row>
    <row r="325" spans="1:23" ht="15" customHeight="1" outlineLevel="3" x14ac:dyDescent="0.25">
      <c r="B325" s="192" t="str">
        <f t="shared" si="11"/>
        <v>Preferred Spoken Language:</v>
      </c>
      <c r="C325" s="201"/>
      <c r="E325" s="14" t="s">
        <v>2175</v>
      </c>
      <c r="G325" s="239" t="s">
        <v>487</v>
      </c>
      <c r="H325" s="14" t="s">
        <v>29</v>
      </c>
      <c r="I325" s="237" t="str">
        <f>IF(I315="","","English")</f>
        <v/>
      </c>
      <c r="J325" s="1"/>
      <c r="K325" s="7"/>
      <c r="L325" s="7" t="s">
        <v>1416</v>
      </c>
      <c r="M325" s="7" t="s">
        <v>1415</v>
      </c>
      <c r="N325" s="7" t="s">
        <v>565</v>
      </c>
      <c r="O325" s="7" t="s">
        <v>1416</v>
      </c>
      <c r="P325" s="7" t="s">
        <v>1415</v>
      </c>
      <c r="Q325" s="7" t="s">
        <v>1430</v>
      </c>
      <c r="R325" s="7"/>
      <c r="S325" s="7"/>
      <c r="T325" s="7" t="s">
        <v>1266</v>
      </c>
      <c r="U325" s="7"/>
      <c r="V325" s="7"/>
      <c r="W325" s="7"/>
    </row>
    <row r="326" spans="1:23" ht="15" customHeight="1" outlineLevel="3" x14ac:dyDescent="0.25">
      <c r="B326" s="192" t="str">
        <f t="shared" si="11"/>
        <v>Ethnicity (select all that apply):</v>
      </c>
      <c r="C326" s="201"/>
      <c r="E326" s="14" t="s">
        <v>2173</v>
      </c>
      <c r="G326" s="220" t="s">
        <v>488</v>
      </c>
      <c r="H326" s="14" t="s">
        <v>558</v>
      </c>
      <c r="I326" s="237" t="str">
        <f>IF(I315="","","Unknown")</f>
        <v/>
      </c>
      <c r="J326" s="1"/>
      <c r="K326" s="7"/>
      <c r="L326" s="7" t="s">
        <v>1416</v>
      </c>
      <c r="M326" s="7" t="s">
        <v>1415</v>
      </c>
      <c r="N326" s="7" t="s">
        <v>565</v>
      </c>
      <c r="O326" s="7" t="s">
        <v>1416</v>
      </c>
      <c r="P326" s="7" t="s">
        <v>1415</v>
      </c>
      <c r="Q326" s="7" t="s">
        <v>1431</v>
      </c>
      <c r="R326" s="7"/>
      <c r="S326" s="7"/>
      <c r="T326" s="7" t="s">
        <v>1267</v>
      </c>
      <c r="U326" s="7"/>
      <c r="V326" s="7"/>
      <c r="W326" s="7"/>
    </row>
    <row r="327" spans="1:23" ht="15" customHeight="1" outlineLevel="3" x14ac:dyDescent="0.25">
      <c r="B327" s="192" t="str">
        <f t="shared" si="11"/>
        <v>Race (select all that apply):</v>
      </c>
      <c r="C327" s="201"/>
      <c r="E327" s="14" t="s">
        <v>2173</v>
      </c>
      <c r="G327" s="239" t="s">
        <v>492</v>
      </c>
      <c r="H327" s="14" t="s">
        <v>558</v>
      </c>
      <c r="I327" s="237" t="str">
        <f>IF(I315="","","Unknown")</f>
        <v/>
      </c>
      <c r="J327" s="1"/>
      <c r="K327" s="7"/>
      <c r="L327" s="7" t="s">
        <v>1416</v>
      </c>
      <c r="M327" s="7" t="s">
        <v>1415</v>
      </c>
      <c r="N327" s="7" t="s">
        <v>565</v>
      </c>
      <c r="O327" s="7" t="s">
        <v>1416</v>
      </c>
      <c r="P327" s="7" t="s">
        <v>1415</v>
      </c>
      <c r="Q327" s="7" t="s">
        <v>1431</v>
      </c>
      <c r="R327" s="7"/>
      <c r="S327" s="7"/>
      <c r="T327" s="7" t="s">
        <v>1271</v>
      </c>
      <c r="U327" s="7"/>
      <c r="V327" s="7"/>
      <c r="W327" s="7"/>
    </row>
    <row r="328" spans="1:23" ht="30" customHeight="1" outlineLevel="3" x14ac:dyDescent="0.25">
      <c r="B328" s="192" t="s">
        <v>412</v>
      </c>
      <c r="C328" s="201" t="str">
        <f>IF(C103="","",IFERROR(IF(LEN(RIGHT(C103,LEN(C103)-FIND("^",SUBSTITUTE(C103,"|","^",8))))-LEN(SUBSTITUTE(RIGHT(C103,LEN(C103)-FIND("^",SUBSTITUTE(C103,"|","^",8))),"|",""))=0,RIGHT(C103,LEN(C103)-FIND("^",SUBSTITUTE(C103,"|","^",8))),LEFT(RIGHT(C103,LEN(C103)-FIND("^",SUBSTITUTE(C103,"|","^",8))),FIND("|",RIGHT(C103,LEN(C103)-FIND("^",SUBSTITUTE(C103,"|","^",8))))-1)),""))</f>
        <v/>
      </c>
      <c r="E328" s="14" t="s">
        <v>2190</v>
      </c>
      <c r="G328" s="239" t="s">
        <v>537</v>
      </c>
      <c r="H328" s="14" t="s">
        <v>559</v>
      </c>
      <c r="I328" s="150" t="str">
        <f>IF(I315="","",IF(OR(C328="",C328="No"),"No","Yes"))</f>
        <v/>
      </c>
      <c r="J328" s="145" t="str">
        <f>IF(I328="Yes", "Medicare Eligible is Yes for EN request for Dependent#9, please change ‘Medicare information’ to 'Yes'  and select Eligible in Dep Medicare tab in BCBS if needed. ","")</f>
        <v/>
      </c>
      <c r="K328" s="7"/>
      <c r="L328" s="7" t="s">
        <v>1417</v>
      </c>
      <c r="M328" s="7" t="s">
        <v>1414</v>
      </c>
      <c r="N328" s="7" t="s">
        <v>1483</v>
      </c>
      <c r="O328" s="7" t="s">
        <v>1416</v>
      </c>
      <c r="P328" s="7" t="s">
        <v>1415</v>
      </c>
      <c r="Q328" s="7" t="s">
        <v>1432</v>
      </c>
      <c r="R328" s="7"/>
      <c r="S328" s="7"/>
      <c r="T328" s="7" t="s">
        <v>1272</v>
      </c>
      <c r="U328" s="7"/>
      <c r="V328" s="7"/>
      <c r="W328" s="7"/>
    </row>
    <row r="329" spans="1:23" ht="30" customHeight="1" outlineLevel="3" x14ac:dyDescent="0.25">
      <c r="B329" s="192" t="str">
        <f>G329</f>
        <v>Different address information than the employee?</v>
      </c>
      <c r="C329" s="201"/>
      <c r="E329" s="14" t="s">
        <v>2190</v>
      </c>
      <c r="G329" s="239" t="s">
        <v>508</v>
      </c>
      <c r="H329" s="14" t="s">
        <v>559</v>
      </c>
      <c r="I329" s="150" t="str">
        <f>IF(I315="","",IF(OR(C330="",TRIM(C330)&amp;TRIM(C331)&amp;TRIM(C332)&amp;TRIM(C333)&amp;TRIM(C334)=TRIM($C$48)&amp;TRIM($C$49)&amp;TRIM($C$50)&amp;TRIM($C$51)&amp;TRIM($C$52)),"No","Yes"))</f>
        <v/>
      </c>
      <c r="J329" s="145" t="str">
        <f>IF(I329="Yes", "Dependent have separate address for EN request for Dependen#9, please change ‘Different address information than the employee' to 'Yes' and update different address in Dep Address tab in BCBS if needed. ","")</f>
        <v/>
      </c>
      <c r="K329" s="7"/>
      <c r="L329" s="7" t="s">
        <v>1417</v>
      </c>
      <c r="M329" s="7" t="s">
        <v>1129</v>
      </c>
      <c r="N329" s="7" t="s">
        <v>1484</v>
      </c>
      <c r="O329" s="7" t="s">
        <v>1416</v>
      </c>
      <c r="P329" s="7" t="s">
        <v>1415</v>
      </c>
      <c r="Q329" s="7" t="s">
        <v>1432</v>
      </c>
      <c r="R329" s="7"/>
      <c r="S329" s="7"/>
      <c r="T329" s="7" t="s">
        <v>1273</v>
      </c>
      <c r="U329" s="7"/>
      <c r="V329" s="7"/>
      <c r="W329" s="7"/>
    </row>
    <row r="330" spans="1:23" ht="0.2" customHeight="1" outlineLevel="3" x14ac:dyDescent="0.25">
      <c r="B330" s="192" t="s">
        <v>414</v>
      </c>
      <c r="C330" s="201" t="str">
        <f>IF(C105="","",IFERROR(IF(LEN(RIGHT(C105,LEN(C105)-FIND("^",SUBSTITUTE(C105,"|","^",8))))-LEN(SUBSTITUTE(RIGHT(C105,LEN(C105)-FIND("^",SUBSTITUTE(C105,"|","^",8))),"|",""))=0,RIGHT(C105,LEN(C105)-FIND("^",SUBSTITUTE(C105,"|","^",8))),LEFT(RIGHT(C105,LEN(C105)-FIND("^",SUBSTITUTE(C105,"|","^",8))),FIND("|",RIGHT(C105,LEN(C105)-FIND("^",SUBSTITUTE(C105,"|","^",8))))-1)),""))</f>
        <v/>
      </c>
      <c r="E330" s="18"/>
      <c r="G330" s="18"/>
      <c r="H330" s="18"/>
      <c r="I330" s="145"/>
      <c r="J330" s="1"/>
      <c r="K330" s="7"/>
      <c r="L330" s="7" t="s">
        <v>1417</v>
      </c>
      <c r="M330" s="7" t="s">
        <v>1414</v>
      </c>
      <c r="N330" s="7" t="s">
        <v>1483</v>
      </c>
      <c r="O330" s="7"/>
      <c r="P330" s="7"/>
      <c r="Q330" s="7"/>
      <c r="R330" s="7"/>
      <c r="S330" s="7"/>
      <c r="T330" s="7" t="s">
        <v>1274</v>
      </c>
      <c r="U330" s="7"/>
      <c r="V330" s="7"/>
      <c r="W330" s="7"/>
    </row>
    <row r="331" spans="1:23" ht="0.2" customHeight="1" outlineLevel="3" x14ac:dyDescent="0.25">
      <c r="B331" s="192" t="s">
        <v>416</v>
      </c>
      <c r="C331" s="201" t="str">
        <f>IF(C106="","",IFERROR(IF(LEN(RIGHT(C106,LEN(C106)-FIND("^",SUBSTITUTE(C106,"|","^",8))))-LEN(SUBSTITUTE(RIGHT(C106,LEN(C106)-FIND("^",SUBSTITUTE(C106,"|","^",8))),"|",""))=0,RIGHT(C106,LEN(C106)-FIND("^",SUBSTITUTE(C106,"|","^",8))),LEFT(RIGHT(C106,LEN(C106)-FIND("^",SUBSTITUTE(C106,"|","^",8))),FIND("|",RIGHT(C106,LEN(C106)-FIND("^",SUBSTITUTE(C106,"|","^",8))))-1)),""))</f>
        <v/>
      </c>
      <c r="E331" s="18"/>
      <c r="G331" s="18"/>
      <c r="H331" s="18"/>
      <c r="I331" s="145"/>
      <c r="J331" s="145"/>
      <c r="K331" s="7"/>
      <c r="L331" s="7" t="s">
        <v>1417</v>
      </c>
      <c r="M331" s="7" t="s">
        <v>1414</v>
      </c>
      <c r="N331" s="7" t="s">
        <v>1483</v>
      </c>
      <c r="O331" s="7"/>
      <c r="P331" s="7"/>
      <c r="Q331" s="7"/>
      <c r="R331" s="7"/>
      <c r="S331" s="7"/>
      <c r="T331" s="7" t="s">
        <v>1275</v>
      </c>
      <c r="U331" s="7"/>
      <c r="V331" s="7"/>
      <c r="W331" s="7"/>
    </row>
    <row r="332" spans="1:23" ht="0.2" customHeight="1" outlineLevel="3" x14ac:dyDescent="0.25">
      <c r="B332" s="192" t="s">
        <v>6</v>
      </c>
      <c r="C332" s="201" t="str">
        <f>IF(C107="","",IFERROR(IF(LEN(RIGHT(C107,LEN(C107)-FIND("^",SUBSTITUTE(C107,"|","^",8))))-LEN(SUBSTITUTE(RIGHT(C107,LEN(C107)-FIND("^",SUBSTITUTE(C107,"|","^",8))),"|",""))=0,RIGHT(C107,LEN(C107)-FIND("^",SUBSTITUTE(C107,"|","^",8))),LEFT(RIGHT(C107,LEN(C107)-FIND("^",SUBSTITUTE(C107,"|","^",8))),FIND("|",RIGHT(C107,LEN(C107)-FIND("^",SUBSTITUTE(C107,"|","^",8))))-1)),""))</f>
        <v/>
      </c>
      <c r="E332" s="18"/>
      <c r="G332" s="18"/>
      <c r="H332" s="18"/>
      <c r="I332" s="145"/>
      <c r="J332" s="145"/>
      <c r="K332" s="7"/>
      <c r="L332" s="7" t="s">
        <v>1417</v>
      </c>
      <c r="M332" s="7" t="s">
        <v>1414</v>
      </c>
      <c r="N332" s="7" t="s">
        <v>1483</v>
      </c>
      <c r="O332" s="7"/>
      <c r="P332" s="7"/>
      <c r="Q332" s="7"/>
      <c r="R332" s="7"/>
      <c r="S332" s="7"/>
      <c r="T332" s="7" t="s">
        <v>1276</v>
      </c>
      <c r="U332" s="7"/>
      <c r="V332" s="7"/>
      <c r="W332" s="7"/>
    </row>
    <row r="333" spans="1:23" ht="0.2" customHeight="1" outlineLevel="3" x14ac:dyDescent="0.25">
      <c r="B333" s="192" t="s">
        <v>7</v>
      </c>
      <c r="C333" s="201" t="str">
        <f>IF(C108="","",IFERROR(IF(LEN(RIGHT(C108,LEN(C108)-FIND("^",SUBSTITUTE(C108,"|","^",8))))-LEN(SUBSTITUTE(RIGHT(C108,LEN(C108)-FIND("^",SUBSTITUTE(C108,"|","^",8))),"|",""))=0,RIGHT(C108,LEN(C108)-FIND("^",SUBSTITUTE(C108,"|","^",8))),LEFT(RIGHT(C108,LEN(C108)-FIND("^",SUBSTITUTE(C108,"|","^",8))),FIND("|",RIGHT(C108,LEN(C108)-FIND("^",SUBSTITUTE(C108,"|","^",8))))-1)),""))</f>
        <v/>
      </c>
      <c r="E333" s="18"/>
      <c r="G333" s="18"/>
      <c r="H333" s="18"/>
      <c r="I333" s="145"/>
      <c r="J333" s="145"/>
      <c r="K333" s="7"/>
      <c r="L333" s="7" t="s">
        <v>1417</v>
      </c>
      <c r="M333" s="7" t="s">
        <v>1414</v>
      </c>
      <c r="N333" s="7" t="s">
        <v>1483</v>
      </c>
      <c r="O333" s="7"/>
      <c r="P333" s="7"/>
      <c r="Q333" s="7"/>
      <c r="R333" s="7"/>
      <c r="S333" s="7"/>
      <c r="T333" s="7" t="s">
        <v>1277</v>
      </c>
      <c r="U333" s="7"/>
      <c r="V333" s="7"/>
      <c r="W333" s="7"/>
    </row>
    <row r="334" spans="1:23" ht="0.2" customHeight="1" outlineLevel="3" x14ac:dyDescent="0.25">
      <c r="B334" s="192" t="s">
        <v>19</v>
      </c>
      <c r="C334" s="201" t="str">
        <f>IF(C109="","",IFERROR(IF(LEN(RIGHT(C109,LEN(C109)-FIND("^",SUBSTITUTE(C109,"|","^",8))))-LEN(SUBSTITUTE(RIGHT(C109,LEN(C109)-FIND("^",SUBSTITUTE(C109,"|","^",8))),"|",""))=0,RIGHT(C109,LEN(C109)-FIND("^",SUBSTITUTE(C109,"|","^",8))),LEFT(RIGHT(C109,LEN(C109)-FIND("^",SUBSTITUTE(C109,"|","^",8))),FIND("|",RIGHT(C109,LEN(C109)-FIND("^",SUBSTITUTE(C109,"|","^",8))))-1)),""))</f>
        <v/>
      </c>
      <c r="E334" s="18"/>
      <c r="G334" s="18"/>
      <c r="H334" s="18"/>
      <c r="I334" s="145"/>
      <c r="J334" s="145"/>
      <c r="K334" s="7"/>
      <c r="L334" s="7" t="s">
        <v>1417</v>
      </c>
      <c r="M334" s="7" t="s">
        <v>1414</v>
      </c>
      <c r="N334" s="7" t="s">
        <v>1483</v>
      </c>
      <c r="O334" s="7"/>
      <c r="P334" s="7"/>
      <c r="Q334" s="7"/>
      <c r="R334" s="7"/>
      <c r="S334" s="7"/>
      <c r="T334" s="7" t="s">
        <v>1278</v>
      </c>
      <c r="U334" s="7"/>
      <c r="V334" s="7"/>
      <c r="W334" s="7"/>
    </row>
    <row r="335" spans="1:23" ht="15" customHeight="1" outlineLevel="2" x14ac:dyDescent="0.25">
      <c r="A335" s="251" t="s">
        <v>2239</v>
      </c>
      <c r="B335" s="251"/>
      <c r="C335" s="252"/>
      <c r="E335" s="155"/>
      <c r="G335" s="253"/>
      <c r="H335" s="254"/>
      <c r="I335" s="255"/>
      <c r="J335" s="154"/>
      <c r="K335" s="7"/>
      <c r="L335" s="7"/>
      <c r="M335" s="7"/>
      <c r="N335" s="7"/>
      <c r="O335" s="7"/>
      <c r="P335" s="7"/>
      <c r="Q335" s="7"/>
      <c r="R335" s="7"/>
      <c r="S335" s="7"/>
      <c r="T335" s="7"/>
      <c r="U335" s="7"/>
      <c r="V335" s="7"/>
      <c r="W335" s="7"/>
    </row>
    <row r="336" spans="1:23" ht="15" customHeight="1" outlineLevel="3" x14ac:dyDescent="0.25">
      <c r="B336" s="9" t="s">
        <v>88</v>
      </c>
      <c r="C336" s="197" t="str">
        <f>IF(C86="","",IFERROR(IF(LEN(RIGHT(C86,LEN(C86)-FIND("^",SUBSTITUTE(C86,"|","^",9))))-LEN(SUBSTITUTE(RIGHT(C86,LEN(C86)-FIND("^",SUBSTITUTE(C86,"|","^",9))),"|",""))=0,RIGHT(C86,LEN(C86)-FIND("^",SUBSTITUTE(C86,"|","^",9))),LEFT(RIGHT(C86,LEN(C86)-FIND("^",SUBSTITUTE(C86,"|","^",9))),FIND("|",RIGHT(C86,LEN(C86)-FIND("^",SUBSTITUTE(C86,"|","^",9))))-1)),""))</f>
        <v/>
      </c>
      <c r="E336" s="2" t="s">
        <v>2171</v>
      </c>
      <c r="G336" s="239" t="s">
        <v>95</v>
      </c>
      <c r="H336" s="14" t="s">
        <v>14</v>
      </c>
      <c r="I336" s="125" t="str">
        <f>IF(I340="","",IF(C336="","#N/A, Input cannot be blank",UPPER(LEFT(C336,20))))</f>
        <v/>
      </c>
      <c r="J336" s="14" t="str">
        <f>IF(LEN(C336)&gt;20,TEXT("Requested dependent #10last name as:","xxx")&amp;" "&amp; TEXT(C336,"xxxxxxx")&amp;","&amp;" "&amp;TEXT("input into BCBS as:","xxxx")&amp;" "&amp; TEXT(I336,"xxxxxxx")&amp;". ","")</f>
        <v/>
      </c>
      <c r="K336" s="7"/>
      <c r="L336" s="7" t="s">
        <v>1416</v>
      </c>
      <c r="M336" s="7" t="s">
        <v>1129</v>
      </c>
      <c r="N336" s="7" t="s">
        <v>1483</v>
      </c>
      <c r="O336" s="7" t="s">
        <v>1416</v>
      </c>
      <c r="P336" s="7" t="s">
        <v>1129</v>
      </c>
      <c r="Q336" s="7" t="s">
        <v>1593</v>
      </c>
      <c r="R336" s="7"/>
      <c r="S336" s="7"/>
      <c r="T336" s="7" t="s">
        <v>1262</v>
      </c>
      <c r="U336" s="7"/>
      <c r="V336" s="7"/>
      <c r="W336" s="7"/>
    </row>
    <row r="337" spans="2:23" ht="15" customHeight="1" outlineLevel="3" x14ac:dyDescent="0.25">
      <c r="B337" s="192" t="s">
        <v>155</v>
      </c>
      <c r="C337" s="201" t="str">
        <f>IF(C87="","",IFERROR(IF(LEN(RIGHT(C87,LEN(C87)-FIND("^",SUBSTITUTE(C87,"|","^",9))))-LEN(SUBSTITUTE(RIGHT(C87,LEN(C87)-FIND("^",SUBSTITUTE(C87,"|","^",9))),"|",""))=0,RIGHT(C87,LEN(C87)-FIND("^",SUBSTITUTE(C87,"|","^",9))),LEFT(RIGHT(C87,LEN(C87)-FIND("^",SUBSTITUTE(C87,"|","^",9))),FIND("|",RIGHT(C87,LEN(C87)-FIND("^",SUBSTITUTE(C87,"|","^",9))))-1)),""))</f>
        <v/>
      </c>
      <c r="E337" s="14" t="s">
        <v>2172</v>
      </c>
      <c r="G337" s="239" t="s">
        <v>155</v>
      </c>
      <c r="H337" s="14" t="s">
        <v>14</v>
      </c>
      <c r="I337" s="189"/>
      <c r="J337" s="145"/>
      <c r="K337" s="7"/>
      <c r="L337" s="7" t="s">
        <v>1416</v>
      </c>
      <c r="M337" s="7" t="s">
        <v>1129</v>
      </c>
      <c r="N337" s="7" t="s">
        <v>1483</v>
      </c>
      <c r="O337" s="7" t="s">
        <v>1416</v>
      </c>
      <c r="P337" s="7" t="s">
        <v>1415</v>
      </c>
      <c r="Q337" s="7" t="s">
        <v>565</v>
      </c>
      <c r="R337" s="7"/>
      <c r="S337" s="7"/>
      <c r="T337" s="7" t="s">
        <v>1261</v>
      </c>
      <c r="U337" s="7"/>
      <c r="V337" s="7"/>
      <c r="W337" s="7"/>
    </row>
    <row r="338" spans="2:23" ht="15" customHeight="1" outlineLevel="3" x14ac:dyDescent="0.25">
      <c r="B338" s="9" t="s">
        <v>87</v>
      </c>
      <c r="C338" s="197" t="str">
        <f>IF(C88="","",IFERROR(IF(LEN(RIGHT(C88,LEN(C88)-FIND("^",SUBSTITUTE(C88,"|","^",9))))-LEN(SUBSTITUTE(RIGHT(C88,LEN(C88)-FIND("^",SUBSTITUTE(C88,"|","^",9))),"|",""))=0,RIGHT(C88,LEN(C88)-FIND("^",SUBSTITUTE(C88,"|","^",9))),LEFT(RIGHT(C88,LEN(C88)-FIND("^",SUBSTITUTE(C88,"|","^",9))),FIND("|",RIGHT(C88,LEN(C88)-FIND("^",SUBSTITUTE(C88,"|","^",9))))-1)),""))</f>
        <v/>
      </c>
      <c r="E338" s="2" t="s">
        <v>2170</v>
      </c>
      <c r="G338" s="239" t="s">
        <v>93</v>
      </c>
      <c r="H338" s="14" t="s">
        <v>14</v>
      </c>
      <c r="I338" s="125" t="str">
        <f>IF(I340="","",IF(C338="","#N/A, Input cannot be blank",UPPER(LEFT(C338,20))))</f>
        <v/>
      </c>
      <c r="J338" s="125" t="str">
        <f>IF(LEN(C338)&gt;20,TEXT("Requested dependent#10 first name as:","xxx")&amp;" "&amp; TEXT(C338,"xxxxxxx")&amp;","&amp;" "&amp; TEXT("input into BCBS as:","xxxx")&amp;" "&amp; TEXT(I338,"xxxxxxx")&amp;". ","")</f>
        <v/>
      </c>
      <c r="K338" s="7"/>
      <c r="L338" s="7" t="s">
        <v>1416</v>
      </c>
      <c r="M338" s="7" t="s">
        <v>1129</v>
      </c>
      <c r="N338" s="7" t="s">
        <v>1483</v>
      </c>
      <c r="O338" s="7" t="s">
        <v>1416</v>
      </c>
      <c r="P338" s="7" t="s">
        <v>1129</v>
      </c>
      <c r="Q338" s="7" t="s">
        <v>1593</v>
      </c>
      <c r="R338" s="7"/>
      <c r="S338" s="7"/>
      <c r="T338" s="7" t="s">
        <v>1260</v>
      </c>
      <c r="U338" s="7"/>
      <c r="V338" s="7"/>
      <c r="W338" s="7"/>
    </row>
    <row r="339" spans="2:23" ht="15" customHeight="1" outlineLevel="3" x14ac:dyDescent="0.25">
      <c r="B339" s="9" t="s">
        <v>552</v>
      </c>
      <c r="C339" s="197" t="str">
        <f>IF(C89="","",IFERROR(LEFT(RIGHT(C89,LEN(C89)-FIND("^",SUBSTITUTE(C89,"|","^",9))),1),""))</f>
        <v/>
      </c>
      <c r="E339" s="14" t="s">
        <v>547</v>
      </c>
      <c r="G339" s="239" t="s">
        <v>94</v>
      </c>
      <c r="H339" s="14" t="s">
        <v>14</v>
      </c>
      <c r="I339" s="125" t="str">
        <f>IF(OR(I340="",C339=""),"",UPPER(LEFT(C339,1)))</f>
        <v/>
      </c>
      <c r="J339" s="145"/>
      <c r="K339" s="7"/>
      <c r="L339" s="7" t="s">
        <v>1416</v>
      </c>
      <c r="M339" s="7" t="s">
        <v>1129</v>
      </c>
      <c r="N339" s="7" t="s">
        <v>1483</v>
      </c>
      <c r="O339" s="7" t="s">
        <v>1416</v>
      </c>
      <c r="P339" s="7" t="s">
        <v>1129</v>
      </c>
      <c r="Q339" s="7" t="s">
        <v>1593</v>
      </c>
      <c r="R339" s="7"/>
      <c r="S339" s="7"/>
      <c r="T339" s="7" t="s">
        <v>1596</v>
      </c>
      <c r="U339" s="7"/>
      <c r="V339" s="7"/>
      <c r="W339" s="7"/>
    </row>
    <row r="340" spans="2:23" ht="30" customHeight="1" outlineLevel="3" x14ac:dyDescent="0.25">
      <c r="B340" s="9" t="s">
        <v>26</v>
      </c>
      <c r="C340" s="200" t="str">
        <f>IF(C90="","",IFERROR(IF(LEN(RIGHT(C90,LEN(C90)-FIND("^",SUBSTITUTE(C90,"|","^",9))))-LEN(SUBSTITUTE(RIGHT(C90,LEN(C90)-FIND("^",SUBSTITUTE(C90,"|","^",9))),"|",""))=0,RIGHT(C90,LEN(C90)-FIND("^",SUBSTITUTE(C90,"|","^",9))),LEFT(RIGHT(C90,LEN(C90)-FIND("^",SUBSTITUTE(C90,"|","^",9))),FIND("|",RIGHT(C90,LEN(C90)-FIND("^",SUBSTITUTE(C90,"|","^",9))))-1)),""))</f>
        <v/>
      </c>
      <c r="E340" s="14" t="s">
        <v>2200</v>
      </c>
      <c r="G340" s="239" t="s">
        <v>123</v>
      </c>
      <c r="H340" s="14" t="s">
        <v>29</v>
      </c>
      <c r="I340" s="125" t="str">
        <f>IF(C336="","",IF(OR($I$69="Y",$I$79="Y"),IF(C340="","#N/A, Input cannot be blank",IF($C$44="",INDEX('Dropdown list'!$AD:$AD,MATCH(C340,'Dropdown list'!$AC:$AC,0),1),IF(C340="Child",IF(OR(ISNUMBER(MATCH(SUBSTITUTE($C$69," (Pending)",""),'Dropdown list'!$AL:$AL,0)),ISNUMBER(MATCH(SUBSTITUTE($C$79," (Pending)",""),'Dropdown list'!$AL:$AL,0))),INDEX('Dropdown list'!$AH:$AH,MATCH(C341&amp;C342,'Dropdown list'!$AG:$AG,0),1),""),IF(C340="Spouse",IF(OR(ISNUMBER(MATCH(SUBSTITUTE($C$69," (Pending)",""),'Dropdown list'!$AM:$AM,0)),ISNUMBER(MATCH(SUBSTITUTE($C$79," (Pending)",""),'Dropdown list'!$AM:$AM,0))),"Spouse",""),IF(C340="Domestic Partner",IF(OR(ISNUMBER(MATCH(SUBSTITUTE($C$69," (Pending)",""),'Dropdown list'!$AN:$AN,0)),ISNUMBER(MATCH(SUBSTITUTE($C$79," (Pending)",""),'Dropdown list'!$AN:$AN,0))),"Domestic Partner",""),INDEX('Dropdown list'!$AK:$AK,MATCH(C340,'Dropdown list'!$AJ:$AJ,0),1)))))),""))</f>
        <v/>
      </c>
      <c r="J340" s="145"/>
      <c r="K340" s="145"/>
      <c r="L340" s="14" t="s">
        <v>1416</v>
      </c>
      <c r="M340" s="142" t="s">
        <v>1129</v>
      </c>
      <c r="N340" s="142" t="s">
        <v>1483</v>
      </c>
      <c r="O340" s="14" t="s">
        <v>1416</v>
      </c>
      <c r="P340" s="142" t="s">
        <v>1129</v>
      </c>
      <c r="Q340" s="142" t="s">
        <v>1594</v>
      </c>
      <c r="T340" s="14" t="s">
        <v>1595</v>
      </c>
    </row>
    <row r="341" spans="2:23" ht="0.2" customHeight="1" outlineLevel="3" x14ac:dyDescent="0.25">
      <c r="B341" s="192" t="s">
        <v>79</v>
      </c>
      <c r="C341" s="201" t="str">
        <f>IF(C91="","",IFERROR(IF(LEN(RIGHT(C91,LEN(C91)-FIND("^",SUBSTITUTE(C91,"|","^",9))))-LEN(SUBSTITUTE(RIGHT(C91,LEN(C91)-FIND("^",SUBSTITUTE(C91,"|","^",9))),"|",""))=0,RIGHT(C91,LEN(C91)-FIND("^",SUBSTITUTE(C91,"|","^",9))),LEFT(RIGHT(C91,LEN(C91)-FIND("^",SUBSTITUTE(C91,"|","^",9))),FIND("|",RIGHT(C91,LEN(C91)-FIND("^",SUBSTITUTE(C91,"|","^",9))))-1)),""))</f>
        <v/>
      </c>
      <c r="E341" s="14" t="s">
        <v>2191</v>
      </c>
      <c r="H341" s="1"/>
      <c r="I341" s="1"/>
      <c r="J341" s="1"/>
      <c r="K341" s="7"/>
      <c r="L341" s="14" t="s">
        <v>1416</v>
      </c>
      <c r="M341" s="142" t="s">
        <v>1129</v>
      </c>
      <c r="N341" s="142" t="s">
        <v>1483</v>
      </c>
      <c r="T341" s="14" t="s">
        <v>1597</v>
      </c>
    </row>
    <row r="342" spans="2:23" ht="0.2" customHeight="1" outlineLevel="3" x14ac:dyDescent="0.25">
      <c r="B342" s="192" t="s">
        <v>409</v>
      </c>
      <c r="C342" s="201" t="str">
        <f>IF(C92="","",IFERROR(IF(LEN(RIGHT(C92,LEN(C92)-FIND("^",SUBSTITUTE(C92,"|","^",9))))-LEN(SUBSTITUTE(RIGHT(C92,LEN(C92)-FIND("^",SUBSTITUTE(C92,"|","^",9))),"|",""))=0,RIGHT(C92,LEN(C92)-FIND("^",SUBSTITUTE(C92,"|","^",9))),LEFT(RIGHT(C92,LEN(C92)-FIND("^",SUBSTITUTE(C92,"|","^",9))),FIND("|",RIGHT(C92,LEN(C92)-FIND("^",SUBSTITUTE(C92,"|","^",9))))-1)),""))</f>
        <v/>
      </c>
      <c r="E342" s="14"/>
      <c r="H342" s="1"/>
      <c r="I342" s="1"/>
      <c r="J342" s="1"/>
      <c r="K342" s="7"/>
      <c r="L342" s="14" t="s">
        <v>1416</v>
      </c>
      <c r="M342" s="142" t="s">
        <v>1129</v>
      </c>
      <c r="N342" s="142" t="s">
        <v>1483</v>
      </c>
      <c r="T342" s="14" t="s">
        <v>1280</v>
      </c>
    </row>
    <row r="343" spans="2:23" ht="15" customHeight="1" outlineLevel="3" x14ac:dyDescent="0.25">
      <c r="B343" s="9" t="s">
        <v>2</v>
      </c>
      <c r="C343" s="197" t="str">
        <f>IF(C93="","",IFERROR(IF(LEN(RIGHT(C93,LEN(C93)-FIND("^",SUBSTITUTE(C93,"|","^",9))))-LEN(SUBSTITUTE(RIGHT(C93,LEN(C93)-FIND("^",SUBSTITUTE(C93,"|","^",9))),"|",""))=0,RIGHT(C93,LEN(C93)-FIND("^",SUBSTITUTE(C93,"|","^",9))),LEFT(RIGHT(C93,LEN(C93)-FIND("^",SUBSTITUTE(C93,"|","^",9))),FIND("|",RIGHT(C93,LEN(C93)-FIND("^",SUBSTITUTE(C93,"|","^",9))))-1)),""))</f>
        <v/>
      </c>
      <c r="E343" s="14" t="s">
        <v>553</v>
      </c>
      <c r="G343" s="239" t="s">
        <v>96</v>
      </c>
      <c r="H343" s="14" t="s">
        <v>29</v>
      </c>
      <c r="I343" s="125" t="str">
        <f>IF(I340="","",IF(C343="","#N/A, Input cannot be blank",IF(C343="M", "Male",IF(C343="F","Female","#N/A, Unidentified Gender"))))</f>
        <v/>
      </c>
      <c r="J343" s="145"/>
      <c r="K343" s="145"/>
      <c r="L343" s="14" t="s">
        <v>1416</v>
      </c>
      <c r="M343" s="142" t="s">
        <v>1129</v>
      </c>
      <c r="N343" s="142" t="s">
        <v>1483</v>
      </c>
      <c r="O343" s="14" t="s">
        <v>1416</v>
      </c>
      <c r="P343" s="142" t="s">
        <v>1129</v>
      </c>
      <c r="Q343" s="142" t="s">
        <v>1598</v>
      </c>
      <c r="T343" s="14" t="s">
        <v>1259</v>
      </c>
    </row>
    <row r="344" spans="2:23" ht="15" customHeight="1" outlineLevel="3" x14ac:dyDescent="0.25">
      <c r="B344" s="192" t="str">
        <f>G344</f>
        <v>Other Dependent:</v>
      </c>
      <c r="C344" s="201"/>
      <c r="E344" s="14" t="s">
        <v>2189</v>
      </c>
      <c r="G344" s="239" t="s">
        <v>440</v>
      </c>
      <c r="H344" s="14" t="s">
        <v>29</v>
      </c>
      <c r="I344" s="189"/>
      <c r="J344" s="7"/>
      <c r="K344" s="145"/>
      <c r="L344" s="14" t="s">
        <v>1416</v>
      </c>
      <c r="M344" s="14" t="s">
        <v>1415</v>
      </c>
      <c r="N344" s="142" t="s">
        <v>565</v>
      </c>
      <c r="O344" s="14" t="s">
        <v>1416</v>
      </c>
      <c r="P344" s="14" t="s">
        <v>1415</v>
      </c>
      <c r="Q344" s="142" t="s">
        <v>565</v>
      </c>
      <c r="T344" s="14" t="s">
        <v>1279</v>
      </c>
    </row>
    <row r="345" spans="2:23" ht="15" customHeight="1" outlineLevel="3" x14ac:dyDescent="0.25">
      <c r="B345" s="9" t="s">
        <v>8</v>
      </c>
      <c r="C345" s="197" t="str">
        <f>IF(C95="","",IFERROR(IF(LEN(RIGHT(C95,LEN(C95)-FIND("^",SUBSTITUTE(C95,"|","^",9))))-LEN(SUBSTITUTE(RIGHT(C95,LEN(C95)-FIND("^",SUBSTITUTE(C95,"|","^",9))),"|",""))=0,RIGHT(C95,LEN(C95)-FIND("^",SUBSTITUTE(C95,"|","^",9))),LEFT(RIGHT(C95,LEN(C95)-FIND("^",SUBSTITUTE(C95,"|","^",9))),FIND("|",RIGHT(C95,LEN(C95)-FIND("^",SUBSTITUTE(C95,"|","^",9))))-1)),""))</f>
        <v/>
      </c>
      <c r="G345" s="239" t="s">
        <v>125</v>
      </c>
      <c r="H345" s="14" t="s">
        <v>14</v>
      </c>
      <c r="I345" s="125" t="str">
        <f>IF(I340="","",IF(C345="","#N/A, Input cannot be blank",IFERROR(TEXT(EDATE(C345,0),"MM/DD/YYYY"),"#N/A, Please enter a date format")))</f>
        <v/>
      </c>
      <c r="J345" s="145"/>
      <c r="K345" s="145"/>
      <c r="L345" s="14" t="s">
        <v>1416</v>
      </c>
      <c r="M345" s="142" t="s">
        <v>1129</v>
      </c>
      <c r="N345" s="142" t="s">
        <v>1483</v>
      </c>
      <c r="O345" s="14" t="s">
        <v>1416</v>
      </c>
      <c r="P345" s="142" t="s">
        <v>1129</v>
      </c>
      <c r="Q345" s="14" t="s">
        <v>1508</v>
      </c>
      <c r="T345" s="14" t="s">
        <v>1258</v>
      </c>
    </row>
    <row r="346" spans="2:23" ht="15" customHeight="1" outlineLevel="3" x14ac:dyDescent="0.25">
      <c r="B346" s="9" t="s">
        <v>3</v>
      </c>
      <c r="C346" s="197" t="str">
        <f>IF(C96="","",IFERROR(IF(LEN(RIGHT(C96,LEN(C96)-FIND("^",SUBSTITUTE(C96,"|","^",9))))-LEN(SUBSTITUTE(RIGHT(C96,LEN(C96)-FIND("^",SUBSTITUTE(C96,"|","^",9))),"|",""))=0,RIGHT(C96,LEN(C96)-FIND("^",SUBSTITUTE(C96,"|","^",9))),LEFT(RIGHT(C96,LEN(C96)-FIND("^",SUBSTITUTE(C96,"|","^",9))),FIND("|",RIGHT(C96,LEN(C96)-FIND("^",SUBSTITUTE(C96,"|","^",9))))-1)),""))</f>
        <v/>
      </c>
      <c r="E346" s="14" t="s">
        <v>547</v>
      </c>
      <c r="G346" s="239" t="s">
        <v>97</v>
      </c>
      <c r="H346" s="14" t="s">
        <v>14</v>
      </c>
      <c r="I346" s="125" t="str">
        <f>IF(C346=" ",C346,IF(OR(I340="",C346=""),"",IF(LEN(SUBSTITUTE(C346,"-",""))=9,SUBSTITUTE(C346,"-",""),"#N/A, SSN# must be 9 digits")))</f>
        <v/>
      </c>
      <c r="J346" s="145"/>
      <c r="K346" s="145"/>
      <c r="L346" s="14" t="s">
        <v>1416</v>
      </c>
      <c r="M346" s="142" t="s">
        <v>1129</v>
      </c>
      <c r="N346" s="142" t="s">
        <v>1483</v>
      </c>
      <c r="O346" s="14" t="s">
        <v>1416</v>
      </c>
      <c r="P346" s="142" t="s">
        <v>1129</v>
      </c>
      <c r="Q346" s="14" t="s">
        <v>1518</v>
      </c>
      <c r="T346" s="14" t="s">
        <v>1230</v>
      </c>
    </row>
    <row r="347" spans="2:23" ht="15" customHeight="1" outlineLevel="3" x14ac:dyDescent="0.25">
      <c r="B347" s="192" t="str">
        <f t="shared" ref="B347:B352" si="12">G347</f>
        <v>Multiple Birth:</v>
      </c>
      <c r="C347" s="201"/>
      <c r="E347" s="14" t="s">
        <v>2189</v>
      </c>
      <c r="G347" s="239" t="s">
        <v>506</v>
      </c>
      <c r="H347" s="14" t="s">
        <v>559</v>
      </c>
      <c r="I347" s="237"/>
      <c r="J347" s="145"/>
      <c r="K347" s="145"/>
      <c r="L347" s="14" t="s">
        <v>1416</v>
      </c>
      <c r="M347" s="14" t="s">
        <v>1415</v>
      </c>
      <c r="N347" s="142" t="s">
        <v>565</v>
      </c>
      <c r="O347" s="14" t="s">
        <v>1416</v>
      </c>
      <c r="P347" s="14" t="s">
        <v>1415</v>
      </c>
      <c r="Q347" s="142" t="s">
        <v>565</v>
      </c>
      <c r="T347" s="14" t="s">
        <v>1264</v>
      </c>
    </row>
    <row r="348" spans="2:23" ht="15" customHeight="1" outlineLevel="3" x14ac:dyDescent="0.25">
      <c r="B348" s="192" t="str">
        <f t="shared" si="12"/>
        <v>Native Language:</v>
      </c>
      <c r="C348" s="201"/>
      <c r="E348" s="14" t="s">
        <v>2175</v>
      </c>
      <c r="G348" s="239" t="s">
        <v>484</v>
      </c>
      <c r="H348" s="14" t="s">
        <v>29</v>
      </c>
      <c r="I348" s="237" t="str">
        <f>IF(I340="","","English")</f>
        <v/>
      </c>
      <c r="J348" s="145"/>
      <c r="K348" s="145"/>
      <c r="L348" s="14" t="s">
        <v>1416</v>
      </c>
      <c r="M348" s="14" t="s">
        <v>1415</v>
      </c>
      <c r="N348" s="142" t="s">
        <v>565</v>
      </c>
      <c r="O348" s="14" t="s">
        <v>1416</v>
      </c>
      <c r="P348" s="14" t="s">
        <v>1415</v>
      </c>
      <c r="Q348" s="142" t="s">
        <v>1430</v>
      </c>
      <c r="T348" s="14" t="s">
        <v>1263</v>
      </c>
    </row>
    <row r="349" spans="2:23" ht="15" customHeight="1" outlineLevel="3" x14ac:dyDescent="0.25">
      <c r="B349" s="192" t="str">
        <f t="shared" si="12"/>
        <v>Preferred Written Language:</v>
      </c>
      <c r="C349" s="201"/>
      <c r="E349" s="14" t="s">
        <v>2175</v>
      </c>
      <c r="G349" s="239" t="s">
        <v>486</v>
      </c>
      <c r="H349" s="14" t="s">
        <v>29</v>
      </c>
      <c r="I349" s="237" t="str">
        <f>IF(I340="","","English")</f>
        <v/>
      </c>
      <c r="J349" s="145"/>
      <c r="K349" s="145"/>
      <c r="L349" s="14" t="s">
        <v>1416</v>
      </c>
      <c r="M349" s="14" t="s">
        <v>1415</v>
      </c>
      <c r="N349" s="142" t="s">
        <v>565</v>
      </c>
      <c r="O349" s="14" t="s">
        <v>1416</v>
      </c>
      <c r="P349" s="14" t="s">
        <v>1415</v>
      </c>
      <c r="Q349" s="142" t="s">
        <v>1430</v>
      </c>
      <c r="T349" s="14" t="s">
        <v>1265</v>
      </c>
    </row>
    <row r="350" spans="2:23" ht="15" customHeight="1" outlineLevel="3" x14ac:dyDescent="0.25">
      <c r="B350" s="192" t="str">
        <f t="shared" si="12"/>
        <v>Preferred Spoken Language:</v>
      </c>
      <c r="C350" s="201"/>
      <c r="E350" s="14" t="s">
        <v>2175</v>
      </c>
      <c r="G350" s="239" t="s">
        <v>487</v>
      </c>
      <c r="H350" s="14" t="s">
        <v>29</v>
      </c>
      <c r="I350" s="237" t="str">
        <f>IF(I340="","","English")</f>
        <v/>
      </c>
      <c r="J350" s="145"/>
      <c r="K350" s="145"/>
      <c r="L350" s="14" t="s">
        <v>1416</v>
      </c>
      <c r="M350" s="14" t="s">
        <v>1415</v>
      </c>
      <c r="N350" s="142" t="s">
        <v>565</v>
      </c>
      <c r="O350" s="14" t="s">
        <v>1416</v>
      </c>
      <c r="P350" s="14" t="s">
        <v>1415</v>
      </c>
      <c r="Q350" s="142" t="s">
        <v>1430</v>
      </c>
      <c r="T350" s="14" t="s">
        <v>1266</v>
      </c>
    </row>
    <row r="351" spans="2:23" ht="15" customHeight="1" outlineLevel="3" x14ac:dyDescent="0.25">
      <c r="B351" s="192" t="str">
        <f t="shared" si="12"/>
        <v>Ethnicity (select all that apply):</v>
      </c>
      <c r="C351" s="201"/>
      <c r="E351" s="14" t="s">
        <v>2173</v>
      </c>
      <c r="G351" s="220" t="s">
        <v>488</v>
      </c>
      <c r="H351" s="14" t="s">
        <v>558</v>
      </c>
      <c r="I351" s="237" t="str">
        <f>IF(I340="","","Unknown")</f>
        <v/>
      </c>
      <c r="J351" s="145"/>
      <c r="K351" s="145"/>
      <c r="L351" s="14" t="s">
        <v>1416</v>
      </c>
      <c r="M351" s="14" t="s">
        <v>1415</v>
      </c>
      <c r="N351" s="142" t="s">
        <v>565</v>
      </c>
      <c r="O351" s="14" t="s">
        <v>1416</v>
      </c>
      <c r="P351" s="14" t="s">
        <v>1415</v>
      </c>
      <c r="Q351" s="142" t="s">
        <v>1431</v>
      </c>
      <c r="T351" s="14" t="s">
        <v>1267</v>
      </c>
    </row>
    <row r="352" spans="2:23" ht="15" customHeight="1" outlineLevel="3" x14ac:dyDescent="0.25">
      <c r="B352" s="192" t="str">
        <f t="shared" si="12"/>
        <v>Race (select all that apply):</v>
      </c>
      <c r="C352" s="201"/>
      <c r="E352" s="14" t="s">
        <v>2173</v>
      </c>
      <c r="G352" s="239" t="s">
        <v>492</v>
      </c>
      <c r="H352" s="14" t="s">
        <v>558</v>
      </c>
      <c r="I352" s="237" t="str">
        <f>IF(I340="","","Unknown")</f>
        <v/>
      </c>
      <c r="J352" s="145"/>
      <c r="K352" s="145"/>
      <c r="L352" s="14" t="s">
        <v>1416</v>
      </c>
      <c r="M352" s="14" t="s">
        <v>1415</v>
      </c>
      <c r="N352" s="142" t="s">
        <v>565</v>
      </c>
      <c r="O352" s="14" t="s">
        <v>1416</v>
      </c>
      <c r="P352" s="14" t="s">
        <v>1415</v>
      </c>
      <c r="Q352" s="142" t="s">
        <v>1431</v>
      </c>
      <c r="T352" s="14" t="s">
        <v>1271</v>
      </c>
    </row>
    <row r="353" spans="1:23" ht="30" customHeight="1" outlineLevel="3" x14ac:dyDescent="0.25">
      <c r="B353" s="192" t="s">
        <v>412</v>
      </c>
      <c r="C353" s="201" t="str">
        <f>IF(C103="","",IFERROR(IF(LEN(RIGHT(C103,LEN(C103)-FIND("^",SUBSTITUTE(C103,"|","^",9))))-LEN(SUBSTITUTE(RIGHT(C103,LEN(C103)-FIND("^",SUBSTITUTE(C103,"|","^",9))),"|",""))=0,RIGHT(C103,LEN(C103)-FIND("^",SUBSTITUTE(C103,"|","^",9))),LEFT(RIGHT(C103,LEN(C103)-FIND("^",SUBSTITUTE(C103,"|","^",9))),FIND("|",RIGHT(C103,LEN(C103)-FIND("^",SUBSTITUTE(C103,"|","^",9))))-1)),""))</f>
        <v/>
      </c>
      <c r="E353" s="14" t="s">
        <v>2190</v>
      </c>
      <c r="G353" s="239" t="s">
        <v>537</v>
      </c>
      <c r="H353" s="14" t="s">
        <v>559</v>
      </c>
      <c r="I353" s="150" t="str">
        <f>IF(I340="","",IF(OR(C353="",C353="No"),"No","Yes"))</f>
        <v/>
      </c>
      <c r="J353" s="145" t="str">
        <f>IF(I353="Yes", "Medicare Eligible is Yes for EN request for Dependent#10, please change ‘Medicare information’ to 'Yes'  and select Eligible in Dep Medicare tab in BCBS if needed. ","")</f>
        <v/>
      </c>
      <c r="K353" s="145"/>
      <c r="L353" s="14" t="s">
        <v>1417</v>
      </c>
      <c r="M353" s="14" t="s">
        <v>1414</v>
      </c>
      <c r="N353" s="142" t="s">
        <v>1483</v>
      </c>
      <c r="O353" s="14" t="s">
        <v>1416</v>
      </c>
      <c r="P353" s="14" t="s">
        <v>1415</v>
      </c>
      <c r="Q353" s="142" t="s">
        <v>1432</v>
      </c>
      <c r="T353" s="14" t="s">
        <v>1272</v>
      </c>
    </row>
    <row r="354" spans="1:23" ht="30" customHeight="1" outlineLevel="3" x14ac:dyDescent="0.25">
      <c r="B354" s="192" t="str">
        <f>G354</f>
        <v>Different address information than the employee?</v>
      </c>
      <c r="C354" s="201"/>
      <c r="E354" s="14" t="s">
        <v>2190</v>
      </c>
      <c r="G354" s="239" t="s">
        <v>508</v>
      </c>
      <c r="H354" s="14" t="s">
        <v>559</v>
      </c>
      <c r="I354" s="150" t="str">
        <f>IF(I340="","",IF(OR(C355="",TRIM(C355)&amp;TRIM(C356)&amp;TRIM(C357)&amp;TRIM(C358)&amp;TRIM(C359)=TRIM($C$48)&amp;TRIM($C$49)&amp;TRIM($C$50)&amp;TRIM($C$51)&amp;TRIM($C$52)),"No","Yes"))</f>
        <v/>
      </c>
      <c r="J354" s="145" t="str">
        <f>IF(I354="Yes", "Dependent have separate address for EN request for Dependen#10, please change ‘Different address information than the employee' to 'Yes' and update different address in Dep Address tab in BCBS if needed. ","")</f>
        <v/>
      </c>
      <c r="K354" s="145"/>
      <c r="L354" s="14" t="s">
        <v>1417</v>
      </c>
      <c r="M354" s="14" t="s">
        <v>1129</v>
      </c>
      <c r="N354" s="142" t="s">
        <v>1484</v>
      </c>
      <c r="O354" s="14" t="s">
        <v>1416</v>
      </c>
      <c r="P354" s="14" t="s">
        <v>1415</v>
      </c>
      <c r="Q354" s="142" t="s">
        <v>1432</v>
      </c>
      <c r="T354" s="14" t="s">
        <v>1273</v>
      </c>
    </row>
    <row r="355" spans="1:23" ht="0.2" customHeight="1" outlineLevel="3" x14ac:dyDescent="0.25">
      <c r="B355" s="192" t="s">
        <v>414</v>
      </c>
      <c r="C355" s="201" t="str">
        <f>IF(C105="","",IFERROR(IF(LEN(RIGHT(C105,LEN(C105)-FIND("^",SUBSTITUTE(C105,"|","^",9))))-LEN(SUBSTITUTE(RIGHT(C105,LEN(C105)-FIND("^",SUBSTITUTE(C105,"|","^",9))),"|",""))=0,RIGHT(C105,LEN(C105)-FIND("^",SUBSTITUTE(C105,"|","^",9))),LEFT(RIGHT(C105,LEN(C105)-FIND("^",SUBSTITUTE(C105,"|","^",9))),FIND("|",RIGHT(C105,LEN(C105)-FIND("^",SUBSTITUTE(C105,"|","^",9))))-1)),""))</f>
        <v/>
      </c>
      <c r="E355" s="18"/>
      <c r="G355" s="18"/>
      <c r="H355" s="18"/>
      <c r="I355" s="145"/>
      <c r="J355" s="145"/>
      <c r="K355" s="145"/>
      <c r="L355" s="14" t="s">
        <v>1417</v>
      </c>
      <c r="M355" s="14" t="s">
        <v>1414</v>
      </c>
      <c r="N355" s="142" t="s">
        <v>1483</v>
      </c>
      <c r="T355" s="14" t="s">
        <v>1274</v>
      </c>
    </row>
    <row r="356" spans="1:23" ht="0.2" customHeight="1" outlineLevel="3" x14ac:dyDescent="0.25">
      <c r="B356" s="192" t="s">
        <v>416</v>
      </c>
      <c r="C356" s="201" t="str">
        <f>IF(C106="","",IFERROR(IF(LEN(RIGHT(C106,LEN(C106)-FIND("^",SUBSTITUTE(C106,"|","^",9))))-LEN(SUBSTITUTE(RIGHT(C106,LEN(C106)-FIND("^",SUBSTITUTE(C106,"|","^",9))),"|",""))=0,RIGHT(C106,LEN(C106)-FIND("^",SUBSTITUTE(C106,"|","^",9))),LEFT(RIGHT(C106,LEN(C106)-FIND("^",SUBSTITUTE(C106,"|","^",9))),FIND("|",RIGHT(C106,LEN(C106)-FIND("^",SUBSTITUTE(C106,"|","^",9))))-1)),""))</f>
        <v/>
      </c>
      <c r="E356" s="18"/>
      <c r="G356" s="18"/>
      <c r="H356" s="18"/>
      <c r="I356" s="145"/>
      <c r="J356" s="145"/>
      <c r="K356" s="145"/>
      <c r="L356" s="14" t="s">
        <v>1417</v>
      </c>
      <c r="M356" s="14" t="s">
        <v>1414</v>
      </c>
      <c r="N356" s="142" t="s">
        <v>1483</v>
      </c>
      <c r="T356" s="14" t="s">
        <v>1275</v>
      </c>
    </row>
    <row r="357" spans="1:23" ht="0.2" customHeight="1" outlineLevel="3" x14ac:dyDescent="0.25">
      <c r="B357" s="192" t="s">
        <v>6</v>
      </c>
      <c r="C357" s="201" t="str">
        <f>IF(C107="","",IFERROR(IF(LEN(RIGHT(C107,LEN(C107)-FIND("^",SUBSTITUTE(C107,"|","^",9))))-LEN(SUBSTITUTE(RIGHT(C107,LEN(C107)-FIND("^",SUBSTITUTE(C107,"|","^",9))),"|",""))=0,RIGHT(C107,LEN(C107)-FIND("^",SUBSTITUTE(C107,"|","^",9))),LEFT(RIGHT(C107,LEN(C107)-FIND("^",SUBSTITUTE(C107,"|","^",9))),FIND("|",RIGHT(C107,LEN(C107)-FIND("^",SUBSTITUTE(C107,"|","^",9))))-1)),""))</f>
        <v/>
      </c>
      <c r="E357" s="18"/>
      <c r="G357" s="18"/>
      <c r="H357" s="18"/>
      <c r="I357" s="145"/>
      <c r="J357" s="145"/>
      <c r="K357" s="145"/>
      <c r="L357" s="14" t="s">
        <v>1417</v>
      </c>
      <c r="M357" s="14" t="s">
        <v>1414</v>
      </c>
      <c r="N357" s="142" t="s">
        <v>1483</v>
      </c>
      <c r="T357" s="14" t="s">
        <v>1276</v>
      </c>
    </row>
    <row r="358" spans="1:23" ht="0.2" customHeight="1" outlineLevel="3" x14ac:dyDescent="0.25">
      <c r="B358" s="192" t="s">
        <v>7</v>
      </c>
      <c r="C358" s="201" t="str">
        <f>IF(C108="","",IFERROR(IF(LEN(RIGHT(C108,LEN(C108)-FIND("^",SUBSTITUTE(C108,"|","^",9))))-LEN(SUBSTITUTE(RIGHT(C108,LEN(C108)-FIND("^",SUBSTITUTE(C108,"|","^",9))),"|",""))=0,RIGHT(C108,LEN(C108)-FIND("^",SUBSTITUTE(C108,"|","^",9))),LEFT(RIGHT(C108,LEN(C108)-FIND("^",SUBSTITUTE(C108,"|","^",9))),FIND("|",RIGHT(C108,LEN(C108)-FIND("^",SUBSTITUTE(C108,"|","^",9))))-1)),""))</f>
        <v/>
      </c>
      <c r="E358" s="18"/>
      <c r="G358" s="18"/>
      <c r="H358" s="18"/>
      <c r="I358" s="145"/>
      <c r="J358" s="145"/>
      <c r="K358" s="145"/>
      <c r="L358" s="14" t="s">
        <v>1417</v>
      </c>
      <c r="M358" s="14" t="s">
        <v>1414</v>
      </c>
      <c r="N358" s="142" t="s">
        <v>1483</v>
      </c>
      <c r="T358" s="14" t="s">
        <v>1277</v>
      </c>
    </row>
    <row r="359" spans="1:23" ht="0.2" customHeight="1" outlineLevel="3" x14ac:dyDescent="0.25">
      <c r="B359" s="192" t="s">
        <v>19</v>
      </c>
      <c r="C359" s="201" t="str">
        <f>IF(C109="","",IFERROR(IF(LEN(RIGHT(C109,LEN(C109)-FIND("^",SUBSTITUTE(C109,"|","^",9))))-LEN(SUBSTITUTE(RIGHT(C109,LEN(C109)-FIND("^",SUBSTITUTE(C109,"|","^",9))),"|",""))=0,RIGHT(C109,LEN(C109)-FIND("^",SUBSTITUTE(C109,"|","^",9))),LEFT(RIGHT(C109,LEN(C109)-FIND("^",SUBSTITUTE(C109,"|","^",9))),FIND("|",RIGHT(C109,LEN(C109)-FIND("^",SUBSTITUTE(C109,"|","^",9))))-1)),""))</f>
        <v/>
      </c>
      <c r="E359" s="18"/>
      <c r="G359" s="18"/>
      <c r="H359" s="18"/>
      <c r="I359" s="145"/>
      <c r="J359" s="145"/>
      <c r="K359" s="145"/>
      <c r="L359" s="14" t="s">
        <v>1417</v>
      </c>
      <c r="M359" s="14" t="s">
        <v>1414</v>
      </c>
      <c r="N359" s="142" t="s">
        <v>1483</v>
      </c>
      <c r="T359" s="14" t="s">
        <v>1278</v>
      </c>
    </row>
    <row r="360" spans="1:23" ht="15" customHeight="1" outlineLevel="2" x14ac:dyDescent="0.25">
      <c r="A360" s="251" t="s">
        <v>2240</v>
      </c>
      <c r="B360" s="251"/>
      <c r="C360" s="252"/>
      <c r="E360" s="155"/>
      <c r="G360" s="253"/>
      <c r="H360" s="254"/>
      <c r="I360" s="255"/>
      <c r="J360" s="154"/>
      <c r="K360" s="7"/>
      <c r="L360" s="7"/>
      <c r="M360" s="7"/>
      <c r="N360" s="7"/>
      <c r="O360" s="7"/>
      <c r="P360" s="7"/>
      <c r="Q360" s="7"/>
      <c r="R360" s="7"/>
      <c r="S360" s="7"/>
      <c r="T360" s="7"/>
      <c r="U360" s="7"/>
      <c r="V360" s="7"/>
      <c r="W360" s="7"/>
    </row>
    <row r="361" spans="1:23" ht="15" customHeight="1" outlineLevel="3" x14ac:dyDescent="0.25">
      <c r="B361" s="9" t="s">
        <v>88</v>
      </c>
      <c r="C361" s="197" t="str">
        <f>IF(C86="","",IFERROR(IF(LEN(RIGHT(C86,LEN(C86)-FIND("^",SUBSTITUTE(C86,"|","^",10))))-LEN(SUBSTITUTE(RIGHT(C86,LEN(C86)-FIND("^",SUBSTITUTE(C86,"|","^",10))),"|",""))=0,RIGHT(C86,LEN(C86)-FIND("^",SUBSTITUTE(C86,"|","^",10))),LEFT(RIGHT(C86,LEN(C86)-FIND("^",SUBSTITUTE(C86,"|","^",10))),FIND("|",RIGHT(C86,LEN(C86)-FIND("^",SUBSTITUTE(C86,"|","^",10))))-1)),""))</f>
        <v/>
      </c>
      <c r="E361" s="2" t="s">
        <v>2171</v>
      </c>
      <c r="G361" s="239" t="s">
        <v>95</v>
      </c>
      <c r="H361" s="14" t="s">
        <v>14</v>
      </c>
      <c r="I361" s="125" t="str">
        <f>IF(I365="","",IF(C361="","#N/A, Input cannot be blank",UPPER(LEFT(C361,20))))</f>
        <v/>
      </c>
      <c r="J361" s="14" t="str">
        <f>IF(LEN(C361)&gt;20,TEXT("Requested dependent#11 last name as:","xxx")&amp;" "&amp; TEXT(C361,"xxxxxxx")&amp;","&amp;" "&amp;TEXT("input into BCBS as:","xxxx")&amp;" "&amp; TEXT(I361,"xxxxxxx")&amp;". ","")</f>
        <v/>
      </c>
      <c r="K361" s="7"/>
      <c r="L361" s="7" t="s">
        <v>1416</v>
      </c>
      <c r="M361" s="7" t="s">
        <v>1129</v>
      </c>
      <c r="N361" s="7" t="s">
        <v>1483</v>
      </c>
      <c r="O361" s="7" t="s">
        <v>1416</v>
      </c>
      <c r="P361" s="7" t="s">
        <v>1129</v>
      </c>
      <c r="Q361" s="7" t="s">
        <v>1593</v>
      </c>
      <c r="R361" s="7"/>
      <c r="S361" s="7"/>
      <c r="T361" s="7" t="s">
        <v>1262</v>
      </c>
      <c r="U361" s="7"/>
      <c r="V361" s="7"/>
      <c r="W361" s="7"/>
    </row>
    <row r="362" spans="1:23" ht="15" customHeight="1" outlineLevel="3" x14ac:dyDescent="0.25">
      <c r="B362" s="192" t="s">
        <v>155</v>
      </c>
      <c r="C362" s="201" t="str">
        <f>IF(C87="","",IFERROR(IF(LEN(RIGHT(C87,LEN(C87)-FIND("^",SUBSTITUTE(C87,"|","^",10))))-LEN(SUBSTITUTE(RIGHT(C87,LEN(C87)-FIND("^",SUBSTITUTE(C87,"|","^",10))),"|",""))=0,RIGHT(C87,LEN(C87)-FIND("^",SUBSTITUTE(C87,"|","^",10))),LEFT(RIGHT(C87,LEN(C87)-FIND("^",SUBSTITUTE(C87,"|","^",10))),FIND("|",RIGHT(C87,LEN(C87)-FIND("^",SUBSTITUTE(C87,"|","^",10))))-1)),""))</f>
        <v/>
      </c>
      <c r="E362" s="14" t="s">
        <v>2172</v>
      </c>
      <c r="G362" s="239" t="s">
        <v>155</v>
      </c>
      <c r="H362" s="14" t="s">
        <v>14</v>
      </c>
      <c r="I362" s="189"/>
      <c r="J362" s="145"/>
      <c r="K362" s="7"/>
      <c r="L362" s="7" t="s">
        <v>1416</v>
      </c>
      <c r="M362" s="7" t="s">
        <v>1129</v>
      </c>
      <c r="N362" s="7" t="s">
        <v>1483</v>
      </c>
      <c r="O362" s="7" t="s">
        <v>1416</v>
      </c>
      <c r="P362" s="7" t="s">
        <v>1415</v>
      </c>
      <c r="Q362" s="7" t="s">
        <v>565</v>
      </c>
      <c r="R362" s="7"/>
      <c r="S362" s="7"/>
      <c r="T362" s="7" t="s">
        <v>1261</v>
      </c>
      <c r="U362" s="7"/>
      <c r="V362" s="7"/>
      <c r="W362" s="7"/>
    </row>
    <row r="363" spans="1:23" ht="15" customHeight="1" outlineLevel="3" x14ac:dyDescent="0.25">
      <c r="B363" s="9" t="s">
        <v>87</v>
      </c>
      <c r="C363" s="197" t="str">
        <f>IF(C88="","",IFERROR(IF(LEN(RIGHT(C88,LEN(C88)-FIND("^",SUBSTITUTE(C88,"|","^",10))))-LEN(SUBSTITUTE(RIGHT(C88,LEN(C88)-FIND("^",SUBSTITUTE(C88,"|","^",10))),"|",""))=0,RIGHT(C88,LEN(C88)-FIND("^",SUBSTITUTE(C88,"|","^",10))),LEFT(RIGHT(C88,LEN(C88)-FIND("^",SUBSTITUTE(C88,"|","^",10))),FIND("|",RIGHT(C88,LEN(C88)-FIND("^",SUBSTITUTE(C88,"|","^",10))))-1)),""))</f>
        <v/>
      </c>
      <c r="E363" s="2" t="s">
        <v>2170</v>
      </c>
      <c r="G363" s="239" t="s">
        <v>93</v>
      </c>
      <c r="H363" s="14" t="s">
        <v>14</v>
      </c>
      <c r="I363" s="125" t="str">
        <f>IF(I365="","",IF(C363="","#N/A, Input cannot be blank",UPPER(LEFT(C363,20))))</f>
        <v/>
      </c>
      <c r="J363" s="125" t="str">
        <f>IF(LEN(C363)&gt;20,TEXT("Requested dependent#11 first name as:","xxx")&amp;" "&amp; TEXT(C363,"xxxxxxx")&amp;","&amp;" "&amp; TEXT("input into BCBS as:","xxxx")&amp;" "&amp; TEXT(I363,"xxxxxxx")&amp;". ","")</f>
        <v/>
      </c>
      <c r="K363" s="7"/>
      <c r="L363" s="7" t="s">
        <v>1416</v>
      </c>
      <c r="M363" s="7" t="s">
        <v>1129</v>
      </c>
      <c r="N363" s="7" t="s">
        <v>1483</v>
      </c>
      <c r="O363" s="7" t="s">
        <v>1416</v>
      </c>
      <c r="P363" s="7" t="s">
        <v>1129</v>
      </c>
      <c r="Q363" s="7" t="s">
        <v>1593</v>
      </c>
      <c r="R363" s="7"/>
      <c r="S363" s="7"/>
      <c r="T363" s="7" t="s">
        <v>1260</v>
      </c>
      <c r="U363" s="7"/>
      <c r="V363" s="7"/>
      <c r="W363" s="7"/>
    </row>
    <row r="364" spans="1:23" ht="15" customHeight="1" outlineLevel="3" x14ac:dyDescent="0.25">
      <c r="B364" s="9" t="s">
        <v>552</v>
      </c>
      <c r="C364" s="197" t="str">
        <f>IF(C89="","",IFERROR(LEFT(RIGHT(C89,LEN(C89)-FIND("^",SUBSTITUTE(C89,"|","^",10))),1),""))</f>
        <v/>
      </c>
      <c r="E364" s="14" t="s">
        <v>547</v>
      </c>
      <c r="G364" s="239" t="s">
        <v>94</v>
      </c>
      <c r="H364" s="14" t="s">
        <v>14</v>
      </c>
      <c r="I364" s="125" t="str">
        <f>IF(OR(I365="",C364=""),"",UPPER(LEFT(C364,1)))</f>
        <v/>
      </c>
      <c r="J364" s="145"/>
      <c r="K364" s="7"/>
      <c r="L364" s="7" t="s">
        <v>1416</v>
      </c>
      <c r="M364" s="7" t="s">
        <v>1129</v>
      </c>
      <c r="N364" s="7" t="s">
        <v>1483</v>
      </c>
      <c r="O364" s="7" t="s">
        <v>1416</v>
      </c>
      <c r="P364" s="7" t="s">
        <v>1129</v>
      </c>
      <c r="Q364" s="7" t="s">
        <v>1593</v>
      </c>
      <c r="R364" s="7"/>
      <c r="S364" s="7"/>
      <c r="T364" s="7" t="s">
        <v>1596</v>
      </c>
      <c r="U364" s="7"/>
      <c r="V364" s="7"/>
      <c r="W364" s="7"/>
    </row>
    <row r="365" spans="1:23" ht="30" customHeight="1" outlineLevel="3" x14ac:dyDescent="0.25">
      <c r="B365" s="9" t="s">
        <v>26</v>
      </c>
      <c r="C365" s="200" t="str">
        <f>IF(C90="","",IFERROR(IF(LEN(RIGHT(C90,LEN(C90)-FIND("^",SUBSTITUTE(C90,"|","^",10))))-LEN(SUBSTITUTE(RIGHT(C90,LEN(C90)-FIND("^",SUBSTITUTE(C90,"|","^",10))),"|",""))=0,RIGHT(C90,LEN(C90)-FIND("^",SUBSTITUTE(C90,"|","^",10))),LEFT(RIGHT(C90,LEN(C90)-FIND("^",SUBSTITUTE(C90,"|","^",10))),FIND("|",RIGHT(C90,LEN(C90)-FIND("^",SUBSTITUTE(C90,"|","^",10))))-1)),""))</f>
        <v/>
      </c>
      <c r="E365" s="14" t="s">
        <v>2200</v>
      </c>
      <c r="G365" s="239" t="s">
        <v>123</v>
      </c>
      <c r="H365" s="14" t="s">
        <v>29</v>
      </c>
      <c r="I365" s="125" t="str">
        <f>IF(C361="","",IF(OR($I$69="Y",$I$79="Y"),IF(C365="","#N/A, Input cannot be blank",IF($C$44="",INDEX('Dropdown list'!$AD:$AD,MATCH(C365,'Dropdown list'!$AC:$AC,0),1),IF(C365="Child",IF(OR(ISNUMBER(MATCH(SUBSTITUTE($C$69," (Pending)",""),'Dropdown list'!$AL:$AL,0)),ISNUMBER(MATCH(SUBSTITUTE($C$79," (Pending)",""),'Dropdown list'!$AL:$AL,0))),INDEX('Dropdown list'!$AH:$AH,MATCH(C366&amp;C367,'Dropdown list'!$AG:$AG,0),1),""),IF(C365="Spouse",IF(OR(ISNUMBER(MATCH(SUBSTITUTE($C$69," (Pending)",""),'Dropdown list'!$AM:$AM,0)),ISNUMBER(MATCH(SUBSTITUTE($C$79," (Pending)",""),'Dropdown list'!$AM:$AM,0))),"Spouse",""),IF(C365="Domestic Partner",IF(OR(ISNUMBER(MATCH(SUBSTITUTE($C$69," (Pending)",""),'Dropdown list'!$AN:$AN,0)),ISNUMBER(MATCH(SUBSTITUTE($C$79," (Pending)",""),'Dropdown list'!$AN:$AN,0))),"Domestic Partner",""),INDEX('Dropdown list'!$AK:$AK,MATCH(C365,'Dropdown list'!$AJ:$AJ,0),1)))))),""))</f>
        <v/>
      </c>
      <c r="J365" s="145"/>
      <c r="K365" s="145"/>
      <c r="L365" s="14" t="s">
        <v>1416</v>
      </c>
      <c r="M365" s="142" t="s">
        <v>1129</v>
      </c>
      <c r="N365" s="142" t="s">
        <v>1483</v>
      </c>
      <c r="O365" s="14" t="s">
        <v>1416</v>
      </c>
      <c r="P365" s="142" t="s">
        <v>1129</v>
      </c>
      <c r="Q365" s="142" t="s">
        <v>1594</v>
      </c>
      <c r="T365" s="14" t="s">
        <v>1595</v>
      </c>
    </row>
    <row r="366" spans="1:23" ht="0.2" customHeight="1" outlineLevel="3" x14ac:dyDescent="0.25">
      <c r="B366" s="192" t="s">
        <v>79</v>
      </c>
      <c r="C366" s="201" t="str">
        <f>IF(C91="","",IFERROR(IF(LEN(RIGHT(C91,LEN(C91)-FIND("^",SUBSTITUTE(C91,"|","^",10))))-LEN(SUBSTITUTE(RIGHT(C91,LEN(C91)-FIND("^",SUBSTITUTE(C91,"|","^",10))),"|",""))=0,RIGHT(C91,LEN(C91)-FIND("^",SUBSTITUTE(C91,"|","^",10))),LEFT(RIGHT(C91,LEN(C91)-FIND("^",SUBSTITUTE(C91,"|","^",10))),FIND("|",RIGHT(C91,LEN(C91)-FIND("^",SUBSTITUTE(C91,"|","^",10))))-1)),""))</f>
        <v/>
      </c>
      <c r="E366" s="14" t="s">
        <v>2191</v>
      </c>
      <c r="H366" s="1"/>
      <c r="I366" s="1"/>
      <c r="J366" s="1"/>
      <c r="K366" s="7"/>
      <c r="L366" s="7" t="s">
        <v>1416</v>
      </c>
      <c r="M366" s="7" t="s">
        <v>1129</v>
      </c>
      <c r="N366" s="7" t="s">
        <v>1483</v>
      </c>
      <c r="O366" s="7"/>
      <c r="P366" s="7"/>
      <c r="Q366" s="7"/>
      <c r="R366" s="7"/>
      <c r="S366" s="7"/>
      <c r="T366" s="7" t="s">
        <v>1597</v>
      </c>
      <c r="U366" s="7"/>
      <c r="V366" s="7"/>
      <c r="W366" s="7"/>
    </row>
    <row r="367" spans="1:23" ht="0.2" customHeight="1" outlineLevel="3" x14ac:dyDescent="0.25">
      <c r="B367" s="192" t="s">
        <v>409</v>
      </c>
      <c r="C367" s="201" t="str">
        <f>IF(C92="","",IFERROR(IF(LEN(RIGHT(C92,LEN(C92)-FIND("^",SUBSTITUTE(C92,"|","^",10))))-LEN(SUBSTITUTE(RIGHT(C92,LEN(C92)-FIND("^",SUBSTITUTE(C92,"|","^",10))),"|",""))=0,RIGHT(C92,LEN(C92)-FIND("^",SUBSTITUTE(C92,"|","^",10))),LEFT(RIGHT(C92,LEN(C92)-FIND("^",SUBSTITUTE(C92,"|","^",10))),FIND("|",RIGHT(C92,LEN(C92)-FIND("^",SUBSTITUTE(C92,"|","^",10))))-1)),""))</f>
        <v/>
      </c>
      <c r="E367" s="14"/>
      <c r="H367" s="1"/>
      <c r="I367" s="1"/>
      <c r="J367" s="1"/>
      <c r="K367" s="7"/>
      <c r="L367" s="7" t="s">
        <v>1416</v>
      </c>
      <c r="M367" s="7" t="s">
        <v>1129</v>
      </c>
      <c r="N367" s="7" t="s">
        <v>1483</v>
      </c>
      <c r="O367" s="7"/>
      <c r="P367" s="7"/>
      <c r="Q367" s="7"/>
      <c r="R367" s="7"/>
      <c r="S367" s="7"/>
      <c r="T367" s="7" t="s">
        <v>1280</v>
      </c>
      <c r="U367" s="7"/>
      <c r="V367" s="7"/>
      <c r="W367" s="7"/>
    </row>
    <row r="368" spans="1:23" ht="15" customHeight="1" outlineLevel="3" x14ac:dyDescent="0.25">
      <c r="B368" s="9" t="s">
        <v>2</v>
      </c>
      <c r="C368" s="197" t="str">
        <f>IF(C93="","",IFERROR(IF(LEN(RIGHT(C93,LEN(C93)-FIND("^",SUBSTITUTE(C93,"|","^",10))))-LEN(SUBSTITUTE(RIGHT(C93,LEN(C93)-FIND("^",SUBSTITUTE(C93,"|","^",10))),"|",""))=0,RIGHT(C93,LEN(C93)-FIND("^",SUBSTITUTE(C93,"|","^",10))),LEFT(RIGHT(C93,LEN(C93)-FIND("^",SUBSTITUTE(C93,"|","^",10))),FIND("|",RIGHT(C93,LEN(C93)-FIND("^",SUBSTITUTE(C93,"|","^",10))))-1)),""))</f>
        <v/>
      </c>
      <c r="E368" s="14" t="s">
        <v>553</v>
      </c>
      <c r="G368" s="239" t="s">
        <v>96</v>
      </c>
      <c r="H368" s="14" t="s">
        <v>29</v>
      </c>
      <c r="I368" s="125" t="str">
        <f>IF(I365="","",IF(C368="","#N/A, Input cannot be blank",IF(C368="M", "Male",IF(C368="F","Female","#N/A, Unidentified Gender"))))</f>
        <v/>
      </c>
      <c r="J368" s="145"/>
      <c r="K368" s="7"/>
      <c r="L368" s="7" t="s">
        <v>1416</v>
      </c>
      <c r="M368" s="7" t="s">
        <v>1129</v>
      </c>
      <c r="N368" s="7" t="s">
        <v>1483</v>
      </c>
      <c r="O368" s="7" t="s">
        <v>1416</v>
      </c>
      <c r="P368" s="7" t="s">
        <v>1129</v>
      </c>
      <c r="Q368" s="7" t="s">
        <v>1598</v>
      </c>
      <c r="R368" s="7"/>
      <c r="S368" s="7"/>
      <c r="T368" s="7" t="s">
        <v>1259</v>
      </c>
      <c r="U368" s="7"/>
      <c r="V368" s="7"/>
      <c r="W368" s="7"/>
    </row>
    <row r="369" spans="2:23" ht="15" customHeight="1" outlineLevel="3" x14ac:dyDescent="0.25">
      <c r="B369" s="192" t="str">
        <f>G369</f>
        <v>Other Dependent:</v>
      </c>
      <c r="C369" s="201"/>
      <c r="E369" s="14" t="s">
        <v>2189</v>
      </c>
      <c r="G369" s="239" t="s">
        <v>440</v>
      </c>
      <c r="H369" s="14" t="s">
        <v>29</v>
      </c>
      <c r="I369" s="189"/>
      <c r="J369" s="145"/>
      <c r="K369" s="7"/>
      <c r="L369" s="7" t="s">
        <v>1416</v>
      </c>
      <c r="M369" s="7" t="s">
        <v>1415</v>
      </c>
      <c r="N369" s="7" t="s">
        <v>565</v>
      </c>
      <c r="O369" s="7" t="s">
        <v>1416</v>
      </c>
      <c r="P369" s="7" t="s">
        <v>1415</v>
      </c>
      <c r="Q369" s="7" t="s">
        <v>565</v>
      </c>
      <c r="R369" s="7"/>
      <c r="S369" s="7"/>
      <c r="T369" s="7" t="s">
        <v>1279</v>
      </c>
      <c r="U369" s="7"/>
      <c r="V369" s="7"/>
      <c r="W369" s="7"/>
    </row>
    <row r="370" spans="2:23" ht="15" customHeight="1" outlineLevel="3" x14ac:dyDescent="0.25">
      <c r="B370" s="9" t="s">
        <v>8</v>
      </c>
      <c r="C370" s="197" t="str">
        <f>IF(C95="","",IFERROR(IF(LEN(RIGHT(C95,LEN(C95)-FIND("^",SUBSTITUTE(C95,"|","^",10))))-LEN(SUBSTITUTE(RIGHT(C95,LEN(C95)-FIND("^",SUBSTITUTE(C95,"|","^",10))),"|",""))=0,RIGHT(C95,LEN(C95)-FIND("^",SUBSTITUTE(C95,"|","^",10))),LEFT(RIGHT(C95,LEN(C95)-FIND("^",SUBSTITUTE(C95,"|","^",10))),FIND("|",RIGHT(C95,LEN(C95)-FIND("^",SUBSTITUTE(C95,"|","^",10))))-1)),""))</f>
        <v/>
      </c>
      <c r="G370" s="239" t="s">
        <v>125</v>
      </c>
      <c r="H370" s="14" t="s">
        <v>14</v>
      </c>
      <c r="I370" s="125" t="str">
        <f>IF(I365="","",IF(C370="","#N/A, Input cannot be blank",IFERROR(TEXT(EDATE(C370,0),"MM/DD/YYYY"),"#N/A, Please enter a date format")))</f>
        <v/>
      </c>
      <c r="J370" s="145"/>
      <c r="K370" s="7"/>
      <c r="L370" s="7" t="s">
        <v>1416</v>
      </c>
      <c r="M370" s="7" t="s">
        <v>1129</v>
      </c>
      <c r="N370" s="7" t="s">
        <v>1483</v>
      </c>
      <c r="O370" s="7" t="s">
        <v>1416</v>
      </c>
      <c r="P370" s="7" t="s">
        <v>1129</v>
      </c>
      <c r="Q370" s="7" t="s">
        <v>1508</v>
      </c>
      <c r="R370" s="7"/>
      <c r="S370" s="7"/>
      <c r="T370" s="7" t="s">
        <v>1258</v>
      </c>
      <c r="U370" s="7"/>
      <c r="V370" s="7"/>
      <c r="W370" s="7"/>
    </row>
    <row r="371" spans="2:23" ht="15" customHeight="1" outlineLevel="3" x14ac:dyDescent="0.25">
      <c r="B371" s="9" t="s">
        <v>3</v>
      </c>
      <c r="C371" s="197" t="str">
        <f>IF(C96="","",IFERROR(IF(LEN(RIGHT(C96,LEN(C96)-FIND("^",SUBSTITUTE(C96,"|","^",10))))-LEN(SUBSTITUTE(RIGHT(C96,LEN(C96)-FIND("^",SUBSTITUTE(C96,"|","^",10))),"|",""))=0,RIGHT(C96,LEN(C96)-FIND("^",SUBSTITUTE(C96,"|","^",10))),LEFT(RIGHT(C96,LEN(C96)-FIND("^",SUBSTITUTE(C96,"|","^",10))),FIND("|",RIGHT(C96,LEN(C96)-FIND("^",SUBSTITUTE(C96,"|","^",10))))-1)),""))</f>
        <v/>
      </c>
      <c r="E371" s="14" t="s">
        <v>547</v>
      </c>
      <c r="G371" s="239" t="s">
        <v>97</v>
      </c>
      <c r="H371" s="14" t="s">
        <v>14</v>
      </c>
      <c r="I371" s="125" t="str">
        <f>IF(C371=" ",C371,IF(OR(I365="",C371=""),"",IF(LEN(SUBSTITUTE(C371,"-",""))=9,SUBSTITUTE(C371,"-",""),"#N/A, SSN# must be 9 digits")))</f>
        <v/>
      </c>
      <c r="J371" s="145"/>
      <c r="K371" s="7"/>
      <c r="L371" s="7" t="s">
        <v>1416</v>
      </c>
      <c r="M371" s="7" t="s">
        <v>1129</v>
      </c>
      <c r="N371" s="7" t="s">
        <v>1483</v>
      </c>
      <c r="O371" s="7" t="s">
        <v>1416</v>
      </c>
      <c r="P371" s="7" t="s">
        <v>1129</v>
      </c>
      <c r="Q371" s="7" t="s">
        <v>1518</v>
      </c>
      <c r="R371" s="7"/>
      <c r="S371" s="7"/>
      <c r="T371" s="7" t="s">
        <v>1230</v>
      </c>
      <c r="U371" s="7"/>
      <c r="V371" s="7"/>
      <c r="W371" s="7"/>
    </row>
    <row r="372" spans="2:23" ht="15" customHeight="1" outlineLevel="3" x14ac:dyDescent="0.25">
      <c r="B372" s="192" t="str">
        <f t="shared" ref="B372:B377" si="13">G372</f>
        <v>Multiple Birth:</v>
      </c>
      <c r="C372" s="201"/>
      <c r="E372" s="14" t="s">
        <v>2189</v>
      </c>
      <c r="G372" s="239" t="s">
        <v>506</v>
      </c>
      <c r="H372" s="14" t="s">
        <v>559</v>
      </c>
      <c r="I372" s="237"/>
      <c r="J372" s="145"/>
      <c r="K372" s="7"/>
      <c r="L372" s="7" t="s">
        <v>1416</v>
      </c>
      <c r="M372" s="7" t="s">
        <v>1415</v>
      </c>
      <c r="N372" s="7" t="s">
        <v>565</v>
      </c>
      <c r="O372" s="7" t="s">
        <v>1416</v>
      </c>
      <c r="P372" s="7" t="s">
        <v>1415</v>
      </c>
      <c r="Q372" s="7" t="s">
        <v>565</v>
      </c>
      <c r="R372" s="7"/>
      <c r="S372" s="7"/>
      <c r="T372" s="7" t="s">
        <v>1264</v>
      </c>
      <c r="U372" s="7"/>
      <c r="V372" s="7"/>
      <c r="W372" s="7"/>
    </row>
    <row r="373" spans="2:23" ht="15" customHeight="1" outlineLevel="3" x14ac:dyDescent="0.25">
      <c r="B373" s="192" t="str">
        <f t="shared" si="13"/>
        <v>Native Language:</v>
      </c>
      <c r="C373" s="201"/>
      <c r="E373" s="14" t="s">
        <v>2175</v>
      </c>
      <c r="G373" s="239" t="s">
        <v>484</v>
      </c>
      <c r="H373" s="14" t="s">
        <v>29</v>
      </c>
      <c r="I373" s="237" t="str">
        <f>IF(I365="","","English")</f>
        <v/>
      </c>
      <c r="J373" s="145"/>
      <c r="K373" s="7"/>
      <c r="L373" s="7" t="s">
        <v>1416</v>
      </c>
      <c r="M373" s="7" t="s">
        <v>1415</v>
      </c>
      <c r="N373" s="7" t="s">
        <v>565</v>
      </c>
      <c r="O373" s="7" t="s">
        <v>1416</v>
      </c>
      <c r="P373" s="7" t="s">
        <v>1415</v>
      </c>
      <c r="Q373" s="7" t="s">
        <v>1430</v>
      </c>
      <c r="R373" s="7"/>
      <c r="S373" s="7"/>
      <c r="T373" s="7" t="s">
        <v>1263</v>
      </c>
      <c r="U373" s="7"/>
      <c r="V373" s="7"/>
      <c r="W373" s="7"/>
    </row>
    <row r="374" spans="2:23" ht="15" customHeight="1" outlineLevel="3" x14ac:dyDescent="0.25">
      <c r="B374" s="192" t="str">
        <f t="shared" si="13"/>
        <v>Preferred Written Language:</v>
      </c>
      <c r="C374" s="201"/>
      <c r="E374" s="14" t="s">
        <v>2175</v>
      </c>
      <c r="G374" s="239" t="s">
        <v>486</v>
      </c>
      <c r="H374" s="14" t="s">
        <v>29</v>
      </c>
      <c r="I374" s="237" t="str">
        <f>IF(I365="","","English")</f>
        <v/>
      </c>
      <c r="J374" s="145"/>
      <c r="K374" s="7"/>
      <c r="L374" s="7" t="s">
        <v>1416</v>
      </c>
      <c r="M374" s="7" t="s">
        <v>1415</v>
      </c>
      <c r="N374" s="7" t="s">
        <v>565</v>
      </c>
      <c r="O374" s="7" t="s">
        <v>1416</v>
      </c>
      <c r="P374" s="7" t="s">
        <v>1415</v>
      </c>
      <c r="Q374" s="7" t="s">
        <v>1430</v>
      </c>
      <c r="R374" s="7"/>
      <c r="S374" s="7"/>
      <c r="T374" s="7" t="s">
        <v>1265</v>
      </c>
      <c r="U374" s="7"/>
      <c r="V374" s="7"/>
      <c r="W374" s="7"/>
    </row>
    <row r="375" spans="2:23" ht="15" customHeight="1" outlineLevel="3" x14ac:dyDescent="0.25">
      <c r="B375" s="192" t="str">
        <f t="shared" si="13"/>
        <v>Preferred Spoken Language:</v>
      </c>
      <c r="C375" s="201"/>
      <c r="E375" s="14" t="s">
        <v>2175</v>
      </c>
      <c r="G375" s="239" t="s">
        <v>487</v>
      </c>
      <c r="H375" s="14" t="s">
        <v>29</v>
      </c>
      <c r="I375" s="237" t="str">
        <f>IF(I365="","","English")</f>
        <v/>
      </c>
      <c r="J375" s="145"/>
      <c r="K375" s="7"/>
      <c r="L375" s="7" t="s">
        <v>1416</v>
      </c>
      <c r="M375" s="7" t="s">
        <v>1415</v>
      </c>
      <c r="N375" s="7" t="s">
        <v>565</v>
      </c>
      <c r="O375" s="7" t="s">
        <v>1416</v>
      </c>
      <c r="P375" s="7" t="s">
        <v>1415</v>
      </c>
      <c r="Q375" s="7" t="s">
        <v>1430</v>
      </c>
      <c r="R375" s="7"/>
      <c r="S375" s="7"/>
      <c r="T375" s="7" t="s">
        <v>1266</v>
      </c>
      <c r="U375" s="7"/>
      <c r="V375" s="7"/>
      <c r="W375" s="7"/>
    </row>
    <row r="376" spans="2:23" ht="15" customHeight="1" outlineLevel="3" x14ac:dyDescent="0.25">
      <c r="B376" s="192" t="str">
        <f t="shared" si="13"/>
        <v>Ethnicity (select all that apply):</v>
      </c>
      <c r="C376" s="201"/>
      <c r="E376" s="14" t="s">
        <v>2173</v>
      </c>
      <c r="G376" s="220" t="s">
        <v>488</v>
      </c>
      <c r="H376" s="14" t="s">
        <v>558</v>
      </c>
      <c r="I376" s="237" t="str">
        <f>IF(I365="","","Unknown")</f>
        <v/>
      </c>
      <c r="J376" s="145"/>
      <c r="K376" s="7"/>
      <c r="L376" s="7" t="s">
        <v>1416</v>
      </c>
      <c r="M376" s="7" t="s">
        <v>1415</v>
      </c>
      <c r="N376" s="7" t="s">
        <v>565</v>
      </c>
      <c r="O376" s="7" t="s">
        <v>1416</v>
      </c>
      <c r="P376" s="7" t="s">
        <v>1415</v>
      </c>
      <c r="Q376" s="7" t="s">
        <v>1431</v>
      </c>
      <c r="R376" s="7"/>
      <c r="S376" s="7"/>
      <c r="T376" s="7" t="s">
        <v>1267</v>
      </c>
      <c r="U376" s="7"/>
      <c r="V376" s="7"/>
      <c r="W376" s="7"/>
    </row>
    <row r="377" spans="2:23" ht="15" customHeight="1" outlineLevel="3" x14ac:dyDescent="0.25">
      <c r="B377" s="192" t="str">
        <f t="shared" si="13"/>
        <v>Race (select all that apply):</v>
      </c>
      <c r="C377" s="201"/>
      <c r="E377" s="14" t="s">
        <v>2173</v>
      </c>
      <c r="G377" s="239" t="s">
        <v>492</v>
      </c>
      <c r="H377" s="14" t="s">
        <v>558</v>
      </c>
      <c r="I377" s="237" t="str">
        <f>IF(I365="","","Unknown")</f>
        <v/>
      </c>
      <c r="J377" s="145"/>
      <c r="K377" s="7"/>
      <c r="L377" s="7" t="s">
        <v>1416</v>
      </c>
      <c r="M377" s="7" t="s">
        <v>1415</v>
      </c>
      <c r="N377" s="7" t="s">
        <v>565</v>
      </c>
      <c r="O377" s="7" t="s">
        <v>1416</v>
      </c>
      <c r="P377" s="7" t="s">
        <v>1415</v>
      </c>
      <c r="Q377" s="7" t="s">
        <v>1431</v>
      </c>
      <c r="R377" s="7"/>
      <c r="S377" s="7"/>
      <c r="T377" s="7" t="s">
        <v>1271</v>
      </c>
      <c r="U377" s="7"/>
      <c r="V377" s="7"/>
      <c r="W377" s="7"/>
    </row>
    <row r="378" spans="2:23" ht="30" customHeight="1" outlineLevel="3" x14ac:dyDescent="0.25">
      <c r="B378" s="192" t="s">
        <v>412</v>
      </c>
      <c r="C378" s="201" t="str">
        <f>IF(C103="","",IFERROR(IF(LEN(RIGHT(C103,LEN(C103)-FIND("^",SUBSTITUTE(C103,"|","^",10))))-LEN(SUBSTITUTE(RIGHT(C103,LEN(C103)-FIND("^",SUBSTITUTE(C103,"|","^",10))),"|",""))=0,RIGHT(C103,LEN(C103)-FIND("^",SUBSTITUTE(C103,"|","^",10))),LEFT(RIGHT(C103,LEN(C103)-FIND("^",SUBSTITUTE(C103,"|","^",10))),FIND("|",RIGHT(C103,LEN(C103)-FIND("^",SUBSTITUTE(C103,"|","^",10))))-1)),""))</f>
        <v/>
      </c>
      <c r="E378" s="14" t="s">
        <v>2190</v>
      </c>
      <c r="G378" s="239" t="s">
        <v>537</v>
      </c>
      <c r="H378" s="14" t="s">
        <v>559</v>
      </c>
      <c r="I378" s="150" t="str">
        <f>IF(I365="","",IF(OR(C378="",C378="No"),"No","Yes"))</f>
        <v/>
      </c>
      <c r="J378" s="145" t="str">
        <f>IF(I378="Yes", "Medicare Eligible is Yes for EN request for Dependent#11, please change ‘Medicare information’ to 'Yes'  and select Eligible in Dep Medicare tab in BCBS if needed. ","")</f>
        <v/>
      </c>
      <c r="K378" s="7"/>
      <c r="L378" s="7" t="s">
        <v>1417</v>
      </c>
      <c r="M378" s="7" t="s">
        <v>1414</v>
      </c>
      <c r="N378" s="7" t="s">
        <v>1483</v>
      </c>
      <c r="O378" s="7" t="s">
        <v>1416</v>
      </c>
      <c r="P378" s="7" t="s">
        <v>1415</v>
      </c>
      <c r="Q378" s="7" t="s">
        <v>1432</v>
      </c>
      <c r="R378" s="7"/>
      <c r="S378" s="7"/>
      <c r="T378" s="7" t="s">
        <v>1272</v>
      </c>
      <c r="U378" s="7"/>
      <c r="V378" s="7"/>
      <c r="W378" s="7"/>
    </row>
    <row r="379" spans="2:23" ht="30" customHeight="1" outlineLevel="3" x14ac:dyDescent="0.25">
      <c r="B379" s="192" t="str">
        <f>G379</f>
        <v>Different address information than the employee?</v>
      </c>
      <c r="C379" s="201"/>
      <c r="E379" s="14" t="s">
        <v>2190</v>
      </c>
      <c r="G379" s="239" t="s">
        <v>508</v>
      </c>
      <c r="H379" s="14" t="s">
        <v>559</v>
      </c>
      <c r="I379" s="150" t="str">
        <f>IF(I365="","",IF(OR(C380="",TRIM(C380)&amp;TRIM(C381)&amp;TRIM(C382)&amp;TRIM(C383)&amp;TRIM(C384)=TRIM($C$48)&amp;TRIM($C$49)&amp;TRIM($C$50)&amp;TRIM($C$51)&amp;TRIM($C$52)),"No","Yes"))</f>
        <v/>
      </c>
      <c r="J379" s="145" t="str">
        <f>IF(I379="Yes", "Dependent have separate address for EN request for Dependen#11, please change ‘Different address information than the employee' to 'Yes' and update different address in Dep Address tab in BCBS if needed. ","")</f>
        <v/>
      </c>
      <c r="K379" s="7"/>
      <c r="L379" s="7" t="s">
        <v>1417</v>
      </c>
      <c r="M379" s="7" t="s">
        <v>1129</v>
      </c>
      <c r="N379" s="7" t="s">
        <v>1484</v>
      </c>
      <c r="O379" s="7" t="s">
        <v>1416</v>
      </c>
      <c r="P379" s="7" t="s">
        <v>1415</v>
      </c>
      <c r="Q379" s="7" t="s">
        <v>1432</v>
      </c>
      <c r="R379" s="7"/>
      <c r="S379" s="7"/>
      <c r="T379" s="7" t="s">
        <v>1273</v>
      </c>
      <c r="U379" s="7"/>
      <c r="V379" s="7"/>
      <c r="W379" s="7"/>
    </row>
    <row r="380" spans="2:23" ht="0.2" customHeight="1" outlineLevel="3" x14ac:dyDescent="0.25">
      <c r="B380" s="192" t="s">
        <v>414</v>
      </c>
      <c r="C380" s="201" t="str">
        <f>IF(C105="","",IFERROR(IF(LEN(RIGHT(C105,LEN(C105)-FIND("^",SUBSTITUTE(C105,"|","^",10))))-LEN(SUBSTITUTE(RIGHT(C105,LEN(C105)-FIND("^",SUBSTITUTE(C105,"|","^",10))),"|",""))=0,RIGHT(C105,LEN(C105)-FIND("^",SUBSTITUTE(C105,"|","^",10))),LEFT(RIGHT(C105,LEN(C105)-FIND("^",SUBSTITUTE(C105,"|","^",10))),FIND("|",RIGHT(C105,LEN(C105)-FIND("^",SUBSTITUTE(C105,"|","^",10))))-1)),""))</f>
        <v/>
      </c>
      <c r="E380" s="18"/>
      <c r="G380" s="18"/>
      <c r="H380" s="18"/>
      <c r="I380" s="145"/>
      <c r="J380" s="145"/>
      <c r="K380" s="7"/>
      <c r="L380" s="7" t="s">
        <v>1417</v>
      </c>
      <c r="M380" s="7" t="s">
        <v>1414</v>
      </c>
      <c r="N380" s="7" t="s">
        <v>1483</v>
      </c>
      <c r="O380" s="7"/>
      <c r="P380" s="7"/>
      <c r="Q380" s="7"/>
      <c r="R380" s="7"/>
      <c r="S380" s="7"/>
      <c r="T380" s="7" t="s">
        <v>1274</v>
      </c>
      <c r="U380" s="7"/>
      <c r="V380" s="7"/>
      <c r="W380" s="7"/>
    </row>
    <row r="381" spans="2:23" ht="0.2" customHeight="1" outlineLevel="3" x14ac:dyDescent="0.25">
      <c r="B381" s="192" t="s">
        <v>416</v>
      </c>
      <c r="C381" s="201" t="str">
        <f>IF(C106="","",IFERROR(IF(LEN(RIGHT(C106,LEN(C106)-FIND("^",SUBSTITUTE(C106,"|","^",10))))-LEN(SUBSTITUTE(RIGHT(C106,LEN(C106)-FIND("^",SUBSTITUTE(C106,"|","^",10))),"|",""))=0,RIGHT(C106,LEN(C106)-FIND("^",SUBSTITUTE(C106,"|","^",10))),LEFT(RIGHT(C106,LEN(C106)-FIND("^",SUBSTITUTE(C106,"|","^",10))),FIND("|",RIGHT(C106,LEN(C106)-FIND("^",SUBSTITUTE(C106,"|","^",10))))-1)),""))</f>
        <v/>
      </c>
      <c r="E381" s="18"/>
      <c r="G381" s="18"/>
      <c r="H381" s="18"/>
      <c r="I381" s="145"/>
      <c r="J381" s="145"/>
      <c r="K381" s="7"/>
      <c r="L381" s="7" t="s">
        <v>1417</v>
      </c>
      <c r="M381" s="7" t="s">
        <v>1414</v>
      </c>
      <c r="N381" s="7" t="s">
        <v>1483</v>
      </c>
      <c r="O381" s="7"/>
      <c r="P381" s="7"/>
      <c r="Q381" s="7"/>
      <c r="R381" s="7"/>
      <c r="S381" s="7"/>
      <c r="T381" s="7" t="s">
        <v>1275</v>
      </c>
      <c r="U381" s="7"/>
      <c r="V381" s="7"/>
      <c r="W381" s="7"/>
    </row>
    <row r="382" spans="2:23" ht="0.2" customHeight="1" outlineLevel="3" x14ac:dyDescent="0.25">
      <c r="B382" s="192" t="s">
        <v>6</v>
      </c>
      <c r="C382" s="201" t="str">
        <f>IF(C107="","",IFERROR(IF(LEN(RIGHT(C107,LEN(C107)-FIND("^",SUBSTITUTE(C107,"|","^",10))))-LEN(SUBSTITUTE(RIGHT(C107,LEN(C107)-FIND("^",SUBSTITUTE(C107,"|","^",10))),"|",""))=0,RIGHT(C107,LEN(C107)-FIND("^",SUBSTITUTE(C107,"|","^",10))),LEFT(RIGHT(C107,LEN(C107)-FIND("^",SUBSTITUTE(C107,"|","^",10))),FIND("|",RIGHT(C107,LEN(C107)-FIND("^",SUBSTITUTE(C107,"|","^",10))))-1)),""))</f>
        <v/>
      </c>
      <c r="E382" s="18"/>
      <c r="G382" s="18"/>
      <c r="H382" s="18"/>
      <c r="I382" s="145"/>
      <c r="J382" s="145"/>
      <c r="K382" s="7"/>
      <c r="L382" s="7" t="s">
        <v>1417</v>
      </c>
      <c r="M382" s="7" t="s">
        <v>1414</v>
      </c>
      <c r="N382" s="7" t="s">
        <v>1483</v>
      </c>
      <c r="O382" s="7"/>
      <c r="P382" s="7"/>
      <c r="Q382" s="7"/>
      <c r="R382" s="7"/>
      <c r="S382" s="7"/>
      <c r="T382" s="7" t="s">
        <v>1276</v>
      </c>
      <c r="U382" s="7"/>
      <c r="V382" s="7"/>
      <c r="W382" s="7"/>
    </row>
    <row r="383" spans="2:23" ht="0.2" customHeight="1" outlineLevel="3" x14ac:dyDescent="0.25">
      <c r="B383" s="192" t="s">
        <v>7</v>
      </c>
      <c r="C383" s="201" t="str">
        <f>IF(C108="","",IFERROR(IF(LEN(RIGHT(C108,LEN(C108)-FIND("^",SUBSTITUTE(C108,"|","^",10))))-LEN(SUBSTITUTE(RIGHT(C108,LEN(C108)-FIND("^",SUBSTITUTE(C108,"|","^",10))),"|",""))=0,RIGHT(C108,LEN(C108)-FIND("^",SUBSTITUTE(C108,"|","^",10))),LEFT(RIGHT(C108,LEN(C108)-FIND("^",SUBSTITUTE(C108,"|","^",10))),FIND("|",RIGHT(C108,LEN(C108)-FIND("^",SUBSTITUTE(C108,"|","^",10))))-1)),""))</f>
        <v/>
      </c>
      <c r="E383" s="18"/>
      <c r="G383" s="18"/>
      <c r="H383" s="18"/>
      <c r="I383" s="145"/>
      <c r="J383" s="145"/>
      <c r="K383" s="7"/>
      <c r="L383" s="7" t="s">
        <v>1417</v>
      </c>
      <c r="M383" s="7" t="s">
        <v>1414</v>
      </c>
      <c r="N383" s="7" t="s">
        <v>1483</v>
      </c>
      <c r="O383" s="7"/>
      <c r="P383" s="7"/>
      <c r="Q383" s="7"/>
      <c r="R383" s="7"/>
      <c r="S383" s="7"/>
      <c r="T383" s="7" t="s">
        <v>1277</v>
      </c>
      <c r="U383" s="7"/>
      <c r="V383" s="7"/>
      <c r="W383" s="7"/>
    </row>
    <row r="384" spans="2:23" ht="0.2" customHeight="1" outlineLevel="3" x14ac:dyDescent="0.25">
      <c r="B384" s="192" t="s">
        <v>19</v>
      </c>
      <c r="C384" s="201" t="str">
        <f>IF(C109="","",IFERROR(IF(LEN(RIGHT(C109,LEN(C109)-FIND("^",SUBSTITUTE(C109,"|","^",10))))-LEN(SUBSTITUTE(RIGHT(C109,LEN(C109)-FIND("^",SUBSTITUTE(C109,"|","^",10))),"|",""))=0,RIGHT(C109,LEN(C109)-FIND("^",SUBSTITUTE(C109,"|","^",10))),LEFT(RIGHT(C109,LEN(C109)-FIND("^",SUBSTITUTE(C109,"|","^",10))),FIND("|",RIGHT(C109,LEN(C109)-FIND("^",SUBSTITUTE(C109,"|","^",10))))-1)),""))</f>
        <v/>
      </c>
      <c r="E384" s="18"/>
      <c r="G384" s="18"/>
      <c r="H384" s="18"/>
      <c r="I384" s="145"/>
      <c r="J384" s="145"/>
      <c r="K384" s="7"/>
      <c r="L384" s="7" t="s">
        <v>1417</v>
      </c>
      <c r="M384" s="7" t="s">
        <v>1414</v>
      </c>
      <c r="N384" s="7" t="s">
        <v>1483</v>
      </c>
      <c r="O384" s="7"/>
      <c r="P384" s="7"/>
      <c r="Q384" s="7"/>
      <c r="R384" s="7"/>
      <c r="S384" s="7"/>
      <c r="T384" s="7" t="s">
        <v>1278</v>
      </c>
      <c r="U384" s="7"/>
      <c r="V384" s="7"/>
      <c r="W384" s="7"/>
    </row>
    <row r="385" spans="1:23" ht="15" customHeight="1" outlineLevel="2" x14ac:dyDescent="0.25">
      <c r="A385" s="251" t="s">
        <v>2241</v>
      </c>
      <c r="B385" s="251"/>
      <c r="C385" s="252"/>
      <c r="E385" s="155"/>
      <c r="G385" s="253"/>
      <c r="H385" s="254"/>
      <c r="I385" s="255"/>
      <c r="J385" s="154"/>
      <c r="K385" s="7"/>
      <c r="L385" s="7"/>
      <c r="M385" s="7"/>
      <c r="N385" s="7"/>
      <c r="O385" s="7"/>
      <c r="P385" s="7"/>
      <c r="Q385" s="7"/>
      <c r="R385" s="7"/>
      <c r="S385" s="7"/>
      <c r="T385" s="7"/>
      <c r="U385" s="7"/>
      <c r="V385" s="7"/>
      <c r="W385" s="7"/>
    </row>
    <row r="386" spans="1:23" ht="15" customHeight="1" outlineLevel="3" x14ac:dyDescent="0.25">
      <c r="B386" s="9" t="s">
        <v>88</v>
      </c>
      <c r="C386" s="197" t="str">
        <f>IF(C86="","",IFERROR(IF(LEN(RIGHT(C86,LEN(C86)-FIND("^",SUBSTITUTE(C86,"|","^",11))))-LEN(SUBSTITUTE(RIGHT(C86,LEN(C86)-FIND("^",SUBSTITUTE(C86,"|","^",11))),"|",""))=0,RIGHT(C86,LEN(C86)-FIND("^",SUBSTITUTE(C86,"|","^",11))),LEFT(RIGHT(C86,LEN(C86)-FIND("^",SUBSTITUTE(C86,"|","^",11))),FIND("|",RIGHT(C86,LEN(C86)-FIND("^",SUBSTITUTE(C86,"|","^",11))))-1)),""))</f>
        <v/>
      </c>
      <c r="E386" s="2" t="s">
        <v>2171</v>
      </c>
      <c r="G386" s="239" t="s">
        <v>95</v>
      </c>
      <c r="H386" s="14" t="s">
        <v>14</v>
      </c>
      <c r="I386" s="125" t="str">
        <f>IF(I390="","",IF(C386="","#N/A, Input cannot be blank",UPPER(LEFT(C386,20))))</f>
        <v/>
      </c>
      <c r="J386" s="14" t="str">
        <f>IF(LEN(C386)&gt;20,TEXT("Requested dependent#12 last name as:","xxx")&amp;" "&amp; TEXT(C386,"xxxxxxx")&amp;","&amp;" "&amp;TEXT("input into BCBS as:","xxxx")&amp;" "&amp; TEXT(I386,"xxxxxxx")&amp;". ","")</f>
        <v/>
      </c>
      <c r="K386" s="7"/>
      <c r="L386" s="7" t="s">
        <v>1416</v>
      </c>
      <c r="M386" s="7" t="s">
        <v>1129</v>
      </c>
      <c r="N386" s="7" t="s">
        <v>1483</v>
      </c>
      <c r="O386" s="7" t="s">
        <v>1416</v>
      </c>
      <c r="P386" s="7" t="s">
        <v>1129</v>
      </c>
      <c r="Q386" s="7" t="s">
        <v>1593</v>
      </c>
      <c r="R386" s="7"/>
      <c r="S386" s="7"/>
      <c r="T386" s="7" t="s">
        <v>1262</v>
      </c>
      <c r="U386" s="7"/>
      <c r="V386" s="7"/>
      <c r="W386" s="7"/>
    </row>
    <row r="387" spans="1:23" ht="15" customHeight="1" outlineLevel="3" x14ac:dyDescent="0.25">
      <c r="B387" s="192" t="s">
        <v>155</v>
      </c>
      <c r="C387" s="201" t="str">
        <f>IF(C87="","",IFERROR(IF(LEN(RIGHT(C87,LEN(C87)-FIND("^",SUBSTITUTE(C87,"|","^",11))))-LEN(SUBSTITUTE(RIGHT(C87,LEN(C87)-FIND("^",SUBSTITUTE(C87,"|","^",11))),"|",""))=0,RIGHT(C87,LEN(C87)-FIND("^",SUBSTITUTE(C87,"|","^",11))),LEFT(RIGHT(C87,LEN(C87)-FIND("^",SUBSTITUTE(C87,"|","^",11))),FIND("|",RIGHT(C87,LEN(C87)-FIND("^",SUBSTITUTE(C87,"|","^",11))))-1)),""))</f>
        <v/>
      </c>
      <c r="E387" s="14" t="s">
        <v>2172</v>
      </c>
      <c r="G387" s="239" t="s">
        <v>155</v>
      </c>
      <c r="H387" s="14" t="s">
        <v>14</v>
      </c>
      <c r="I387" s="189"/>
      <c r="J387" s="145"/>
      <c r="K387" s="7"/>
      <c r="L387" s="7" t="s">
        <v>1416</v>
      </c>
      <c r="M387" s="7" t="s">
        <v>1129</v>
      </c>
      <c r="N387" s="7" t="s">
        <v>1483</v>
      </c>
      <c r="O387" s="7" t="s">
        <v>1416</v>
      </c>
      <c r="P387" s="7" t="s">
        <v>1415</v>
      </c>
      <c r="Q387" s="7" t="s">
        <v>565</v>
      </c>
      <c r="R387" s="7"/>
      <c r="S387" s="7"/>
      <c r="T387" s="7" t="s">
        <v>1261</v>
      </c>
      <c r="U387" s="7"/>
      <c r="V387" s="7"/>
      <c r="W387" s="7"/>
    </row>
    <row r="388" spans="1:23" ht="15" customHeight="1" outlineLevel="3" x14ac:dyDescent="0.25">
      <c r="B388" s="9" t="s">
        <v>87</v>
      </c>
      <c r="C388" s="197" t="str">
        <f>IF(C88="","",IFERROR(IF(LEN(RIGHT(C88,LEN(C88)-FIND("^",SUBSTITUTE(C88,"|","^",11))))-LEN(SUBSTITUTE(RIGHT(C88,LEN(C88)-FIND("^",SUBSTITUTE(C88,"|","^",11))),"|",""))=0,RIGHT(C88,LEN(C88)-FIND("^",SUBSTITUTE(C88,"|","^",11))),LEFT(RIGHT(C88,LEN(C88)-FIND("^",SUBSTITUTE(C88,"|","^",11))),FIND("|",RIGHT(C88,LEN(C88)-FIND("^",SUBSTITUTE(C88,"|","^",11))))-1)),""))</f>
        <v/>
      </c>
      <c r="E388" s="2" t="s">
        <v>2170</v>
      </c>
      <c r="G388" s="239" t="s">
        <v>93</v>
      </c>
      <c r="H388" s="14" t="s">
        <v>14</v>
      </c>
      <c r="I388" s="125" t="str">
        <f>IF(I390="","",IF(C388="","#N/A, Input cannot be blank",UPPER(LEFT(C388,20))))</f>
        <v/>
      </c>
      <c r="J388" s="125" t="str">
        <f>IF(LEN(C388)&gt;20,TEXT("Requested dependent#12 first name as:","xxx")&amp;" "&amp; TEXT(C388,"xxxxxxx")&amp;","&amp;" "&amp; TEXT("input into BCBS as:","xxxx")&amp;" "&amp; TEXT(I388,"xxxxxxx")&amp;". ","")</f>
        <v/>
      </c>
      <c r="K388" s="7"/>
      <c r="L388" s="7" t="s">
        <v>1416</v>
      </c>
      <c r="M388" s="7" t="s">
        <v>1129</v>
      </c>
      <c r="N388" s="7" t="s">
        <v>1483</v>
      </c>
      <c r="O388" s="7" t="s">
        <v>1416</v>
      </c>
      <c r="P388" s="7" t="s">
        <v>1129</v>
      </c>
      <c r="Q388" s="7" t="s">
        <v>1593</v>
      </c>
      <c r="R388" s="7"/>
      <c r="S388" s="7"/>
      <c r="T388" s="7" t="s">
        <v>1260</v>
      </c>
      <c r="U388" s="7"/>
      <c r="V388" s="7"/>
      <c r="W388" s="7"/>
    </row>
    <row r="389" spans="1:23" ht="15" customHeight="1" outlineLevel="3" x14ac:dyDescent="0.25">
      <c r="B389" s="9" t="s">
        <v>552</v>
      </c>
      <c r="C389" s="197" t="str">
        <f>IF(C89="","",IFERROR(LEFT(RIGHT(C89,LEN(C89)-FIND("^",SUBSTITUTE(C89,"|","^",11))),1),""))</f>
        <v/>
      </c>
      <c r="E389" s="14" t="s">
        <v>547</v>
      </c>
      <c r="G389" s="239" t="s">
        <v>94</v>
      </c>
      <c r="H389" s="14" t="s">
        <v>14</v>
      </c>
      <c r="I389" s="125" t="str">
        <f>IF(OR(I390="",C389=""),"",UPPER(LEFT(C389,1)))</f>
        <v/>
      </c>
      <c r="J389" s="145"/>
      <c r="K389" s="7"/>
      <c r="L389" s="7" t="s">
        <v>1416</v>
      </c>
      <c r="M389" s="7" t="s">
        <v>1129</v>
      </c>
      <c r="N389" s="7" t="s">
        <v>1483</v>
      </c>
      <c r="O389" s="7" t="s">
        <v>1416</v>
      </c>
      <c r="P389" s="7" t="s">
        <v>1129</v>
      </c>
      <c r="Q389" s="7" t="s">
        <v>1593</v>
      </c>
      <c r="R389" s="7"/>
      <c r="S389" s="7"/>
      <c r="T389" s="7" t="s">
        <v>1596</v>
      </c>
      <c r="U389" s="7"/>
      <c r="V389" s="7"/>
      <c r="W389" s="7"/>
    </row>
    <row r="390" spans="1:23" ht="30" customHeight="1" outlineLevel="3" x14ac:dyDescent="0.25">
      <c r="B390" s="9" t="s">
        <v>26</v>
      </c>
      <c r="C390" s="200" t="str">
        <f>IF(C90="","",IFERROR(IF(LEN(RIGHT(C90,LEN(C90)-FIND("^",SUBSTITUTE(C90,"|","^",11))))-LEN(SUBSTITUTE(RIGHT(C90,LEN(C90)-FIND("^",SUBSTITUTE(C90,"|","^",11))),"|",""))=0,RIGHT(C90,LEN(C90)-FIND("^",SUBSTITUTE(C90,"|","^",11))),LEFT(RIGHT(C90,LEN(C90)-FIND("^",SUBSTITUTE(C90,"|","^",11))),FIND("|",RIGHT(C90,LEN(C90)-FIND("^",SUBSTITUTE(C90,"|","^",11))))-1)),""))</f>
        <v/>
      </c>
      <c r="E390" s="14" t="s">
        <v>2200</v>
      </c>
      <c r="G390" s="239" t="s">
        <v>123</v>
      </c>
      <c r="H390" s="14" t="s">
        <v>29</v>
      </c>
      <c r="I390" s="125" t="str">
        <f>IF(C386="","",IF(OR($I$69="Y",$I$79="Y"),IF(C390="","#N/A, Input cannot be blank",IF($C$44="",INDEX('Dropdown list'!$AD:$AD,MATCH(C390,'Dropdown list'!$AC:$AC,0),1),IF(C390="Child",IF(OR(ISNUMBER(MATCH(SUBSTITUTE($C$69," (Pending)",""),'Dropdown list'!$AL:$AL,0)),ISNUMBER(MATCH(SUBSTITUTE($C$79," (Pending)",""),'Dropdown list'!$AL:$AL,0))),INDEX('Dropdown list'!$AH:$AH,MATCH(C391&amp;C392,'Dropdown list'!$AG:$AG,0),1),""),IF(C390="Spouse",IF(OR(ISNUMBER(MATCH(SUBSTITUTE($C$69," (Pending)",""),'Dropdown list'!$AM:$AM,0)),ISNUMBER(MATCH(SUBSTITUTE($C$79," (Pending)",""),'Dropdown list'!$AM:$AM,0))),"Spouse",""),IF(C390="Domestic Partner",IF(OR(ISNUMBER(MATCH(SUBSTITUTE($C$69," (Pending)",""),'Dropdown list'!$AN:$AN,0)),ISNUMBER(MATCH(SUBSTITUTE($C$79," (Pending)",""),'Dropdown list'!$AN:$AN,0))),"Domestic Partner",""),INDEX('Dropdown list'!$AK:$AK,MATCH(C390,'Dropdown list'!$AJ:$AJ,0),1)))))),""))</f>
        <v/>
      </c>
      <c r="J390" s="145"/>
      <c r="K390" s="145"/>
      <c r="L390" s="14" t="s">
        <v>1416</v>
      </c>
      <c r="M390" s="142" t="s">
        <v>1129</v>
      </c>
      <c r="N390" s="142" t="s">
        <v>1483</v>
      </c>
      <c r="O390" s="14" t="s">
        <v>1416</v>
      </c>
      <c r="P390" s="142" t="s">
        <v>1129</v>
      </c>
      <c r="Q390" s="142" t="s">
        <v>1594</v>
      </c>
      <c r="T390" s="14" t="s">
        <v>1595</v>
      </c>
    </row>
    <row r="391" spans="1:23" ht="0.2" customHeight="1" outlineLevel="3" x14ac:dyDescent="0.25">
      <c r="B391" s="192" t="s">
        <v>79</v>
      </c>
      <c r="C391" s="201" t="str">
        <f>IF(C91="","",IFERROR(IF(LEN(RIGHT(C91,LEN(C91)-FIND("^",SUBSTITUTE(C91,"|","^",11))))-LEN(SUBSTITUTE(RIGHT(C91,LEN(C91)-FIND("^",SUBSTITUTE(C91,"|","^",11))),"|",""))=0,RIGHT(C91,LEN(C91)-FIND("^",SUBSTITUTE(C91,"|","^",11))),LEFT(RIGHT(C91,LEN(C91)-FIND("^",SUBSTITUTE(C91,"|","^",11))),FIND("|",RIGHT(C91,LEN(C91)-FIND("^",SUBSTITUTE(C91,"|","^",11))))-1)),""))</f>
        <v/>
      </c>
      <c r="E391" s="14" t="s">
        <v>2191</v>
      </c>
      <c r="H391" s="1"/>
      <c r="I391" s="1"/>
      <c r="J391" s="1"/>
      <c r="K391" s="7"/>
      <c r="L391" s="14" t="s">
        <v>1416</v>
      </c>
      <c r="M391" s="142" t="s">
        <v>1129</v>
      </c>
      <c r="N391" s="142" t="s">
        <v>1483</v>
      </c>
      <c r="T391" s="14" t="s">
        <v>1597</v>
      </c>
    </row>
    <row r="392" spans="1:23" ht="0.2" customHeight="1" outlineLevel="3" x14ac:dyDescent="0.25">
      <c r="B392" s="192" t="s">
        <v>409</v>
      </c>
      <c r="C392" s="201" t="str">
        <f>IF(C92="","",IFERROR(IF(LEN(RIGHT(C92,LEN(C92)-FIND("^",SUBSTITUTE(C92,"|","^",11))))-LEN(SUBSTITUTE(RIGHT(C92,LEN(C92)-FIND("^",SUBSTITUTE(C92,"|","^",11))),"|",""))=0,RIGHT(C92,LEN(C92)-FIND("^",SUBSTITUTE(C92,"|","^",11))),LEFT(RIGHT(C92,LEN(C92)-FIND("^",SUBSTITUTE(C92,"|","^",11))),FIND("|",RIGHT(C92,LEN(C92)-FIND("^",SUBSTITUTE(C92,"|","^",11))))-1)),""))</f>
        <v/>
      </c>
      <c r="E392" s="14"/>
      <c r="H392" s="1"/>
      <c r="I392" s="1"/>
      <c r="J392" s="1"/>
      <c r="K392" s="7"/>
      <c r="L392" s="14" t="s">
        <v>1416</v>
      </c>
      <c r="M392" s="142" t="s">
        <v>1129</v>
      </c>
      <c r="N392" s="142" t="s">
        <v>1483</v>
      </c>
      <c r="T392" s="14" t="s">
        <v>1280</v>
      </c>
    </row>
    <row r="393" spans="1:23" ht="15" customHeight="1" outlineLevel="3" x14ac:dyDescent="0.25">
      <c r="B393" s="9" t="s">
        <v>2</v>
      </c>
      <c r="C393" s="197" t="str">
        <f>IF(C93="","",IFERROR(IF(LEN(RIGHT(C93,LEN(C93)-FIND("^",SUBSTITUTE(C93,"|","^",11))))-LEN(SUBSTITUTE(RIGHT(C93,LEN(C93)-FIND("^",SUBSTITUTE(C93,"|","^",11))),"|",""))=0,RIGHT(C93,LEN(C93)-FIND("^",SUBSTITUTE(C93,"|","^",11))),LEFT(RIGHT(C93,LEN(C93)-FIND("^",SUBSTITUTE(C93,"|","^",11))),FIND("|",RIGHT(C93,LEN(C93)-FIND("^",SUBSTITUTE(C93,"|","^",11))))-1)),""))</f>
        <v/>
      </c>
      <c r="E393" s="14" t="s">
        <v>553</v>
      </c>
      <c r="G393" s="239" t="s">
        <v>96</v>
      </c>
      <c r="H393" s="14" t="s">
        <v>29</v>
      </c>
      <c r="I393" s="125" t="str">
        <f>IF(I390="","",IF(C393="","#N/A, Input cannot be blank",IF(C393="M", "Male",IF(C393="F","Female","#N/A, Unidentified Gender"))))</f>
        <v/>
      </c>
      <c r="J393" s="145"/>
      <c r="K393" s="145"/>
      <c r="L393" s="14" t="s">
        <v>1416</v>
      </c>
      <c r="M393" s="142" t="s">
        <v>1129</v>
      </c>
      <c r="N393" s="142" t="s">
        <v>1483</v>
      </c>
      <c r="O393" s="14" t="s">
        <v>1416</v>
      </c>
      <c r="P393" s="142" t="s">
        <v>1129</v>
      </c>
      <c r="Q393" s="142" t="s">
        <v>1598</v>
      </c>
      <c r="T393" s="14" t="s">
        <v>1259</v>
      </c>
    </row>
    <row r="394" spans="1:23" ht="15" customHeight="1" outlineLevel="3" x14ac:dyDescent="0.25">
      <c r="B394" s="192" t="str">
        <f>G394</f>
        <v>Other Dependent:</v>
      </c>
      <c r="C394" s="201"/>
      <c r="E394" s="14" t="s">
        <v>2189</v>
      </c>
      <c r="G394" s="239" t="s">
        <v>440</v>
      </c>
      <c r="H394" s="14" t="s">
        <v>29</v>
      </c>
      <c r="I394" s="189"/>
      <c r="J394" s="145"/>
      <c r="K394" s="145"/>
      <c r="L394" s="14" t="s">
        <v>1416</v>
      </c>
      <c r="M394" s="14" t="s">
        <v>1415</v>
      </c>
      <c r="N394" s="142" t="s">
        <v>565</v>
      </c>
      <c r="O394" s="14" t="s">
        <v>1416</v>
      </c>
      <c r="P394" s="14" t="s">
        <v>1415</v>
      </c>
      <c r="Q394" s="142" t="s">
        <v>565</v>
      </c>
      <c r="T394" s="14" t="s">
        <v>1279</v>
      </c>
    </row>
    <row r="395" spans="1:23" ht="15" customHeight="1" outlineLevel="3" x14ac:dyDescent="0.25">
      <c r="B395" s="9" t="s">
        <v>8</v>
      </c>
      <c r="C395" s="197" t="str">
        <f>IF(C95="","",IFERROR(IF(LEN(RIGHT(C95,LEN(C95)-FIND("^",SUBSTITUTE(C95,"|","^",11))))-LEN(SUBSTITUTE(RIGHT(C95,LEN(C95)-FIND("^",SUBSTITUTE(C95,"|","^",11))),"|",""))=0,RIGHT(C95,LEN(C95)-FIND("^",SUBSTITUTE(C95,"|","^",11))),LEFT(RIGHT(C95,LEN(C95)-FIND("^",SUBSTITUTE(C95,"|","^",11))),FIND("|",RIGHT(C95,LEN(C95)-FIND("^",SUBSTITUTE(C95,"|","^",11))))-1)),""))</f>
        <v/>
      </c>
      <c r="G395" s="239" t="s">
        <v>125</v>
      </c>
      <c r="H395" s="14" t="s">
        <v>14</v>
      </c>
      <c r="I395" s="125" t="str">
        <f>IF(I390="","",IF(C395="","#N/A, Input cannot be blank",IFERROR(TEXT(EDATE(C395,0),"MM/DD/YYYY"),"#N/A, Please enter a date format")))</f>
        <v/>
      </c>
      <c r="J395" s="145"/>
      <c r="K395" s="145"/>
      <c r="L395" s="14" t="s">
        <v>1416</v>
      </c>
      <c r="M395" s="142" t="s">
        <v>1129</v>
      </c>
      <c r="N395" s="142" t="s">
        <v>1483</v>
      </c>
      <c r="O395" s="14" t="s">
        <v>1416</v>
      </c>
      <c r="P395" s="142" t="s">
        <v>1129</v>
      </c>
      <c r="Q395" s="14" t="s">
        <v>1508</v>
      </c>
      <c r="T395" s="14" t="s">
        <v>1258</v>
      </c>
    </row>
    <row r="396" spans="1:23" ht="15" customHeight="1" outlineLevel="3" x14ac:dyDescent="0.25">
      <c r="B396" s="9" t="s">
        <v>3</v>
      </c>
      <c r="C396" s="197" t="str">
        <f>IF(C96="","",IFERROR(IF(LEN(RIGHT(C96,LEN(C96)-FIND("^",SUBSTITUTE(C96,"|","^",11))))-LEN(SUBSTITUTE(RIGHT(C96,LEN(C96)-FIND("^",SUBSTITUTE(C96,"|","^",11))),"|",""))=0,RIGHT(C96,LEN(C96)-FIND("^",SUBSTITUTE(C96,"|","^",11))),LEFT(RIGHT(C96,LEN(C96)-FIND("^",SUBSTITUTE(C96,"|","^",11))),FIND("|",RIGHT(C96,LEN(C96)-FIND("^",SUBSTITUTE(C96,"|","^",11))))-1)),""))</f>
        <v/>
      </c>
      <c r="E396" s="14" t="s">
        <v>547</v>
      </c>
      <c r="G396" s="239" t="s">
        <v>97</v>
      </c>
      <c r="H396" s="14" t="s">
        <v>14</v>
      </c>
      <c r="I396" s="125" t="str">
        <f>IF(C396=" ",C396,IF(OR(I390="",C396=""),"",IF(LEN(SUBSTITUTE(C396,"-",""))=9,SUBSTITUTE(C396,"-",""),"#N/A, SSN# must be 9 digits")))</f>
        <v/>
      </c>
      <c r="J396" s="145"/>
      <c r="K396" s="145"/>
      <c r="L396" s="14" t="s">
        <v>1416</v>
      </c>
      <c r="M396" s="142" t="s">
        <v>1129</v>
      </c>
      <c r="N396" s="142" t="s">
        <v>1483</v>
      </c>
      <c r="O396" s="14" t="s">
        <v>1416</v>
      </c>
      <c r="P396" s="142" t="s">
        <v>1129</v>
      </c>
      <c r="Q396" s="14" t="s">
        <v>1518</v>
      </c>
      <c r="T396" s="14" t="s">
        <v>1230</v>
      </c>
    </row>
    <row r="397" spans="1:23" ht="15" customHeight="1" outlineLevel="3" x14ac:dyDescent="0.25">
      <c r="B397" s="192" t="str">
        <f t="shared" ref="B397:B402" si="14">G397</f>
        <v>Multiple Birth:</v>
      </c>
      <c r="C397" s="201"/>
      <c r="E397" s="14" t="s">
        <v>2189</v>
      </c>
      <c r="G397" s="239" t="s">
        <v>506</v>
      </c>
      <c r="H397" s="14" t="s">
        <v>559</v>
      </c>
      <c r="I397" s="237"/>
      <c r="J397" s="145"/>
      <c r="K397" s="145"/>
      <c r="L397" s="14" t="s">
        <v>1416</v>
      </c>
      <c r="M397" s="14" t="s">
        <v>1415</v>
      </c>
      <c r="N397" s="142" t="s">
        <v>565</v>
      </c>
      <c r="O397" s="14" t="s">
        <v>1416</v>
      </c>
      <c r="P397" s="14" t="s">
        <v>1415</v>
      </c>
      <c r="Q397" s="142" t="s">
        <v>565</v>
      </c>
      <c r="T397" s="14" t="s">
        <v>1264</v>
      </c>
    </row>
    <row r="398" spans="1:23" ht="15" customHeight="1" outlineLevel="3" x14ac:dyDescent="0.25">
      <c r="B398" s="192" t="str">
        <f t="shared" si="14"/>
        <v>Native Language:</v>
      </c>
      <c r="C398" s="201"/>
      <c r="E398" s="14" t="s">
        <v>2175</v>
      </c>
      <c r="G398" s="239" t="s">
        <v>484</v>
      </c>
      <c r="H398" s="14" t="s">
        <v>29</v>
      </c>
      <c r="I398" s="237" t="str">
        <f>IF(I390="","","English")</f>
        <v/>
      </c>
      <c r="J398" s="145"/>
      <c r="K398" s="145"/>
      <c r="L398" s="14" t="s">
        <v>1416</v>
      </c>
      <c r="M398" s="14" t="s">
        <v>1415</v>
      </c>
      <c r="N398" s="142" t="s">
        <v>565</v>
      </c>
      <c r="O398" s="14" t="s">
        <v>1416</v>
      </c>
      <c r="P398" s="14" t="s">
        <v>1415</v>
      </c>
      <c r="Q398" s="142" t="s">
        <v>1430</v>
      </c>
      <c r="T398" s="14" t="s">
        <v>1263</v>
      </c>
    </row>
    <row r="399" spans="1:23" ht="15" customHeight="1" outlineLevel="3" x14ac:dyDescent="0.25">
      <c r="B399" s="192" t="str">
        <f t="shared" si="14"/>
        <v>Preferred Written Language:</v>
      </c>
      <c r="C399" s="201"/>
      <c r="E399" s="14" t="s">
        <v>2175</v>
      </c>
      <c r="G399" s="239" t="s">
        <v>486</v>
      </c>
      <c r="H399" s="14" t="s">
        <v>29</v>
      </c>
      <c r="I399" s="237" t="str">
        <f>IF(I390="","","English")</f>
        <v/>
      </c>
      <c r="J399" s="145"/>
      <c r="K399" s="145"/>
      <c r="L399" s="14" t="s">
        <v>1416</v>
      </c>
      <c r="M399" s="14" t="s">
        <v>1415</v>
      </c>
      <c r="N399" s="142" t="s">
        <v>565</v>
      </c>
      <c r="O399" s="14" t="s">
        <v>1416</v>
      </c>
      <c r="P399" s="14" t="s">
        <v>1415</v>
      </c>
      <c r="Q399" s="142" t="s">
        <v>1430</v>
      </c>
      <c r="T399" s="14" t="s">
        <v>1265</v>
      </c>
    </row>
    <row r="400" spans="1:23" ht="15" customHeight="1" outlineLevel="3" x14ac:dyDescent="0.25">
      <c r="B400" s="192" t="str">
        <f t="shared" si="14"/>
        <v>Preferred Spoken Language:</v>
      </c>
      <c r="C400" s="201"/>
      <c r="E400" s="14" t="s">
        <v>2175</v>
      </c>
      <c r="G400" s="239" t="s">
        <v>487</v>
      </c>
      <c r="H400" s="14" t="s">
        <v>29</v>
      </c>
      <c r="I400" s="237" t="str">
        <f>IF(I390="","","English")</f>
        <v/>
      </c>
      <c r="J400" s="145"/>
      <c r="K400" s="145"/>
      <c r="L400" s="14" t="s">
        <v>1416</v>
      </c>
      <c r="M400" s="14" t="s">
        <v>1415</v>
      </c>
      <c r="N400" s="142" t="s">
        <v>565</v>
      </c>
      <c r="O400" s="14" t="s">
        <v>1416</v>
      </c>
      <c r="P400" s="14" t="s">
        <v>1415</v>
      </c>
      <c r="Q400" s="142" t="s">
        <v>1430</v>
      </c>
      <c r="T400" s="14" t="s">
        <v>1266</v>
      </c>
    </row>
    <row r="401" spans="1:23" ht="15" customHeight="1" outlineLevel="3" x14ac:dyDescent="0.25">
      <c r="B401" s="192" t="str">
        <f t="shared" si="14"/>
        <v>Ethnicity (select all that apply):</v>
      </c>
      <c r="C401" s="201"/>
      <c r="E401" s="14" t="s">
        <v>2173</v>
      </c>
      <c r="G401" s="220" t="s">
        <v>488</v>
      </c>
      <c r="H401" s="14" t="s">
        <v>558</v>
      </c>
      <c r="I401" s="237" t="str">
        <f>IF(I390="","","Unknown")</f>
        <v/>
      </c>
      <c r="J401" s="145"/>
      <c r="K401" s="145"/>
      <c r="L401" s="14" t="s">
        <v>1416</v>
      </c>
      <c r="M401" s="14" t="s">
        <v>1415</v>
      </c>
      <c r="N401" s="142" t="s">
        <v>565</v>
      </c>
      <c r="O401" s="14" t="s">
        <v>1416</v>
      </c>
      <c r="P401" s="14" t="s">
        <v>1415</v>
      </c>
      <c r="Q401" s="142" t="s">
        <v>1431</v>
      </c>
      <c r="T401" s="14" t="s">
        <v>1267</v>
      </c>
    </row>
    <row r="402" spans="1:23" ht="15" customHeight="1" outlineLevel="3" x14ac:dyDescent="0.25">
      <c r="B402" s="192" t="str">
        <f t="shared" si="14"/>
        <v>Race (select all that apply):</v>
      </c>
      <c r="C402" s="201"/>
      <c r="E402" s="14" t="s">
        <v>2173</v>
      </c>
      <c r="G402" s="239" t="s">
        <v>492</v>
      </c>
      <c r="H402" s="14" t="s">
        <v>558</v>
      </c>
      <c r="I402" s="237" t="str">
        <f>IF(I390="","","Unknown")</f>
        <v/>
      </c>
      <c r="J402" s="145"/>
      <c r="K402" s="145"/>
      <c r="L402" s="14" t="s">
        <v>1416</v>
      </c>
      <c r="M402" s="14" t="s">
        <v>1415</v>
      </c>
      <c r="N402" s="142" t="s">
        <v>565</v>
      </c>
      <c r="O402" s="14" t="s">
        <v>1416</v>
      </c>
      <c r="P402" s="14" t="s">
        <v>1415</v>
      </c>
      <c r="Q402" s="142" t="s">
        <v>1431</v>
      </c>
      <c r="T402" s="14" t="s">
        <v>1271</v>
      </c>
    </row>
    <row r="403" spans="1:23" ht="30" customHeight="1" outlineLevel="3" x14ac:dyDescent="0.25">
      <c r="B403" s="192" t="s">
        <v>412</v>
      </c>
      <c r="C403" s="201" t="str">
        <f>IF(C103="","",IFERROR(IF(LEN(RIGHT(C103,LEN(C103)-FIND("^",SUBSTITUTE(C103,"|","^",11))))-LEN(SUBSTITUTE(RIGHT(C103,LEN(C103)-FIND("^",SUBSTITUTE(C103,"|","^",11))),"|",""))=0,RIGHT(C103,LEN(C103)-FIND("^",SUBSTITUTE(C103,"|","^",11))),LEFT(RIGHT(C103,LEN(C103)-FIND("^",SUBSTITUTE(C103,"|","^",11))),FIND("|",RIGHT(C103,LEN(C103)-FIND("^",SUBSTITUTE(C103,"|","^",11))))-1)),""))</f>
        <v/>
      </c>
      <c r="E403" s="14" t="s">
        <v>2190</v>
      </c>
      <c r="G403" s="239" t="s">
        <v>537</v>
      </c>
      <c r="H403" s="14" t="s">
        <v>559</v>
      </c>
      <c r="I403" s="150" t="str">
        <f>IF(I390="","",IF(OR(C403="",C403="No"),"No","Yes"))</f>
        <v/>
      </c>
      <c r="J403" s="145" t="str">
        <f>IF(I403="Yes", "Medicare Eligible is Yes for EN request for Dependent#12, please change ‘Medicare information’ to 'Yes'  and select Eligible in Dep Medicare tab in BCBS if needed. ","")</f>
        <v/>
      </c>
      <c r="K403" s="145"/>
      <c r="L403" s="14" t="s">
        <v>1417</v>
      </c>
      <c r="M403" s="14" t="s">
        <v>1414</v>
      </c>
      <c r="N403" s="142" t="s">
        <v>1483</v>
      </c>
      <c r="O403" s="14" t="s">
        <v>1416</v>
      </c>
      <c r="P403" s="14" t="s">
        <v>1415</v>
      </c>
      <c r="Q403" s="142" t="s">
        <v>1432</v>
      </c>
      <c r="T403" s="14" t="s">
        <v>1272</v>
      </c>
    </row>
    <row r="404" spans="1:23" ht="30" customHeight="1" outlineLevel="3" x14ac:dyDescent="0.25">
      <c r="B404" s="192" t="str">
        <f>G404</f>
        <v>Different address information than the employee?</v>
      </c>
      <c r="C404" s="201"/>
      <c r="E404" s="14" t="s">
        <v>2190</v>
      </c>
      <c r="G404" s="239" t="s">
        <v>508</v>
      </c>
      <c r="H404" s="14" t="s">
        <v>559</v>
      </c>
      <c r="I404" s="150" t="str">
        <f>IF(I390="","",IF(OR(C405="",TRIM(C405)&amp;TRIM(C406)&amp;TRIM(C407)&amp;TRIM(C408)&amp;TRIM(C409)=TRIM($C$48)&amp;TRIM($C$49)&amp;TRIM($C$50)&amp;TRIM($C$51)&amp;TRIM($C$52)),"No","Yes"))</f>
        <v/>
      </c>
      <c r="J404" s="145" t="str">
        <f>IF(I404="Yes", "Dependent have separate address for EN request for Dependen#12, please change ‘Different address information than the employee' to 'Yes' and update different address in Dep Address tab in BCBS if needed. ","")</f>
        <v/>
      </c>
      <c r="K404" s="145"/>
      <c r="L404" s="14" t="s">
        <v>1417</v>
      </c>
      <c r="M404" s="142" t="s">
        <v>1129</v>
      </c>
      <c r="N404" s="142" t="s">
        <v>1484</v>
      </c>
      <c r="O404" s="14" t="s">
        <v>1416</v>
      </c>
      <c r="P404" s="142" t="s">
        <v>1415</v>
      </c>
      <c r="Q404" s="14" t="s">
        <v>1432</v>
      </c>
      <c r="T404" s="14" t="s">
        <v>1273</v>
      </c>
    </row>
    <row r="405" spans="1:23" ht="0.2" customHeight="1" outlineLevel="3" x14ac:dyDescent="0.25">
      <c r="B405" s="192" t="s">
        <v>414</v>
      </c>
      <c r="C405" s="201" t="str">
        <f>IF(C105="","",IFERROR(IF(LEN(RIGHT(C105,LEN(C105)-FIND("^",SUBSTITUTE(C105,"|","^",11))))-LEN(SUBSTITUTE(RIGHT(C105,LEN(C105)-FIND("^",SUBSTITUTE(C105,"|","^",11))),"|",""))=0,RIGHT(C105,LEN(C105)-FIND("^",SUBSTITUTE(C105,"|","^",11))),LEFT(RIGHT(C105,LEN(C105)-FIND("^",SUBSTITUTE(C105,"|","^",11))),FIND("|",RIGHT(C105,LEN(C105)-FIND("^",SUBSTITUTE(C105,"|","^",11))))-1)),""))</f>
        <v/>
      </c>
      <c r="E405" s="18"/>
      <c r="G405" s="18"/>
      <c r="H405" s="18"/>
      <c r="I405" s="145"/>
      <c r="J405" s="145"/>
      <c r="K405" s="145"/>
      <c r="L405" s="14" t="s">
        <v>1417</v>
      </c>
      <c r="M405" s="14" t="s">
        <v>1414</v>
      </c>
      <c r="N405" s="142" t="s">
        <v>1483</v>
      </c>
      <c r="T405" s="14" t="s">
        <v>1274</v>
      </c>
    </row>
    <row r="406" spans="1:23" ht="0.2" customHeight="1" outlineLevel="3" x14ac:dyDescent="0.25">
      <c r="B406" s="192" t="s">
        <v>416</v>
      </c>
      <c r="C406" s="201" t="str">
        <f>IF(C106="","",IFERROR(IF(LEN(RIGHT(C106,LEN(C106)-FIND("^",SUBSTITUTE(C106,"|","^",11))))-LEN(SUBSTITUTE(RIGHT(C106,LEN(C106)-FIND("^",SUBSTITUTE(C106,"|","^",11))),"|",""))=0,RIGHT(C106,LEN(C106)-FIND("^",SUBSTITUTE(C106,"|","^",11))),LEFT(RIGHT(C106,LEN(C106)-FIND("^",SUBSTITUTE(C106,"|","^",11))),FIND("|",RIGHT(C106,LEN(C106)-FIND("^",SUBSTITUTE(C106,"|","^",11))))-1)),""))</f>
        <v/>
      </c>
      <c r="E406" s="18"/>
      <c r="G406" s="18"/>
      <c r="H406" s="18"/>
      <c r="I406" s="145"/>
      <c r="J406" s="145"/>
      <c r="K406" s="145"/>
      <c r="L406" s="14" t="s">
        <v>1417</v>
      </c>
      <c r="M406" s="14" t="s">
        <v>1414</v>
      </c>
      <c r="N406" s="142" t="s">
        <v>1483</v>
      </c>
      <c r="T406" s="14" t="s">
        <v>1275</v>
      </c>
    </row>
    <row r="407" spans="1:23" ht="0.2" customHeight="1" outlineLevel="3" x14ac:dyDescent="0.25">
      <c r="B407" s="192" t="s">
        <v>6</v>
      </c>
      <c r="C407" s="201" t="str">
        <f>IF(C107="","",IFERROR(IF(LEN(RIGHT(C107,LEN(C107)-FIND("^",SUBSTITUTE(C107,"|","^",11))))-LEN(SUBSTITUTE(RIGHT(C107,LEN(C107)-FIND("^",SUBSTITUTE(C107,"|","^",11))),"|",""))=0,RIGHT(C107,LEN(C107)-FIND("^",SUBSTITUTE(C107,"|","^",11))),LEFT(RIGHT(C107,LEN(C107)-FIND("^",SUBSTITUTE(C107,"|","^",11))),FIND("|",RIGHT(C107,LEN(C107)-FIND("^",SUBSTITUTE(C107,"|","^",11))))-1)),""))</f>
        <v/>
      </c>
      <c r="E407" s="18"/>
      <c r="G407" s="18"/>
      <c r="H407" s="18"/>
      <c r="I407" s="145"/>
      <c r="J407" s="145"/>
      <c r="K407" s="145"/>
      <c r="L407" s="14" t="s">
        <v>1417</v>
      </c>
      <c r="M407" s="14" t="s">
        <v>1414</v>
      </c>
      <c r="N407" s="142" t="s">
        <v>1483</v>
      </c>
      <c r="T407" s="14" t="s">
        <v>1276</v>
      </c>
    </row>
    <row r="408" spans="1:23" ht="0.2" customHeight="1" outlineLevel="3" x14ac:dyDescent="0.25">
      <c r="B408" s="192" t="s">
        <v>7</v>
      </c>
      <c r="C408" s="201" t="str">
        <f>IF(C108="","",IFERROR(IF(LEN(RIGHT(C108,LEN(C108)-FIND("^",SUBSTITUTE(C108,"|","^",11))))-LEN(SUBSTITUTE(RIGHT(C108,LEN(C108)-FIND("^",SUBSTITUTE(C108,"|","^",11))),"|",""))=0,RIGHT(C108,LEN(C108)-FIND("^",SUBSTITUTE(C108,"|","^",11))),LEFT(RIGHT(C108,LEN(C108)-FIND("^",SUBSTITUTE(C108,"|","^",11))),FIND("|",RIGHT(C108,LEN(C108)-FIND("^",SUBSTITUTE(C108,"|","^",11))))-1)),""))</f>
        <v/>
      </c>
      <c r="E408" s="18"/>
      <c r="G408" s="18"/>
      <c r="H408" s="18"/>
      <c r="I408" s="145"/>
      <c r="J408" s="145"/>
      <c r="K408" s="145"/>
      <c r="L408" s="14" t="s">
        <v>1417</v>
      </c>
      <c r="M408" s="14" t="s">
        <v>1414</v>
      </c>
      <c r="N408" s="142" t="s">
        <v>1483</v>
      </c>
      <c r="T408" s="14" t="s">
        <v>1277</v>
      </c>
    </row>
    <row r="409" spans="1:23" ht="0.2" customHeight="1" outlineLevel="3" x14ac:dyDescent="0.25">
      <c r="B409" s="192" t="s">
        <v>19</v>
      </c>
      <c r="C409" s="201" t="str">
        <f>IF(C109="","",IFERROR(IF(LEN(RIGHT(C109,LEN(C109)-FIND("^",SUBSTITUTE(C109,"|","^",11))))-LEN(SUBSTITUTE(RIGHT(C109,LEN(C109)-FIND("^",SUBSTITUTE(C109,"|","^",11))),"|",""))=0,RIGHT(C109,LEN(C109)-FIND("^",SUBSTITUTE(C109,"|","^",11))),LEFT(RIGHT(C109,LEN(C109)-FIND("^",SUBSTITUTE(C109,"|","^",11))),FIND("|",RIGHT(C109,LEN(C109)-FIND("^",SUBSTITUTE(C109,"|","^",11))))-1)),""))</f>
        <v/>
      </c>
      <c r="E409" s="18"/>
      <c r="G409" s="18"/>
      <c r="H409" s="18"/>
      <c r="I409" s="145"/>
      <c r="J409" s="145"/>
      <c r="K409" s="145"/>
      <c r="L409" s="14" t="s">
        <v>1417</v>
      </c>
      <c r="M409" s="14" t="s">
        <v>1414</v>
      </c>
      <c r="N409" s="142" t="s">
        <v>1483</v>
      </c>
      <c r="T409" s="14" t="s">
        <v>1278</v>
      </c>
    </row>
    <row r="410" spans="1:23" ht="15" customHeight="1" outlineLevel="2" x14ac:dyDescent="0.25">
      <c r="A410" s="251" t="s">
        <v>2242</v>
      </c>
      <c r="B410" s="251"/>
      <c r="C410" s="252"/>
      <c r="E410" s="155"/>
      <c r="G410" s="253"/>
      <c r="H410" s="254"/>
      <c r="I410" s="255"/>
      <c r="J410" s="154"/>
      <c r="K410" s="7"/>
      <c r="L410" s="155"/>
      <c r="M410" s="155"/>
      <c r="N410" s="155"/>
      <c r="O410" s="155"/>
      <c r="P410" s="155"/>
      <c r="Q410" s="155"/>
      <c r="R410" s="155"/>
      <c r="S410" s="155"/>
      <c r="T410" s="155"/>
      <c r="U410" s="155"/>
      <c r="V410" s="155"/>
      <c r="W410" s="155"/>
    </row>
    <row r="411" spans="1:23" ht="15" customHeight="1" outlineLevel="3" x14ac:dyDescent="0.25">
      <c r="B411" s="9" t="s">
        <v>88</v>
      </c>
      <c r="C411" s="197" t="str">
        <f>IF(C86="","",IFERROR(IF(LEN(RIGHT(C86,LEN(C86)-FIND("^",SUBSTITUTE(C86,"|","^",12))))-LEN(SUBSTITUTE(RIGHT(C86,LEN(C86)-FIND("^",SUBSTITUTE(C86,"|","^",12))),"|",""))=0,RIGHT(C86,LEN(C86)-FIND("^",SUBSTITUTE(C86,"|","^",12))),LEFT(RIGHT(C86,LEN(C86)-FIND("^",SUBSTITUTE(C86,"|","^",12))),FIND("|",RIGHT(C86,LEN(C86)-FIND("^",SUBSTITUTE(C86,"|","^",12))))-1)),""))</f>
        <v/>
      </c>
      <c r="E411" s="2" t="s">
        <v>2171</v>
      </c>
      <c r="G411" s="239" t="s">
        <v>95</v>
      </c>
      <c r="H411" s="14" t="s">
        <v>14</v>
      </c>
      <c r="I411" s="125" t="str">
        <f>IF(I415="","",IF(C411="","#N/A, Input cannot be blank",UPPER(LEFT(C411,20))))</f>
        <v/>
      </c>
      <c r="J411" s="14" t="str">
        <f>IF(LEN(C411)&gt;20,TEXT("Requested dependent#13 last name as:","xxx")&amp;" "&amp; TEXT(C411,"xxxxxxx")&amp;","&amp;" "&amp;TEXT("input into BCBS as:","xxxx")&amp;" "&amp; TEXT(I411,"xxxxxxx")&amp;". ","")</f>
        <v/>
      </c>
      <c r="K411" s="7"/>
      <c r="L411" s="14" t="s">
        <v>1416</v>
      </c>
      <c r="M411" s="142" t="s">
        <v>1129</v>
      </c>
      <c r="N411" s="142" t="s">
        <v>1483</v>
      </c>
      <c r="O411" s="14" t="s">
        <v>1416</v>
      </c>
      <c r="P411" s="142" t="s">
        <v>1129</v>
      </c>
      <c r="Q411" s="142" t="s">
        <v>1593</v>
      </c>
      <c r="T411" s="14" t="s">
        <v>1262</v>
      </c>
    </row>
    <row r="412" spans="1:23" ht="15" customHeight="1" outlineLevel="3" x14ac:dyDescent="0.25">
      <c r="B412" s="192" t="s">
        <v>155</v>
      </c>
      <c r="C412" s="201" t="str">
        <f>IF(C87="","",IFERROR(IF(LEN(RIGHT(C87,LEN(C87)-FIND("^",SUBSTITUTE(C87,"|","^",12))))-LEN(SUBSTITUTE(RIGHT(C87,LEN(C87)-FIND("^",SUBSTITUTE(C87,"|","^",12))),"|",""))=0,RIGHT(C87,LEN(C87)-FIND("^",SUBSTITUTE(C87,"|","^",12))),LEFT(RIGHT(C87,LEN(C87)-FIND("^",SUBSTITUTE(C87,"|","^",12))),FIND("|",RIGHT(C87,LEN(C87)-FIND("^",SUBSTITUTE(C87,"|","^",12))))-1)),""))</f>
        <v/>
      </c>
      <c r="E412" s="14" t="s">
        <v>2172</v>
      </c>
      <c r="G412" s="239" t="s">
        <v>155</v>
      </c>
      <c r="H412" s="14" t="s">
        <v>14</v>
      </c>
      <c r="I412" s="189"/>
      <c r="J412" s="145"/>
      <c r="K412" s="7"/>
      <c r="L412" s="14" t="s">
        <v>1416</v>
      </c>
      <c r="M412" s="142" t="s">
        <v>1129</v>
      </c>
      <c r="N412" s="142" t="s">
        <v>1483</v>
      </c>
      <c r="O412" s="14" t="s">
        <v>1416</v>
      </c>
      <c r="P412" s="14" t="s">
        <v>1415</v>
      </c>
      <c r="Q412" s="142" t="s">
        <v>565</v>
      </c>
      <c r="T412" s="14" t="s">
        <v>1261</v>
      </c>
    </row>
    <row r="413" spans="1:23" ht="15" customHeight="1" outlineLevel="3" x14ac:dyDescent="0.25">
      <c r="B413" s="9" t="s">
        <v>87</v>
      </c>
      <c r="C413" s="197" t="str">
        <f>IF(C88="","",IFERROR(IF(LEN(RIGHT(C88,LEN(C88)-FIND("^",SUBSTITUTE(C88,"|","^",12))))-LEN(SUBSTITUTE(RIGHT(C88,LEN(C88)-FIND("^",SUBSTITUTE(C88,"|","^",12))),"|",""))=0,RIGHT(C88,LEN(C88)-FIND("^",SUBSTITUTE(C88,"|","^",12))),LEFT(RIGHT(C88,LEN(C88)-FIND("^",SUBSTITUTE(C88,"|","^",12))),FIND("|",RIGHT(C88,LEN(C88)-FIND("^",SUBSTITUTE(C88,"|","^",12))))-1)),""))</f>
        <v/>
      </c>
      <c r="E413" s="2" t="s">
        <v>2170</v>
      </c>
      <c r="G413" s="239" t="s">
        <v>93</v>
      </c>
      <c r="H413" s="14" t="s">
        <v>14</v>
      </c>
      <c r="I413" s="125" t="str">
        <f>IF(I415="","",IF(C413="","#N/A, Input cannot be blank",UPPER(LEFT(C413,20))))</f>
        <v/>
      </c>
      <c r="J413" s="125" t="str">
        <f>IF(LEN(C413)&gt;20,TEXT("Requested dependent#13 first name as:","xxx")&amp;" "&amp; TEXT(C413,"xxxxxxx")&amp;","&amp;" "&amp; TEXT("input into BCBS as:","xxxx")&amp;" "&amp; TEXT(I413,"xxxxxxx")&amp;". ","")</f>
        <v/>
      </c>
      <c r="K413" s="7"/>
      <c r="L413" s="14" t="s">
        <v>1416</v>
      </c>
      <c r="M413" s="142" t="s">
        <v>1129</v>
      </c>
      <c r="N413" s="142" t="s">
        <v>1483</v>
      </c>
      <c r="O413" s="14" t="s">
        <v>1416</v>
      </c>
      <c r="P413" s="142" t="s">
        <v>1129</v>
      </c>
      <c r="Q413" s="142" t="s">
        <v>1593</v>
      </c>
      <c r="T413" s="14" t="s">
        <v>1260</v>
      </c>
    </row>
    <row r="414" spans="1:23" ht="15" customHeight="1" outlineLevel="3" x14ac:dyDescent="0.25">
      <c r="B414" s="9" t="s">
        <v>552</v>
      </c>
      <c r="C414" s="197" t="str">
        <f>IF(C89="","",IFERROR(LEFT(RIGHT(C89,LEN(C89)-FIND("^",SUBSTITUTE(C89,"|","^",12))),1),""))</f>
        <v/>
      </c>
      <c r="E414" s="14" t="s">
        <v>547</v>
      </c>
      <c r="G414" s="239" t="s">
        <v>94</v>
      </c>
      <c r="H414" s="14" t="s">
        <v>14</v>
      </c>
      <c r="I414" s="125" t="str">
        <f>IF(OR(I415="",C414=""),"",UPPER(LEFT(C414,1)))</f>
        <v/>
      </c>
      <c r="J414" s="145"/>
      <c r="K414" s="7"/>
      <c r="L414" s="14" t="s">
        <v>1416</v>
      </c>
      <c r="M414" s="142" t="s">
        <v>1129</v>
      </c>
      <c r="N414" s="142" t="s">
        <v>1483</v>
      </c>
      <c r="O414" s="14" t="s">
        <v>1416</v>
      </c>
      <c r="P414" s="142" t="s">
        <v>1129</v>
      </c>
      <c r="Q414" s="142" t="s">
        <v>1593</v>
      </c>
      <c r="T414" s="14" t="s">
        <v>1596</v>
      </c>
    </row>
    <row r="415" spans="1:23" ht="30" customHeight="1" outlineLevel="3" x14ac:dyDescent="0.25">
      <c r="B415" s="9" t="s">
        <v>26</v>
      </c>
      <c r="C415" s="200" t="str">
        <f>IF(C90="","",IFERROR(IF(LEN(RIGHT(C90,LEN(C90)-FIND("^",SUBSTITUTE(C90,"|","^",12))))-LEN(SUBSTITUTE(RIGHT(C90,LEN(C90)-FIND("^",SUBSTITUTE(C90,"|","^",12))),"|",""))=0,RIGHT(C90,LEN(C90)-FIND("^",SUBSTITUTE(C90,"|","^",12))),LEFT(RIGHT(C90,LEN(C90)-FIND("^",SUBSTITUTE(C90,"|","^",12))),FIND("|",RIGHT(C90,LEN(C90)-FIND("^",SUBSTITUTE(C90,"|","^",12))))-1)),""))</f>
        <v/>
      </c>
      <c r="E415" s="14" t="s">
        <v>2200</v>
      </c>
      <c r="G415" s="239" t="s">
        <v>123</v>
      </c>
      <c r="H415" s="14" t="s">
        <v>29</v>
      </c>
      <c r="I415" s="125" t="str">
        <f>IF(C411="","",IF(OR($I$69="Y",$I$79="Y"),IF(C415="","#N/A, Input cannot be blank",IF($C$44="",INDEX('Dropdown list'!$AD:$AD,MATCH(C415,'Dropdown list'!$AC:$AC,0),1),IF(C415="Child",IF(OR(ISNUMBER(MATCH(SUBSTITUTE($C$69," (Pending)",""),'Dropdown list'!$AL:$AL,0)),ISNUMBER(MATCH(SUBSTITUTE($C$79," (Pending)",""),'Dropdown list'!$AL:$AL,0))),INDEX('Dropdown list'!$AH:$AH,MATCH(C416&amp;C417,'Dropdown list'!$AG:$AG,0),1),""),IF(C415="Spouse",IF(OR(ISNUMBER(MATCH(SUBSTITUTE($C$69," (Pending)",""),'Dropdown list'!$AM:$AM,0)),ISNUMBER(MATCH(SUBSTITUTE($C$79," (Pending)",""),'Dropdown list'!$AM:$AM,0))),"Spouse",""),IF(C415="Domestic Partner",IF(OR(ISNUMBER(MATCH(SUBSTITUTE($C$69," (Pending)",""),'Dropdown list'!$AN:$AN,0)),ISNUMBER(MATCH(SUBSTITUTE($C$79," (Pending)",""),'Dropdown list'!$AN:$AN,0))),"Domestic Partner",""),INDEX('Dropdown list'!$AK:$AK,MATCH(C415,'Dropdown list'!$AJ:$AJ,0),1)))))),""))</f>
        <v/>
      </c>
      <c r="J415" s="145"/>
      <c r="K415" s="145"/>
      <c r="L415" s="14" t="s">
        <v>1416</v>
      </c>
      <c r="M415" s="142" t="s">
        <v>1129</v>
      </c>
      <c r="N415" s="142" t="s">
        <v>1483</v>
      </c>
      <c r="O415" s="14" t="s">
        <v>1416</v>
      </c>
      <c r="P415" s="142" t="s">
        <v>1129</v>
      </c>
      <c r="Q415" s="142" t="s">
        <v>1594</v>
      </c>
      <c r="T415" s="14" t="s">
        <v>1595</v>
      </c>
    </row>
    <row r="416" spans="1:23" ht="0.2" customHeight="1" outlineLevel="3" x14ac:dyDescent="0.25">
      <c r="B416" s="192" t="s">
        <v>79</v>
      </c>
      <c r="C416" s="201" t="str">
        <f>IF(C91="","",IFERROR(IF(LEN(RIGHT(C91,LEN(C91)-FIND("^",SUBSTITUTE(C91,"|","^",12))))-LEN(SUBSTITUTE(RIGHT(C91,LEN(C91)-FIND("^",SUBSTITUTE(C91,"|","^",12))),"|",""))=0,RIGHT(C91,LEN(C91)-FIND("^",SUBSTITUTE(C91,"|","^",12))),LEFT(RIGHT(C91,LEN(C91)-FIND("^",SUBSTITUTE(C91,"|","^",12))),FIND("|",RIGHT(C91,LEN(C91)-FIND("^",SUBSTITUTE(C91,"|","^",12))))-1)),""))</f>
        <v/>
      </c>
      <c r="E416" s="14" t="s">
        <v>2191</v>
      </c>
      <c r="H416" s="1"/>
      <c r="I416" s="1"/>
      <c r="J416" s="1"/>
      <c r="K416" s="7"/>
      <c r="L416" s="14" t="s">
        <v>1416</v>
      </c>
      <c r="M416" s="142" t="s">
        <v>1129</v>
      </c>
      <c r="N416" s="142" t="s">
        <v>1483</v>
      </c>
      <c r="T416" s="14" t="s">
        <v>1597</v>
      </c>
    </row>
    <row r="417" spans="2:20" ht="0.2" customHeight="1" outlineLevel="3" x14ac:dyDescent="0.25">
      <c r="B417" s="192" t="s">
        <v>409</v>
      </c>
      <c r="C417" s="201" t="str">
        <f>IF(C92="","",IFERROR(IF(LEN(RIGHT(C92,LEN(C92)-FIND("^",SUBSTITUTE(C92,"|","^",12))))-LEN(SUBSTITUTE(RIGHT(C92,LEN(C92)-FIND("^",SUBSTITUTE(C92,"|","^",12))),"|",""))=0,RIGHT(C92,LEN(C92)-FIND("^",SUBSTITUTE(C92,"|","^",12))),LEFT(RIGHT(C92,LEN(C92)-FIND("^",SUBSTITUTE(C92,"|","^",12))),FIND("|",RIGHT(C92,LEN(C92)-FIND("^",SUBSTITUTE(C92,"|","^",12))))-1)),""))</f>
        <v/>
      </c>
      <c r="E417" s="14"/>
      <c r="H417" s="1"/>
      <c r="I417" s="1"/>
      <c r="J417" s="1"/>
      <c r="K417" s="7"/>
      <c r="L417" s="14" t="s">
        <v>1416</v>
      </c>
      <c r="M417" s="142" t="s">
        <v>1129</v>
      </c>
      <c r="N417" s="142" t="s">
        <v>1483</v>
      </c>
      <c r="T417" s="14" t="s">
        <v>1280</v>
      </c>
    </row>
    <row r="418" spans="2:20" ht="15" customHeight="1" outlineLevel="3" x14ac:dyDescent="0.25">
      <c r="B418" s="9" t="s">
        <v>2</v>
      </c>
      <c r="C418" s="197" t="str">
        <f>IF(C93="","",IFERROR(IF(LEN(RIGHT(C93,LEN(C93)-FIND("^",SUBSTITUTE(C93,"|","^",12))))-LEN(SUBSTITUTE(RIGHT(C93,LEN(C93)-FIND("^",SUBSTITUTE(C93,"|","^",12))),"|",""))=0,RIGHT(C93,LEN(C93)-FIND("^",SUBSTITUTE(C93,"|","^",12))),LEFT(RIGHT(C93,LEN(C93)-FIND("^",SUBSTITUTE(C93,"|","^",12))),FIND("|",RIGHT(C93,LEN(C93)-FIND("^",SUBSTITUTE(C93,"|","^",12))))-1)),""))</f>
        <v/>
      </c>
      <c r="E418" s="14" t="s">
        <v>553</v>
      </c>
      <c r="G418" s="239" t="s">
        <v>96</v>
      </c>
      <c r="H418" s="14" t="s">
        <v>29</v>
      </c>
      <c r="I418" s="125" t="str">
        <f>IF(I415="","",IF(C418="","#N/A, Input cannot be blank",IF(C418="M", "Male",IF(C418="F","Female","#N/A, Unidentified Gender"))))</f>
        <v/>
      </c>
      <c r="J418" s="145"/>
      <c r="K418" s="145"/>
      <c r="L418" s="14" t="s">
        <v>1416</v>
      </c>
      <c r="M418" s="142" t="s">
        <v>1129</v>
      </c>
      <c r="N418" s="142" t="s">
        <v>1483</v>
      </c>
      <c r="O418" s="14" t="s">
        <v>1416</v>
      </c>
      <c r="P418" s="142" t="s">
        <v>1129</v>
      </c>
      <c r="Q418" s="142" t="s">
        <v>1598</v>
      </c>
      <c r="T418" s="14" t="s">
        <v>1259</v>
      </c>
    </row>
    <row r="419" spans="2:20" ht="15" customHeight="1" outlineLevel="3" x14ac:dyDescent="0.25">
      <c r="B419" s="192" t="str">
        <f>G419</f>
        <v>Other Dependent:</v>
      </c>
      <c r="C419" s="201"/>
      <c r="E419" s="14" t="s">
        <v>2189</v>
      </c>
      <c r="G419" s="239" t="s">
        <v>440</v>
      </c>
      <c r="H419" s="14" t="s">
        <v>29</v>
      </c>
      <c r="I419" s="189"/>
      <c r="J419" s="145"/>
      <c r="K419" s="145"/>
      <c r="L419" s="14" t="s">
        <v>1416</v>
      </c>
      <c r="M419" s="14" t="s">
        <v>1415</v>
      </c>
      <c r="N419" s="142" t="s">
        <v>565</v>
      </c>
      <c r="O419" s="14" t="s">
        <v>1416</v>
      </c>
      <c r="P419" s="14" t="s">
        <v>1415</v>
      </c>
      <c r="Q419" s="142" t="s">
        <v>565</v>
      </c>
      <c r="T419" s="14" t="s">
        <v>1279</v>
      </c>
    </row>
    <row r="420" spans="2:20" ht="15" customHeight="1" outlineLevel="3" x14ac:dyDescent="0.25">
      <c r="B420" s="9" t="s">
        <v>8</v>
      </c>
      <c r="C420" s="197" t="str">
        <f>IF(C95="","",IFERROR(IF(LEN(RIGHT(C95,LEN(C95)-FIND("^",SUBSTITUTE(C95,"|","^",12))))-LEN(SUBSTITUTE(RIGHT(C95,LEN(C95)-FIND("^",SUBSTITUTE(C95,"|","^",12))),"|",""))=0,RIGHT(C95,LEN(C95)-FIND("^",SUBSTITUTE(C95,"|","^",12))),LEFT(RIGHT(C95,LEN(C95)-FIND("^",SUBSTITUTE(C95,"|","^",12))),FIND("|",RIGHT(C95,LEN(C95)-FIND("^",SUBSTITUTE(C95,"|","^",12))))-1)),""))</f>
        <v/>
      </c>
      <c r="G420" s="239" t="s">
        <v>125</v>
      </c>
      <c r="H420" s="14" t="s">
        <v>14</v>
      </c>
      <c r="I420" s="125" t="str">
        <f>IF(I415="","",IF(C420="","#N/A, Input cannot be blank",IFERROR(TEXT(EDATE(C420,0),"MM/DD/YYYY"),"#N/A, Please enter a date format")))</f>
        <v/>
      </c>
      <c r="J420" s="145"/>
      <c r="K420" s="145"/>
      <c r="L420" s="14" t="s">
        <v>1416</v>
      </c>
      <c r="M420" s="142" t="s">
        <v>1129</v>
      </c>
      <c r="N420" s="142" t="s">
        <v>1483</v>
      </c>
      <c r="O420" s="14" t="s">
        <v>1416</v>
      </c>
      <c r="P420" s="142" t="s">
        <v>1129</v>
      </c>
      <c r="Q420" s="14" t="s">
        <v>1508</v>
      </c>
      <c r="T420" s="14" t="s">
        <v>1258</v>
      </c>
    </row>
    <row r="421" spans="2:20" ht="15" customHeight="1" outlineLevel="3" x14ac:dyDescent="0.25">
      <c r="B421" s="9" t="s">
        <v>3</v>
      </c>
      <c r="C421" s="197" t="str">
        <f>IF(C96="","",IFERROR(IF(LEN(RIGHT(C96,LEN(C96)-FIND("^",SUBSTITUTE(C96,"|","^",12))))-LEN(SUBSTITUTE(RIGHT(C96,LEN(C96)-FIND("^",SUBSTITUTE(C96,"|","^",12))),"|",""))=0,RIGHT(C96,LEN(C96)-FIND("^",SUBSTITUTE(C96,"|","^",12))),LEFT(RIGHT(C96,LEN(C96)-FIND("^",SUBSTITUTE(C96,"|","^",12))),FIND("|",RIGHT(C96,LEN(C96)-FIND("^",SUBSTITUTE(C96,"|","^",12))))-1)),""))</f>
        <v/>
      </c>
      <c r="E421" s="14" t="s">
        <v>547</v>
      </c>
      <c r="G421" s="239" t="s">
        <v>97</v>
      </c>
      <c r="H421" s="14" t="s">
        <v>14</v>
      </c>
      <c r="I421" s="125" t="str">
        <f>IF(C421=" ",C421,IF(OR(I415="",C421=""),"",IF(LEN(SUBSTITUTE(C421,"-",""))=9,SUBSTITUTE(C421,"-",""),"#N/A, SSN# must be 9 digits")))</f>
        <v/>
      </c>
      <c r="J421" s="145"/>
      <c r="K421" s="145"/>
      <c r="L421" s="14" t="s">
        <v>1416</v>
      </c>
      <c r="M421" s="142" t="s">
        <v>1129</v>
      </c>
      <c r="N421" s="142" t="s">
        <v>1483</v>
      </c>
      <c r="O421" s="14" t="s">
        <v>1416</v>
      </c>
      <c r="P421" s="142" t="s">
        <v>1129</v>
      </c>
      <c r="Q421" s="14" t="s">
        <v>1518</v>
      </c>
      <c r="T421" s="14" t="s">
        <v>1230</v>
      </c>
    </row>
    <row r="422" spans="2:20" ht="15" customHeight="1" outlineLevel="3" x14ac:dyDescent="0.25">
      <c r="B422" s="192" t="str">
        <f t="shared" ref="B422:B427" si="15">G422</f>
        <v>Multiple Birth:</v>
      </c>
      <c r="C422" s="201"/>
      <c r="E422" s="14" t="s">
        <v>2189</v>
      </c>
      <c r="G422" s="239" t="s">
        <v>506</v>
      </c>
      <c r="H422" s="14" t="s">
        <v>559</v>
      </c>
      <c r="I422" s="237"/>
      <c r="J422" s="145"/>
      <c r="K422" s="145"/>
      <c r="L422" s="14" t="s">
        <v>1416</v>
      </c>
      <c r="M422" s="14" t="s">
        <v>1415</v>
      </c>
      <c r="N422" s="142" t="s">
        <v>565</v>
      </c>
      <c r="O422" s="14" t="s">
        <v>1416</v>
      </c>
      <c r="P422" s="14" t="s">
        <v>1415</v>
      </c>
      <c r="Q422" s="142" t="s">
        <v>565</v>
      </c>
      <c r="T422" s="14" t="s">
        <v>1264</v>
      </c>
    </row>
    <row r="423" spans="2:20" ht="15" customHeight="1" outlineLevel="3" x14ac:dyDescent="0.25">
      <c r="B423" s="192" t="str">
        <f t="shared" si="15"/>
        <v>Native Language:</v>
      </c>
      <c r="C423" s="201"/>
      <c r="E423" s="14" t="s">
        <v>2175</v>
      </c>
      <c r="G423" s="239" t="s">
        <v>484</v>
      </c>
      <c r="H423" s="14" t="s">
        <v>29</v>
      </c>
      <c r="I423" s="237" t="str">
        <f>IF(I415="","","English")</f>
        <v/>
      </c>
      <c r="J423" s="145"/>
      <c r="K423" s="145"/>
      <c r="L423" s="14" t="s">
        <v>1416</v>
      </c>
      <c r="M423" s="14" t="s">
        <v>1415</v>
      </c>
      <c r="N423" s="142" t="s">
        <v>565</v>
      </c>
      <c r="O423" s="14" t="s">
        <v>1416</v>
      </c>
      <c r="P423" s="14" t="s">
        <v>1415</v>
      </c>
      <c r="Q423" s="142" t="s">
        <v>1430</v>
      </c>
      <c r="T423" s="14" t="s">
        <v>1263</v>
      </c>
    </row>
    <row r="424" spans="2:20" ht="15" customHeight="1" outlineLevel="3" x14ac:dyDescent="0.25">
      <c r="B424" s="192" t="str">
        <f t="shared" si="15"/>
        <v>Preferred Written Language:</v>
      </c>
      <c r="C424" s="201"/>
      <c r="E424" s="14" t="s">
        <v>2175</v>
      </c>
      <c r="G424" s="239" t="s">
        <v>486</v>
      </c>
      <c r="H424" s="14" t="s">
        <v>29</v>
      </c>
      <c r="I424" s="237" t="str">
        <f>IF(I415="","","English")</f>
        <v/>
      </c>
      <c r="J424" s="145"/>
      <c r="K424" s="145"/>
      <c r="L424" s="14" t="s">
        <v>1416</v>
      </c>
      <c r="M424" s="14" t="s">
        <v>1415</v>
      </c>
      <c r="N424" s="142" t="s">
        <v>565</v>
      </c>
      <c r="O424" s="14" t="s">
        <v>1416</v>
      </c>
      <c r="P424" s="14" t="s">
        <v>1415</v>
      </c>
      <c r="Q424" s="142" t="s">
        <v>1430</v>
      </c>
      <c r="T424" s="14" t="s">
        <v>1265</v>
      </c>
    </row>
    <row r="425" spans="2:20" ht="15" customHeight="1" outlineLevel="3" x14ac:dyDescent="0.25">
      <c r="B425" s="192" t="str">
        <f t="shared" si="15"/>
        <v>Preferred Spoken Language:</v>
      </c>
      <c r="C425" s="201"/>
      <c r="E425" s="14" t="s">
        <v>2175</v>
      </c>
      <c r="G425" s="239" t="s">
        <v>487</v>
      </c>
      <c r="H425" s="14" t="s">
        <v>29</v>
      </c>
      <c r="I425" s="237" t="str">
        <f>IF(I415="","","English")</f>
        <v/>
      </c>
      <c r="J425" s="145"/>
      <c r="K425" s="145"/>
      <c r="L425" s="14" t="s">
        <v>1416</v>
      </c>
      <c r="M425" s="14" t="s">
        <v>1415</v>
      </c>
      <c r="N425" s="142" t="s">
        <v>565</v>
      </c>
      <c r="O425" s="14" t="s">
        <v>1416</v>
      </c>
      <c r="P425" s="14" t="s">
        <v>1415</v>
      </c>
      <c r="Q425" s="142" t="s">
        <v>1430</v>
      </c>
      <c r="T425" s="14" t="s">
        <v>1266</v>
      </c>
    </row>
    <row r="426" spans="2:20" ht="15" customHeight="1" outlineLevel="3" x14ac:dyDescent="0.25">
      <c r="B426" s="192" t="str">
        <f t="shared" si="15"/>
        <v>Ethnicity (select all that apply):</v>
      </c>
      <c r="C426" s="201"/>
      <c r="E426" s="14" t="s">
        <v>2173</v>
      </c>
      <c r="G426" s="220" t="s">
        <v>488</v>
      </c>
      <c r="H426" s="14" t="s">
        <v>558</v>
      </c>
      <c r="I426" s="237" t="str">
        <f>IF(I415="","","Unknown")</f>
        <v/>
      </c>
      <c r="J426" s="145"/>
      <c r="K426" s="145"/>
      <c r="L426" s="14" t="s">
        <v>1416</v>
      </c>
      <c r="M426" s="14" t="s">
        <v>1415</v>
      </c>
      <c r="N426" s="142" t="s">
        <v>565</v>
      </c>
      <c r="O426" s="14" t="s">
        <v>1416</v>
      </c>
      <c r="P426" s="14" t="s">
        <v>1415</v>
      </c>
      <c r="Q426" s="142" t="s">
        <v>1431</v>
      </c>
      <c r="T426" s="14" t="s">
        <v>1267</v>
      </c>
    </row>
    <row r="427" spans="2:20" ht="15" customHeight="1" outlineLevel="3" x14ac:dyDescent="0.25">
      <c r="B427" s="192" t="str">
        <f t="shared" si="15"/>
        <v>Race (select all that apply):</v>
      </c>
      <c r="C427" s="201"/>
      <c r="E427" s="14" t="s">
        <v>2173</v>
      </c>
      <c r="G427" s="239" t="s">
        <v>492</v>
      </c>
      <c r="H427" s="14" t="s">
        <v>558</v>
      </c>
      <c r="I427" s="237" t="str">
        <f>IF(I415="","","Unknown")</f>
        <v/>
      </c>
      <c r="J427" s="145"/>
      <c r="K427" s="145"/>
      <c r="L427" s="14" t="s">
        <v>1416</v>
      </c>
      <c r="M427" s="14" t="s">
        <v>1415</v>
      </c>
      <c r="N427" s="142" t="s">
        <v>565</v>
      </c>
      <c r="O427" s="14" t="s">
        <v>1416</v>
      </c>
      <c r="P427" s="14" t="s">
        <v>1415</v>
      </c>
      <c r="Q427" s="142" t="s">
        <v>1431</v>
      </c>
      <c r="T427" s="14" t="s">
        <v>1271</v>
      </c>
    </row>
    <row r="428" spans="2:20" ht="30" customHeight="1" outlineLevel="3" x14ac:dyDescent="0.25">
      <c r="B428" s="192" t="s">
        <v>412</v>
      </c>
      <c r="C428" s="201" t="str">
        <f>IF(C103="","",IFERROR(IF(LEN(RIGHT(C103,LEN(C103)-FIND("^",SUBSTITUTE(C103,"|","^",12))))-LEN(SUBSTITUTE(RIGHT(C103,LEN(C103)-FIND("^",SUBSTITUTE(C103,"|","^",12))),"|",""))=0,RIGHT(C103,LEN(C103)-FIND("^",SUBSTITUTE(C103,"|","^",12))),LEFT(RIGHT(C103,LEN(C103)-FIND("^",SUBSTITUTE(C103,"|","^",12))),FIND("|",RIGHT(C103,LEN(C103)-FIND("^",SUBSTITUTE(C103,"|","^",12))))-1)),""))</f>
        <v/>
      </c>
      <c r="E428" s="14" t="s">
        <v>2190</v>
      </c>
      <c r="G428" s="239" t="s">
        <v>537</v>
      </c>
      <c r="H428" s="14" t="s">
        <v>559</v>
      </c>
      <c r="I428" s="150" t="str">
        <f>IF(I415="","",IF(OR(C428="",C428="No"),"No","Yes"))</f>
        <v/>
      </c>
      <c r="J428" s="145" t="str">
        <f>IF(I428="Yes", "Medicare Eligible is Yes for EN request for Dependent#13, please change ‘Medicare information’ to 'Yes'  and select Eligible in Dep Medicare tab in BCBS if needed. ","")</f>
        <v/>
      </c>
      <c r="K428" s="145"/>
      <c r="L428" s="14" t="s">
        <v>1417</v>
      </c>
      <c r="M428" s="14" t="s">
        <v>1414</v>
      </c>
      <c r="N428" s="142" t="s">
        <v>1483</v>
      </c>
      <c r="O428" s="14" t="s">
        <v>1416</v>
      </c>
      <c r="P428" s="14" t="s">
        <v>1415</v>
      </c>
      <c r="Q428" s="142" t="s">
        <v>1432</v>
      </c>
      <c r="T428" s="14" t="s">
        <v>1272</v>
      </c>
    </row>
    <row r="429" spans="2:20" ht="30" customHeight="1" outlineLevel="3" x14ac:dyDescent="0.25">
      <c r="B429" s="192" t="str">
        <f>G429</f>
        <v>Different address information than the employee?</v>
      </c>
      <c r="C429" s="201"/>
      <c r="E429" s="14" t="s">
        <v>2190</v>
      </c>
      <c r="G429" s="239" t="s">
        <v>508</v>
      </c>
      <c r="H429" s="14" t="s">
        <v>559</v>
      </c>
      <c r="I429" s="150" t="str">
        <f>IF(I415="","",IF(OR(C430="",TRIM(C430)&amp;TRIM(C431)&amp;TRIM(C432)&amp;TRIM(C433)&amp;TRIM(C434)=TRIM($C$48)&amp;TRIM($C$49)&amp;TRIM($C$50)&amp;TRIM($C$51)&amp;TRIM($C$52)),"No","Yes"))</f>
        <v/>
      </c>
      <c r="J429" s="145" t="str">
        <f>IF(I429="Yes", "Dependent have separate address for EN request for Dependen#13, please change ‘Different address information than the employee' to 'Yes' and update different address in Dep Address tab in BCBS if needed. ","")</f>
        <v/>
      </c>
      <c r="K429" s="145"/>
      <c r="L429" s="14" t="s">
        <v>1417</v>
      </c>
      <c r="M429" s="14" t="s">
        <v>1129</v>
      </c>
      <c r="N429" s="142" t="s">
        <v>1484</v>
      </c>
      <c r="O429" s="14" t="s">
        <v>1416</v>
      </c>
      <c r="P429" s="14" t="s">
        <v>1415</v>
      </c>
      <c r="Q429" s="142" t="s">
        <v>1432</v>
      </c>
      <c r="T429" s="14" t="s">
        <v>1273</v>
      </c>
    </row>
    <row r="430" spans="2:20" ht="0.2" customHeight="1" outlineLevel="3" x14ac:dyDescent="0.25">
      <c r="B430" s="192" t="s">
        <v>414</v>
      </c>
      <c r="C430" s="201" t="str">
        <f>IF(C105="","",IFERROR(IF(LEN(RIGHT(C105,LEN(C105)-FIND("^",SUBSTITUTE(C105,"|","^",12))))-LEN(SUBSTITUTE(RIGHT(C105,LEN(C105)-FIND("^",SUBSTITUTE(C105,"|","^",12))),"|",""))=0,RIGHT(C105,LEN(C105)-FIND("^",SUBSTITUTE(C105,"|","^",12))),LEFT(RIGHT(C105,LEN(C105)-FIND("^",SUBSTITUTE(C105,"|","^",12))),FIND("|",RIGHT(C105,LEN(C105)-FIND("^",SUBSTITUTE(C105,"|","^",12))))-1)),""))</f>
        <v/>
      </c>
      <c r="E430" s="18"/>
      <c r="G430" s="18"/>
      <c r="H430" s="18"/>
      <c r="I430" s="145"/>
      <c r="J430" s="145"/>
      <c r="K430" s="145"/>
      <c r="L430" s="14" t="s">
        <v>1417</v>
      </c>
      <c r="M430" s="14" t="s">
        <v>1414</v>
      </c>
      <c r="N430" s="142" t="s">
        <v>1483</v>
      </c>
      <c r="T430" s="14" t="s">
        <v>1274</v>
      </c>
    </row>
    <row r="431" spans="2:20" ht="0.2" customHeight="1" outlineLevel="3" x14ac:dyDescent="0.25">
      <c r="B431" s="192" t="s">
        <v>416</v>
      </c>
      <c r="C431" s="201" t="str">
        <f>IF(C106="","",IFERROR(IF(LEN(RIGHT(C106,LEN(C106)-FIND("^",SUBSTITUTE(C106,"|","^",12))))-LEN(SUBSTITUTE(RIGHT(C106,LEN(C106)-FIND("^",SUBSTITUTE(C106,"|","^",12))),"|",""))=0,RIGHT(C106,LEN(C106)-FIND("^",SUBSTITUTE(C106,"|","^",12))),LEFT(RIGHT(C106,LEN(C106)-FIND("^",SUBSTITUTE(C106,"|","^",12))),FIND("|",RIGHT(C106,LEN(C106)-FIND("^",SUBSTITUTE(C106,"|","^",12))))-1)),""))</f>
        <v/>
      </c>
      <c r="E431" s="18"/>
      <c r="G431" s="18"/>
      <c r="H431" s="18"/>
      <c r="I431" s="145"/>
      <c r="J431" s="145"/>
      <c r="K431" s="145"/>
      <c r="L431" s="14" t="s">
        <v>1417</v>
      </c>
      <c r="M431" s="14" t="s">
        <v>1414</v>
      </c>
      <c r="N431" s="142" t="s">
        <v>1483</v>
      </c>
      <c r="T431" s="14" t="s">
        <v>1275</v>
      </c>
    </row>
    <row r="432" spans="2:20" ht="0.2" customHeight="1" outlineLevel="3" x14ac:dyDescent="0.25">
      <c r="B432" s="192" t="s">
        <v>6</v>
      </c>
      <c r="C432" s="201" t="str">
        <f>IF(C107="","",IFERROR(IF(LEN(RIGHT(C107,LEN(C107)-FIND("^",SUBSTITUTE(C107,"|","^",12))))-LEN(SUBSTITUTE(RIGHT(C107,LEN(C107)-FIND("^",SUBSTITUTE(C107,"|","^",12))),"|",""))=0,RIGHT(C107,LEN(C107)-FIND("^",SUBSTITUTE(C107,"|","^",12))),LEFT(RIGHT(C107,LEN(C107)-FIND("^",SUBSTITUTE(C107,"|","^",12))),FIND("|",RIGHT(C107,LEN(C107)-FIND("^",SUBSTITUTE(C107,"|","^",12))))-1)),""))</f>
        <v/>
      </c>
      <c r="E432" s="18"/>
      <c r="G432" s="18"/>
      <c r="H432" s="18"/>
      <c r="I432" s="145"/>
      <c r="J432" s="145"/>
      <c r="K432" s="145"/>
      <c r="L432" s="14" t="s">
        <v>1417</v>
      </c>
      <c r="M432" s="14" t="s">
        <v>1414</v>
      </c>
      <c r="N432" s="142" t="s">
        <v>1483</v>
      </c>
      <c r="T432" s="14" t="s">
        <v>1276</v>
      </c>
    </row>
    <row r="433" spans="1:23" ht="0.2" customHeight="1" outlineLevel="3" x14ac:dyDescent="0.25">
      <c r="B433" s="192" t="s">
        <v>7</v>
      </c>
      <c r="C433" s="201" t="str">
        <f>IF(C108="","",IFERROR(IF(LEN(RIGHT(C108,LEN(C108)-FIND("^",SUBSTITUTE(C108,"|","^",12))))-LEN(SUBSTITUTE(RIGHT(C108,LEN(C108)-FIND("^",SUBSTITUTE(C108,"|","^",12))),"|",""))=0,RIGHT(C108,LEN(C108)-FIND("^",SUBSTITUTE(C108,"|","^",12))),LEFT(RIGHT(C108,LEN(C108)-FIND("^",SUBSTITUTE(C108,"|","^",12))),FIND("|",RIGHT(C108,LEN(C108)-FIND("^",SUBSTITUTE(C108,"|","^",12))))-1)),""))</f>
        <v/>
      </c>
      <c r="E433" s="18"/>
      <c r="G433" s="18"/>
      <c r="H433" s="18"/>
      <c r="I433" s="145"/>
      <c r="J433" s="145"/>
      <c r="K433" s="145"/>
      <c r="L433" s="14" t="s">
        <v>1417</v>
      </c>
      <c r="M433" s="14" t="s">
        <v>1414</v>
      </c>
      <c r="N433" s="142" t="s">
        <v>1483</v>
      </c>
      <c r="T433" s="14" t="s">
        <v>1277</v>
      </c>
    </row>
    <row r="434" spans="1:23" ht="0.2" customHeight="1" outlineLevel="3" x14ac:dyDescent="0.25">
      <c r="B434" s="192" t="s">
        <v>19</v>
      </c>
      <c r="C434" s="201" t="str">
        <f>IF(C109="","",IFERROR(IF(LEN(RIGHT(C109,LEN(C109)-FIND("^",SUBSTITUTE(C109,"|","^",12))))-LEN(SUBSTITUTE(RIGHT(C109,LEN(C109)-FIND("^",SUBSTITUTE(C109,"|","^",12))),"|",""))=0,RIGHT(C109,LEN(C109)-FIND("^",SUBSTITUTE(C109,"|","^",12))),LEFT(RIGHT(C109,LEN(C109)-FIND("^",SUBSTITUTE(C109,"|","^",12))),FIND("|",RIGHT(C109,LEN(C109)-FIND("^",SUBSTITUTE(C109,"|","^",12))))-1)),""))</f>
        <v/>
      </c>
      <c r="E434" s="18"/>
      <c r="G434" s="18"/>
      <c r="H434" s="18"/>
      <c r="I434" s="145"/>
      <c r="J434" s="145"/>
      <c r="K434" s="145"/>
      <c r="L434" s="14" t="s">
        <v>1417</v>
      </c>
      <c r="M434" s="14" t="s">
        <v>1414</v>
      </c>
      <c r="N434" s="142" t="s">
        <v>1483</v>
      </c>
      <c r="T434" s="14" t="s">
        <v>1278</v>
      </c>
    </row>
    <row r="435" spans="1:23" ht="15" customHeight="1" outlineLevel="2" x14ac:dyDescent="0.25">
      <c r="A435" s="251" t="s">
        <v>2243</v>
      </c>
      <c r="B435" s="251"/>
      <c r="C435" s="252"/>
      <c r="E435" s="155"/>
      <c r="G435" s="253"/>
      <c r="H435" s="254"/>
      <c r="I435" s="255"/>
      <c r="J435" s="154"/>
      <c r="K435" s="7"/>
      <c r="L435" s="7"/>
      <c r="M435" s="7"/>
      <c r="N435" s="7"/>
      <c r="O435" s="7"/>
      <c r="P435" s="7"/>
      <c r="Q435" s="7"/>
      <c r="R435" s="7"/>
      <c r="S435" s="7"/>
      <c r="T435" s="7"/>
      <c r="U435" s="7"/>
      <c r="V435" s="7"/>
      <c r="W435" s="7"/>
    </row>
    <row r="436" spans="1:23" ht="15" customHeight="1" outlineLevel="3" x14ac:dyDescent="0.25">
      <c r="B436" s="9" t="s">
        <v>88</v>
      </c>
      <c r="C436" s="197" t="str">
        <f>IF(C86="","",IFERROR(IF(LEN(RIGHT(C86,LEN(C86)-FIND("^",SUBSTITUTE(C86,"|","^",13))))-LEN(SUBSTITUTE(RIGHT(C86,LEN(C86)-FIND("^",SUBSTITUTE(C86,"|","^",13))),"|",""))=0,RIGHT(C86,LEN(C86)-FIND("^",SUBSTITUTE(C86,"|","^",13))),LEFT(RIGHT(C86,LEN(C86)-FIND("^",SUBSTITUTE(C86,"|","^",13))),FIND("|",RIGHT(C86,LEN(C86)-FIND("^",SUBSTITUTE(C86,"|","^",13))))-1)),""))</f>
        <v/>
      </c>
      <c r="E436" s="2" t="s">
        <v>2171</v>
      </c>
      <c r="G436" s="239" t="s">
        <v>95</v>
      </c>
      <c r="H436" s="14" t="s">
        <v>14</v>
      </c>
      <c r="I436" s="125" t="str">
        <f>IF(I440="","",IF(C436="","#N/A, Input cannot be blank",UPPER(LEFT(C436,20))))</f>
        <v/>
      </c>
      <c r="J436" s="14" t="str">
        <f>IF(LEN(C436)&gt;20,TEXT("Requested dependent#14 last name as:","xxx")&amp;" "&amp; TEXT(C436,"xxxxxxx")&amp;","&amp;" "&amp;TEXT("input into BCBS as:","xxxx")&amp;" "&amp; TEXT(I436,"xxxxxxx")&amp;". ","")</f>
        <v/>
      </c>
      <c r="K436" s="7"/>
      <c r="L436" s="7" t="s">
        <v>1416</v>
      </c>
      <c r="M436" s="7" t="s">
        <v>1129</v>
      </c>
      <c r="N436" s="7" t="s">
        <v>1483</v>
      </c>
      <c r="O436" s="7" t="s">
        <v>1416</v>
      </c>
      <c r="P436" s="7" t="s">
        <v>1129</v>
      </c>
      <c r="Q436" s="7" t="s">
        <v>1593</v>
      </c>
      <c r="R436" s="7"/>
      <c r="S436" s="7"/>
      <c r="T436" s="7" t="s">
        <v>1262</v>
      </c>
      <c r="U436" s="7"/>
      <c r="V436" s="7"/>
      <c r="W436" s="7"/>
    </row>
    <row r="437" spans="1:23" ht="15" customHeight="1" outlineLevel="3" x14ac:dyDescent="0.25">
      <c r="B437" s="192" t="s">
        <v>155</v>
      </c>
      <c r="C437" s="201" t="str">
        <f>IF(C87="","",IFERROR(IF(LEN(RIGHT(C87,LEN(C87)-FIND("^",SUBSTITUTE(C87,"|","^",13))))-LEN(SUBSTITUTE(RIGHT(C87,LEN(C87)-FIND("^",SUBSTITUTE(C87,"|","^",13))),"|",""))=0,RIGHT(C87,LEN(C87)-FIND("^",SUBSTITUTE(C87,"|","^",13))),LEFT(RIGHT(C87,LEN(C87)-FIND("^",SUBSTITUTE(C87,"|","^",13))),FIND("|",RIGHT(C87,LEN(C87)-FIND("^",SUBSTITUTE(C87,"|","^",13))))-1)),""))</f>
        <v/>
      </c>
      <c r="E437" s="14" t="s">
        <v>2172</v>
      </c>
      <c r="G437" s="239" t="s">
        <v>155</v>
      </c>
      <c r="H437" s="14" t="s">
        <v>14</v>
      </c>
      <c r="I437" s="189"/>
      <c r="J437" s="145"/>
      <c r="K437" s="7"/>
      <c r="L437" s="7" t="s">
        <v>1416</v>
      </c>
      <c r="M437" s="7" t="s">
        <v>1129</v>
      </c>
      <c r="N437" s="7" t="s">
        <v>1483</v>
      </c>
      <c r="O437" s="7" t="s">
        <v>1416</v>
      </c>
      <c r="P437" s="7" t="s">
        <v>1415</v>
      </c>
      <c r="Q437" s="7" t="s">
        <v>565</v>
      </c>
      <c r="R437" s="7"/>
      <c r="S437" s="7"/>
      <c r="T437" s="7" t="s">
        <v>1261</v>
      </c>
      <c r="U437" s="7"/>
      <c r="V437" s="7"/>
      <c r="W437" s="7"/>
    </row>
    <row r="438" spans="1:23" ht="15" customHeight="1" outlineLevel="3" x14ac:dyDescent="0.25">
      <c r="B438" s="9" t="s">
        <v>87</v>
      </c>
      <c r="C438" s="197" t="str">
        <f>IF(C88="","",IFERROR(IF(LEN(RIGHT(C88,LEN(C88)-FIND("^",SUBSTITUTE(C88,"|","^",13))))-LEN(SUBSTITUTE(RIGHT(C88,LEN(C88)-FIND("^",SUBSTITUTE(C88,"|","^",13))),"|",""))=0,RIGHT(C88,LEN(C88)-FIND("^",SUBSTITUTE(C88,"|","^",13))),LEFT(RIGHT(C88,LEN(C88)-FIND("^",SUBSTITUTE(C88,"|","^",13))),FIND("|",RIGHT(C88,LEN(C88)-FIND("^",SUBSTITUTE(C88,"|","^",13))))-1)),""))</f>
        <v/>
      </c>
      <c r="E438" s="2" t="s">
        <v>2170</v>
      </c>
      <c r="G438" s="239" t="s">
        <v>93</v>
      </c>
      <c r="H438" s="14" t="s">
        <v>14</v>
      </c>
      <c r="I438" s="125" t="str">
        <f>IF(I440="","",IF(C438="","#N/A, Input cannot be blank",UPPER(LEFT(C438,20))))</f>
        <v/>
      </c>
      <c r="J438" s="125" t="str">
        <f>IF(LEN(C438)&gt;20,TEXT("Requested dependent#14 first name as:","xxx")&amp;" "&amp; TEXT(C438,"xxxxxxx")&amp;","&amp;" "&amp; TEXT("input into BCBS as:","xxxx")&amp;" "&amp; TEXT(I438,"xxxxxxx")&amp;". ","")</f>
        <v/>
      </c>
      <c r="K438" s="7"/>
      <c r="L438" s="7" t="s">
        <v>1416</v>
      </c>
      <c r="M438" s="7" t="s">
        <v>1129</v>
      </c>
      <c r="N438" s="7" t="s">
        <v>1483</v>
      </c>
      <c r="O438" s="7" t="s">
        <v>1416</v>
      </c>
      <c r="P438" s="7" t="s">
        <v>1129</v>
      </c>
      <c r="Q438" s="7" t="s">
        <v>1593</v>
      </c>
      <c r="R438" s="7"/>
      <c r="S438" s="7"/>
      <c r="T438" s="7" t="s">
        <v>1260</v>
      </c>
      <c r="U438" s="7"/>
      <c r="V438" s="7"/>
      <c r="W438" s="7"/>
    </row>
    <row r="439" spans="1:23" ht="15" customHeight="1" outlineLevel="3" x14ac:dyDescent="0.25">
      <c r="B439" s="9" t="s">
        <v>552</v>
      </c>
      <c r="C439" s="197" t="str">
        <f>IF(C89="","",IFERROR(LEFT(RIGHT(C89,LEN(C89)-FIND("^",SUBSTITUTE(C89,"|","^",13))),1),""))</f>
        <v/>
      </c>
      <c r="E439" s="14" t="s">
        <v>547</v>
      </c>
      <c r="G439" s="239" t="s">
        <v>94</v>
      </c>
      <c r="H439" s="14" t="s">
        <v>14</v>
      </c>
      <c r="I439" s="125" t="str">
        <f>IF(OR(I440="",C439=""),"",UPPER(LEFT(C439,1)))</f>
        <v/>
      </c>
      <c r="J439" s="145"/>
      <c r="K439" s="7"/>
      <c r="L439" s="7" t="s">
        <v>1416</v>
      </c>
      <c r="M439" s="7" t="s">
        <v>1129</v>
      </c>
      <c r="N439" s="7" t="s">
        <v>1483</v>
      </c>
      <c r="O439" s="7" t="s">
        <v>1416</v>
      </c>
      <c r="P439" s="7" t="s">
        <v>1129</v>
      </c>
      <c r="Q439" s="7" t="s">
        <v>1593</v>
      </c>
      <c r="R439" s="7"/>
      <c r="S439" s="7"/>
      <c r="T439" s="7" t="s">
        <v>1596</v>
      </c>
      <c r="U439" s="7"/>
      <c r="V439" s="7"/>
      <c r="W439" s="7"/>
    </row>
    <row r="440" spans="1:23" ht="30" customHeight="1" outlineLevel="3" x14ac:dyDescent="0.25">
      <c r="B440" s="9" t="s">
        <v>26</v>
      </c>
      <c r="C440" s="200" t="str">
        <f>IF(C90="","",IFERROR(IF(LEN(RIGHT(C90,LEN(C90)-FIND("^",SUBSTITUTE(C90,"|","^",13))))-LEN(SUBSTITUTE(RIGHT(C90,LEN(C90)-FIND("^",SUBSTITUTE(C90,"|","^",13))),"|",""))=0,RIGHT(C90,LEN(C90)-FIND("^",SUBSTITUTE(C90,"|","^",13))),LEFT(RIGHT(C90,LEN(C90)-FIND("^",SUBSTITUTE(C90,"|","^",13))),FIND("|",RIGHT(C90,LEN(C90)-FIND("^",SUBSTITUTE(C90,"|","^",13))))-1)),""))</f>
        <v/>
      </c>
      <c r="E440" s="14" t="s">
        <v>2200</v>
      </c>
      <c r="G440" s="239" t="s">
        <v>123</v>
      </c>
      <c r="H440" s="14" t="s">
        <v>29</v>
      </c>
      <c r="I440" s="125" t="str">
        <f>IF(C436="","",IF(OR($I$69="Y",$I$79="Y"),IF(C440="","#N/A, Input cannot be blank",IF($C$44="",INDEX('Dropdown list'!$AD:$AD,MATCH(C440,'Dropdown list'!$AC:$AC,0),1),IF(C440="Child",IF(OR(ISNUMBER(MATCH(SUBSTITUTE($C$69," (Pending)",""),'Dropdown list'!$AL:$AL,0)),ISNUMBER(MATCH(SUBSTITUTE($C$79," (Pending)",""),'Dropdown list'!$AL:$AL,0))),INDEX('Dropdown list'!$AH:$AH,MATCH(C441&amp;C442,'Dropdown list'!$AG:$AG,0),1),""),IF(C440="Spouse",IF(OR(ISNUMBER(MATCH(SUBSTITUTE($C$69," (Pending)",""),'Dropdown list'!$AM:$AM,0)),ISNUMBER(MATCH(SUBSTITUTE($C$79," (Pending)",""),'Dropdown list'!$AM:$AM,0))),"Spouse",""),IF(C440="Domestic Partner",IF(OR(ISNUMBER(MATCH(SUBSTITUTE($C$69," (Pending)",""),'Dropdown list'!$AN:$AN,0)),ISNUMBER(MATCH(SUBSTITUTE($C$79," (Pending)",""),'Dropdown list'!$AN:$AN,0))),"Domestic Partner",""),INDEX('Dropdown list'!$AK:$AK,MATCH(C440,'Dropdown list'!$AJ:$AJ,0),1)))))),""))</f>
        <v/>
      </c>
      <c r="J440" s="145"/>
      <c r="K440" s="145"/>
      <c r="L440" s="14" t="s">
        <v>1416</v>
      </c>
      <c r="M440" s="142" t="s">
        <v>1129</v>
      </c>
      <c r="N440" s="142" t="s">
        <v>1483</v>
      </c>
      <c r="O440" s="14" t="s">
        <v>1416</v>
      </c>
      <c r="P440" s="142" t="s">
        <v>1129</v>
      </c>
      <c r="Q440" s="142" t="s">
        <v>1594</v>
      </c>
      <c r="T440" s="14" t="s">
        <v>1595</v>
      </c>
    </row>
    <row r="441" spans="1:23" ht="0.2" customHeight="1" outlineLevel="3" x14ac:dyDescent="0.25">
      <c r="B441" s="192" t="s">
        <v>79</v>
      </c>
      <c r="C441" s="201" t="str">
        <f>IF(C91="","",IFERROR(IF(LEN(RIGHT(C91,LEN(C91)-FIND("^",SUBSTITUTE(C91,"|","^",13))))-LEN(SUBSTITUTE(RIGHT(C91,LEN(C91)-FIND("^",SUBSTITUTE(C91,"|","^",13))),"|",""))=0,RIGHT(C91,LEN(C91)-FIND("^",SUBSTITUTE(C91,"|","^",13))),LEFT(RIGHT(C91,LEN(C91)-FIND("^",SUBSTITUTE(C91,"|","^",13))),FIND("|",RIGHT(C91,LEN(C91)-FIND("^",SUBSTITUTE(C91,"|","^",13))))-1)),""))</f>
        <v/>
      </c>
      <c r="E441" s="14" t="s">
        <v>2191</v>
      </c>
      <c r="H441" s="1"/>
      <c r="I441" s="1"/>
      <c r="J441" s="1"/>
      <c r="K441" s="7"/>
      <c r="L441" s="14" t="s">
        <v>1416</v>
      </c>
      <c r="M441" s="142" t="s">
        <v>1129</v>
      </c>
      <c r="N441" s="142" t="s">
        <v>1483</v>
      </c>
      <c r="T441" s="14" t="s">
        <v>1597</v>
      </c>
    </row>
    <row r="442" spans="1:23" ht="0.2" customHeight="1" outlineLevel="3" x14ac:dyDescent="0.25">
      <c r="B442" s="192" t="s">
        <v>409</v>
      </c>
      <c r="C442" s="201" t="str">
        <f>IF(C92="","",IFERROR(IF(LEN(RIGHT(C92,LEN(C92)-FIND("^",SUBSTITUTE(C92,"|","^",13))))-LEN(SUBSTITUTE(RIGHT(C92,LEN(C92)-FIND("^",SUBSTITUTE(C92,"|","^",13))),"|",""))=0,RIGHT(C92,LEN(C92)-FIND("^",SUBSTITUTE(C92,"|","^",13))),LEFT(RIGHT(C92,LEN(C92)-FIND("^",SUBSTITUTE(C92,"|","^",13))),FIND("|",RIGHT(C92,LEN(C92)-FIND("^",SUBSTITUTE(C92,"|","^",13))))-1)),""))</f>
        <v/>
      </c>
      <c r="E442" s="14"/>
      <c r="H442" s="1"/>
      <c r="I442" s="1"/>
      <c r="J442" s="1"/>
      <c r="K442" s="7"/>
      <c r="L442" s="14" t="s">
        <v>1416</v>
      </c>
      <c r="M442" s="142" t="s">
        <v>1129</v>
      </c>
      <c r="N442" s="142" t="s">
        <v>1483</v>
      </c>
      <c r="T442" s="14" t="s">
        <v>1280</v>
      </c>
    </row>
    <row r="443" spans="1:23" ht="15" customHeight="1" outlineLevel="3" x14ac:dyDescent="0.25">
      <c r="B443" s="9" t="s">
        <v>2</v>
      </c>
      <c r="C443" s="197" t="str">
        <f>IF(C93="","",IFERROR(IF(LEN(RIGHT(C93,LEN(C93)-FIND("^",SUBSTITUTE(C93,"|","^",13))))-LEN(SUBSTITUTE(RIGHT(C93,LEN(C93)-FIND("^",SUBSTITUTE(C93,"|","^",13))),"|",""))=0,RIGHT(C93,LEN(C93)-FIND("^",SUBSTITUTE(C93,"|","^",13))),LEFT(RIGHT(C93,LEN(C93)-FIND("^",SUBSTITUTE(C93,"|","^",13))),FIND("|",RIGHT(C93,LEN(C93)-FIND("^",SUBSTITUTE(C93,"|","^",13))))-1)),""))</f>
        <v/>
      </c>
      <c r="E443" s="14" t="s">
        <v>553</v>
      </c>
      <c r="G443" s="239" t="s">
        <v>96</v>
      </c>
      <c r="H443" s="14" t="s">
        <v>29</v>
      </c>
      <c r="I443" s="125" t="str">
        <f>IF(I440="","",IF(C443="","#N/A, Input cannot be blank",IF(C443="M", "Male",IF(C443="F","Female","#N/A, Unidentified Gender"))))</f>
        <v/>
      </c>
      <c r="J443" s="1"/>
      <c r="K443" s="7"/>
      <c r="L443" s="14" t="s">
        <v>1416</v>
      </c>
      <c r="M443" s="142" t="s">
        <v>1129</v>
      </c>
      <c r="N443" s="142" t="s">
        <v>1483</v>
      </c>
      <c r="O443" s="14" t="s">
        <v>1416</v>
      </c>
      <c r="P443" s="142" t="s">
        <v>1129</v>
      </c>
      <c r="Q443" s="142" t="s">
        <v>1598</v>
      </c>
      <c r="T443" s="14" t="s">
        <v>1259</v>
      </c>
    </row>
    <row r="444" spans="1:23" ht="15" customHeight="1" outlineLevel="3" x14ac:dyDescent="0.25">
      <c r="B444" s="192" t="str">
        <f>G444</f>
        <v>Other Dependent:</v>
      </c>
      <c r="C444" s="201"/>
      <c r="E444" s="14" t="s">
        <v>2189</v>
      </c>
      <c r="G444" s="239" t="s">
        <v>440</v>
      </c>
      <c r="H444" s="14" t="s">
        <v>29</v>
      </c>
      <c r="I444" s="189"/>
      <c r="J444" s="1"/>
      <c r="K444" s="7"/>
      <c r="L444" s="14" t="s">
        <v>1416</v>
      </c>
      <c r="M444" s="14" t="s">
        <v>1415</v>
      </c>
      <c r="N444" s="142" t="s">
        <v>565</v>
      </c>
      <c r="O444" s="14" t="s">
        <v>1416</v>
      </c>
      <c r="P444" s="14" t="s">
        <v>1415</v>
      </c>
      <c r="Q444" s="142" t="s">
        <v>565</v>
      </c>
      <c r="T444" s="14" t="s">
        <v>1279</v>
      </c>
    </row>
    <row r="445" spans="1:23" ht="15" customHeight="1" outlineLevel="3" x14ac:dyDescent="0.25">
      <c r="B445" s="9" t="s">
        <v>8</v>
      </c>
      <c r="C445" s="197" t="str">
        <f>IF(C95="","",IFERROR(IF(LEN(RIGHT(C95,LEN(C95)-FIND("^",SUBSTITUTE(C95,"|","^",13))))-LEN(SUBSTITUTE(RIGHT(C95,LEN(C95)-FIND("^",SUBSTITUTE(C95,"|","^",13))),"|",""))=0,RIGHT(C95,LEN(C95)-FIND("^",SUBSTITUTE(C95,"|","^",13))),LEFT(RIGHT(C95,LEN(C95)-FIND("^",SUBSTITUTE(C95,"|","^",13))),FIND("|",RIGHT(C95,LEN(C95)-FIND("^",SUBSTITUTE(C95,"|","^",13))))-1)),""))</f>
        <v/>
      </c>
      <c r="G445" s="239" t="s">
        <v>125</v>
      </c>
      <c r="H445" s="14" t="s">
        <v>14</v>
      </c>
      <c r="I445" s="125" t="str">
        <f>IF(I440="","",IF(C445="","#N/A, Input cannot be blank",IFERROR(TEXT(EDATE(C445,0),"MM/DD/YYYY"),"#N/A, Please enter a date format")))</f>
        <v/>
      </c>
      <c r="J445" s="1"/>
      <c r="K445" s="7"/>
      <c r="L445" s="14" t="s">
        <v>1416</v>
      </c>
      <c r="M445" s="142" t="s">
        <v>1129</v>
      </c>
      <c r="N445" s="142" t="s">
        <v>1483</v>
      </c>
      <c r="O445" s="14" t="s">
        <v>1416</v>
      </c>
      <c r="P445" s="142" t="s">
        <v>1129</v>
      </c>
      <c r="Q445" s="14" t="s">
        <v>1508</v>
      </c>
      <c r="T445" s="14" t="s">
        <v>1258</v>
      </c>
    </row>
    <row r="446" spans="1:23" ht="15" customHeight="1" outlineLevel="3" x14ac:dyDescent="0.25">
      <c r="B446" s="9" t="s">
        <v>3</v>
      </c>
      <c r="C446" s="197" t="str">
        <f>IF(C96="","",IFERROR(IF(LEN(RIGHT(C96,LEN(C96)-FIND("^",SUBSTITUTE(C96,"|","^",13))))-LEN(SUBSTITUTE(RIGHT(C96,LEN(C96)-FIND("^",SUBSTITUTE(C96,"|","^",13))),"|",""))=0,RIGHT(C96,LEN(C96)-FIND("^",SUBSTITUTE(C96,"|","^",13))),LEFT(RIGHT(C96,LEN(C96)-FIND("^",SUBSTITUTE(C96,"|","^",13))),FIND("|",RIGHT(C96,LEN(C96)-FIND("^",SUBSTITUTE(C96,"|","^",13))))-1)),""))</f>
        <v/>
      </c>
      <c r="E446" s="14" t="s">
        <v>547</v>
      </c>
      <c r="G446" s="239" t="s">
        <v>97</v>
      </c>
      <c r="H446" s="14" t="s">
        <v>14</v>
      </c>
      <c r="I446" s="125" t="str">
        <f>IF(C446=" ",C446,IF(OR(I440="",C446=""),"",IF(LEN(SUBSTITUTE(C446,"-",""))=9,SUBSTITUTE(C446,"-",""),"#N/A, SSN# must be 9 digits")))</f>
        <v/>
      </c>
      <c r="J446" s="1"/>
      <c r="K446" s="7"/>
      <c r="L446" s="14" t="s">
        <v>1416</v>
      </c>
      <c r="M446" s="142" t="s">
        <v>1129</v>
      </c>
      <c r="N446" s="142" t="s">
        <v>1483</v>
      </c>
      <c r="O446" s="14" t="s">
        <v>1416</v>
      </c>
      <c r="P446" s="142" t="s">
        <v>1129</v>
      </c>
      <c r="Q446" s="14" t="s">
        <v>1518</v>
      </c>
      <c r="T446" s="14" t="s">
        <v>1230</v>
      </c>
    </row>
    <row r="447" spans="1:23" ht="15" customHeight="1" outlineLevel="3" x14ac:dyDescent="0.25">
      <c r="B447" s="192" t="str">
        <f t="shared" ref="B447:B452" si="16">G447</f>
        <v>Multiple Birth:</v>
      </c>
      <c r="C447" s="201"/>
      <c r="E447" s="14" t="s">
        <v>2189</v>
      </c>
      <c r="G447" s="239" t="s">
        <v>506</v>
      </c>
      <c r="H447" s="14" t="s">
        <v>559</v>
      </c>
      <c r="I447" s="237"/>
      <c r="J447" s="1"/>
      <c r="K447" s="7"/>
      <c r="L447" s="14" t="s">
        <v>1416</v>
      </c>
      <c r="M447" s="14" t="s">
        <v>1415</v>
      </c>
      <c r="N447" s="142" t="s">
        <v>565</v>
      </c>
      <c r="O447" s="14" t="s">
        <v>1416</v>
      </c>
      <c r="P447" s="14" t="s">
        <v>1415</v>
      </c>
      <c r="Q447" s="142" t="s">
        <v>565</v>
      </c>
      <c r="T447" s="14" t="s">
        <v>1264</v>
      </c>
    </row>
    <row r="448" spans="1:23" ht="15" customHeight="1" outlineLevel="3" x14ac:dyDescent="0.25">
      <c r="B448" s="192" t="str">
        <f t="shared" si="16"/>
        <v>Native Language:</v>
      </c>
      <c r="C448" s="201"/>
      <c r="E448" s="14" t="s">
        <v>2175</v>
      </c>
      <c r="G448" s="239" t="s">
        <v>484</v>
      </c>
      <c r="H448" s="14" t="s">
        <v>29</v>
      </c>
      <c r="I448" s="237" t="str">
        <f>IF(I440="","","English")</f>
        <v/>
      </c>
      <c r="J448" s="1"/>
      <c r="K448" s="7"/>
      <c r="L448" s="14" t="s">
        <v>1416</v>
      </c>
      <c r="M448" s="14" t="s">
        <v>1415</v>
      </c>
      <c r="N448" s="142" t="s">
        <v>565</v>
      </c>
      <c r="O448" s="14" t="s">
        <v>1416</v>
      </c>
      <c r="P448" s="14" t="s">
        <v>1415</v>
      </c>
      <c r="Q448" s="142" t="s">
        <v>1430</v>
      </c>
      <c r="T448" s="14" t="s">
        <v>1263</v>
      </c>
    </row>
    <row r="449" spans="1:23" ht="15" customHeight="1" outlineLevel="3" x14ac:dyDescent="0.25">
      <c r="B449" s="192" t="str">
        <f t="shared" si="16"/>
        <v>Preferred Written Language:</v>
      </c>
      <c r="C449" s="201"/>
      <c r="E449" s="14" t="s">
        <v>2175</v>
      </c>
      <c r="G449" s="239" t="s">
        <v>486</v>
      </c>
      <c r="H449" s="14" t="s">
        <v>29</v>
      </c>
      <c r="I449" s="237" t="str">
        <f>IF(I440="","","English")</f>
        <v/>
      </c>
      <c r="J449" s="1"/>
      <c r="K449" s="7"/>
      <c r="L449" s="14" t="s">
        <v>1416</v>
      </c>
      <c r="M449" s="14" t="s">
        <v>1415</v>
      </c>
      <c r="N449" s="142" t="s">
        <v>565</v>
      </c>
      <c r="O449" s="14" t="s">
        <v>1416</v>
      </c>
      <c r="P449" s="14" t="s">
        <v>1415</v>
      </c>
      <c r="Q449" s="142" t="s">
        <v>1430</v>
      </c>
      <c r="T449" s="14" t="s">
        <v>1265</v>
      </c>
    </row>
    <row r="450" spans="1:23" ht="15" customHeight="1" outlineLevel="3" x14ac:dyDescent="0.25">
      <c r="B450" s="192" t="str">
        <f t="shared" si="16"/>
        <v>Preferred Spoken Language:</v>
      </c>
      <c r="C450" s="201"/>
      <c r="E450" s="14" t="s">
        <v>2175</v>
      </c>
      <c r="G450" s="239" t="s">
        <v>487</v>
      </c>
      <c r="H450" s="14" t="s">
        <v>29</v>
      </c>
      <c r="I450" s="237" t="str">
        <f>IF(I440="","","English")</f>
        <v/>
      </c>
      <c r="J450" s="1"/>
      <c r="K450" s="7"/>
      <c r="L450" s="14" t="s">
        <v>1416</v>
      </c>
      <c r="M450" s="14" t="s">
        <v>1415</v>
      </c>
      <c r="N450" s="142" t="s">
        <v>565</v>
      </c>
      <c r="O450" s="14" t="s">
        <v>1416</v>
      </c>
      <c r="P450" s="14" t="s">
        <v>1415</v>
      </c>
      <c r="Q450" s="142" t="s">
        <v>1430</v>
      </c>
      <c r="T450" s="14" t="s">
        <v>1266</v>
      </c>
    </row>
    <row r="451" spans="1:23" ht="15" customHeight="1" outlineLevel="3" x14ac:dyDescent="0.25">
      <c r="B451" s="192" t="str">
        <f t="shared" si="16"/>
        <v>Ethnicity (select all that apply):</v>
      </c>
      <c r="C451" s="201"/>
      <c r="E451" s="14" t="s">
        <v>2173</v>
      </c>
      <c r="G451" s="220" t="s">
        <v>488</v>
      </c>
      <c r="H451" s="14" t="s">
        <v>558</v>
      </c>
      <c r="I451" s="237" t="str">
        <f>IF(I440="","","Unknown")</f>
        <v/>
      </c>
      <c r="J451" s="1"/>
      <c r="K451" s="7"/>
      <c r="L451" s="14" t="s">
        <v>1416</v>
      </c>
      <c r="M451" s="14" t="s">
        <v>1415</v>
      </c>
      <c r="N451" s="142" t="s">
        <v>565</v>
      </c>
      <c r="O451" s="14" t="s">
        <v>1416</v>
      </c>
      <c r="P451" s="14" t="s">
        <v>1415</v>
      </c>
      <c r="Q451" s="142" t="s">
        <v>1431</v>
      </c>
      <c r="T451" s="14" t="s">
        <v>1267</v>
      </c>
    </row>
    <row r="452" spans="1:23" ht="15" customHeight="1" outlineLevel="3" x14ac:dyDescent="0.25">
      <c r="B452" s="192" t="str">
        <f t="shared" si="16"/>
        <v>Race (select all that apply):</v>
      </c>
      <c r="C452" s="201"/>
      <c r="E452" s="14" t="s">
        <v>2173</v>
      </c>
      <c r="G452" s="239" t="s">
        <v>492</v>
      </c>
      <c r="H452" s="14" t="s">
        <v>558</v>
      </c>
      <c r="I452" s="237" t="str">
        <f>IF(I440="","","Unknown")</f>
        <v/>
      </c>
      <c r="J452" s="1"/>
      <c r="K452" s="7"/>
      <c r="L452" s="14" t="s">
        <v>1416</v>
      </c>
      <c r="M452" s="14" t="s">
        <v>1415</v>
      </c>
      <c r="N452" s="142" t="s">
        <v>565</v>
      </c>
      <c r="O452" s="14" t="s">
        <v>1416</v>
      </c>
      <c r="P452" s="14" t="s">
        <v>1415</v>
      </c>
      <c r="Q452" s="142" t="s">
        <v>1431</v>
      </c>
      <c r="T452" s="14" t="s">
        <v>1271</v>
      </c>
    </row>
    <row r="453" spans="1:23" ht="30" customHeight="1" outlineLevel="3" x14ac:dyDescent="0.25">
      <c r="B453" s="192" t="s">
        <v>412</v>
      </c>
      <c r="C453" s="201" t="str">
        <f>IF(C103="","",IFERROR(IF(LEN(RIGHT(C103,LEN(C103)-FIND("^",SUBSTITUTE(C103,"|","^",13))))-LEN(SUBSTITUTE(RIGHT(C103,LEN(C103)-FIND("^",SUBSTITUTE(C103,"|","^",13))),"|",""))=0,RIGHT(C103,LEN(C103)-FIND("^",SUBSTITUTE(C103,"|","^",13))),LEFT(RIGHT(C103,LEN(C103)-FIND("^",SUBSTITUTE(C103,"|","^",13))),FIND("|",RIGHT(C103,LEN(C103)-FIND("^",SUBSTITUTE(C103,"|","^",13))))-1)),""))</f>
        <v/>
      </c>
      <c r="E453" s="14" t="s">
        <v>2190</v>
      </c>
      <c r="G453" s="239" t="s">
        <v>537</v>
      </c>
      <c r="H453" s="14" t="s">
        <v>559</v>
      </c>
      <c r="I453" s="150" t="str">
        <f>IF(I440="","",IF(OR(C453="",C453="No"),"No","Yes"))</f>
        <v/>
      </c>
      <c r="J453" s="145" t="str">
        <f>IF(I453="Yes", "Medicare Eligible is Yes for EN request for Dependent#14, please change ‘Medicare information’ to 'Yes'  and select Eligible in Dep Medicare tab in BCBS if needed. ","")</f>
        <v/>
      </c>
      <c r="K453" s="7"/>
      <c r="L453" s="14" t="s">
        <v>1417</v>
      </c>
      <c r="M453" s="14" t="s">
        <v>1414</v>
      </c>
      <c r="N453" s="142" t="s">
        <v>1483</v>
      </c>
      <c r="O453" s="14" t="s">
        <v>1416</v>
      </c>
      <c r="P453" s="14" t="s">
        <v>1415</v>
      </c>
      <c r="Q453" s="142" t="s">
        <v>1432</v>
      </c>
      <c r="T453" s="14" t="s">
        <v>1272</v>
      </c>
    </row>
    <row r="454" spans="1:23" ht="30" customHeight="1" outlineLevel="3" x14ac:dyDescent="0.25">
      <c r="B454" s="192" t="str">
        <f>G454</f>
        <v>Different address information than the employee?</v>
      </c>
      <c r="C454" s="201"/>
      <c r="E454" s="14" t="s">
        <v>2190</v>
      </c>
      <c r="G454" s="239" t="s">
        <v>508</v>
      </c>
      <c r="H454" s="14" t="s">
        <v>559</v>
      </c>
      <c r="I454" s="150" t="str">
        <f>IF(I440="","",IF(OR(C455="",TRIM(C455)&amp;TRIM(C456)&amp;TRIM(C457)&amp;TRIM(C458)&amp;TRIM(C459)=TRIM($C$48)&amp;TRIM($C$49)&amp;TRIM($C$50)&amp;TRIM($C$51)&amp;TRIM($C$52)),"No","Yes"))</f>
        <v/>
      </c>
      <c r="J454" s="145" t="str">
        <f>IF(I454="Yes", "Dependent have separate address for EN request for Dependen#14, please change ‘Different address information than the employee' to 'Yes' and update different address in Dep Address tab in BCBS if needed. ","")</f>
        <v/>
      </c>
      <c r="K454" s="7"/>
      <c r="L454" s="14" t="s">
        <v>1417</v>
      </c>
      <c r="M454" s="14" t="s">
        <v>1129</v>
      </c>
      <c r="N454" s="142" t="s">
        <v>1484</v>
      </c>
      <c r="O454" s="14" t="s">
        <v>1416</v>
      </c>
      <c r="P454" s="14" t="s">
        <v>1415</v>
      </c>
      <c r="Q454" s="142" t="s">
        <v>1432</v>
      </c>
      <c r="T454" s="14" t="s">
        <v>1273</v>
      </c>
    </row>
    <row r="455" spans="1:23" ht="0.2" customHeight="1" outlineLevel="3" x14ac:dyDescent="0.25">
      <c r="B455" s="192" t="s">
        <v>414</v>
      </c>
      <c r="C455" s="201" t="str">
        <f>IF(C105="","",IFERROR(IF(LEN(RIGHT(C105,LEN(C105)-FIND("^",SUBSTITUTE(C105,"|","^",13))))-LEN(SUBSTITUTE(RIGHT(C105,LEN(C105)-FIND("^",SUBSTITUTE(C105,"|","^",13))),"|",""))=0,RIGHT(C105,LEN(C105)-FIND("^",SUBSTITUTE(C105,"|","^",13))),LEFT(RIGHT(C105,LEN(C105)-FIND("^",SUBSTITUTE(C105,"|","^",13))),FIND("|",RIGHT(C105,LEN(C105)-FIND("^",SUBSTITUTE(C105,"|","^",13))))-1)),""))</f>
        <v/>
      </c>
      <c r="E455" s="18"/>
      <c r="G455" s="18"/>
      <c r="H455" s="18"/>
      <c r="I455" s="145"/>
      <c r="J455" s="1"/>
      <c r="K455" s="7"/>
      <c r="L455" s="14" t="s">
        <v>1417</v>
      </c>
      <c r="M455" s="14" t="s">
        <v>1414</v>
      </c>
      <c r="N455" s="142" t="s">
        <v>1483</v>
      </c>
      <c r="T455" s="14" t="s">
        <v>1274</v>
      </c>
    </row>
    <row r="456" spans="1:23" ht="0.2" customHeight="1" outlineLevel="3" x14ac:dyDescent="0.25">
      <c r="B456" s="192" t="s">
        <v>416</v>
      </c>
      <c r="C456" s="201" t="str">
        <f>IF(C106="","",IFERROR(IF(LEN(RIGHT(C106,LEN(C106)-FIND("^",SUBSTITUTE(C106,"|","^",13))))-LEN(SUBSTITUTE(RIGHT(C106,LEN(C106)-FIND("^",SUBSTITUTE(C106,"|","^",13))),"|",""))=0,RIGHT(C106,LEN(C106)-FIND("^",SUBSTITUTE(C106,"|","^",13))),LEFT(RIGHT(C106,LEN(C106)-FIND("^",SUBSTITUTE(C106,"|","^",13))),FIND("|",RIGHT(C106,LEN(C106)-FIND("^",SUBSTITUTE(C106,"|","^",13))))-1)),""))</f>
        <v/>
      </c>
      <c r="E456" s="18"/>
      <c r="G456" s="18"/>
      <c r="H456" s="18"/>
      <c r="I456" s="145"/>
      <c r="J456" s="145"/>
      <c r="K456" s="145"/>
      <c r="L456" s="14" t="s">
        <v>1417</v>
      </c>
      <c r="M456" s="14" t="s">
        <v>1414</v>
      </c>
      <c r="N456" s="142" t="s">
        <v>1483</v>
      </c>
      <c r="T456" s="14" t="s">
        <v>1275</v>
      </c>
    </row>
    <row r="457" spans="1:23" ht="0.2" customHeight="1" outlineLevel="3" x14ac:dyDescent="0.25">
      <c r="B457" s="192" t="s">
        <v>6</v>
      </c>
      <c r="C457" s="201" t="str">
        <f>IF(C107="","",IFERROR(IF(LEN(RIGHT(C107,LEN(C107)-FIND("^",SUBSTITUTE(C107,"|","^",13))))-LEN(SUBSTITUTE(RIGHT(C107,LEN(C107)-FIND("^",SUBSTITUTE(C107,"|","^",13))),"|",""))=0,RIGHT(C107,LEN(C107)-FIND("^",SUBSTITUTE(C107,"|","^",13))),LEFT(RIGHT(C107,LEN(C107)-FIND("^",SUBSTITUTE(C107,"|","^",13))),FIND("|",RIGHT(C107,LEN(C107)-FIND("^",SUBSTITUTE(C107,"|","^",13))))-1)),""))</f>
        <v/>
      </c>
      <c r="E457" s="18"/>
      <c r="G457" s="18"/>
      <c r="H457" s="18"/>
      <c r="I457" s="145"/>
      <c r="J457" s="145"/>
      <c r="K457" s="145"/>
      <c r="L457" s="14" t="s">
        <v>1417</v>
      </c>
      <c r="M457" s="14" t="s">
        <v>1414</v>
      </c>
      <c r="N457" s="142" t="s">
        <v>1483</v>
      </c>
      <c r="T457" s="14" t="s">
        <v>1276</v>
      </c>
    </row>
    <row r="458" spans="1:23" ht="0.2" customHeight="1" outlineLevel="3" x14ac:dyDescent="0.25">
      <c r="B458" s="192" t="s">
        <v>7</v>
      </c>
      <c r="C458" s="201" t="str">
        <f>IF(C108="","",IFERROR(IF(LEN(RIGHT(C108,LEN(C108)-FIND("^",SUBSTITUTE(C108,"|","^",13))))-LEN(SUBSTITUTE(RIGHT(C108,LEN(C108)-FIND("^",SUBSTITUTE(C108,"|","^",13))),"|",""))=0,RIGHT(C108,LEN(C108)-FIND("^",SUBSTITUTE(C108,"|","^",13))),LEFT(RIGHT(C108,LEN(C108)-FIND("^",SUBSTITUTE(C108,"|","^",13))),FIND("|",RIGHT(C108,LEN(C108)-FIND("^",SUBSTITUTE(C108,"|","^",13))))-1)),""))</f>
        <v/>
      </c>
      <c r="E458" s="18"/>
      <c r="G458" s="18"/>
      <c r="H458" s="18"/>
      <c r="I458" s="145"/>
      <c r="J458" s="145"/>
      <c r="K458" s="145"/>
      <c r="L458" s="14" t="s">
        <v>1417</v>
      </c>
      <c r="M458" s="14" t="s">
        <v>1414</v>
      </c>
      <c r="N458" s="142" t="s">
        <v>1483</v>
      </c>
      <c r="T458" s="14" t="s">
        <v>1277</v>
      </c>
    </row>
    <row r="459" spans="1:23" ht="0.2" customHeight="1" outlineLevel="3" x14ac:dyDescent="0.25">
      <c r="B459" s="192" t="s">
        <v>19</v>
      </c>
      <c r="C459" s="201" t="str">
        <f>IF(C109="","",IFERROR(IF(LEN(RIGHT(C109,LEN(C109)-FIND("^",SUBSTITUTE(C109,"|","^",13))))-LEN(SUBSTITUTE(RIGHT(C109,LEN(C109)-FIND("^",SUBSTITUTE(C109,"|","^",13))),"|",""))=0,RIGHT(C109,LEN(C109)-FIND("^",SUBSTITUTE(C109,"|","^",13))),LEFT(RIGHT(C109,LEN(C109)-FIND("^",SUBSTITUTE(C109,"|","^",13))),FIND("|",RIGHT(C109,LEN(C109)-FIND("^",SUBSTITUTE(C109,"|","^",13))))-1)),""))</f>
        <v/>
      </c>
      <c r="E459" s="18"/>
      <c r="G459" s="18"/>
      <c r="H459" s="18"/>
      <c r="I459" s="145"/>
      <c r="J459" s="145"/>
      <c r="K459" s="145"/>
      <c r="L459" s="14" t="s">
        <v>1417</v>
      </c>
      <c r="M459" s="14" t="s">
        <v>1414</v>
      </c>
      <c r="N459" s="142" t="s">
        <v>1483</v>
      </c>
      <c r="T459" s="14" t="s">
        <v>1278</v>
      </c>
    </row>
    <row r="460" spans="1:23" ht="15" customHeight="1" outlineLevel="2" x14ac:dyDescent="0.25">
      <c r="A460" s="251" t="s">
        <v>2244</v>
      </c>
      <c r="B460" s="251"/>
      <c r="C460" s="252"/>
      <c r="E460" s="155"/>
      <c r="G460" s="253"/>
      <c r="H460" s="254"/>
      <c r="I460" s="255"/>
      <c r="J460" s="154"/>
      <c r="K460" s="7"/>
      <c r="L460" s="7"/>
      <c r="M460" s="7"/>
      <c r="N460" s="7"/>
      <c r="O460" s="7"/>
      <c r="P460" s="7"/>
      <c r="Q460" s="7"/>
      <c r="R460" s="7"/>
      <c r="S460" s="7"/>
      <c r="T460" s="7"/>
      <c r="U460" s="7"/>
      <c r="V460" s="7"/>
      <c r="W460" s="7"/>
    </row>
    <row r="461" spans="1:23" ht="15" customHeight="1" outlineLevel="3" x14ac:dyDescent="0.25">
      <c r="B461" s="9" t="s">
        <v>88</v>
      </c>
      <c r="C461" s="197" t="str">
        <f>IF(C86="","",IFERROR(IF(LEN(RIGHT(C86,LEN(C86)-FIND("^",SUBSTITUTE(C86,"|","^",14))))-LEN(SUBSTITUTE(RIGHT(C86,LEN(C86)-FIND("^",SUBSTITUTE(C86,"|","^",14))),"|",""))=0,RIGHT(C86,LEN(C86)-FIND("^",SUBSTITUTE(C86,"|","^",14))),LEFT(RIGHT(C86,LEN(C86)-FIND("^",SUBSTITUTE(C86,"|","^",14))),FIND("|",RIGHT(C86,LEN(C86)-FIND("^",SUBSTITUTE(C86,"|","^",14))))-1)),""))</f>
        <v/>
      </c>
      <c r="E461" s="2" t="s">
        <v>2171</v>
      </c>
      <c r="G461" s="239" t="s">
        <v>95</v>
      </c>
      <c r="H461" s="14" t="s">
        <v>14</v>
      </c>
      <c r="I461" s="125" t="str">
        <f>IF(I465="","",IF(C461="","#N/A, Input cannot be blank",UPPER(LEFT(C461,20))))</f>
        <v/>
      </c>
      <c r="J461" s="14" t="str">
        <f>IF(LEN(C461)&gt;20,TEXT("Requested dependent#15 last name as:","xxx")&amp;" "&amp; TEXT(C461,"xxxxxxx")&amp;","&amp;" "&amp;TEXT("input into BCBS as:","xxxx")&amp;" "&amp; TEXT(I461,"xxxxxxx")&amp;". ","")</f>
        <v/>
      </c>
      <c r="K461" s="7"/>
      <c r="L461" s="7" t="s">
        <v>1416</v>
      </c>
      <c r="M461" s="7" t="s">
        <v>1129</v>
      </c>
      <c r="N461" s="7" t="s">
        <v>1483</v>
      </c>
      <c r="O461" s="7" t="s">
        <v>1416</v>
      </c>
      <c r="P461" s="7" t="s">
        <v>1129</v>
      </c>
      <c r="Q461" s="7" t="s">
        <v>1593</v>
      </c>
      <c r="R461" s="7"/>
      <c r="S461" s="7"/>
      <c r="T461" s="7" t="s">
        <v>1262</v>
      </c>
      <c r="U461" s="7"/>
      <c r="V461" s="7"/>
      <c r="W461" s="7"/>
    </row>
    <row r="462" spans="1:23" ht="15" customHeight="1" outlineLevel="3" x14ac:dyDescent="0.25">
      <c r="B462" s="192" t="s">
        <v>155</v>
      </c>
      <c r="C462" s="201" t="str">
        <f>IF(C87="","",IFERROR(IF(LEN(RIGHT(C87,LEN(C87)-FIND("^",SUBSTITUTE(C87,"|","^",14))))-LEN(SUBSTITUTE(RIGHT(C87,LEN(C87)-FIND("^",SUBSTITUTE(C87,"|","^",14))),"|",""))=0,RIGHT(C87,LEN(C87)-FIND("^",SUBSTITUTE(C87,"|","^",14))),LEFT(RIGHT(C87,LEN(C87)-FIND("^",SUBSTITUTE(C87,"|","^",14))),FIND("|",RIGHT(C87,LEN(C87)-FIND("^",SUBSTITUTE(C87,"|","^",14))))-1)),""))</f>
        <v/>
      </c>
      <c r="E462" s="14" t="s">
        <v>2172</v>
      </c>
      <c r="G462" s="239" t="s">
        <v>155</v>
      </c>
      <c r="H462" s="14" t="s">
        <v>14</v>
      </c>
      <c r="I462" s="189"/>
      <c r="J462" s="145"/>
      <c r="K462" s="7"/>
      <c r="L462" s="7" t="s">
        <v>1416</v>
      </c>
      <c r="M462" s="7" t="s">
        <v>1129</v>
      </c>
      <c r="N462" s="7" t="s">
        <v>1483</v>
      </c>
      <c r="O462" s="7" t="s">
        <v>1416</v>
      </c>
      <c r="P462" s="7" t="s">
        <v>1415</v>
      </c>
      <c r="Q462" s="7" t="s">
        <v>565</v>
      </c>
      <c r="R462" s="7"/>
      <c r="S462" s="7"/>
      <c r="T462" s="7" t="s">
        <v>1261</v>
      </c>
      <c r="U462" s="7"/>
      <c r="V462" s="7"/>
      <c r="W462" s="7"/>
    </row>
    <row r="463" spans="1:23" ht="15" customHeight="1" outlineLevel="3" x14ac:dyDescent="0.25">
      <c r="B463" s="9" t="s">
        <v>87</v>
      </c>
      <c r="C463" s="197" t="str">
        <f>IF(C88="","",IFERROR(IF(LEN(RIGHT(C88,LEN(C88)-FIND("^",SUBSTITUTE(C88,"|","^",14))))-LEN(SUBSTITUTE(RIGHT(C88,LEN(C88)-FIND("^",SUBSTITUTE(C88,"|","^",14))),"|",""))=0,RIGHT(C88,LEN(C88)-FIND("^",SUBSTITUTE(C88,"|","^",14))),LEFT(RIGHT(C88,LEN(C88)-FIND("^",SUBSTITUTE(C88,"|","^",14))),FIND("|",RIGHT(C88,LEN(C88)-FIND("^",SUBSTITUTE(C88,"|","^",14))))-1)),""))</f>
        <v/>
      </c>
      <c r="E463" s="2" t="s">
        <v>2170</v>
      </c>
      <c r="G463" s="239" t="s">
        <v>93</v>
      </c>
      <c r="H463" s="14" t="s">
        <v>14</v>
      </c>
      <c r="I463" s="125" t="str">
        <f>IF(I465="","",IF(C463="","#N/A, Input cannot be blank",UPPER(LEFT(C463,20))))</f>
        <v/>
      </c>
      <c r="J463" s="125" t="str">
        <f>IF(LEN(C463)&gt;20,TEXT("Requested dependent#15 first name as:","xxx")&amp;" "&amp; TEXT(C463,"xxxxxxx")&amp;","&amp;" "&amp; TEXT("input into BCBS as:","xxxx")&amp;" "&amp; TEXT(I463,"xxxxxxx")&amp;". ","")</f>
        <v/>
      </c>
      <c r="K463" s="7"/>
      <c r="L463" s="7" t="s">
        <v>1416</v>
      </c>
      <c r="M463" s="7" t="s">
        <v>1129</v>
      </c>
      <c r="N463" s="7" t="s">
        <v>1483</v>
      </c>
      <c r="O463" s="7" t="s">
        <v>1416</v>
      </c>
      <c r="P463" s="7" t="s">
        <v>1129</v>
      </c>
      <c r="Q463" s="7" t="s">
        <v>1593</v>
      </c>
      <c r="R463" s="7"/>
      <c r="S463" s="7"/>
      <c r="T463" s="7" t="s">
        <v>1260</v>
      </c>
      <c r="U463" s="7"/>
      <c r="V463" s="7"/>
      <c r="W463" s="7"/>
    </row>
    <row r="464" spans="1:23" ht="15" customHeight="1" outlineLevel="3" x14ac:dyDescent="0.25">
      <c r="B464" s="9" t="s">
        <v>552</v>
      </c>
      <c r="C464" s="197" t="str">
        <f>IF(C89="","",IFERROR(LEFT(RIGHT(C89,LEN(C89)-FIND("^",SUBSTITUTE(C89,"|","^",14))),1),""))</f>
        <v/>
      </c>
      <c r="E464" s="14" t="s">
        <v>547</v>
      </c>
      <c r="G464" s="239" t="s">
        <v>94</v>
      </c>
      <c r="H464" s="14" t="s">
        <v>14</v>
      </c>
      <c r="I464" s="125" t="str">
        <f>IF(OR(I465="",C464=""),"",UPPER(LEFT(C464,1)))</f>
        <v/>
      </c>
      <c r="J464" s="145"/>
      <c r="K464" s="145"/>
      <c r="L464" s="14" t="s">
        <v>1416</v>
      </c>
      <c r="M464" s="142" t="s">
        <v>1129</v>
      </c>
      <c r="N464" s="142" t="s">
        <v>1483</v>
      </c>
      <c r="O464" s="14" t="s">
        <v>1416</v>
      </c>
      <c r="P464" s="142" t="s">
        <v>1129</v>
      </c>
      <c r="Q464" s="142" t="s">
        <v>1593</v>
      </c>
      <c r="T464" s="14" t="s">
        <v>1596</v>
      </c>
    </row>
    <row r="465" spans="2:20" ht="30" customHeight="1" outlineLevel="3" x14ac:dyDescent="0.25">
      <c r="B465" s="9" t="s">
        <v>26</v>
      </c>
      <c r="C465" s="200" t="str">
        <f>IF(C90="","",IFERROR(IF(LEN(RIGHT(C90,LEN(C90)-FIND("^",SUBSTITUTE(C90,"|","^",14))))-LEN(SUBSTITUTE(RIGHT(C90,LEN(C90)-FIND("^",SUBSTITUTE(C90,"|","^",14))),"|",""))=0,RIGHT(C90,LEN(C90)-FIND("^",SUBSTITUTE(C90,"|","^",14))),LEFT(RIGHT(C90,LEN(C90)-FIND("^",SUBSTITUTE(C90,"|","^",14))),FIND("|",RIGHT(C90,LEN(C90)-FIND("^",SUBSTITUTE(C90,"|","^",14))))-1)),""))</f>
        <v/>
      </c>
      <c r="E465" s="14" t="s">
        <v>2200</v>
      </c>
      <c r="G465" s="239" t="s">
        <v>123</v>
      </c>
      <c r="H465" s="14" t="s">
        <v>29</v>
      </c>
      <c r="I465" s="125" t="str">
        <f>IF(C461="","",IF(OR($I$69="Y",$I$79="Y"),IF(C465="","#N/A, Input cannot be blank",IF($C$44="",INDEX('Dropdown list'!$AD:$AD,MATCH(C465,'Dropdown list'!$AC:$AC,0),1),IF(C465="Child",IF(OR(ISNUMBER(MATCH(SUBSTITUTE($C$69," (Pending)",""),'Dropdown list'!$AL:$AL,0)),ISNUMBER(MATCH(SUBSTITUTE($C$79," (Pending)",""),'Dropdown list'!$AL:$AL,0))),INDEX('Dropdown list'!$AH:$AH,MATCH(C466&amp;C467,'Dropdown list'!$AG:$AG,0),1),""),IF(C465="Spouse",IF(OR(ISNUMBER(MATCH(SUBSTITUTE($C$69," (Pending)",""),'Dropdown list'!$AM:$AM,0)),ISNUMBER(MATCH(SUBSTITUTE($C$79," (Pending)",""),'Dropdown list'!$AM:$AM,0))),"Spouse",""),IF(C465="Domestic Partner",IF(OR(ISNUMBER(MATCH(SUBSTITUTE($C$69," (Pending)",""),'Dropdown list'!$AN:$AN,0)),ISNUMBER(MATCH(SUBSTITUTE($C$79," (Pending)",""),'Dropdown list'!$AN:$AN,0))),"Domestic Partner",""),INDEX('Dropdown list'!$AK:$AK,MATCH(C465,'Dropdown list'!$AJ:$AJ,0),1)))))),""))</f>
        <v/>
      </c>
      <c r="J465" s="145"/>
      <c r="K465" s="145"/>
      <c r="L465" s="14" t="s">
        <v>1416</v>
      </c>
      <c r="M465" s="142" t="s">
        <v>1129</v>
      </c>
      <c r="N465" s="142" t="s">
        <v>1483</v>
      </c>
      <c r="O465" s="14" t="s">
        <v>1416</v>
      </c>
      <c r="P465" s="142" t="s">
        <v>1129</v>
      </c>
      <c r="Q465" s="142" t="s">
        <v>1594</v>
      </c>
      <c r="T465" s="14" t="s">
        <v>1595</v>
      </c>
    </row>
    <row r="466" spans="2:20" ht="0.2" customHeight="1" outlineLevel="3" x14ac:dyDescent="0.25">
      <c r="B466" s="192" t="s">
        <v>79</v>
      </c>
      <c r="C466" s="201" t="str">
        <f>IF(C91="","",IFERROR(IF(LEN(RIGHT(C91,LEN(C91)-FIND("^",SUBSTITUTE(C91,"|","^",14))))-LEN(SUBSTITUTE(RIGHT(C91,LEN(C91)-FIND("^",SUBSTITUTE(C91,"|","^",14))),"|",""))=0,RIGHT(C91,LEN(C91)-FIND("^",SUBSTITUTE(C91,"|","^",14))),LEFT(RIGHT(C91,LEN(C91)-FIND("^",SUBSTITUTE(C91,"|","^",14))),FIND("|",RIGHT(C91,LEN(C91)-FIND("^",SUBSTITUTE(C91,"|","^",14))))-1)),""))</f>
        <v/>
      </c>
      <c r="E466" s="14" t="s">
        <v>2191</v>
      </c>
      <c r="H466" s="1"/>
      <c r="I466" s="1"/>
      <c r="J466" s="1"/>
      <c r="K466" s="7"/>
      <c r="L466" s="14" t="s">
        <v>1416</v>
      </c>
      <c r="M466" s="142" t="s">
        <v>1129</v>
      </c>
      <c r="N466" s="142" t="s">
        <v>1483</v>
      </c>
      <c r="T466" s="14" t="s">
        <v>1597</v>
      </c>
    </row>
    <row r="467" spans="2:20" ht="0.2" customHeight="1" outlineLevel="3" x14ac:dyDescent="0.25">
      <c r="B467" s="192" t="s">
        <v>409</v>
      </c>
      <c r="C467" s="201" t="str">
        <f>IF(C92="","",IFERROR(IF(LEN(RIGHT(C92,LEN(C92)-FIND("^",SUBSTITUTE(C92,"|","^",14))))-LEN(SUBSTITUTE(RIGHT(C92,LEN(C92)-FIND("^",SUBSTITUTE(C92,"|","^",14))),"|",""))=0,RIGHT(C92,LEN(C92)-FIND("^",SUBSTITUTE(C92,"|","^",14))),LEFT(RIGHT(C92,LEN(C92)-FIND("^",SUBSTITUTE(C92,"|","^",14))),FIND("|",RIGHT(C92,LEN(C92)-FIND("^",SUBSTITUTE(C92,"|","^",14))))-1)),""))</f>
        <v/>
      </c>
      <c r="E467" s="14"/>
      <c r="H467" s="1"/>
      <c r="I467" s="1"/>
      <c r="J467" s="1"/>
      <c r="K467" s="7"/>
      <c r="L467" s="14" t="s">
        <v>1416</v>
      </c>
      <c r="M467" s="142" t="s">
        <v>1129</v>
      </c>
      <c r="N467" s="142" t="s">
        <v>1483</v>
      </c>
      <c r="T467" s="14" t="s">
        <v>1280</v>
      </c>
    </row>
    <row r="468" spans="2:20" ht="15" customHeight="1" outlineLevel="3" x14ac:dyDescent="0.25">
      <c r="B468" s="9" t="s">
        <v>2</v>
      </c>
      <c r="C468" s="197" t="str">
        <f>IF(C93="","",IFERROR(IF(LEN(RIGHT(C93,LEN(C93)-FIND("^",SUBSTITUTE(C93,"|","^",14))))-LEN(SUBSTITUTE(RIGHT(C93,LEN(C93)-FIND("^",SUBSTITUTE(C93,"|","^",14))),"|",""))=0,RIGHT(C93,LEN(C93)-FIND("^",SUBSTITUTE(C93,"|","^",14))),LEFT(RIGHT(C93,LEN(C93)-FIND("^",SUBSTITUTE(C93,"|","^",14))),FIND("|",RIGHT(C93,LEN(C93)-FIND("^",SUBSTITUTE(C93,"|","^",14))))-1)),""))</f>
        <v/>
      </c>
      <c r="E468" s="14" t="s">
        <v>553</v>
      </c>
      <c r="G468" s="239" t="s">
        <v>96</v>
      </c>
      <c r="H468" s="14" t="s">
        <v>29</v>
      </c>
      <c r="I468" s="125" t="str">
        <f>IF(I465="","",IF(C468="","#N/A, Input cannot be blank",IF(C468="M", "Male",IF(C468="F","Female","#N/A, Unidentified Gender"))))</f>
        <v/>
      </c>
      <c r="J468" s="1"/>
      <c r="K468" s="7"/>
      <c r="L468" s="14" t="s">
        <v>1416</v>
      </c>
      <c r="M468" s="142" t="s">
        <v>1129</v>
      </c>
      <c r="N468" s="142" t="s">
        <v>1483</v>
      </c>
      <c r="O468" s="14" t="s">
        <v>1416</v>
      </c>
      <c r="P468" s="142" t="s">
        <v>1129</v>
      </c>
      <c r="Q468" s="142" t="s">
        <v>1598</v>
      </c>
      <c r="T468" s="14" t="s">
        <v>1259</v>
      </c>
    </row>
    <row r="469" spans="2:20" ht="15" customHeight="1" outlineLevel="3" x14ac:dyDescent="0.25">
      <c r="B469" s="192" t="str">
        <f>G469</f>
        <v>Other Dependent:</v>
      </c>
      <c r="C469" s="201"/>
      <c r="E469" s="14" t="s">
        <v>2189</v>
      </c>
      <c r="G469" s="239" t="s">
        <v>440</v>
      </c>
      <c r="H469" s="14" t="s">
        <v>29</v>
      </c>
      <c r="I469" s="189"/>
      <c r="J469" s="1"/>
      <c r="K469" s="7"/>
      <c r="L469" s="14" t="s">
        <v>1416</v>
      </c>
      <c r="M469" s="14" t="s">
        <v>1415</v>
      </c>
      <c r="N469" s="142" t="s">
        <v>565</v>
      </c>
      <c r="O469" s="14" t="s">
        <v>1416</v>
      </c>
      <c r="P469" s="14" t="s">
        <v>1415</v>
      </c>
      <c r="Q469" s="142" t="s">
        <v>565</v>
      </c>
      <c r="T469" s="14" t="s">
        <v>1279</v>
      </c>
    </row>
    <row r="470" spans="2:20" ht="15" customHeight="1" outlineLevel="3" x14ac:dyDescent="0.25">
      <c r="B470" s="9" t="s">
        <v>8</v>
      </c>
      <c r="C470" s="197" t="str">
        <f>IF(C95="","",IFERROR(IF(LEN(RIGHT(C95,LEN(C95)-FIND("^",SUBSTITUTE(C95,"|","^",14))))-LEN(SUBSTITUTE(RIGHT(C95,LEN(C95)-FIND("^",SUBSTITUTE(C95,"|","^",14))),"|",""))=0,RIGHT(C95,LEN(C95)-FIND("^",SUBSTITUTE(C95,"|","^",14))),LEFT(RIGHT(C95,LEN(C95)-FIND("^",SUBSTITUTE(C95,"|","^",14))),FIND("|",RIGHT(C95,LEN(C95)-FIND("^",SUBSTITUTE(C95,"|","^",14))))-1)),""))</f>
        <v/>
      </c>
      <c r="G470" s="239" t="s">
        <v>125</v>
      </c>
      <c r="H470" s="14" t="s">
        <v>14</v>
      </c>
      <c r="I470" s="125" t="str">
        <f>IF(I465="","",IF(C470="","#N/A, Input cannot be blank",IFERROR(TEXT(EDATE(C470,0),"MM/DD/YYYY"),"#N/A, Please enter a date format")))</f>
        <v/>
      </c>
      <c r="J470" s="1"/>
      <c r="K470" s="7"/>
      <c r="L470" s="14" t="s">
        <v>1416</v>
      </c>
      <c r="M470" s="142" t="s">
        <v>1129</v>
      </c>
      <c r="N470" s="142" t="s">
        <v>1483</v>
      </c>
      <c r="O470" s="14" t="s">
        <v>1416</v>
      </c>
      <c r="P470" s="142" t="s">
        <v>1129</v>
      </c>
      <c r="Q470" s="14" t="s">
        <v>1508</v>
      </c>
      <c r="T470" s="14" t="s">
        <v>1258</v>
      </c>
    </row>
    <row r="471" spans="2:20" ht="15" customHeight="1" outlineLevel="3" x14ac:dyDescent="0.25">
      <c r="B471" s="9" t="s">
        <v>3</v>
      </c>
      <c r="C471" s="197" t="str">
        <f>IF(C96="","",IFERROR(IF(LEN(RIGHT(C96,LEN(C96)-FIND("^",SUBSTITUTE(C96,"|","^",14))))-LEN(SUBSTITUTE(RIGHT(C96,LEN(C96)-FIND("^",SUBSTITUTE(C96,"|","^",14))),"|",""))=0,RIGHT(C96,LEN(C96)-FIND("^",SUBSTITUTE(C96,"|","^",14))),LEFT(RIGHT(C96,LEN(C96)-FIND("^",SUBSTITUTE(C96,"|","^",14))),FIND("|",RIGHT(C96,LEN(C96)-FIND("^",SUBSTITUTE(C96,"|","^",14))))-1)),""))</f>
        <v/>
      </c>
      <c r="E471" s="14" t="s">
        <v>547</v>
      </c>
      <c r="G471" s="239" t="s">
        <v>97</v>
      </c>
      <c r="H471" s="14" t="s">
        <v>14</v>
      </c>
      <c r="I471" s="125" t="str">
        <f>IF(C471=" ",C471,IF(OR(I465="",C471=""),"",IF(LEN(SUBSTITUTE(C471,"-",""))=9,SUBSTITUTE(C471,"-",""),"#N/A, SSN# must be 9 digits")))</f>
        <v/>
      </c>
      <c r="J471" s="1"/>
      <c r="K471" s="7"/>
      <c r="L471" s="14" t="s">
        <v>1416</v>
      </c>
      <c r="M471" s="142" t="s">
        <v>1129</v>
      </c>
      <c r="N471" s="142" t="s">
        <v>1483</v>
      </c>
      <c r="O471" s="14" t="s">
        <v>1416</v>
      </c>
      <c r="P471" s="142" t="s">
        <v>1129</v>
      </c>
      <c r="Q471" s="14" t="s">
        <v>1518</v>
      </c>
      <c r="T471" s="14" t="s">
        <v>1230</v>
      </c>
    </row>
    <row r="472" spans="2:20" ht="15" customHeight="1" outlineLevel="3" x14ac:dyDescent="0.25">
      <c r="B472" s="192" t="str">
        <f t="shared" ref="B472:B477" si="17">G472</f>
        <v>Multiple Birth:</v>
      </c>
      <c r="C472" s="201"/>
      <c r="E472" s="14" t="s">
        <v>2189</v>
      </c>
      <c r="G472" s="239" t="s">
        <v>506</v>
      </c>
      <c r="H472" s="14" t="s">
        <v>559</v>
      </c>
      <c r="I472" s="237"/>
      <c r="J472" s="1"/>
      <c r="K472" s="7"/>
      <c r="L472" s="14" t="s">
        <v>1416</v>
      </c>
      <c r="M472" s="14" t="s">
        <v>1415</v>
      </c>
      <c r="N472" s="142" t="s">
        <v>565</v>
      </c>
      <c r="O472" s="14" t="s">
        <v>1416</v>
      </c>
      <c r="P472" s="14" t="s">
        <v>1415</v>
      </c>
      <c r="Q472" s="142" t="s">
        <v>565</v>
      </c>
      <c r="T472" s="14" t="s">
        <v>1264</v>
      </c>
    </row>
    <row r="473" spans="2:20" ht="15" customHeight="1" outlineLevel="3" x14ac:dyDescent="0.25">
      <c r="B473" s="192" t="str">
        <f t="shared" si="17"/>
        <v>Native Language:</v>
      </c>
      <c r="C473" s="201"/>
      <c r="E473" s="14" t="s">
        <v>2175</v>
      </c>
      <c r="G473" s="239" t="s">
        <v>484</v>
      </c>
      <c r="H473" s="14" t="s">
        <v>29</v>
      </c>
      <c r="I473" s="237" t="str">
        <f>IF(I465="","","English")</f>
        <v/>
      </c>
      <c r="J473" s="1"/>
      <c r="K473" s="7"/>
      <c r="L473" s="14" t="s">
        <v>1416</v>
      </c>
      <c r="M473" s="14" t="s">
        <v>1415</v>
      </c>
      <c r="N473" s="142" t="s">
        <v>565</v>
      </c>
      <c r="O473" s="14" t="s">
        <v>1416</v>
      </c>
      <c r="P473" s="14" t="s">
        <v>1415</v>
      </c>
      <c r="Q473" s="142" t="s">
        <v>1430</v>
      </c>
      <c r="T473" s="14" t="s">
        <v>1263</v>
      </c>
    </row>
    <row r="474" spans="2:20" ht="15" customHeight="1" outlineLevel="3" x14ac:dyDescent="0.25">
      <c r="B474" s="192" t="str">
        <f t="shared" si="17"/>
        <v>Preferred Written Language:</v>
      </c>
      <c r="C474" s="201"/>
      <c r="E474" s="14" t="s">
        <v>2175</v>
      </c>
      <c r="G474" s="239" t="s">
        <v>486</v>
      </c>
      <c r="H474" s="14" t="s">
        <v>29</v>
      </c>
      <c r="I474" s="237" t="str">
        <f>IF(I465="","","English")</f>
        <v/>
      </c>
      <c r="J474" s="1"/>
      <c r="K474" s="7"/>
      <c r="L474" s="14" t="s">
        <v>1416</v>
      </c>
      <c r="M474" s="14" t="s">
        <v>1415</v>
      </c>
      <c r="N474" s="142" t="s">
        <v>565</v>
      </c>
      <c r="O474" s="14" t="s">
        <v>1416</v>
      </c>
      <c r="P474" s="14" t="s">
        <v>1415</v>
      </c>
      <c r="Q474" s="142" t="s">
        <v>1430</v>
      </c>
      <c r="T474" s="14" t="s">
        <v>1265</v>
      </c>
    </row>
    <row r="475" spans="2:20" ht="15" customHeight="1" outlineLevel="3" x14ac:dyDescent="0.25">
      <c r="B475" s="192" t="str">
        <f t="shared" si="17"/>
        <v>Preferred Spoken Language:</v>
      </c>
      <c r="C475" s="201"/>
      <c r="E475" s="14" t="s">
        <v>2175</v>
      </c>
      <c r="G475" s="239" t="s">
        <v>487</v>
      </c>
      <c r="H475" s="14" t="s">
        <v>29</v>
      </c>
      <c r="I475" s="237" t="str">
        <f>IF(I465="","","English")</f>
        <v/>
      </c>
      <c r="J475" s="1"/>
      <c r="K475" s="7"/>
      <c r="L475" s="14" t="s">
        <v>1416</v>
      </c>
      <c r="M475" s="14" t="s">
        <v>1415</v>
      </c>
      <c r="N475" s="142" t="s">
        <v>565</v>
      </c>
      <c r="O475" s="14" t="s">
        <v>1416</v>
      </c>
      <c r="P475" s="14" t="s">
        <v>1415</v>
      </c>
      <c r="Q475" s="142" t="s">
        <v>1430</v>
      </c>
      <c r="T475" s="14" t="s">
        <v>1266</v>
      </c>
    </row>
    <row r="476" spans="2:20" ht="15" customHeight="1" outlineLevel="3" x14ac:dyDescent="0.25">
      <c r="B476" s="192" t="str">
        <f t="shared" si="17"/>
        <v>Ethnicity (select all that apply):</v>
      </c>
      <c r="C476" s="201"/>
      <c r="E476" s="14" t="s">
        <v>2173</v>
      </c>
      <c r="G476" s="220" t="s">
        <v>488</v>
      </c>
      <c r="H476" s="14" t="s">
        <v>558</v>
      </c>
      <c r="I476" s="237" t="str">
        <f>IF(I465="","","Unknown")</f>
        <v/>
      </c>
      <c r="J476" s="1"/>
      <c r="K476" s="7"/>
      <c r="L476" s="14" t="s">
        <v>1416</v>
      </c>
      <c r="M476" s="14" t="s">
        <v>1415</v>
      </c>
      <c r="N476" s="142" t="s">
        <v>565</v>
      </c>
      <c r="O476" s="14" t="s">
        <v>1416</v>
      </c>
      <c r="P476" s="14" t="s">
        <v>1415</v>
      </c>
      <c r="Q476" s="142" t="s">
        <v>1431</v>
      </c>
      <c r="T476" s="14" t="s">
        <v>1267</v>
      </c>
    </row>
    <row r="477" spans="2:20" ht="15" customHeight="1" outlineLevel="3" x14ac:dyDescent="0.25">
      <c r="B477" s="192" t="str">
        <f t="shared" si="17"/>
        <v>Race (select all that apply):</v>
      </c>
      <c r="C477" s="201"/>
      <c r="E477" s="14" t="s">
        <v>2173</v>
      </c>
      <c r="G477" s="239" t="s">
        <v>492</v>
      </c>
      <c r="H477" s="14" t="s">
        <v>558</v>
      </c>
      <c r="I477" s="237" t="str">
        <f>IF(I465="","","Unknown")</f>
        <v/>
      </c>
      <c r="J477" s="1"/>
      <c r="K477" s="7"/>
      <c r="L477" s="14" t="s">
        <v>1416</v>
      </c>
      <c r="M477" s="14" t="s">
        <v>1415</v>
      </c>
      <c r="N477" s="142" t="s">
        <v>565</v>
      </c>
      <c r="O477" s="14" t="s">
        <v>1416</v>
      </c>
      <c r="P477" s="14" t="s">
        <v>1415</v>
      </c>
      <c r="Q477" s="142" t="s">
        <v>1431</v>
      </c>
      <c r="T477" s="14" t="s">
        <v>1271</v>
      </c>
    </row>
    <row r="478" spans="2:20" ht="30" customHeight="1" outlineLevel="3" x14ac:dyDescent="0.25">
      <c r="B478" s="192" t="s">
        <v>412</v>
      </c>
      <c r="C478" s="201" t="str">
        <f>IF(C103="","",IFERROR(IF(LEN(RIGHT(C103,LEN(C103)-FIND("^",SUBSTITUTE(C103,"|","^",14))))-LEN(SUBSTITUTE(RIGHT(C103,LEN(C103)-FIND("^",SUBSTITUTE(C103,"|","^",14))),"|",""))=0,RIGHT(C103,LEN(C103)-FIND("^",SUBSTITUTE(C103,"|","^",14))),LEFT(RIGHT(C103,LEN(C103)-FIND("^",SUBSTITUTE(C103,"|","^",14))),FIND("|",RIGHT(C103,LEN(C103)-FIND("^",SUBSTITUTE(C103,"|","^",14))))-1)),""))</f>
        <v/>
      </c>
      <c r="E478" s="14" t="s">
        <v>2190</v>
      </c>
      <c r="G478" s="239" t="s">
        <v>537</v>
      </c>
      <c r="H478" s="14" t="s">
        <v>559</v>
      </c>
      <c r="I478" s="150" t="str">
        <f>IF(I465="","",IF(OR(C478="",C478="No"),"No","Yes"))</f>
        <v/>
      </c>
      <c r="J478" s="145" t="str">
        <f>IF(I478="Yes", "Medicare Eligible is Yes for EN request for Dependent#15, please change ‘Medicare information’ to 'Yes'  and select Eligible in Dep Medicare tab in BCBS if needed. ","")</f>
        <v/>
      </c>
      <c r="K478" s="7"/>
      <c r="L478" s="14" t="s">
        <v>1417</v>
      </c>
      <c r="M478" s="14" t="s">
        <v>1414</v>
      </c>
      <c r="N478" s="142" t="s">
        <v>1483</v>
      </c>
      <c r="O478" s="14" t="s">
        <v>1416</v>
      </c>
      <c r="P478" s="14" t="s">
        <v>1415</v>
      </c>
      <c r="Q478" s="142" t="s">
        <v>1432</v>
      </c>
      <c r="T478" s="14" t="s">
        <v>1272</v>
      </c>
    </row>
    <row r="479" spans="2:20" ht="30" customHeight="1" outlineLevel="3" x14ac:dyDescent="0.25">
      <c r="B479" s="192" t="str">
        <f>G479</f>
        <v>Different address information than the employee?</v>
      </c>
      <c r="C479" s="201"/>
      <c r="E479" s="14" t="s">
        <v>2190</v>
      </c>
      <c r="G479" s="239" t="s">
        <v>508</v>
      </c>
      <c r="H479" s="14" t="s">
        <v>559</v>
      </c>
      <c r="I479" s="150" t="str">
        <f>IF(I465="","",IF(OR(C480="",TRIM(C480)&amp;TRIM(C481)&amp;TRIM(C482)&amp;TRIM(C483)&amp;TRIM(C484)=TRIM($C$48)&amp;TRIM($C$49)&amp;TRIM($C$50)&amp;TRIM($C$51)&amp;TRIM($C$52)),"No","Yes"))</f>
        <v/>
      </c>
      <c r="J479" s="145" t="str">
        <f>IF(I479="Yes", "Dependent have separate address for EN request for Dependen#15, please change ‘Different address information than the employee' to 'Yes' and update different address in Dep Address tab in BCBS if needed. ","")</f>
        <v/>
      </c>
      <c r="K479" s="7"/>
      <c r="L479" s="14" t="s">
        <v>1417</v>
      </c>
      <c r="M479" s="14" t="s">
        <v>1129</v>
      </c>
      <c r="N479" s="142" t="s">
        <v>1484</v>
      </c>
      <c r="O479" s="14" t="s">
        <v>1416</v>
      </c>
      <c r="P479" s="14" t="s">
        <v>1415</v>
      </c>
      <c r="Q479" s="142" t="s">
        <v>1432</v>
      </c>
      <c r="T479" s="14" t="s">
        <v>1273</v>
      </c>
    </row>
    <row r="480" spans="2:20" ht="0.2" customHeight="1" outlineLevel="3" x14ac:dyDescent="0.25">
      <c r="B480" s="192" t="s">
        <v>414</v>
      </c>
      <c r="C480" s="201" t="str">
        <f>IF(C105="","",IFERROR(IF(LEN(RIGHT(C105,LEN(C105)-FIND("^",SUBSTITUTE(C105,"|","^",14))))-LEN(SUBSTITUTE(RIGHT(C105,LEN(C105)-FIND("^",SUBSTITUTE(C105,"|","^",14))),"|",""))=0,RIGHT(C105,LEN(C105)-FIND("^",SUBSTITUTE(C105,"|","^",14))),LEFT(RIGHT(C105,LEN(C105)-FIND("^",SUBSTITUTE(C105,"|","^",14))),FIND("|",RIGHT(C105,LEN(C105)-FIND("^",SUBSTITUTE(C105,"|","^",14))))-1)),""))</f>
        <v/>
      </c>
      <c r="E480" s="18"/>
      <c r="G480" s="18"/>
      <c r="H480" s="18"/>
      <c r="I480" s="145"/>
      <c r="J480" s="1"/>
      <c r="K480" s="7"/>
      <c r="L480" s="14" t="s">
        <v>1417</v>
      </c>
      <c r="M480" s="14" t="s">
        <v>1414</v>
      </c>
      <c r="N480" s="142" t="s">
        <v>1483</v>
      </c>
      <c r="T480" s="14" t="s">
        <v>1274</v>
      </c>
    </row>
    <row r="481" spans="1:23" ht="0.2" customHeight="1" outlineLevel="3" x14ac:dyDescent="0.25">
      <c r="B481" s="192" t="s">
        <v>416</v>
      </c>
      <c r="C481" s="201" t="str">
        <f>IF(C106="","",IFERROR(IF(LEN(RIGHT(C106,LEN(C106)-FIND("^",SUBSTITUTE(C106,"|","^",14))))-LEN(SUBSTITUTE(RIGHT(C106,LEN(C106)-FIND("^",SUBSTITUTE(C106,"|","^",14))),"|",""))=0,RIGHT(C106,LEN(C106)-FIND("^",SUBSTITUTE(C106,"|","^",14))),LEFT(RIGHT(C106,LEN(C106)-FIND("^",SUBSTITUTE(C106,"|","^",14))),FIND("|",RIGHT(C106,LEN(C106)-FIND("^",SUBSTITUTE(C106,"|","^",14))))-1)),""))</f>
        <v/>
      </c>
      <c r="E481" s="18"/>
      <c r="G481" s="18"/>
      <c r="H481" s="18"/>
      <c r="I481" s="145"/>
      <c r="J481" s="1"/>
      <c r="K481" s="7"/>
      <c r="L481" s="14" t="s">
        <v>1417</v>
      </c>
      <c r="M481" s="14" t="s">
        <v>1414</v>
      </c>
      <c r="N481" s="142" t="s">
        <v>1483</v>
      </c>
      <c r="T481" s="14" t="s">
        <v>1275</v>
      </c>
    </row>
    <row r="482" spans="1:23" ht="0.2" customHeight="1" outlineLevel="3" x14ac:dyDescent="0.25">
      <c r="B482" s="192" t="s">
        <v>6</v>
      </c>
      <c r="C482" s="201" t="str">
        <f>IF(C107="","",IFERROR(IF(LEN(RIGHT(C107,LEN(C107)-FIND("^",SUBSTITUTE(C107,"|","^",14))))-LEN(SUBSTITUTE(RIGHT(C107,LEN(C107)-FIND("^",SUBSTITUTE(C107,"|","^",14))),"|",""))=0,RIGHT(C107,LEN(C107)-FIND("^",SUBSTITUTE(C107,"|","^",14))),LEFT(RIGHT(C107,LEN(C107)-FIND("^",SUBSTITUTE(C107,"|","^",14))),FIND("|",RIGHT(C107,LEN(C107)-FIND("^",SUBSTITUTE(C107,"|","^",14))))-1)),""))</f>
        <v/>
      </c>
      <c r="E482" s="18"/>
      <c r="G482" s="18"/>
      <c r="H482" s="18"/>
      <c r="I482" s="145"/>
      <c r="J482" s="145"/>
      <c r="K482" s="145"/>
      <c r="L482" s="14" t="s">
        <v>1417</v>
      </c>
      <c r="M482" s="14" t="s">
        <v>1414</v>
      </c>
      <c r="N482" s="142" t="s">
        <v>1483</v>
      </c>
      <c r="T482" s="14" t="s">
        <v>1276</v>
      </c>
    </row>
    <row r="483" spans="1:23" ht="0.2" customHeight="1" outlineLevel="3" x14ac:dyDescent="0.25">
      <c r="B483" s="192" t="s">
        <v>7</v>
      </c>
      <c r="C483" s="201" t="str">
        <f>IF(C108="","",IFERROR(IF(LEN(RIGHT(C108,LEN(C108)-FIND("^",SUBSTITUTE(C108,"|","^",14))))-LEN(SUBSTITUTE(RIGHT(C108,LEN(C108)-FIND("^",SUBSTITUTE(C108,"|","^",14))),"|",""))=0,RIGHT(C108,LEN(C108)-FIND("^",SUBSTITUTE(C108,"|","^",14))),LEFT(RIGHT(C108,LEN(C108)-FIND("^",SUBSTITUTE(C108,"|","^",14))),FIND("|",RIGHT(C108,LEN(C108)-FIND("^",SUBSTITUTE(C108,"|","^",14))))-1)),""))</f>
        <v/>
      </c>
      <c r="E483" s="18"/>
      <c r="G483" s="18"/>
      <c r="H483" s="18"/>
      <c r="I483" s="145"/>
      <c r="J483" s="145"/>
      <c r="K483" s="145"/>
      <c r="L483" s="14" t="s">
        <v>1417</v>
      </c>
      <c r="M483" s="14" t="s">
        <v>1414</v>
      </c>
      <c r="N483" s="142" t="s">
        <v>1483</v>
      </c>
      <c r="T483" s="14" t="s">
        <v>1277</v>
      </c>
    </row>
    <row r="484" spans="1:23" ht="0.2" customHeight="1" outlineLevel="3" x14ac:dyDescent="0.25">
      <c r="B484" s="192" t="s">
        <v>19</v>
      </c>
      <c r="C484" s="201" t="str">
        <f>IF(C109="","",IFERROR(IF(LEN(RIGHT(C109,LEN(C109)-FIND("^",SUBSTITUTE(C109,"|","^",14))))-LEN(SUBSTITUTE(RIGHT(C109,LEN(C109)-FIND("^",SUBSTITUTE(C109,"|","^",14))),"|",""))=0,RIGHT(C109,LEN(C109)-FIND("^",SUBSTITUTE(C109,"|","^",14))),LEFT(RIGHT(C109,LEN(C109)-FIND("^",SUBSTITUTE(C109,"|","^",14))),FIND("|",RIGHT(C109,LEN(C109)-FIND("^",SUBSTITUTE(C109,"|","^",14))))-1)),""))</f>
        <v/>
      </c>
      <c r="E484" s="18"/>
      <c r="G484" s="18"/>
      <c r="H484" s="18"/>
      <c r="I484" s="145"/>
      <c r="J484" s="145"/>
      <c r="K484" s="145"/>
      <c r="L484" s="14" t="s">
        <v>1417</v>
      </c>
      <c r="M484" s="14" t="s">
        <v>1414</v>
      </c>
      <c r="N484" s="142" t="s">
        <v>1483</v>
      </c>
      <c r="T484" s="14" t="s">
        <v>1278</v>
      </c>
    </row>
    <row r="485" spans="1:23" ht="20.100000000000001" customHeight="1" outlineLevel="1" x14ac:dyDescent="0.25">
      <c r="A485" s="257" t="s">
        <v>1624</v>
      </c>
      <c r="B485" s="258"/>
      <c r="C485" s="295"/>
      <c r="E485" s="194"/>
      <c r="G485" s="257"/>
      <c r="H485" s="258"/>
      <c r="I485" s="257"/>
      <c r="J485" s="193"/>
      <c r="L485" s="194"/>
      <c r="M485" s="194"/>
      <c r="N485" s="194"/>
      <c r="O485" s="194"/>
      <c r="P485" s="194"/>
      <c r="Q485" s="194"/>
      <c r="R485" s="194"/>
      <c r="S485" s="194"/>
      <c r="T485" s="194"/>
      <c r="U485" s="194"/>
      <c r="V485" s="194"/>
      <c r="W485" s="194"/>
    </row>
    <row r="486" spans="1:23" ht="30" customHeight="1" outlineLevel="4" x14ac:dyDescent="0.25">
      <c r="B486" s="192" t="str">
        <f>G486</f>
        <v>Does this employee or any of their dependent(s) have prior creditable coverage?</v>
      </c>
      <c r="C486" s="201"/>
      <c r="E486" s="18" t="s">
        <v>2190</v>
      </c>
      <c r="G486" s="239" t="s">
        <v>1625</v>
      </c>
      <c r="H486" s="14" t="s">
        <v>29</v>
      </c>
      <c r="I486" s="238" t="s">
        <v>76</v>
      </c>
      <c r="J486" s="176"/>
      <c r="K486" s="177"/>
      <c r="L486" s="14" t="s">
        <v>1416</v>
      </c>
      <c r="M486" s="14" t="s">
        <v>1415</v>
      </c>
      <c r="N486" s="142" t="s">
        <v>565</v>
      </c>
      <c r="P486" s="14" t="s">
        <v>1415</v>
      </c>
      <c r="Q486" s="142" t="s">
        <v>1432</v>
      </c>
      <c r="R486" s="1" t="s">
        <v>1626</v>
      </c>
      <c r="T486" s="18"/>
    </row>
    <row r="487" spans="1:23" ht="15" customHeight="1" outlineLevel="1" x14ac:dyDescent="0.25">
      <c r="A487" s="7"/>
      <c r="B487" s="18"/>
      <c r="C487" s="219"/>
      <c r="E487" s="18"/>
      <c r="G487" s="18"/>
      <c r="H487" s="18"/>
      <c r="I487" s="177"/>
      <c r="J487" s="177"/>
      <c r="K487" s="177"/>
      <c r="L487" s="18"/>
      <c r="M487" s="18"/>
      <c r="N487" s="177"/>
      <c r="O487" s="7"/>
      <c r="P487" s="18"/>
      <c r="Q487" s="177"/>
      <c r="R487" s="7"/>
      <c r="S487" s="7"/>
      <c r="T487" s="18"/>
      <c r="U487" s="7"/>
      <c r="V487" s="7"/>
      <c r="W487" s="7"/>
    </row>
    <row r="488" spans="1:23" ht="15" customHeight="1" collapsed="1" x14ac:dyDescent="0.25">
      <c r="A488" s="7"/>
      <c r="B488" s="268" t="s">
        <v>2586</v>
      </c>
      <c r="C488" s="219"/>
      <c r="E488" s="18"/>
      <c r="G488" s="18"/>
      <c r="H488" s="18"/>
      <c r="I488" s="177"/>
      <c r="J488" s="177"/>
      <c r="K488" s="177"/>
      <c r="L488" s="18"/>
      <c r="M488" s="18"/>
      <c r="N488" s="177"/>
      <c r="O488" s="7"/>
      <c r="P488" s="18"/>
      <c r="Q488" s="177"/>
      <c r="R488" s="7"/>
      <c r="S488" s="7"/>
      <c r="T488" s="18"/>
      <c r="U488" s="7"/>
      <c r="V488" s="7"/>
      <c r="W488" s="7"/>
    </row>
    <row r="489" spans="1:23" s="74" customFormat="1" ht="45" hidden="1" customHeight="1" outlineLevel="1" x14ac:dyDescent="0.25">
      <c r="A489" s="89" t="s">
        <v>1190</v>
      </c>
      <c r="B489" s="90"/>
      <c r="C489" s="203"/>
      <c r="E489" s="92"/>
      <c r="G489" s="90"/>
      <c r="H489" s="93"/>
      <c r="I489" s="130"/>
      <c r="J489" s="130"/>
      <c r="K489" s="140"/>
      <c r="L489" s="90"/>
      <c r="M489" s="90"/>
      <c r="N489" s="191" t="s">
        <v>1196</v>
      </c>
      <c r="O489" s="90"/>
      <c r="P489" s="90"/>
      <c r="Q489" s="90"/>
      <c r="R489" s="191" t="s">
        <v>1196</v>
      </c>
      <c r="S489" s="112" t="s">
        <v>1196</v>
      </c>
      <c r="T489" s="90"/>
      <c r="U489" s="90"/>
      <c r="V489" s="90"/>
      <c r="W489" s="90"/>
    </row>
    <row r="490" spans="1:23" s="218" customFormat="1" ht="45" hidden="1" customHeight="1" outlineLevel="2" x14ac:dyDescent="0.25">
      <c r="A490" s="99" t="s">
        <v>1134</v>
      </c>
      <c r="B490" s="99"/>
      <c r="C490" s="204"/>
      <c r="E490" s="99"/>
      <c r="G490" s="99"/>
      <c r="H490" s="100"/>
      <c r="I490" s="131"/>
      <c r="J490" s="131"/>
      <c r="K490" s="223"/>
      <c r="L490" s="99"/>
      <c r="M490" s="99"/>
      <c r="N490" s="99"/>
      <c r="O490" s="99"/>
      <c r="P490" s="99"/>
      <c r="Q490" s="99"/>
      <c r="R490" s="99"/>
      <c r="S490" s="99"/>
      <c r="T490" s="99"/>
      <c r="U490" s="99"/>
      <c r="V490" s="99"/>
      <c r="W490" s="99"/>
    </row>
    <row r="491" spans="1:23" ht="45" hidden="1" customHeight="1" outlineLevel="2" x14ac:dyDescent="0.25">
      <c r="B491" s="9" t="s">
        <v>353</v>
      </c>
      <c r="C491" s="199" t="s">
        <v>1648</v>
      </c>
      <c r="E491" s="14" t="s">
        <v>595</v>
      </c>
      <c r="G491" s="13" t="s">
        <v>452</v>
      </c>
      <c r="H491" s="14" t="s">
        <v>14</v>
      </c>
      <c r="I491" s="125" t="e">
        <f>IF(C491="","",IFERROR(TEXT(EDATE(C491+1,0),"MM/DD/YYYY"),#N/A))</f>
        <v>#N/A</v>
      </c>
      <c r="J491" s="125"/>
      <c r="K491" s="125"/>
      <c r="L491" s="14" t="s">
        <v>1433</v>
      </c>
      <c r="M491" s="14" t="s">
        <v>1414</v>
      </c>
      <c r="N491" s="51" t="s">
        <v>2138</v>
      </c>
      <c r="O491" s="14" t="s">
        <v>1416</v>
      </c>
      <c r="P491" s="142" t="s">
        <v>1129</v>
      </c>
      <c r="Q491" s="14" t="s">
        <v>1599</v>
      </c>
      <c r="R491" s="14" t="s">
        <v>1649</v>
      </c>
      <c r="S491" s="14"/>
      <c r="T491" s="14" t="s">
        <v>1405</v>
      </c>
      <c r="U491" s="14" t="s">
        <v>1344</v>
      </c>
    </row>
    <row r="492" spans="1:23" ht="45" hidden="1" customHeight="1" outlineLevel="2" x14ac:dyDescent="0.25">
      <c r="B492" s="105" t="str">
        <f>B25</f>
        <v>Event Reason</v>
      </c>
      <c r="C492" s="199"/>
      <c r="E492" s="14" t="s">
        <v>1191</v>
      </c>
      <c r="G492" s="13" t="s">
        <v>453</v>
      </c>
      <c r="H492" s="14" t="s">
        <v>29</v>
      </c>
      <c r="I492" s="125" t="str">
        <f>IF(C492="","",C492)</f>
        <v/>
      </c>
      <c r="J492" s="145"/>
      <c r="K492" s="145"/>
      <c r="L492" s="14" t="s">
        <v>587</v>
      </c>
      <c r="M492" s="14" t="s">
        <v>1414</v>
      </c>
      <c r="N492" s="14" t="s">
        <v>1443</v>
      </c>
      <c r="O492" s="14" t="s">
        <v>1416</v>
      </c>
      <c r="P492" s="142" t="s">
        <v>1129</v>
      </c>
      <c r="Q492" s="14" t="s">
        <v>1601</v>
      </c>
      <c r="R492" s="14" t="s">
        <v>1600</v>
      </c>
      <c r="S492" s="2"/>
      <c r="T492" s="14" t="s">
        <v>1281</v>
      </c>
      <c r="U492" s="113"/>
    </row>
    <row r="493" spans="1:23" ht="45" hidden="1" customHeight="1" outlineLevel="2" x14ac:dyDescent="0.25">
      <c r="B493" s="77" t="str">
        <f>B504</f>
        <v>Event Date</v>
      </c>
      <c r="C493" s="199"/>
      <c r="E493" s="14" t="s">
        <v>1201</v>
      </c>
      <c r="G493" s="3" t="s">
        <v>510</v>
      </c>
      <c r="H493" s="14" t="s">
        <v>14</v>
      </c>
      <c r="I493" s="125" t="str">
        <f>IF(C493="","",IFERROR(TEXT(EDATE(C493,0),"MM/DD/YYYY"),#N/A))</f>
        <v/>
      </c>
      <c r="J493" s="125"/>
      <c r="K493" s="125"/>
      <c r="L493" s="14" t="s">
        <v>1434</v>
      </c>
      <c r="M493" s="14" t="s">
        <v>1414</v>
      </c>
      <c r="N493" s="14" t="s">
        <v>2137</v>
      </c>
      <c r="O493" s="14"/>
      <c r="P493" s="14"/>
      <c r="Q493" s="14" t="s">
        <v>1602</v>
      </c>
      <c r="R493" s="14" t="s">
        <v>1650</v>
      </c>
      <c r="S493" s="14" t="s">
        <v>1282</v>
      </c>
      <c r="T493" s="14" t="s">
        <v>1468</v>
      </c>
      <c r="U493" s="14" t="s">
        <v>1345</v>
      </c>
    </row>
    <row r="494" spans="1:23" s="74" customFormat="1" ht="45" hidden="1" customHeight="1" outlineLevel="1" x14ac:dyDescent="0.25">
      <c r="A494" s="89" t="s">
        <v>1342</v>
      </c>
      <c r="B494" s="90"/>
      <c r="C494" s="203"/>
      <c r="E494" s="92"/>
      <c r="G494" s="90"/>
      <c r="H494" s="93"/>
      <c r="I494" s="130"/>
      <c r="J494" s="130"/>
      <c r="K494" s="140"/>
      <c r="L494" s="90"/>
      <c r="M494" s="90"/>
      <c r="N494" s="191" t="s">
        <v>1197</v>
      </c>
      <c r="O494" s="90"/>
      <c r="P494" s="90"/>
      <c r="Q494" s="90"/>
      <c r="R494" s="191" t="s">
        <v>1197</v>
      </c>
      <c r="S494" s="112" t="s">
        <v>1197</v>
      </c>
      <c r="T494" s="90"/>
      <c r="U494" s="90"/>
      <c r="V494" s="90"/>
      <c r="W494" s="90"/>
    </row>
    <row r="495" spans="1:23" s="218" customFormat="1" ht="45" hidden="1" customHeight="1" outlineLevel="2" x14ac:dyDescent="0.25">
      <c r="A495" s="99" t="s">
        <v>1135</v>
      </c>
      <c r="B495" s="99"/>
      <c r="C495" s="204"/>
      <c r="E495" s="99"/>
      <c r="G495" s="99"/>
      <c r="H495" s="100"/>
      <c r="I495" s="131"/>
      <c r="J495" s="131"/>
      <c r="K495" s="223"/>
      <c r="L495" s="99"/>
      <c r="M495" s="99"/>
      <c r="N495" s="99"/>
      <c r="O495" s="99"/>
      <c r="P495" s="99"/>
      <c r="Q495" s="99"/>
      <c r="R495" s="99"/>
      <c r="S495" s="99"/>
      <c r="T495" s="99"/>
      <c r="U495" s="99"/>
      <c r="V495" s="99"/>
      <c r="W495" s="99"/>
    </row>
    <row r="496" spans="1:23" ht="45" hidden="1" customHeight="1" outlineLevel="2" x14ac:dyDescent="0.25">
      <c r="B496" s="9" t="s">
        <v>353</v>
      </c>
      <c r="C496" s="199"/>
      <c r="E496" s="14" t="s">
        <v>1289</v>
      </c>
      <c r="G496" s="13" t="s">
        <v>452</v>
      </c>
      <c r="H496" s="14" t="s">
        <v>14</v>
      </c>
      <c r="I496" s="125" t="str">
        <f>IF(C496="","",IFERROR(TEXT(EDATE(C496+1,0),"MM/DD/YYYY"),#N/A))</f>
        <v/>
      </c>
      <c r="J496" s="145"/>
      <c r="K496" s="145"/>
      <c r="L496" s="14" t="s">
        <v>1435</v>
      </c>
      <c r="M496" s="14" t="s">
        <v>1414</v>
      </c>
      <c r="N496" s="51" t="s">
        <v>1469</v>
      </c>
      <c r="P496" s="14" t="s">
        <v>1416</v>
      </c>
      <c r="Q496" s="142" t="s">
        <v>1129</v>
      </c>
      <c r="R496" s="14" t="s">
        <v>1651</v>
      </c>
      <c r="T496" s="14" t="s">
        <v>1406</v>
      </c>
      <c r="U496" s="14" t="s">
        <v>1343</v>
      </c>
    </row>
    <row r="497" spans="1:23" ht="45" hidden="1" customHeight="1" outlineLevel="2" x14ac:dyDescent="0.25">
      <c r="B497" s="105" t="str">
        <f>B492</f>
        <v>Event Reason</v>
      </c>
      <c r="C497" s="199"/>
      <c r="E497" s="14" t="s">
        <v>1192</v>
      </c>
      <c r="G497" s="13" t="s">
        <v>453</v>
      </c>
      <c r="H497" s="14" t="s">
        <v>29</v>
      </c>
      <c r="I497" s="125" t="str">
        <f>IF(C497="","",C497)</f>
        <v/>
      </c>
      <c r="J497" s="145"/>
      <c r="K497" s="145"/>
      <c r="L497" s="14" t="s">
        <v>587</v>
      </c>
      <c r="M497" s="14" t="s">
        <v>1414</v>
      </c>
      <c r="N497" s="14" t="s">
        <v>1443</v>
      </c>
      <c r="O497" s="14" t="s">
        <v>1416</v>
      </c>
      <c r="P497" s="142" t="s">
        <v>1129</v>
      </c>
      <c r="Q497" s="14" t="s">
        <v>1601</v>
      </c>
      <c r="R497" s="14" t="s">
        <v>1600</v>
      </c>
      <c r="T497" s="14" t="s">
        <v>1281</v>
      </c>
    </row>
    <row r="498" spans="1:23" ht="45" hidden="1" customHeight="1" outlineLevel="2" x14ac:dyDescent="0.25">
      <c r="B498" s="77" t="s">
        <v>185</v>
      </c>
      <c r="C498" s="199"/>
      <c r="E498" s="14" t="s">
        <v>1200</v>
      </c>
      <c r="G498" s="3" t="s">
        <v>510</v>
      </c>
      <c r="H498" s="14" t="s">
        <v>14</v>
      </c>
      <c r="I498" s="125" t="str">
        <f>IF(C498="","",IFERROR(TEXT(EDATE(C498,0),"MM/DD/YYYY"),#N/A))</f>
        <v/>
      </c>
      <c r="J498" s="125"/>
      <c r="K498" s="125"/>
      <c r="L498" s="14" t="s">
        <v>1434</v>
      </c>
      <c r="M498" s="14" t="s">
        <v>1414</v>
      </c>
      <c r="N498" s="14" t="s">
        <v>1470</v>
      </c>
      <c r="O498" s="14" t="s">
        <v>1416</v>
      </c>
      <c r="P498" s="142" t="s">
        <v>1129</v>
      </c>
      <c r="Q498" s="14" t="s">
        <v>1602</v>
      </c>
      <c r="R498" s="14" t="s">
        <v>1653</v>
      </c>
      <c r="S498" s="14" t="s">
        <v>1283</v>
      </c>
      <c r="T498" s="14" t="s">
        <v>1652</v>
      </c>
    </row>
    <row r="499" spans="1:23" s="74" customFormat="1" ht="45" hidden="1" customHeight="1" outlineLevel="1" x14ac:dyDescent="0.25">
      <c r="A499" s="108" t="s">
        <v>438</v>
      </c>
      <c r="B499" s="109"/>
      <c r="C499" s="205"/>
      <c r="E499" s="110"/>
      <c r="G499" s="109"/>
      <c r="H499" s="111"/>
      <c r="I499" s="132"/>
      <c r="J499" s="132"/>
      <c r="K499" s="140"/>
      <c r="L499" s="109"/>
      <c r="M499" s="109"/>
      <c r="N499" s="109"/>
      <c r="O499" s="109"/>
      <c r="P499" s="109"/>
      <c r="Q499" s="109"/>
      <c r="R499" s="109"/>
      <c r="S499" s="122"/>
      <c r="T499" s="109"/>
      <c r="U499" s="109"/>
      <c r="V499" s="109"/>
      <c r="W499" s="109"/>
    </row>
    <row r="500" spans="1:23" ht="45" hidden="1" customHeight="1" outlineLevel="2" x14ac:dyDescent="0.25">
      <c r="A500" s="53" t="s">
        <v>509</v>
      </c>
      <c r="B500" s="54"/>
      <c r="C500" s="206"/>
      <c r="E500" s="55"/>
      <c r="G500" s="53"/>
      <c r="H500" s="56"/>
      <c r="I500" s="146"/>
      <c r="J500" s="146"/>
      <c r="K500" s="224"/>
      <c r="L500" s="55"/>
      <c r="M500" s="55"/>
      <c r="N500" s="55"/>
      <c r="O500" s="55"/>
      <c r="P500" s="55"/>
      <c r="Q500" s="55"/>
      <c r="R500" s="55"/>
      <c r="S500" s="55"/>
      <c r="T500" s="55"/>
      <c r="U500" s="55"/>
      <c r="V500" s="55"/>
      <c r="W500" s="55"/>
    </row>
    <row r="501" spans="1:23" ht="45" hidden="1" customHeight="1" outlineLevel="3" x14ac:dyDescent="0.25">
      <c r="B501" s="9" t="s">
        <v>185</v>
      </c>
      <c r="C501" s="197"/>
      <c r="E501" s="14" t="s">
        <v>597</v>
      </c>
      <c r="G501" s="12" t="s">
        <v>89</v>
      </c>
      <c r="H501" s="14" t="s">
        <v>14</v>
      </c>
      <c r="I501" s="125"/>
      <c r="J501" s="145"/>
      <c r="K501" s="145"/>
      <c r="N501" s="18"/>
    </row>
    <row r="502" spans="1:23" ht="45" hidden="1" customHeight="1" outlineLevel="3" x14ac:dyDescent="0.25">
      <c r="B502" s="22" t="str">
        <f>B23</f>
        <v>Enrollment Start Date</v>
      </c>
      <c r="C502" s="197"/>
      <c r="E502" s="14"/>
      <c r="H502" s="1"/>
      <c r="N502" s="18"/>
    </row>
    <row r="503" spans="1:23" ht="45" hidden="1" customHeight="1" outlineLevel="3" x14ac:dyDescent="0.25">
      <c r="B503" s="98" t="str">
        <f>B25</f>
        <v>Event Reason</v>
      </c>
      <c r="C503" s="197" t="s">
        <v>562</v>
      </c>
      <c r="E503" s="14" t="s">
        <v>572</v>
      </c>
      <c r="G503" s="12" t="s">
        <v>91</v>
      </c>
      <c r="H503" s="14" t="s">
        <v>29</v>
      </c>
      <c r="I503" s="125"/>
      <c r="J503" s="145"/>
      <c r="K503" s="145"/>
    </row>
    <row r="504" spans="1:23" ht="45" hidden="1" customHeight="1" outlineLevel="3" x14ac:dyDescent="0.25">
      <c r="B504" s="22" t="str">
        <f>B501</f>
        <v>Event Date</v>
      </c>
      <c r="C504" s="197"/>
      <c r="E504" s="14" t="s">
        <v>599</v>
      </c>
      <c r="G504" s="19" t="s">
        <v>443</v>
      </c>
      <c r="H504" s="14" t="s">
        <v>14</v>
      </c>
      <c r="I504" s="125"/>
      <c r="J504" s="145"/>
      <c r="K504" s="145"/>
      <c r="N504" s="18"/>
    </row>
    <row r="505" spans="1:23" ht="45" hidden="1" customHeight="1" outlineLevel="3" x14ac:dyDescent="0.25">
      <c r="B505" s="21"/>
      <c r="C505" s="202"/>
      <c r="E505" s="14" t="s">
        <v>476</v>
      </c>
      <c r="G505" s="19" t="s">
        <v>473</v>
      </c>
      <c r="H505" s="14" t="s">
        <v>435</v>
      </c>
      <c r="I505" s="147" t="s">
        <v>76</v>
      </c>
      <c r="J505" s="147"/>
      <c r="K505" s="174"/>
    </row>
    <row r="506" spans="1:23" ht="45" hidden="1" customHeight="1" outlineLevel="3" x14ac:dyDescent="0.25">
      <c r="B506" s="22" t="str">
        <f>B28</f>
        <v>Changed On</v>
      </c>
      <c r="C506" s="197"/>
      <c r="E506" s="14" t="s">
        <v>573</v>
      </c>
      <c r="G506" s="12" t="s">
        <v>92</v>
      </c>
      <c r="H506" s="14" t="s">
        <v>14</v>
      </c>
      <c r="I506" s="125"/>
      <c r="J506" s="145"/>
      <c r="K506" s="145"/>
      <c r="M506" s="18"/>
      <c r="N506" s="18"/>
    </row>
    <row r="507" spans="1:23" ht="45" hidden="1" customHeight="1" outlineLevel="2" x14ac:dyDescent="0.25">
      <c r="A507" s="53" t="s">
        <v>463</v>
      </c>
      <c r="B507" s="54"/>
      <c r="C507" s="206"/>
      <c r="E507" s="55"/>
      <c r="G507" s="55"/>
      <c r="H507" s="56"/>
      <c r="I507" s="133"/>
      <c r="J507" s="133"/>
      <c r="L507" s="55"/>
      <c r="M507" s="55"/>
      <c r="N507" s="55"/>
      <c r="O507" s="55"/>
      <c r="P507" s="55"/>
      <c r="Q507" s="55"/>
      <c r="R507" s="55"/>
      <c r="S507" s="55"/>
      <c r="T507" s="55"/>
      <c r="U507" s="55"/>
      <c r="V507" s="55"/>
      <c r="W507" s="55"/>
    </row>
    <row r="508" spans="1:23" ht="45" hidden="1" customHeight="1" outlineLevel="3" x14ac:dyDescent="0.25"/>
    <row r="509" spans="1:23" ht="45" hidden="1" customHeight="1" outlineLevel="3" x14ac:dyDescent="0.25">
      <c r="B509" s="22" t="str">
        <f>B86</f>
        <v>Last Name</v>
      </c>
      <c r="C509" s="197"/>
      <c r="E509" s="14" t="s">
        <v>432</v>
      </c>
      <c r="G509" s="12" t="s">
        <v>95</v>
      </c>
      <c r="H509" s="14" t="s">
        <v>14</v>
      </c>
      <c r="I509" s="125"/>
      <c r="J509" s="145"/>
      <c r="K509" s="145"/>
    </row>
    <row r="510" spans="1:23" ht="45" hidden="1" customHeight="1" outlineLevel="3" x14ac:dyDescent="0.25">
      <c r="B510" s="22" t="str">
        <f>B87</f>
        <v>Suffix</v>
      </c>
      <c r="C510" s="197"/>
      <c r="E510" s="18"/>
      <c r="G510" s="19" t="s">
        <v>155</v>
      </c>
      <c r="H510" s="14"/>
      <c r="I510" s="125"/>
      <c r="J510" s="145"/>
      <c r="K510" s="145"/>
    </row>
    <row r="511" spans="1:23" ht="45" hidden="1" customHeight="1" outlineLevel="3" x14ac:dyDescent="0.25">
      <c r="B511" s="22" t="str">
        <f>B86</f>
        <v>Last Name</v>
      </c>
      <c r="C511" s="197"/>
      <c r="G511" s="12" t="s">
        <v>93</v>
      </c>
      <c r="H511" s="14" t="s">
        <v>14</v>
      </c>
      <c r="I511" s="125"/>
      <c r="J511" s="145"/>
      <c r="K511" s="145"/>
    </row>
    <row r="512" spans="1:23" ht="45" hidden="1" customHeight="1" outlineLevel="3" x14ac:dyDescent="0.25">
      <c r="B512" s="22" t="str">
        <f>B86</f>
        <v>Last Name</v>
      </c>
      <c r="C512" s="197"/>
      <c r="G512" s="19" t="s">
        <v>94</v>
      </c>
      <c r="H512" s="14" t="s">
        <v>14</v>
      </c>
      <c r="I512" s="125"/>
      <c r="J512" s="145"/>
      <c r="K512" s="145"/>
    </row>
    <row r="513" spans="1:23" ht="45" hidden="1" customHeight="1" outlineLevel="3" x14ac:dyDescent="0.25">
      <c r="B513" s="22" t="str">
        <f>B90</f>
        <v>Relationship</v>
      </c>
      <c r="C513" s="197"/>
      <c r="E513" s="14" t="s">
        <v>1127</v>
      </c>
      <c r="G513" s="12" t="s">
        <v>123</v>
      </c>
      <c r="H513" s="14" t="s">
        <v>29</v>
      </c>
      <c r="I513" s="125"/>
      <c r="J513" s="145"/>
      <c r="K513" s="145"/>
    </row>
    <row r="514" spans="1:23" ht="45" hidden="1" customHeight="1" outlineLevel="3" x14ac:dyDescent="0.25">
      <c r="B514" s="22" t="str">
        <f>B93</f>
        <v>Gender</v>
      </c>
      <c r="C514" s="197"/>
      <c r="E514" s="14" t="s">
        <v>536</v>
      </c>
      <c r="G514" s="12" t="s">
        <v>96</v>
      </c>
      <c r="H514" s="14" t="s">
        <v>29</v>
      </c>
      <c r="I514" s="125"/>
      <c r="J514" s="145"/>
      <c r="K514" s="145"/>
    </row>
    <row r="515" spans="1:23" ht="45" hidden="1" customHeight="1" outlineLevel="3" x14ac:dyDescent="0.25">
      <c r="B515" s="21"/>
      <c r="C515" s="197"/>
      <c r="E515" s="14" t="s">
        <v>538</v>
      </c>
      <c r="G515" s="19" t="s">
        <v>440</v>
      </c>
      <c r="H515" s="14" t="s">
        <v>29</v>
      </c>
      <c r="I515" s="125"/>
      <c r="J515" s="145"/>
      <c r="K515" s="145"/>
    </row>
    <row r="516" spans="1:23" ht="45" hidden="1" customHeight="1" outlineLevel="3" x14ac:dyDescent="0.25">
      <c r="B516" s="22" t="str">
        <f>B95</f>
        <v>DOB</v>
      </c>
      <c r="C516" s="197"/>
      <c r="G516" s="12" t="s">
        <v>125</v>
      </c>
      <c r="H516" s="14" t="s">
        <v>14</v>
      </c>
      <c r="I516" s="125"/>
      <c r="J516" s="145"/>
      <c r="K516" s="145"/>
    </row>
    <row r="517" spans="1:23" ht="45" hidden="1" customHeight="1" outlineLevel="3" x14ac:dyDescent="0.25">
      <c r="B517" s="22" t="str">
        <f>B96</f>
        <v>SSN</v>
      </c>
      <c r="C517" s="197"/>
      <c r="E517" s="14" t="s">
        <v>459</v>
      </c>
      <c r="G517" s="19" t="s">
        <v>97</v>
      </c>
      <c r="H517" s="14" t="s">
        <v>14</v>
      </c>
      <c r="I517" s="125"/>
      <c r="J517" s="145"/>
      <c r="K517" s="145"/>
    </row>
    <row r="518" spans="1:23" ht="45" hidden="1" customHeight="1" outlineLevel="3" x14ac:dyDescent="0.25">
      <c r="B518" s="21"/>
      <c r="C518" s="197"/>
      <c r="E518" s="14" t="s">
        <v>507</v>
      </c>
      <c r="G518" s="19" t="s">
        <v>506</v>
      </c>
      <c r="H518" s="14" t="s">
        <v>489</v>
      </c>
      <c r="I518" s="144"/>
      <c r="J518" s="178"/>
      <c r="K518" s="225"/>
    </row>
    <row r="519" spans="1:23" ht="45" hidden="1" customHeight="1" outlineLevel="3" x14ac:dyDescent="0.25">
      <c r="B519" s="21"/>
      <c r="C519" s="197"/>
      <c r="E519" s="14" t="s">
        <v>500</v>
      </c>
      <c r="G519" s="13" t="s">
        <v>484</v>
      </c>
      <c r="H519" s="14" t="s">
        <v>29</v>
      </c>
      <c r="I519" s="141" t="s">
        <v>485</v>
      </c>
      <c r="J519" s="147"/>
      <c r="K519" s="174"/>
      <c r="M519" s="18"/>
      <c r="N519" s="18"/>
    </row>
    <row r="520" spans="1:23" ht="45" hidden="1" customHeight="1" outlineLevel="3" x14ac:dyDescent="0.25">
      <c r="B520" s="21"/>
      <c r="C520" s="197"/>
      <c r="E520" s="14" t="s">
        <v>500</v>
      </c>
      <c r="G520" s="13" t="s">
        <v>486</v>
      </c>
      <c r="H520" s="14" t="s">
        <v>29</v>
      </c>
      <c r="I520" s="141" t="s">
        <v>485</v>
      </c>
      <c r="J520" s="147"/>
      <c r="K520" s="174"/>
    </row>
    <row r="521" spans="1:23" ht="45" hidden="1" customHeight="1" outlineLevel="3" x14ac:dyDescent="0.25">
      <c r="B521" s="21"/>
      <c r="C521" s="197"/>
      <c r="E521" s="14" t="s">
        <v>500</v>
      </c>
      <c r="G521" s="13" t="s">
        <v>487</v>
      </c>
      <c r="H521" s="14" t="s">
        <v>29</v>
      </c>
      <c r="I521" s="141" t="s">
        <v>485</v>
      </c>
      <c r="J521" s="147"/>
      <c r="K521" s="174"/>
      <c r="M521" s="18"/>
      <c r="N521" s="18"/>
    </row>
    <row r="522" spans="1:23" ht="45" hidden="1" customHeight="1" outlineLevel="3" x14ac:dyDescent="0.25">
      <c r="B522" s="21"/>
      <c r="C522" s="197"/>
      <c r="E522" s="14" t="s">
        <v>501</v>
      </c>
      <c r="G522" s="12" t="s">
        <v>488</v>
      </c>
      <c r="H522" s="14" t="s">
        <v>558</v>
      </c>
      <c r="I522" s="141" t="s">
        <v>475</v>
      </c>
      <c r="J522" s="147"/>
      <c r="K522" s="174"/>
    </row>
    <row r="523" spans="1:23" ht="45" hidden="1" customHeight="1" outlineLevel="3" x14ac:dyDescent="0.25">
      <c r="B523" s="21"/>
      <c r="C523" s="197"/>
      <c r="E523" s="14" t="s">
        <v>501</v>
      </c>
      <c r="G523" s="13" t="s">
        <v>492</v>
      </c>
      <c r="H523" s="14" t="s">
        <v>558</v>
      </c>
      <c r="I523" s="141" t="s">
        <v>475</v>
      </c>
      <c r="J523" s="147"/>
      <c r="K523" s="174"/>
    </row>
    <row r="524" spans="1:23" ht="45" hidden="1" customHeight="1" outlineLevel="3" x14ac:dyDescent="0.25">
      <c r="B524" s="21"/>
      <c r="C524" s="197"/>
      <c r="E524" s="14" t="s">
        <v>501</v>
      </c>
      <c r="G524" s="19" t="s">
        <v>539</v>
      </c>
      <c r="H524" s="14" t="s">
        <v>489</v>
      </c>
      <c r="I524" s="143" t="s">
        <v>76</v>
      </c>
      <c r="J524" s="176"/>
      <c r="K524" s="177"/>
    </row>
    <row r="525" spans="1:23" ht="45" hidden="1" customHeight="1" outlineLevel="3" x14ac:dyDescent="0.25">
      <c r="B525" s="21"/>
      <c r="C525" s="197"/>
      <c r="E525" s="14" t="s">
        <v>501</v>
      </c>
      <c r="G525" s="19" t="s">
        <v>508</v>
      </c>
      <c r="H525" s="14" t="s">
        <v>489</v>
      </c>
      <c r="I525" s="143" t="s">
        <v>76</v>
      </c>
      <c r="J525" s="176"/>
      <c r="K525" s="177"/>
    </row>
    <row r="526" spans="1:23" ht="45" hidden="1" customHeight="1" outlineLevel="3" x14ac:dyDescent="0.25"/>
    <row r="527" spans="1:23" ht="45" hidden="1" customHeight="1" outlineLevel="2" x14ac:dyDescent="0.25">
      <c r="A527" s="53" t="s">
        <v>534</v>
      </c>
      <c r="B527" s="55"/>
      <c r="C527" s="206"/>
      <c r="E527" s="55"/>
      <c r="G527" s="55"/>
      <c r="H527" s="56"/>
      <c r="I527" s="133"/>
      <c r="J527" s="133"/>
      <c r="L527" s="55"/>
      <c r="M527" s="55"/>
      <c r="N527" s="55"/>
      <c r="O527" s="55"/>
      <c r="P527" s="55"/>
      <c r="Q527" s="55"/>
      <c r="R527" s="55"/>
      <c r="S527" s="55"/>
      <c r="T527" s="55"/>
      <c r="U527" s="55"/>
      <c r="V527" s="55"/>
      <c r="W527" s="55"/>
    </row>
    <row r="528" spans="1:23" ht="45" hidden="1" customHeight="1" outlineLevel="3" x14ac:dyDescent="0.25">
      <c r="B528" s="7"/>
    </row>
    <row r="529" spans="1:23" ht="45" hidden="1" customHeight="1" outlineLevel="3" x14ac:dyDescent="0.25">
      <c r="B529" s="114" t="s">
        <v>518</v>
      </c>
      <c r="C529" s="207"/>
      <c r="E529" s="14" t="s">
        <v>571</v>
      </c>
      <c r="G529" s="19" t="s">
        <v>441</v>
      </c>
      <c r="H529" s="14" t="s">
        <v>29</v>
      </c>
      <c r="I529" s="125"/>
      <c r="J529" s="145"/>
      <c r="K529" s="145"/>
    </row>
    <row r="530" spans="1:23" ht="45" hidden="1" customHeight="1" outlineLevel="3" x14ac:dyDescent="0.25">
      <c r="B530" s="114" t="s">
        <v>519</v>
      </c>
      <c r="C530" s="207"/>
      <c r="E530" s="14" t="s">
        <v>574</v>
      </c>
      <c r="G530" s="19" t="s">
        <v>442</v>
      </c>
      <c r="H530" s="14" t="s">
        <v>29</v>
      </c>
      <c r="I530" s="125"/>
      <c r="J530" s="145"/>
      <c r="K530" s="145"/>
    </row>
    <row r="531" spans="1:23" ht="45" hidden="1" customHeight="1" outlineLevel="3" x14ac:dyDescent="0.25">
      <c r="B531" s="114" t="s">
        <v>520</v>
      </c>
      <c r="C531" s="207"/>
      <c r="E531" s="14" t="s">
        <v>575</v>
      </c>
      <c r="G531" s="19" t="s">
        <v>439</v>
      </c>
      <c r="H531" s="14" t="s">
        <v>14</v>
      </c>
      <c r="I531" s="125"/>
      <c r="J531" s="145"/>
      <c r="K531" s="145"/>
    </row>
    <row r="532" spans="1:23" ht="45" hidden="1" customHeight="1" outlineLevel="3" x14ac:dyDescent="0.25">
      <c r="B532" s="114" t="s">
        <v>521</v>
      </c>
      <c r="C532" s="207"/>
      <c r="E532" s="14" t="s">
        <v>576</v>
      </c>
      <c r="G532" s="19" t="s">
        <v>103</v>
      </c>
      <c r="H532" s="14" t="s">
        <v>14</v>
      </c>
      <c r="I532" s="125"/>
      <c r="J532" s="145"/>
      <c r="K532" s="145"/>
    </row>
    <row r="533" spans="1:23" ht="45" hidden="1" customHeight="1" outlineLevel="3" x14ac:dyDescent="0.25">
      <c r="B533" s="114" t="s">
        <v>522</v>
      </c>
      <c r="C533" s="207"/>
      <c r="G533" s="19" t="s">
        <v>104</v>
      </c>
      <c r="H533" s="14" t="s">
        <v>14</v>
      </c>
      <c r="I533" s="125"/>
      <c r="J533" s="145"/>
      <c r="K533" s="145"/>
    </row>
    <row r="534" spans="1:23" ht="45" hidden="1" customHeight="1" outlineLevel="3" x14ac:dyDescent="0.25">
      <c r="B534" s="114" t="s">
        <v>6</v>
      </c>
      <c r="C534" s="207"/>
      <c r="G534" s="19" t="s">
        <v>105</v>
      </c>
      <c r="H534" s="14" t="s">
        <v>14</v>
      </c>
      <c r="I534" s="125"/>
      <c r="J534" s="145"/>
      <c r="K534" s="145"/>
    </row>
    <row r="535" spans="1:23" ht="45" hidden="1" customHeight="1" outlineLevel="3" x14ac:dyDescent="0.25">
      <c r="B535" s="114" t="s">
        <v>7</v>
      </c>
      <c r="C535" s="207"/>
      <c r="G535" s="19" t="s">
        <v>106</v>
      </c>
      <c r="H535" s="14" t="s">
        <v>29</v>
      </c>
      <c r="I535" s="125"/>
      <c r="J535" s="145"/>
      <c r="K535" s="145"/>
    </row>
    <row r="536" spans="1:23" ht="45" hidden="1" customHeight="1" outlineLevel="3" x14ac:dyDescent="0.25">
      <c r="B536" s="114" t="s">
        <v>523</v>
      </c>
      <c r="C536" s="207"/>
      <c r="G536" s="19" t="s">
        <v>107</v>
      </c>
      <c r="H536" s="14" t="s">
        <v>14</v>
      </c>
      <c r="I536" s="125"/>
      <c r="J536" s="145"/>
      <c r="K536" s="145"/>
    </row>
    <row r="537" spans="1:23" ht="45" hidden="1" customHeight="1" outlineLevel="3" x14ac:dyDescent="0.25"/>
    <row r="538" spans="1:23" ht="45" hidden="1" customHeight="1" outlineLevel="2" x14ac:dyDescent="0.25">
      <c r="A538" s="53" t="s">
        <v>468</v>
      </c>
      <c r="B538" s="54"/>
      <c r="C538" s="206"/>
      <c r="E538" s="55"/>
      <c r="G538" s="55"/>
      <c r="H538" s="56"/>
      <c r="I538" s="133"/>
      <c r="J538" s="133"/>
      <c r="L538" s="55"/>
      <c r="M538" s="55"/>
      <c r="N538" s="55"/>
      <c r="O538" s="55"/>
      <c r="P538" s="55"/>
      <c r="Q538" s="55"/>
      <c r="R538" s="55"/>
      <c r="S538" s="55"/>
      <c r="T538" s="55"/>
      <c r="U538" s="55"/>
      <c r="V538" s="55"/>
      <c r="W538" s="55"/>
    </row>
    <row r="539" spans="1:23" ht="45" hidden="1" customHeight="1" outlineLevel="4" x14ac:dyDescent="0.25"/>
    <row r="540" spans="1:23" ht="45" hidden="1" customHeight="1" outlineLevel="4" x14ac:dyDescent="0.25">
      <c r="B540" s="10" t="s">
        <v>170</v>
      </c>
      <c r="C540" s="207"/>
      <c r="E540" s="14" t="s">
        <v>1090</v>
      </c>
      <c r="G540" s="19" t="s">
        <v>566</v>
      </c>
      <c r="H540" s="14" t="s">
        <v>29</v>
      </c>
      <c r="I540" s="125"/>
      <c r="J540" s="145"/>
      <c r="K540" s="145"/>
      <c r="T540" s="2" t="s">
        <v>1193</v>
      </c>
      <c r="U540" s="2" t="s">
        <v>1087</v>
      </c>
    </row>
    <row r="541" spans="1:23" ht="45" hidden="1" customHeight="1" outlineLevel="4" x14ac:dyDescent="0.25">
      <c r="B541" s="77" t="str">
        <f>B540</f>
        <v>Plan Name</v>
      </c>
      <c r="C541" s="207"/>
      <c r="E541" s="14" t="s">
        <v>1089</v>
      </c>
      <c r="G541" s="19" t="s">
        <v>540</v>
      </c>
      <c r="H541" s="14" t="s">
        <v>29</v>
      </c>
      <c r="I541" s="148"/>
      <c r="J541" s="179"/>
      <c r="K541" s="180"/>
    </row>
    <row r="542" spans="1:23" ht="45" hidden="1" customHeight="1" outlineLevel="4" x14ac:dyDescent="0.25">
      <c r="B542" s="77" t="str">
        <f>B540</f>
        <v>Plan Name</v>
      </c>
      <c r="C542" s="207"/>
      <c r="E542" s="14" t="s">
        <v>1088</v>
      </c>
      <c r="G542" s="19" t="s">
        <v>567</v>
      </c>
      <c r="H542" s="14" t="s">
        <v>29</v>
      </c>
      <c r="I542" s="125"/>
      <c r="J542" s="145"/>
      <c r="K542" s="145"/>
    </row>
    <row r="543" spans="1:23" ht="45" hidden="1" customHeight="1" outlineLevel="4" x14ac:dyDescent="0.25">
      <c r="B543" s="77" t="str">
        <f>B540</f>
        <v>Plan Name</v>
      </c>
      <c r="E543" s="14" t="s">
        <v>1088</v>
      </c>
      <c r="G543" s="19" t="s">
        <v>541</v>
      </c>
      <c r="H543" s="14" t="s">
        <v>29</v>
      </c>
      <c r="I543" s="148"/>
      <c r="J543" s="179"/>
      <c r="K543" s="180"/>
    </row>
    <row r="544" spans="1:23" ht="45" hidden="1" customHeight="1" outlineLevel="4" x14ac:dyDescent="0.25"/>
    <row r="545" spans="1:23" s="74" customFormat="1" ht="45" hidden="1" customHeight="1" outlineLevel="1" x14ac:dyDescent="0.25">
      <c r="A545" s="68" t="s">
        <v>578</v>
      </c>
      <c r="B545" s="69"/>
      <c r="C545" s="208"/>
      <c r="E545" s="70"/>
      <c r="G545" s="69"/>
      <c r="H545" s="71"/>
      <c r="I545" s="134"/>
      <c r="J545" s="134"/>
      <c r="K545" s="140"/>
      <c r="L545" s="69"/>
      <c r="M545" s="69"/>
      <c r="N545" s="69"/>
      <c r="O545" s="69"/>
      <c r="P545" s="69"/>
      <c r="Q545" s="69"/>
      <c r="R545" s="69"/>
      <c r="S545" s="69"/>
      <c r="T545" s="69"/>
      <c r="U545" s="69"/>
      <c r="V545" s="69"/>
      <c r="W545" s="69"/>
    </row>
    <row r="546" spans="1:23" ht="45" hidden="1" customHeight="1" outlineLevel="2" x14ac:dyDescent="0.25">
      <c r="A546" s="83" t="s">
        <v>535</v>
      </c>
      <c r="B546" s="84"/>
      <c r="C546" s="209"/>
      <c r="E546" s="83"/>
      <c r="G546" s="83"/>
      <c r="H546" s="83"/>
      <c r="I546" s="135"/>
      <c r="J546" s="135"/>
      <c r="L546" s="83"/>
      <c r="M546" s="83"/>
      <c r="N546" s="83"/>
      <c r="O546" s="83"/>
      <c r="P546" s="83"/>
      <c r="Q546" s="83"/>
      <c r="R546" s="83"/>
      <c r="S546" s="83"/>
      <c r="T546" s="83"/>
      <c r="U546" s="83"/>
      <c r="V546" s="83"/>
      <c r="W546" s="83"/>
    </row>
    <row r="547" spans="1:23" ht="45" hidden="1" customHeight="1" outlineLevel="3" x14ac:dyDescent="0.25"/>
    <row r="548" spans="1:23" ht="45" hidden="1" customHeight="1" outlineLevel="3" x14ac:dyDescent="0.25">
      <c r="B548" s="21" t="str">
        <f>G548</f>
        <v>Cancel Date:</v>
      </c>
      <c r="C548" s="202"/>
      <c r="E548" s="14" t="s">
        <v>1111</v>
      </c>
      <c r="G548" s="12" t="s">
        <v>543</v>
      </c>
      <c r="H548" s="14" t="s">
        <v>14</v>
      </c>
      <c r="I548" s="149"/>
      <c r="J548" s="149"/>
      <c r="N548" s="18"/>
    </row>
    <row r="549" spans="1:23" ht="45" hidden="1" customHeight="1" outlineLevel="3" x14ac:dyDescent="0.25">
      <c r="B549" s="21" t="str">
        <f>G549</f>
        <v>Cancel Reason:</v>
      </c>
      <c r="C549" s="202"/>
      <c r="E549" s="14" t="s">
        <v>1111</v>
      </c>
      <c r="G549" s="102" t="s">
        <v>544</v>
      </c>
      <c r="H549" s="14" t="s">
        <v>14</v>
      </c>
      <c r="I549" s="149"/>
      <c r="J549" s="149"/>
      <c r="M549" s="18"/>
      <c r="N549" s="18"/>
    </row>
    <row r="550" spans="1:23" ht="45" hidden="1" customHeight="1" outlineLevel="3" x14ac:dyDescent="0.25">
      <c r="B550" s="77" t="str">
        <f>B502</f>
        <v>Enrollment Start Date</v>
      </c>
      <c r="C550" s="197"/>
      <c r="E550" s="14" t="s">
        <v>548</v>
      </c>
      <c r="G550" s="12" t="s">
        <v>444</v>
      </c>
      <c r="H550" s="14" t="s">
        <v>14</v>
      </c>
      <c r="I550" s="125"/>
      <c r="J550" s="145"/>
      <c r="K550" s="145"/>
      <c r="N550" s="18"/>
    </row>
    <row r="551" spans="1:23" ht="45" hidden="1" customHeight="1" outlineLevel="3" x14ac:dyDescent="0.25">
      <c r="B551" s="6"/>
      <c r="C551" s="207"/>
      <c r="H551" s="18"/>
    </row>
    <row r="552" spans="1:23" ht="45" hidden="1" customHeight="1" outlineLevel="3" x14ac:dyDescent="0.25">
      <c r="B552" s="6"/>
      <c r="C552" s="207"/>
      <c r="H552" s="18"/>
    </row>
    <row r="553" spans="1:23" ht="45" hidden="1" customHeight="1" outlineLevel="3" x14ac:dyDescent="0.25">
      <c r="B553" s="5"/>
      <c r="H553" s="1"/>
    </row>
    <row r="554" spans="1:23" ht="45" hidden="1" customHeight="1" outlineLevel="2" x14ac:dyDescent="0.25">
      <c r="A554" s="83" t="s">
        <v>463</v>
      </c>
      <c r="B554" s="84"/>
      <c r="C554" s="209"/>
      <c r="E554" s="83"/>
      <c r="G554" s="83"/>
      <c r="H554" s="83"/>
      <c r="I554" s="135"/>
      <c r="J554" s="135"/>
      <c r="L554" s="83"/>
      <c r="M554" s="83"/>
      <c r="N554" s="83"/>
      <c r="O554" s="83"/>
      <c r="P554" s="83"/>
      <c r="Q554" s="83"/>
      <c r="R554" s="83"/>
      <c r="S554" s="83"/>
      <c r="T554" s="83"/>
      <c r="U554" s="83"/>
      <c r="V554" s="83"/>
      <c r="W554" s="83"/>
    </row>
    <row r="555" spans="1:23" ht="45" hidden="1" customHeight="1" outlineLevel="3" x14ac:dyDescent="0.25">
      <c r="B555" s="5"/>
      <c r="H555" s="1"/>
    </row>
    <row r="556" spans="1:23" ht="45" hidden="1" customHeight="1" outlineLevel="3" x14ac:dyDescent="0.25">
      <c r="B556" s="5"/>
      <c r="E556" s="14" t="s">
        <v>542</v>
      </c>
      <c r="G556" s="12" t="s">
        <v>89</v>
      </c>
      <c r="H556" s="14" t="s">
        <v>14</v>
      </c>
      <c r="I556" s="148" t="s">
        <v>477</v>
      </c>
      <c r="J556" s="179"/>
      <c r="K556" s="180"/>
      <c r="M556" s="87" t="s">
        <v>472</v>
      </c>
    </row>
    <row r="557" spans="1:23" ht="45" hidden="1" customHeight="1" outlineLevel="3" x14ac:dyDescent="0.25">
      <c r="B557" s="5"/>
      <c r="E557" s="14" t="s">
        <v>524</v>
      </c>
      <c r="G557" s="12" t="s">
        <v>90</v>
      </c>
      <c r="H557" s="14" t="s">
        <v>14</v>
      </c>
      <c r="I557" s="141" t="s">
        <v>31</v>
      </c>
      <c r="J557" s="147"/>
      <c r="K557" s="174"/>
    </row>
    <row r="558" spans="1:23" ht="45" hidden="1" customHeight="1" outlineLevel="3" x14ac:dyDescent="0.25">
      <c r="B558" s="5"/>
      <c r="E558" s="14" t="s">
        <v>577</v>
      </c>
      <c r="G558" s="12" t="s">
        <v>91</v>
      </c>
      <c r="H558" s="14" t="s">
        <v>29</v>
      </c>
      <c r="I558" s="125"/>
      <c r="J558" s="145"/>
      <c r="K558" s="145"/>
    </row>
    <row r="559" spans="1:23" ht="45" hidden="1" customHeight="1" outlineLevel="3" x14ac:dyDescent="0.25">
      <c r="B559" s="5"/>
      <c r="E559" s="14" t="s">
        <v>527</v>
      </c>
      <c r="G559" s="19" t="s">
        <v>525</v>
      </c>
      <c r="H559" s="14" t="s">
        <v>435</v>
      </c>
      <c r="I559" s="150" t="s">
        <v>75</v>
      </c>
      <c r="J559" s="174"/>
      <c r="K559" s="174"/>
    </row>
    <row r="560" spans="1:23" ht="45" hidden="1" customHeight="1" outlineLevel="3" x14ac:dyDescent="0.25">
      <c r="B560" s="5"/>
      <c r="E560" s="14" t="s">
        <v>526</v>
      </c>
      <c r="G560" s="19" t="s">
        <v>474</v>
      </c>
      <c r="H560" s="14" t="s">
        <v>29</v>
      </c>
      <c r="I560" s="141" t="s">
        <v>475</v>
      </c>
      <c r="J560" s="147"/>
      <c r="K560" s="174"/>
    </row>
    <row r="561" spans="2:13" ht="45" hidden="1" customHeight="1" outlineLevel="3" x14ac:dyDescent="0.25">
      <c r="B561" s="5"/>
      <c r="G561" s="12" t="s">
        <v>467</v>
      </c>
      <c r="H561" s="14" t="s">
        <v>14</v>
      </c>
      <c r="I561" s="125"/>
      <c r="J561" s="145"/>
      <c r="K561" s="145"/>
      <c r="M561" s="14"/>
    </row>
    <row r="562" spans="2:13" ht="45" hidden="1" customHeight="1" outlineLevel="3" x14ac:dyDescent="0.25">
      <c r="B562" s="5"/>
      <c r="G562" s="19" t="s">
        <v>528</v>
      </c>
      <c r="H562" s="14" t="s">
        <v>14</v>
      </c>
      <c r="I562" s="125"/>
      <c r="J562" s="145"/>
      <c r="K562" s="145"/>
    </row>
    <row r="563" spans="2:13" ht="45" hidden="1" customHeight="1" outlineLevel="3" x14ac:dyDescent="0.25">
      <c r="E563" s="18"/>
      <c r="G563" s="12" t="s">
        <v>93</v>
      </c>
      <c r="H563" s="14" t="s">
        <v>14</v>
      </c>
      <c r="I563" s="125"/>
      <c r="J563" s="145"/>
      <c r="K563" s="145"/>
    </row>
    <row r="564" spans="2:13" ht="45" hidden="1" customHeight="1" outlineLevel="3" x14ac:dyDescent="0.25">
      <c r="E564" s="18"/>
      <c r="G564" s="19" t="s">
        <v>94</v>
      </c>
      <c r="H564" s="14" t="s">
        <v>14</v>
      </c>
      <c r="I564" s="125"/>
      <c r="J564" s="145"/>
      <c r="K564" s="145"/>
    </row>
    <row r="565" spans="2:13" ht="45" hidden="1" customHeight="1" outlineLevel="3" x14ac:dyDescent="0.25">
      <c r="E565" s="18"/>
      <c r="G565" s="12" t="s">
        <v>95</v>
      </c>
      <c r="H565" s="14" t="s">
        <v>14</v>
      </c>
      <c r="I565" s="125"/>
      <c r="J565" s="145"/>
      <c r="K565" s="145"/>
    </row>
    <row r="566" spans="2:13" ht="45" hidden="1" customHeight="1" outlineLevel="3" x14ac:dyDescent="0.25">
      <c r="E566" s="81"/>
      <c r="G566" s="19" t="s">
        <v>155</v>
      </c>
      <c r="H566" s="14" t="s">
        <v>14</v>
      </c>
      <c r="I566" s="125"/>
      <c r="J566" s="145"/>
      <c r="K566" s="145"/>
    </row>
    <row r="567" spans="2:13" ht="45" hidden="1" customHeight="1" outlineLevel="3" x14ac:dyDescent="0.25">
      <c r="E567" s="14" t="s">
        <v>536</v>
      </c>
      <c r="G567" s="12" t="s">
        <v>96</v>
      </c>
      <c r="H567" s="14" t="s">
        <v>29</v>
      </c>
      <c r="I567" s="125"/>
      <c r="J567" s="145"/>
      <c r="K567" s="145"/>
    </row>
    <row r="568" spans="2:13" ht="45" hidden="1" customHeight="1" outlineLevel="3" x14ac:dyDescent="0.25">
      <c r="E568" s="18"/>
      <c r="G568" s="12" t="s">
        <v>97</v>
      </c>
      <c r="H568" s="14" t="s">
        <v>14</v>
      </c>
      <c r="I568" s="125"/>
      <c r="J568" s="145"/>
      <c r="K568" s="145"/>
      <c r="M568" s="14"/>
    </row>
    <row r="569" spans="2:13" ht="45" hidden="1" customHeight="1" outlineLevel="3" x14ac:dyDescent="0.25">
      <c r="E569" s="18"/>
      <c r="G569" s="12" t="s">
        <v>98</v>
      </c>
      <c r="H569" s="14" t="s">
        <v>14</v>
      </c>
      <c r="I569" s="125"/>
      <c r="J569" s="145"/>
      <c r="K569" s="145"/>
      <c r="M569" s="14"/>
    </row>
    <row r="570" spans="2:13" ht="45" hidden="1" customHeight="1" outlineLevel="3" x14ac:dyDescent="0.25">
      <c r="G570" s="3" t="s">
        <v>99</v>
      </c>
      <c r="H570" s="14" t="s">
        <v>29</v>
      </c>
      <c r="I570" s="125"/>
      <c r="J570" s="145"/>
      <c r="K570" s="145"/>
    </row>
    <row r="571" spans="2:13" ht="45" hidden="1" customHeight="1" outlineLevel="3" x14ac:dyDescent="0.25">
      <c r="E571" s="18"/>
      <c r="G571" s="12" t="s">
        <v>100</v>
      </c>
      <c r="H571" s="14" t="s">
        <v>14</v>
      </c>
      <c r="I571" s="125"/>
      <c r="J571" s="145"/>
      <c r="K571" s="145"/>
      <c r="M571" s="14"/>
    </row>
    <row r="572" spans="2:13" ht="45" hidden="1" customHeight="1" outlineLevel="3" x14ac:dyDescent="0.25">
      <c r="E572" s="14" t="s">
        <v>530</v>
      </c>
      <c r="G572" s="12" t="s">
        <v>529</v>
      </c>
      <c r="H572" s="14" t="s">
        <v>29</v>
      </c>
      <c r="I572" s="141" t="s">
        <v>58</v>
      </c>
      <c r="J572" s="147"/>
      <c r="K572" s="174"/>
    </row>
    <row r="573" spans="2:13" ht="45" hidden="1" customHeight="1" outlineLevel="3" x14ac:dyDescent="0.25">
      <c r="G573" s="12" t="s">
        <v>102</v>
      </c>
      <c r="H573" s="14" t="s">
        <v>29</v>
      </c>
      <c r="I573" s="125"/>
      <c r="J573" s="145"/>
      <c r="K573" s="145"/>
    </row>
    <row r="574" spans="2:13" ht="45" hidden="1" customHeight="1" outlineLevel="3" x14ac:dyDescent="0.25">
      <c r="E574" s="18"/>
      <c r="G574" s="12" t="s">
        <v>484</v>
      </c>
      <c r="H574" s="14" t="s">
        <v>29</v>
      </c>
      <c r="I574" s="141" t="s">
        <v>485</v>
      </c>
      <c r="J574" s="147"/>
      <c r="K574" s="174"/>
    </row>
    <row r="575" spans="2:13" ht="45" hidden="1" customHeight="1" outlineLevel="3" x14ac:dyDescent="0.25">
      <c r="E575" s="18"/>
      <c r="G575" s="12" t="s">
        <v>486</v>
      </c>
      <c r="H575" s="14" t="s">
        <v>29</v>
      </c>
      <c r="I575" s="141" t="s">
        <v>485</v>
      </c>
      <c r="J575" s="147"/>
      <c r="K575" s="174"/>
    </row>
    <row r="576" spans="2:13" ht="45" hidden="1" customHeight="1" outlineLevel="3" x14ac:dyDescent="0.25">
      <c r="E576" s="18"/>
      <c r="G576" s="12" t="s">
        <v>487</v>
      </c>
      <c r="H576" s="14" t="s">
        <v>29</v>
      </c>
      <c r="I576" s="141" t="s">
        <v>485</v>
      </c>
      <c r="J576" s="147"/>
      <c r="K576" s="174"/>
    </row>
    <row r="577" spans="5:18" ht="45" hidden="1" customHeight="1" outlineLevel="3" x14ac:dyDescent="0.25">
      <c r="E577" s="18"/>
      <c r="G577" s="12" t="s">
        <v>488</v>
      </c>
      <c r="H577" s="14" t="s">
        <v>489</v>
      </c>
      <c r="I577" s="125" t="s">
        <v>490</v>
      </c>
      <c r="J577" s="145"/>
      <c r="K577" s="145"/>
      <c r="M577" s="85" t="s">
        <v>475</v>
      </c>
      <c r="N577" s="91"/>
    </row>
    <row r="578" spans="5:18" ht="45" hidden="1" customHeight="1" outlineLevel="3" x14ac:dyDescent="0.25">
      <c r="E578" s="18"/>
      <c r="G578" s="12" t="s">
        <v>492</v>
      </c>
      <c r="H578" s="14" t="s">
        <v>489</v>
      </c>
      <c r="I578" s="129" t="s">
        <v>493</v>
      </c>
      <c r="J578" s="180"/>
      <c r="K578" s="180"/>
      <c r="M578" s="14" t="s">
        <v>495</v>
      </c>
      <c r="N578" s="14" t="s">
        <v>496</v>
      </c>
      <c r="O578" s="14" t="s">
        <v>497</v>
      </c>
      <c r="P578" s="14" t="s">
        <v>498</v>
      </c>
      <c r="Q578" s="14" t="s">
        <v>499</v>
      </c>
      <c r="R578" s="85" t="s">
        <v>475</v>
      </c>
    </row>
    <row r="579" spans="5:18" ht="45" hidden="1" customHeight="1" outlineLevel="3" x14ac:dyDescent="0.25">
      <c r="E579" s="18"/>
      <c r="G579" s="20" t="s">
        <v>442</v>
      </c>
      <c r="H579" s="14" t="s">
        <v>29</v>
      </c>
      <c r="I579" s="141" t="s">
        <v>502</v>
      </c>
      <c r="J579" s="147"/>
      <c r="K579" s="174"/>
    </row>
    <row r="580" spans="5:18" ht="45" hidden="1" customHeight="1" outlineLevel="3" x14ac:dyDescent="0.25">
      <c r="E580" s="18"/>
      <c r="G580" s="3" t="s">
        <v>503</v>
      </c>
      <c r="H580" s="14" t="s">
        <v>14</v>
      </c>
      <c r="I580" s="141"/>
      <c r="J580" s="147"/>
      <c r="K580" s="174"/>
    </row>
    <row r="581" spans="5:18" ht="45" hidden="1" customHeight="1" outlineLevel="3" x14ac:dyDescent="0.25">
      <c r="E581" s="18"/>
      <c r="G581" s="12" t="s">
        <v>103</v>
      </c>
      <c r="H581" s="14" t="s">
        <v>14</v>
      </c>
      <c r="I581" s="125"/>
      <c r="J581" s="145"/>
      <c r="K581" s="145"/>
    </row>
    <row r="582" spans="5:18" ht="45" hidden="1" customHeight="1" outlineLevel="3" x14ac:dyDescent="0.25">
      <c r="E582" s="18"/>
      <c r="G582" s="3" t="s">
        <v>104</v>
      </c>
      <c r="H582" s="14" t="s">
        <v>14</v>
      </c>
      <c r="I582" s="125"/>
      <c r="J582" s="145"/>
      <c r="K582" s="145"/>
    </row>
    <row r="583" spans="5:18" ht="45" hidden="1" customHeight="1" outlineLevel="3" x14ac:dyDescent="0.25">
      <c r="E583" s="18"/>
      <c r="G583" s="12" t="s">
        <v>105</v>
      </c>
      <c r="H583" s="14" t="s">
        <v>14</v>
      </c>
      <c r="I583" s="125"/>
      <c r="J583" s="145"/>
      <c r="K583" s="145"/>
    </row>
    <row r="584" spans="5:18" ht="45" hidden="1" customHeight="1" outlineLevel="3" x14ac:dyDescent="0.25">
      <c r="G584" s="12" t="s">
        <v>106</v>
      </c>
      <c r="H584" s="14" t="s">
        <v>29</v>
      </c>
      <c r="I584" s="125"/>
      <c r="J584" s="145"/>
      <c r="K584" s="145"/>
    </row>
    <row r="585" spans="5:18" ht="45" hidden="1" customHeight="1" outlineLevel="3" x14ac:dyDescent="0.25">
      <c r="E585" s="18"/>
      <c r="G585" s="12" t="s">
        <v>107</v>
      </c>
      <c r="H585" s="14" t="s">
        <v>14</v>
      </c>
      <c r="I585" s="125"/>
      <c r="J585" s="145"/>
      <c r="K585" s="145"/>
    </row>
    <row r="586" spans="5:18" ht="45" hidden="1" customHeight="1" outlineLevel="3" x14ac:dyDescent="0.25">
      <c r="E586" s="18"/>
      <c r="G586" s="20" t="s">
        <v>108</v>
      </c>
      <c r="H586" s="14" t="s">
        <v>14</v>
      </c>
      <c r="I586" s="125"/>
      <c r="J586" s="145"/>
      <c r="K586" s="145"/>
      <c r="M586" s="14"/>
    </row>
    <row r="587" spans="5:18" ht="45" hidden="1" customHeight="1" outlineLevel="3" x14ac:dyDescent="0.25">
      <c r="E587" s="18"/>
      <c r="G587" s="20" t="s">
        <v>109</v>
      </c>
      <c r="H587" s="14" t="s">
        <v>14</v>
      </c>
      <c r="I587" s="125"/>
      <c r="J587" s="145"/>
      <c r="K587" s="145"/>
      <c r="M587" s="14"/>
    </row>
    <row r="588" spans="5:18" ht="45" hidden="1" customHeight="1" outlineLevel="3" x14ac:dyDescent="0.25">
      <c r="G588" s="20" t="s">
        <v>110</v>
      </c>
      <c r="H588" s="14" t="s">
        <v>14</v>
      </c>
      <c r="I588" s="125"/>
      <c r="J588" s="145"/>
      <c r="K588" s="145"/>
      <c r="M588" s="14"/>
    </row>
    <row r="589" spans="5:18" ht="45" hidden="1" customHeight="1" outlineLevel="3" x14ac:dyDescent="0.25">
      <c r="G589" s="20" t="s">
        <v>531</v>
      </c>
      <c r="H589" s="14" t="s">
        <v>14</v>
      </c>
      <c r="I589" s="145"/>
      <c r="J589" s="145"/>
      <c r="K589" s="145"/>
      <c r="M589" s="18"/>
    </row>
    <row r="590" spans="5:18" ht="45" hidden="1" customHeight="1" outlineLevel="3" x14ac:dyDescent="0.25">
      <c r="G590" s="20" t="s">
        <v>532</v>
      </c>
      <c r="H590" s="14" t="s">
        <v>14</v>
      </c>
      <c r="I590" s="125"/>
      <c r="J590" s="145"/>
      <c r="K590" s="145"/>
      <c r="M590" s="14"/>
    </row>
    <row r="591" spans="5:18" ht="45" hidden="1" customHeight="1" outlineLevel="3" x14ac:dyDescent="0.25">
      <c r="E591" s="18"/>
      <c r="G591" s="20" t="s">
        <v>113</v>
      </c>
      <c r="H591" s="14" t="s">
        <v>14</v>
      </c>
      <c r="I591" s="125"/>
      <c r="J591" s="145"/>
      <c r="K591" s="145"/>
    </row>
    <row r="592" spans="5:18" ht="45" hidden="1" customHeight="1" outlineLevel="3" x14ac:dyDescent="0.25">
      <c r="E592" s="18"/>
      <c r="H592" s="1"/>
    </row>
    <row r="593" spans="1:23" ht="45" hidden="1" customHeight="1" outlineLevel="2" x14ac:dyDescent="0.25">
      <c r="A593" s="83" t="s">
        <v>464</v>
      </c>
      <c r="B593" s="84"/>
      <c r="C593" s="209"/>
      <c r="E593" s="83"/>
      <c r="G593" s="83"/>
      <c r="H593" s="83"/>
      <c r="I593" s="135"/>
      <c r="J593" s="135"/>
      <c r="L593" s="83"/>
      <c r="M593" s="83"/>
      <c r="N593" s="83"/>
      <c r="O593" s="83"/>
      <c r="P593" s="83"/>
      <c r="Q593" s="83"/>
      <c r="R593" s="83"/>
      <c r="S593" s="83"/>
      <c r="T593" s="83"/>
      <c r="U593" s="83"/>
      <c r="V593" s="83"/>
      <c r="W593" s="83"/>
    </row>
    <row r="594" spans="1:23" ht="45" hidden="1" customHeight="1" outlineLevel="3" x14ac:dyDescent="0.25">
      <c r="E594" s="18"/>
      <c r="H594" s="1"/>
    </row>
    <row r="595" spans="1:23" ht="45" hidden="1" customHeight="1" outlineLevel="3" x14ac:dyDescent="0.25">
      <c r="B595" s="21" t="s">
        <v>517</v>
      </c>
      <c r="E595" s="14" t="s">
        <v>545</v>
      </c>
      <c r="G595" s="12" t="s">
        <v>114</v>
      </c>
      <c r="H595" s="14" t="s">
        <v>29</v>
      </c>
      <c r="I595" s="125"/>
      <c r="J595" s="145"/>
      <c r="K595" s="145"/>
    </row>
    <row r="596" spans="1:23" ht="45" hidden="1" customHeight="1" outlineLevel="3" x14ac:dyDescent="0.25">
      <c r="E596" s="14" t="s">
        <v>116</v>
      </c>
      <c r="G596" s="20" t="s">
        <v>115</v>
      </c>
      <c r="H596" s="14" t="s">
        <v>14</v>
      </c>
      <c r="I596" s="141" t="s">
        <v>75</v>
      </c>
      <c r="J596" s="147"/>
      <c r="K596" s="174"/>
    </row>
    <row r="597" spans="1:23" ht="45" hidden="1" customHeight="1" outlineLevel="3" x14ac:dyDescent="0.25">
      <c r="E597" s="14" t="s">
        <v>533</v>
      </c>
      <c r="G597" s="19" t="s">
        <v>117</v>
      </c>
      <c r="H597" s="14" t="s">
        <v>29</v>
      </c>
      <c r="I597" s="125" t="s">
        <v>65</v>
      </c>
      <c r="J597" s="145"/>
      <c r="K597" s="145"/>
    </row>
    <row r="598" spans="1:23" ht="45" hidden="1" customHeight="1" outlineLevel="3" x14ac:dyDescent="0.25">
      <c r="E598" s="18"/>
      <c r="G598" s="8"/>
      <c r="I598" s="125" t="s">
        <v>62</v>
      </c>
      <c r="J598" s="145"/>
      <c r="K598" s="145"/>
    </row>
    <row r="599" spans="1:23" ht="45" hidden="1" customHeight="1" outlineLevel="3" x14ac:dyDescent="0.25">
      <c r="G599" s="8"/>
      <c r="I599" s="125" t="s">
        <v>64</v>
      </c>
      <c r="J599" s="145"/>
      <c r="K599" s="145"/>
    </row>
    <row r="600" spans="1:23" ht="45" hidden="1" customHeight="1" outlineLevel="3" x14ac:dyDescent="0.25">
      <c r="E600" s="18"/>
      <c r="G600" s="8"/>
      <c r="I600" s="125" t="s">
        <v>63</v>
      </c>
      <c r="J600" s="145"/>
      <c r="K600" s="145"/>
    </row>
    <row r="601" spans="1:23" ht="45" hidden="1" customHeight="1" outlineLevel="3" x14ac:dyDescent="0.25">
      <c r="E601" s="18"/>
      <c r="G601" s="8"/>
      <c r="I601" s="125" t="s">
        <v>66</v>
      </c>
      <c r="J601" s="145"/>
      <c r="K601" s="145"/>
    </row>
    <row r="602" spans="1:23" ht="45" hidden="1" customHeight="1" outlineLevel="3" x14ac:dyDescent="0.25">
      <c r="E602" s="18"/>
      <c r="G602" s="8"/>
      <c r="H602" s="16"/>
      <c r="I602" s="151"/>
      <c r="J602" s="151"/>
      <c r="K602" s="151"/>
    </row>
    <row r="603" spans="1:23" ht="45" hidden="1" customHeight="1" outlineLevel="2" x14ac:dyDescent="0.25">
      <c r="A603" s="83" t="s">
        <v>465</v>
      </c>
      <c r="B603" s="84" t="s">
        <v>579</v>
      </c>
      <c r="C603" s="209"/>
      <c r="E603" s="83"/>
      <c r="G603" s="83"/>
      <c r="H603" s="83"/>
      <c r="I603" s="135"/>
      <c r="J603" s="135"/>
      <c r="L603" s="83"/>
      <c r="M603" s="83"/>
      <c r="N603" s="83"/>
      <c r="O603" s="83"/>
      <c r="P603" s="83"/>
      <c r="Q603" s="83"/>
      <c r="R603" s="83"/>
      <c r="S603" s="83"/>
      <c r="T603" s="83"/>
      <c r="U603" s="83"/>
      <c r="V603" s="83"/>
      <c r="W603" s="83"/>
    </row>
    <row r="604" spans="1:23" ht="45" hidden="1" customHeight="1" outlineLevel="3" x14ac:dyDescent="0.25">
      <c r="G604" s="8"/>
      <c r="H604" s="16"/>
      <c r="I604" s="151"/>
      <c r="J604" s="151"/>
      <c r="K604" s="151"/>
    </row>
    <row r="605" spans="1:23" ht="45" hidden="1" customHeight="1" outlineLevel="3" x14ac:dyDescent="0.25">
      <c r="E605" s="18"/>
      <c r="G605" s="12" t="s">
        <v>119</v>
      </c>
      <c r="H605" s="14" t="s">
        <v>29</v>
      </c>
      <c r="I605" s="125" t="s">
        <v>71</v>
      </c>
      <c r="J605" s="145"/>
      <c r="K605" s="145"/>
    </row>
    <row r="606" spans="1:23" ht="45" hidden="1" customHeight="1" outlineLevel="3" x14ac:dyDescent="0.25">
      <c r="E606" s="18"/>
      <c r="I606" s="125" t="s">
        <v>67</v>
      </c>
      <c r="J606" s="145"/>
      <c r="K606" s="145"/>
    </row>
    <row r="607" spans="1:23" ht="45" hidden="1" customHeight="1" outlineLevel="3" x14ac:dyDescent="0.25">
      <c r="I607" s="125" t="s">
        <v>70</v>
      </c>
      <c r="J607" s="145"/>
      <c r="K607" s="145"/>
    </row>
    <row r="608" spans="1:23" ht="45" hidden="1" customHeight="1" outlineLevel="3" x14ac:dyDescent="0.25">
      <c r="E608" s="18"/>
      <c r="I608" s="125" t="s">
        <v>68</v>
      </c>
      <c r="J608" s="145"/>
      <c r="K608" s="145"/>
    </row>
    <row r="609" spans="5:11" ht="45" hidden="1" customHeight="1" outlineLevel="3" x14ac:dyDescent="0.25">
      <c r="E609" s="18"/>
      <c r="I609" s="125" t="s">
        <v>69</v>
      </c>
      <c r="J609" s="145"/>
      <c r="K609" s="145"/>
    </row>
    <row r="610" spans="5:11" ht="45" hidden="1" customHeight="1" outlineLevel="3" x14ac:dyDescent="0.25">
      <c r="E610" s="18"/>
    </row>
    <row r="611" spans="5:11" ht="45" hidden="1" customHeight="1" outlineLevel="3" x14ac:dyDescent="0.25">
      <c r="G611" s="12" t="s">
        <v>120</v>
      </c>
      <c r="H611" s="14" t="s">
        <v>29</v>
      </c>
      <c r="I611" s="125" t="s">
        <v>72</v>
      </c>
      <c r="J611" s="145"/>
      <c r="K611" s="145"/>
    </row>
    <row r="612" spans="5:11" ht="45" hidden="1" customHeight="1" outlineLevel="3" x14ac:dyDescent="0.25">
      <c r="E612" s="18"/>
      <c r="I612" s="125" t="s">
        <v>73</v>
      </c>
      <c r="J612" s="145"/>
      <c r="K612" s="145"/>
    </row>
    <row r="613" spans="5:11" ht="45" hidden="1" customHeight="1" outlineLevel="3" x14ac:dyDescent="0.25">
      <c r="E613" s="18"/>
      <c r="I613" s="125" t="s">
        <v>74</v>
      </c>
      <c r="J613" s="145"/>
      <c r="K613" s="145"/>
    </row>
    <row r="614" spans="5:11" ht="45" hidden="1" customHeight="1" outlineLevel="3" x14ac:dyDescent="0.25">
      <c r="E614" s="18"/>
      <c r="I614" s="125" t="s">
        <v>118</v>
      </c>
      <c r="J614" s="145"/>
      <c r="K614" s="145"/>
    </row>
    <row r="615" spans="5:11" ht="45" hidden="1" customHeight="1" outlineLevel="3" x14ac:dyDescent="0.25"/>
    <row r="616" spans="5:11" ht="45" hidden="1" customHeight="1" outlineLevel="3" x14ac:dyDescent="0.25">
      <c r="E616" s="18"/>
      <c r="I616" s="152"/>
      <c r="J616" s="152"/>
      <c r="K616" s="226"/>
    </row>
    <row r="617" spans="5:11" ht="45" hidden="1" customHeight="1" outlineLevel="3" x14ac:dyDescent="0.25">
      <c r="E617" s="18"/>
      <c r="I617" s="152"/>
      <c r="J617" s="152"/>
      <c r="K617" s="226"/>
    </row>
    <row r="618" spans="5:11" ht="45" hidden="1" customHeight="1" outlineLevel="3" x14ac:dyDescent="0.25">
      <c r="E618" s="18"/>
      <c r="G618" s="13" t="s">
        <v>23</v>
      </c>
      <c r="H618" s="14" t="s">
        <v>435</v>
      </c>
      <c r="I618" s="125" t="s">
        <v>75</v>
      </c>
      <c r="J618" s="145"/>
      <c r="K618" s="145"/>
    </row>
    <row r="619" spans="5:11" ht="45" hidden="1" customHeight="1" outlineLevel="3" x14ac:dyDescent="0.25">
      <c r="E619" s="18"/>
      <c r="G619" s="2"/>
      <c r="H619" s="17"/>
      <c r="I619" s="125" t="s">
        <v>76</v>
      </c>
      <c r="J619" s="145"/>
      <c r="K619" s="145"/>
    </row>
    <row r="620" spans="5:11" ht="45" hidden="1" customHeight="1" outlineLevel="3" x14ac:dyDescent="0.25">
      <c r="G620" s="2"/>
      <c r="H620" s="17"/>
      <c r="I620" s="145"/>
      <c r="J620" s="145"/>
      <c r="K620" s="145"/>
    </row>
    <row r="621" spans="5:11" ht="45" hidden="1" customHeight="1" outlineLevel="3" x14ac:dyDescent="0.25">
      <c r="E621" s="18"/>
      <c r="G621" s="19" t="s">
        <v>124</v>
      </c>
      <c r="H621" s="14" t="s">
        <v>14</v>
      </c>
      <c r="I621" s="125"/>
      <c r="J621" s="145"/>
      <c r="K621" s="145"/>
    </row>
    <row r="622" spans="5:11" ht="45" hidden="1" customHeight="1" outlineLevel="3" x14ac:dyDescent="0.25">
      <c r="E622" s="18"/>
      <c r="G622" s="19" t="s">
        <v>121</v>
      </c>
      <c r="H622" s="14" t="s">
        <v>14</v>
      </c>
      <c r="I622" s="125"/>
      <c r="J622" s="145"/>
      <c r="K622" s="145"/>
    </row>
    <row r="623" spans="5:11" ht="45" hidden="1" customHeight="1" outlineLevel="3" x14ac:dyDescent="0.25">
      <c r="E623" s="18"/>
      <c r="G623" s="19" t="s">
        <v>514</v>
      </c>
      <c r="H623" s="14" t="s">
        <v>30</v>
      </c>
      <c r="I623" s="125" t="s">
        <v>75</v>
      </c>
      <c r="J623" s="145"/>
      <c r="K623" s="145"/>
    </row>
    <row r="624" spans="5:11" ht="45" hidden="1" customHeight="1" outlineLevel="3" x14ac:dyDescent="0.25">
      <c r="G624" s="19" t="s">
        <v>122</v>
      </c>
      <c r="H624" s="14" t="s">
        <v>14</v>
      </c>
    </row>
    <row r="625" spans="1:23" ht="45" hidden="1" customHeight="1" outlineLevel="3" x14ac:dyDescent="0.25">
      <c r="E625" s="18"/>
      <c r="G625" s="19" t="s">
        <v>513</v>
      </c>
      <c r="H625" s="14" t="s">
        <v>30</v>
      </c>
      <c r="I625" s="125" t="s">
        <v>75</v>
      </c>
      <c r="J625" s="145"/>
      <c r="K625" s="145"/>
    </row>
    <row r="626" spans="1:23" ht="45" hidden="1" customHeight="1" outlineLevel="3" x14ac:dyDescent="0.25">
      <c r="E626" s="18"/>
      <c r="G626" s="19" t="s">
        <v>504</v>
      </c>
      <c r="H626" s="14" t="s">
        <v>14</v>
      </c>
      <c r="I626" s="143"/>
      <c r="J626" s="176"/>
      <c r="K626" s="177"/>
    </row>
    <row r="627" spans="1:23" ht="45" hidden="1" customHeight="1" outlineLevel="3" x14ac:dyDescent="0.25">
      <c r="E627" s="18"/>
      <c r="G627" s="19" t="s">
        <v>505</v>
      </c>
      <c r="H627" s="14" t="s">
        <v>14</v>
      </c>
      <c r="I627" s="143"/>
      <c r="J627" s="176"/>
      <c r="K627" s="177"/>
    </row>
    <row r="628" spans="1:23" ht="45" hidden="1" customHeight="1" outlineLevel="3" x14ac:dyDescent="0.25">
      <c r="E628" s="18"/>
      <c r="G628" s="18"/>
      <c r="H628" s="18"/>
      <c r="I628" s="145"/>
      <c r="J628" s="145"/>
      <c r="K628" s="145"/>
    </row>
    <row r="629" spans="1:23" ht="45" hidden="1" customHeight="1" outlineLevel="3" x14ac:dyDescent="0.25">
      <c r="E629" s="18"/>
      <c r="G629" s="18"/>
      <c r="H629" s="18"/>
      <c r="I629" s="145"/>
      <c r="J629" s="145"/>
      <c r="K629" s="145"/>
    </row>
    <row r="630" spans="1:23" ht="45" hidden="1" customHeight="1" outlineLevel="2" x14ac:dyDescent="0.25">
      <c r="A630" s="83" t="s">
        <v>466</v>
      </c>
      <c r="B630" s="84"/>
      <c r="C630" s="209"/>
      <c r="E630" s="83"/>
      <c r="G630" s="83"/>
      <c r="H630" s="83"/>
      <c r="I630" s="135"/>
      <c r="J630" s="135"/>
      <c r="L630" s="83"/>
      <c r="M630" s="83"/>
      <c r="N630" s="83"/>
      <c r="O630" s="83"/>
      <c r="P630" s="83"/>
      <c r="Q630" s="83"/>
      <c r="R630" s="83"/>
      <c r="S630" s="83"/>
      <c r="T630" s="83"/>
      <c r="U630" s="83"/>
      <c r="V630" s="83"/>
      <c r="W630" s="83"/>
    </row>
    <row r="631" spans="1:23" ht="45" hidden="1" customHeight="1" outlineLevel="3" x14ac:dyDescent="0.25">
      <c r="E631" s="18"/>
      <c r="G631" s="18"/>
      <c r="H631" s="18"/>
      <c r="I631" s="145"/>
      <c r="J631" s="145"/>
      <c r="K631" s="145"/>
    </row>
    <row r="632" spans="1:23" ht="45" hidden="1" customHeight="1" outlineLevel="3" x14ac:dyDescent="0.25">
      <c r="G632" s="13" t="s">
        <v>95</v>
      </c>
      <c r="H632" s="14" t="s">
        <v>14</v>
      </c>
      <c r="I632" s="125"/>
      <c r="J632" s="145"/>
      <c r="K632" s="145"/>
    </row>
    <row r="633" spans="1:23" ht="45" hidden="1" customHeight="1" outlineLevel="3" x14ac:dyDescent="0.25">
      <c r="G633" s="19" t="s">
        <v>155</v>
      </c>
      <c r="H633" s="14" t="s">
        <v>14</v>
      </c>
      <c r="I633" s="125"/>
      <c r="J633" s="145"/>
      <c r="K633" s="145"/>
    </row>
    <row r="634" spans="1:23" ht="45" hidden="1" customHeight="1" outlineLevel="3" x14ac:dyDescent="0.25">
      <c r="E634" s="18"/>
      <c r="G634" s="13" t="s">
        <v>93</v>
      </c>
      <c r="H634" s="14" t="s">
        <v>14</v>
      </c>
      <c r="I634" s="125"/>
      <c r="J634" s="145"/>
      <c r="K634" s="145"/>
    </row>
    <row r="635" spans="1:23" ht="45" hidden="1" customHeight="1" outlineLevel="3" x14ac:dyDescent="0.25">
      <c r="G635" s="19" t="s">
        <v>94</v>
      </c>
      <c r="H635" s="14" t="s">
        <v>14</v>
      </c>
      <c r="I635" s="125"/>
      <c r="J635" s="145"/>
      <c r="K635" s="145"/>
    </row>
    <row r="636" spans="1:23" ht="45" hidden="1" customHeight="1" outlineLevel="3" x14ac:dyDescent="0.25">
      <c r="H636" s="1"/>
    </row>
    <row r="637" spans="1:23" ht="45" hidden="1" customHeight="1" outlineLevel="3" x14ac:dyDescent="0.25">
      <c r="E637" s="18"/>
      <c r="G637" s="13" t="s">
        <v>123</v>
      </c>
      <c r="H637" s="14" t="s">
        <v>29</v>
      </c>
      <c r="I637" s="125" t="s">
        <v>84</v>
      </c>
      <c r="J637" s="145"/>
      <c r="K637" s="145"/>
    </row>
    <row r="638" spans="1:23" ht="45" hidden="1" customHeight="1" outlineLevel="3" x14ac:dyDescent="0.25">
      <c r="I638" s="125" t="s">
        <v>77</v>
      </c>
      <c r="J638" s="145"/>
      <c r="K638" s="145"/>
    </row>
    <row r="639" spans="1:23" ht="45" hidden="1" customHeight="1" outlineLevel="3" x14ac:dyDescent="0.25">
      <c r="I639" s="125" t="s">
        <v>78</v>
      </c>
      <c r="J639" s="145"/>
      <c r="K639" s="145"/>
    </row>
    <row r="640" spans="1:23" ht="45" hidden="1" customHeight="1" outlineLevel="3" x14ac:dyDescent="0.25">
      <c r="I640" s="125" t="s">
        <v>79</v>
      </c>
      <c r="J640" s="145"/>
      <c r="K640" s="145"/>
    </row>
    <row r="641" spans="5:14" ht="45" hidden="1" customHeight="1" outlineLevel="3" x14ac:dyDescent="0.25">
      <c r="E641" s="18"/>
      <c r="I641" s="125" t="s">
        <v>80</v>
      </c>
      <c r="J641" s="145"/>
      <c r="K641" s="145"/>
    </row>
    <row r="642" spans="5:14" ht="45" hidden="1" customHeight="1" outlineLevel="3" x14ac:dyDescent="0.25">
      <c r="I642" s="125" t="s">
        <v>81</v>
      </c>
      <c r="J642" s="145"/>
      <c r="K642" s="145"/>
    </row>
    <row r="643" spans="5:14" ht="45" hidden="1" customHeight="1" outlineLevel="3" x14ac:dyDescent="0.25">
      <c r="I643" s="125" t="s">
        <v>82</v>
      </c>
      <c r="J643" s="145"/>
      <c r="K643" s="145"/>
    </row>
    <row r="644" spans="5:14" ht="45" hidden="1" customHeight="1" outlineLevel="3" x14ac:dyDescent="0.25">
      <c r="E644" s="18"/>
      <c r="I644" s="125" t="s">
        <v>83</v>
      </c>
      <c r="J644" s="145"/>
      <c r="K644" s="145"/>
    </row>
    <row r="645" spans="5:14" ht="45" hidden="1" customHeight="1" outlineLevel="3" x14ac:dyDescent="0.25"/>
    <row r="646" spans="5:14" ht="45" hidden="1" customHeight="1" outlineLevel="3" x14ac:dyDescent="0.25">
      <c r="G646" s="13" t="s">
        <v>96</v>
      </c>
      <c r="H646" s="14" t="s">
        <v>29</v>
      </c>
      <c r="I646" s="125" t="s">
        <v>461</v>
      </c>
      <c r="J646" s="145"/>
      <c r="K646" s="145"/>
    </row>
    <row r="647" spans="5:14" ht="45" hidden="1" customHeight="1" outlineLevel="3" x14ac:dyDescent="0.25">
      <c r="G647" s="6"/>
      <c r="H647" s="6"/>
      <c r="I647" s="125" t="s">
        <v>462</v>
      </c>
      <c r="J647" s="145"/>
      <c r="K647" s="145"/>
    </row>
    <row r="648" spans="5:14" ht="45" hidden="1" customHeight="1" outlineLevel="3" x14ac:dyDescent="0.25">
      <c r="E648" s="18"/>
      <c r="G648" s="6"/>
      <c r="H648" s="6"/>
      <c r="I648" s="145"/>
      <c r="J648" s="145"/>
      <c r="K648" s="145"/>
    </row>
    <row r="649" spans="5:14" ht="45" hidden="1" customHeight="1" outlineLevel="3" x14ac:dyDescent="0.25">
      <c r="G649" s="19" t="s">
        <v>440</v>
      </c>
      <c r="H649" s="14" t="s">
        <v>29</v>
      </c>
      <c r="I649" s="141"/>
      <c r="J649" s="147"/>
      <c r="K649" s="174"/>
    </row>
    <row r="650" spans="5:14" ht="45" hidden="1" customHeight="1" outlineLevel="3" x14ac:dyDescent="0.25">
      <c r="G650" s="7"/>
      <c r="H650" s="6"/>
      <c r="I650" s="125" t="s">
        <v>458</v>
      </c>
      <c r="J650" s="145"/>
      <c r="K650" s="145"/>
    </row>
    <row r="651" spans="5:14" ht="45" hidden="1" customHeight="1" outlineLevel="3" x14ac:dyDescent="0.25">
      <c r="G651" s="7"/>
      <c r="H651" s="6"/>
      <c r="I651" s="81"/>
      <c r="J651" s="81"/>
      <c r="K651" s="81"/>
    </row>
    <row r="652" spans="5:14" ht="45" hidden="1" customHeight="1" outlineLevel="3" x14ac:dyDescent="0.25">
      <c r="G652" s="13" t="s">
        <v>125</v>
      </c>
      <c r="H652" s="14" t="s">
        <v>14</v>
      </c>
      <c r="I652" s="125" t="s">
        <v>477</v>
      </c>
      <c r="J652" s="145"/>
      <c r="K652" s="145"/>
      <c r="M652" s="14" t="s">
        <v>472</v>
      </c>
      <c r="N652" s="18"/>
    </row>
    <row r="653" spans="5:14" ht="45" hidden="1" customHeight="1" outlineLevel="3" x14ac:dyDescent="0.25">
      <c r="G653" s="19" t="s">
        <v>97</v>
      </c>
      <c r="H653" s="14" t="s">
        <v>14</v>
      </c>
      <c r="I653" s="125" t="s">
        <v>479</v>
      </c>
      <c r="J653" s="145"/>
      <c r="K653" s="145"/>
      <c r="M653" s="14" t="s">
        <v>480</v>
      </c>
      <c r="N653" s="18"/>
    </row>
    <row r="654" spans="5:14" ht="45" hidden="1" customHeight="1" outlineLevel="3" x14ac:dyDescent="0.25">
      <c r="G654" s="19" t="s">
        <v>506</v>
      </c>
      <c r="H654" s="14" t="s">
        <v>489</v>
      </c>
      <c r="I654" s="144"/>
      <c r="J654" s="178"/>
      <c r="K654" s="225"/>
      <c r="M654" s="18"/>
      <c r="N654" s="18"/>
    </row>
    <row r="655" spans="5:14" ht="45" hidden="1" customHeight="1" outlineLevel="3" x14ac:dyDescent="0.25">
      <c r="G655" s="13" t="s">
        <v>484</v>
      </c>
      <c r="H655" s="14" t="s">
        <v>29</v>
      </c>
      <c r="I655" s="141" t="s">
        <v>485</v>
      </c>
      <c r="J655" s="147"/>
      <c r="K655" s="174"/>
      <c r="M655" s="18"/>
      <c r="N655" s="18"/>
    </row>
    <row r="656" spans="5:14" ht="45" hidden="1" customHeight="1" outlineLevel="3" x14ac:dyDescent="0.25">
      <c r="G656" s="13" t="s">
        <v>486</v>
      </c>
      <c r="H656" s="14" t="s">
        <v>29</v>
      </c>
      <c r="I656" s="141" t="s">
        <v>485</v>
      </c>
      <c r="J656" s="147"/>
      <c r="K656" s="174"/>
    </row>
    <row r="657" spans="1:23" ht="45" hidden="1" customHeight="1" outlineLevel="3" x14ac:dyDescent="0.25">
      <c r="G657" s="13" t="s">
        <v>487</v>
      </c>
      <c r="H657" s="14" t="s">
        <v>29</v>
      </c>
      <c r="I657" s="141" t="s">
        <v>485</v>
      </c>
      <c r="J657" s="147"/>
      <c r="K657" s="174"/>
      <c r="M657" s="18"/>
      <c r="N657" s="18"/>
    </row>
    <row r="658" spans="1:23" ht="45" hidden="1" customHeight="1" outlineLevel="3" x14ac:dyDescent="0.25">
      <c r="G658" s="13" t="s">
        <v>488</v>
      </c>
      <c r="H658" s="14" t="s">
        <v>489</v>
      </c>
      <c r="I658" s="125" t="s">
        <v>490</v>
      </c>
      <c r="J658" s="145"/>
      <c r="K658" s="145"/>
    </row>
    <row r="659" spans="1:23" ht="45" hidden="1" customHeight="1" outlineLevel="3" x14ac:dyDescent="0.25">
      <c r="G659" s="13" t="s">
        <v>492</v>
      </c>
      <c r="H659" s="14" t="s">
        <v>489</v>
      </c>
      <c r="I659" s="129" t="s">
        <v>493</v>
      </c>
      <c r="J659" s="180"/>
      <c r="K659" s="180"/>
      <c r="M659" s="18"/>
      <c r="N659" s="18"/>
    </row>
    <row r="660" spans="1:23" ht="45" hidden="1" customHeight="1" outlineLevel="3" x14ac:dyDescent="0.25">
      <c r="I660" s="129" t="s">
        <v>494</v>
      </c>
      <c r="J660" s="180"/>
      <c r="K660" s="180"/>
      <c r="M660" s="18"/>
      <c r="N660" s="18"/>
    </row>
    <row r="661" spans="1:23" ht="45" hidden="1" customHeight="1" outlineLevel="3" x14ac:dyDescent="0.25">
      <c r="I661" s="125" t="s">
        <v>495</v>
      </c>
      <c r="J661" s="145"/>
      <c r="K661" s="145"/>
    </row>
    <row r="662" spans="1:23" ht="45" hidden="1" customHeight="1" outlineLevel="3" x14ac:dyDescent="0.25">
      <c r="I662" s="125" t="s">
        <v>496</v>
      </c>
      <c r="J662" s="145"/>
      <c r="K662" s="145"/>
      <c r="M662" s="18"/>
      <c r="N662" s="18"/>
    </row>
    <row r="663" spans="1:23" ht="45" hidden="1" customHeight="1" outlineLevel="3" x14ac:dyDescent="0.25">
      <c r="I663" s="125" t="s">
        <v>497</v>
      </c>
      <c r="J663" s="145"/>
      <c r="K663" s="145"/>
      <c r="M663" s="18"/>
      <c r="N663" s="18"/>
    </row>
    <row r="664" spans="1:23" ht="45" hidden="1" customHeight="1" outlineLevel="3" x14ac:dyDescent="0.25">
      <c r="I664" s="125" t="s">
        <v>498</v>
      </c>
      <c r="J664" s="145"/>
      <c r="K664" s="145"/>
    </row>
    <row r="665" spans="1:23" ht="45" hidden="1" customHeight="1" outlineLevel="3" x14ac:dyDescent="0.25">
      <c r="I665" s="125" t="s">
        <v>499</v>
      </c>
      <c r="J665" s="145"/>
      <c r="K665" s="145"/>
      <c r="M665" s="18"/>
      <c r="N665" s="18"/>
    </row>
    <row r="666" spans="1:23" ht="45" hidden="1" customHeight="1" outlineLevel="3" x14ac:dyDescent="0.25">
      <c r="I666" s="141" t="s">
        <v>475</v>
      </c>
      <c r="J666" s="147"/>
      <c r="K666" s="174"/>
    </row>
    <row r="667" spans="1:23" ht="45" hidden="1" customHeight="1" outlineLevel="3" x14ac:dyDescent="0.25">
      <c r="G667" s="19" t="s">
        <v>539</v>
      </c>
      <c r="H667" s="14" t="s">
        <v>489</v>
      </c>
      <c r="I667" s="125" t="s">
        <v>75</v>
      </c>
      <c r="J667" s="145"/>
      <c r="K667" s="145"/>
    </row>
    <row r="668" spans="1:23" ht="45" hidden="1" customHeight="1" outlineLevel="3" x14ac:dyDescent="0.25">
      <c r="G668" s="19" t="s">
        <v>508</v>
      </c>
      <c r="H668" s="14" t="s">
        <v>489</v>
      </c>
      <c r="I668" s="125" t="s">
        <v>75</v>
      </c>
      <c r="J668" s="145"/>
      <c r="K668" s="145"/>
    </row>
    <row r="669" spans="1:23" ht="45" hidden="1" customHeight="1" outlineLevel="3" x14ac:dyDescent="0.25"/>
    <row r="670" spans="1:23" s="74" customFormat="1" ht="45" hidden="1" customHeight="1" outlineLevel="1" x14ac:dyDescent="0.25">
      <c r="A670" s="64" t="s">
        <v>1189</v>
      </c>
      <c r="B670" s="65"/>
      <c r="C670" s="210"/>
      <c r="E670" s="66"/>
      <c r="G670" s="65"/>
      <c r="H670" s="67"/>
      <c r="I670" s="136"/>
      <c r="J670" s="136"/>
      <c r="K670" s="140"/>
      <c r="L670" s="65"/>
      <c r="M670" s="65"/>
      <c r="N670" s="65"/>
      <c r="O670" s="65"/>
      <c r="P670" s="65"/>
      <c r="Q670" s="65"/>
      <c r="R670" s="65"/>
      <c r="S670" s="65"/>
      <c r="T670" s="65"/>
      <c r="U670" s="65"/>
      <c r="V670" s="65"/>
      <c r="W670" s="65"/>
    </row>
    <row r="671" spans="1:23" ht="45" hidden="1" customHeight="1" outlineLevel="2" x14ac:dyDescent="0.25"/>
    <row r="672" spans="1:23" ht="45" hidden="1" customHeight="1" outlineLevel="2" x14ac:dyDescent="0.25">
      <c r="B672" s="107" t="str">
        <f>G672</f>
        <v>Continuation Type:</v>
      </c>
      <c r="C672" s="207"/>
      <c r="E672" s="14" t="s">
        <v>469</v>
      </c>
      <c r="G672" s="13" t="s">
        <v>448</v>
      </c>
      <c r="H672" s="14" t="s">
        <v>29</v>
      </c>
      <c r="I672" s="141" t="s">
        <v>32</v>
      </c>
      <c r="J672" s="147"/>
      <c r="K672" s="174"/>
    </row>
    <row r="673" spans="1:23" ht="45" hidden="1" customHeight="1" outlineLevel="2" x14ac:dyDescent="0.25">
      <c r="B673" s="107" t="s">
        <v>598</v>
      </c>
      <c r="C673" s="197" t="s">
        <v>562</v>
      </c>
      <c r="E673" s="14" t="s">
        <v>1093</v>
      </c>
      <c r="G673" s="13" t="s">
        <v>449</v>
      </c>
      <c r="H673" s="14" t="s">
        <v>29</v>
      </c>
      <c r="I673" s="125"/>
      <c r="J673" s="145"/>
      <c r="K673" s="145"/>
      <c r="L673" s="18"/>
      <c r="M673" s="18"/>
    </row>
    <row r="674" spans="1:23" ht="45" hidden="1" customHeight="1" outlineLevel="2" x14ac:dyDescent="0.25">
      <c r="B674" s="107" t="s">
        <v>582</v>
      </c>
      <c r="C674" s="211"/>
      <c r="E674" s="14" t="s">
        <v>1094</v>
      </c>
      <c r="G674" s="13" t="s">
        <v>450</v>
      </c>
      <c r="H674" s="14" t="s">
        <v>14</v>
      </c>
      <c r="I674" s="125"/>
      <c r="J674" s="145"/>
      <c r="K674" s="145"/>
      <c r="L674" s="18"/>
      <c r="M674" s="18"/>
      <c r="N674" s="18"/>
    </row>
    <row r="675" spans="1:23" ht="45" hidden="1" customHeight="1" outlineLevel="2" x14ac:dyDescent="0.25">
      <c r="B675" s="107" t="s">
        <v>467</v>
      </c>
      <c r="C675" s="207"/>
      <c r="E675" s="14" t="s">
        <v>460</v>
      </c>
      <c r="G675" s="13" t="s">
        <v>92</v>
      </c>
      <c r="H675" s="14" t="s">
        <v>14</v>
      </c>
      <c r="I675" s="125"/>
      <c r="J675" s="145"/>
      <c r="K675" s="145"/>
      <c r="L675" s="18"/>
      <c r="M675" s="18"/>
      <c r="N675" s="18"/>
    </row>
    <row r="676" spans="1:23" ht="45" hidden="1" customHeight="1" outlineLevel="2" x14ac:dyDescent="0.25">
      <c r="B676" s="107" t="s">
        <v>445</v>
      </c>
      <c r="C676" s="207"/>
      <c r="E676" s="14" t="s">
        <v>1095</v>
      </c>
      <c r="G676" s="13" t="s">
        <v>445</v>
      </c>
      <c r="H676" s="14" t="s">
        <v>30</v>
      </c>
      <c r="I676" s="125"/>
      <c r="J676" s="145"/>
      <c r="K676" s="145"/>
    </row>
    <row r="677" spans="1:23" ht="45" hidden="1" customHeight="1" outlineLevel="2" x14ac:dyDescent="0.25">
      <c r="B677" s="107" t="s">
        <v>446</v>
      </c>
      <c r="C677" s="207"/>
      <c r="E677" s="14" t="s">
        <v>1096</v>
      </c>
      <c r="G677" s="13" t="s">
        <v>446</v>
      </c>
      <c r="H677" s="14" t="s">
        <v>30</v>
      </c>
      <c r="I677" s="125" t="s">
        <v>1092</v>
      </c>
      <c r="J677" s="145"/>
      <c r="K677" s="145"/>
    </row>
    <row r="678" spans="1:23" ht="45" hidden="1" customHeight="1" outlineLevel="2" x14ac:dyDescent="0.25">
      <c r="B678" s="107" t="s">
        <v>549</v>
      </c>
      <c r="C678" s="207"/>
      <c r="E678" s="14" t="s">
        <v>1091</v>
      </c>
      <c r="G678" s="13" t="s">
        <v>114</v>
      </c>
      <c r="H678" s="14" t="s">
        <v>14</v>
      </c>
      <c r="I678" s="141" t="s">
        <v>59</v>
      </c>
      <c r="J678" s="147"/>
      <c r="K678" s="174"/>
    </row>
    <row r="679" spans="1:23" ht="45" hidden="1" customHeight="1" outlineLevel="2" x14ac:dyDescent="0.25">
      <c r="B679" s="107" t="s">
        <v>583</v>
      </c>
      <c r="C679" s="207"/>
      <c r="E679" s="14" t="s">
        <v>470</v>
      </c>
      <c r="G679" s="13" t="s">
        <v>447</v>
      </c>
      <c r="H679" s="14" t="s">
        <v>14</v>
      </c>
      <c r="I679" s="125"/>
      <c r="J679" s="145"/>
      <c r="K679" s="145"/>
    </row>
    <row r="680" spans="1:23" ht="45" hidden="1" customHeight="1" outlineLevel="2" x14ac:dyDescent="0.25">
      <c r="B680" s="107" t="s">
        <v>584</v>
      </c>
      <c r="C680" s="207"/>
      <c r="E680" s="14" t="s">
        <v>1098</v>
      </c>
      <c r="G680" s="13" t="s">
        <v>451</v>
      </c>
      <c r="H680" s="14" t="s">
        <v>29</v>
      </c>
      <c r="I680" s="125"/>
      <c r="J680" s="145"/>
      <c r="K680" s="145"/>
    </row>
    <row r="681" spans="1:23" ht="45" hidden="1" customHeight="1" outlineLevel="2" x14ac:dyDescent="0.25"/>
    <row r="682" spans="1:23" s="74" customFormat="1" ht="45" hidden="1" customHeight="1" outlineLevel="1" x14ac:dyDescent="0.25">
      <c r="A682" s="94" t="s">
        <v>454</v>
      </c>
      <c r="B682" s="95"/>
      <c r="C682" s="212"/>
      <c r="E682" s="96"/>
      <c r="G682" s="95"/>
      <c r="H682" s="97"/>
      <c r="I682" s="137"/>
      <c r="J682" s="137"/>
      <c r="K682" s="140"/>
      <c r="L682" s="95"/>
      <c r="M682" s="95"/>
      <c r="N682" s="95"/>
      <c r="O682" s="95"/>
      <c r="P682" s="95"/>
      <c r="Q682" s="95"/>
      <c r="R682" s="95"/>
      <c r="S682" s="95"/>
      <c r="T682" s="95"/>
      <c r="U682" s="95"/>
      <c r="V682" s="95"/>
      <c r="W682" s="95"/>
    </row>
    <row r="683" spans="1:23" ht="45" hidden="1" customHeight="1" outlineLevel="2" x14ac:dyDescent="0.25">
      <c r="A683" s="57" t="s">
        <v>546</v>
      </c>
      <c r="B683" s="58"/>
      <c r="C683" s="213"/>
      <c r="E683" s="59"/>
      <c r="G683" s="59"/>
      <c r="H683" s="60"/>
      <c r="I683" s="138"/>
      <c r="J683" s="138"/>
      <c r="L683" s="59"/>
      <c r="M683" s="59"/>
      <c r="N683" s="59"/>
      <c r="O683" s="59"/>
      <c r="P683" s="59"/>
      <c r="Q683" s="59"/>
      <c r="R683" s="59"/>
      <c r="S683" s="59"/>
      <c r="T683" s="59"/>
      <c r="U683" s="59"/>
      <c r="V683" s="59"/>
      <c r="W683" s="59"/>
    </row>
    <row r="684" spans="1:23" ht="45" hidden="1" customHeight="1" outlineLevel="3" x14ac:dyDescent="0.25">
      <c r="B684" s="21" t="str">
        <f>G684</f>
        <v>Prefix:</v>
      </c>
      <c r="C684" s="202"/>
      <c r="G684" s="3" t="s">
        <v>478</v>
      </c>
      <c r="H684" s="14" t="s">
        <v>14</v>
      </c>
      <c r="I684" s="125"/>
      <c r="J684" s="145"/>
      <c r="K684" s="145"/>
    </row>
    <row r="685" spans="1:23" ht="45" hidden="1" customHeight="1" outlineLevel="3" x14ac:dyDescent="0.25">
      <c r="B685" s="77" t="str">
        <f>B13</f>
        <v>First Name</v>
      </c>
      <c r="G685" s="12" t="s">
        <v>93</v>
      </c>
      <c r="H685" s="14" t="s">
        <v>14</v>
      </c>
      <c r="I685" s="125"/>
      <c r="J685" s="145"/>
      <c r="K685" s="145"/>
    </row>
    <row r="686" spans="1:23" ht="45" hidden="1" customHeight="1" outlineLevel="3" x14ac:dyDescent="0.25">
      <c r="B686" s="77" t="str">
        <f>B31</f>
        <v>Middle</v>
      </c>
      <c r="G686" s="3" t="s">
        <v>94</v>
      </c>
      <c r="H686" s="14" t="s">
        <v>14</v>
      </c>
      <c r="I686" s="125"/>
      <c r="J686" s="145"/>
      <c r="K686" s="145"/>
    </row>
    <row r="687" spans="1:23" ht="45" hidden="1" customHeight="1" outlineLevel="3" x14ac:dyDescent="0.25">
      <c r="B687" s="77" t="str">
        <f>B32</f>
        <v>Last Name</v>
      </c>
      <c r="G687" s="12" t="s">
        <v>95</v>
      </c>
      <c r="H687" s="14" t="s">
        <v>14</v>
      </c>
      <c r="I687" s="125"/>
      <c r="J687" s="145"/>
      <c r="K687" s="145"/>
    </row>
    <row r="688" spans="1:23" ht="45" hidden="1" customHeight="1" outlineLevel="3" x14ac:dyDescent="0.25">
      <c r="B688" s="77" t="str">
        <f>B33</f>
        <v>Suffix</v>
      </c>
      <c r="G688" s="20" t="s">
        <v>155</v>
      </c>
      <c r="H688" s="14" t="s">
        <v>14</v>
      </c>
      <c r="I688" s="125"/>
      <c r="J688" s="145"/>
      <c r="K688" s="145"/>
    </row>
    <row r="689" spans="2:20" ht="45" hidden="1" customHeight="1" outlineLevel="3" x14ac:dyDescent="0.25">
      <c r="B689" s="77" t="str">
        <f>B34</f>
        <v>Gender</v>
      </c>
      <c r="G689" s="3" t="s">
        <v>96</v>
      </c>
      <c r="H689" s="14" t="s">
        <v>29</v>
      </c>
      <c r="I689" s="125"/>
      <c r="J689" s="145"/>
      <c r="K689" s="145"/>
    </row>
    <row r="690" spans="2:20" ht="45" hidden="1" customHeight="1" outlineLevel="3" x14ac:dyDescent="0.25">
      <c r="B690" s="77" t="str">
        <f>B36</f>
        <v>DOB</v>
      </c>
      <c r="G690" s="12" t="s">
        <v>98</v>
      </c>
      <c r="H690" s="14" t="s">
        <v>14</v>
      </c>
      <c r="I690" s="125"/>
      <c r="J690" s="145"/>
      <c r="K690" s="145"/>
    </row>
    <row r="691" spans="2:20" ht="45" hidden="1" customHeight="1" outlineLevel="3" x14ac:dyDescent="0.25">
      <c r="G691" s="13" t="s">
        <v>511</v>
      </c>
      <c r="H691" s="14" t="s">
        <v>14</v>
      </c>
      <c r="I691" s="125" t="s">
        <v>1099</v>
      </c>
      <c r="J691" s="145"/>
      <c r="K691" s="145"/>
    </row>
    <row r="692" spans="2:20" ht="45" hidden="1" customHeight="1" outlineLevel="3" x14ac:dyDescent="0.25">
      <c r="G692" s="120" t="s">
        <v>1133</v>
      </c>
      <c r="H692" s="14" t="s">
        <v>29</v>
      </c>
      <c r="I692" s="125"/>
      <c r="J692" s="145"/>
      <c r="K692" s="145"/>
    </row>
    <row r="693" spans="2:20" ht="45" hidden="1" customHeight="1" outlineLevel="3" x14ac:dyDescent="0.25">
      <c r="B693" s="77" t="str">
        <f>B37</f>
        <v>Married</v>
      </c>
      <c r="G693" s="3" t="s">
        <v>99</v>
      </c>
      <c r="H693" s="14" t="s">
        <v>29</v>
      </c>
      <c r="I693" s="125"/>
      <c r="J693" s="145"/>
      <c r="K693" s="145"/>
    </row>
    <row r="694" spans="2:20" ht="45" hidden="1" customHeight="1" outlineLevel="3" x14ac:dyDescent="0.25">
      <c r="B694" s="21"/>
      <c r="G694" s="12" t="s">
        <v>484</v>
      </c>
      <c r="H694" s="14" t="s">
        <v>29</v>
      </c>
      <c r="I694" s="141" t="s">
        <v>485</v>
      </c>
      <c r="J694" s="147"/>
      <c r="K694" s="174"/>
      <c r="S694" s="6"/>
      <c r="T694" s="6"/>
    </row>
    <row r="695" spans="2:20" ht="45" hidden="1" customHeight="1" outlineLevel="3" x14ac:dyDescent="0.25">
      <c r="B695" s="21"/>
      <c r="G695" s="12" t="s">
        <v>486</v>
      </c>
      <c r="H695" s="14" t="s">
        <v>29</v>
      </c>
      <c r="I695" s="141" t="s">
        <v>485</v>
      </c>
      <c r="J695" s="147"/>
      <c r="K695" s="174"/>
      <c r="S695" s="6"/>
      <c r="T695" s="6"/>
    </row>
    <row r="696" spans="2:20" ht="45" hidden="1" customHeight="1" outlineLevel="3" x14ac:dyDescent="0.25">
      <c r="B696" s="21"/>
      <c r="G696" s="12" t="s">
        <v>487</v>
      </c>
      <c r="H696" s="14" t="s">
        <v>29</v>
      </c>
      <c r="I696" s="141" t="s">
        <v>485</v>
      </c>
      <c r="J696" s="147"/>
      <c r="K696" s="174"/>
      <c r="S696" s="6"/>
      <c r="T696" s="6"/>
    </row>
    <row r="697" spans="2:20" ht="45" hidden="1" customHeight="1" outlineLevel="3" x14ac:dyDescent="0.25">
      <c r="B697" s="21"/>
      <c r="G697" s="12" t="s">
        <v>488</v>
      </c>
      <c r="H697" s="14" t="s">
        <v>558</v>
      </c>
      <c r="I697" s="141" t="s">
        <v>475</v>
      </c>
      <c r="J697" s="147"/>
      <c r="K697" s="174"/>
      <c r="S697" s="6"/>
      <c r="T697" s="6"/>
    </row>
    <row r="698" spans="2:20" ht="45" hidden="1" customHeight="1" outlineLevel="3" x14ac:dyDescent="0.25">
      <c r="B698" s="21"/>
      <c r="G698" s="12" t="s">
        <v>492</v>
      </c>
      <c r="H698" s="14" t="s">
        <v>558</v>
      </c>
      <c r="I698" s="141" t="s">
        <v>475</v>
      </c>
      <c r="J698" s="147"/>
      <c r="K698" s="174"/>
    </row>
    <row r="699" spans="2:20" ht="45" hidden="1" customHeight="1" outlineLevel="3" x14ac:dyDescent="0.25">
      <c r="B699" s="77" t="str">
        <f>B28</f>
        <v>Changed On</v>
      </c>
      <c r="G699" s="19" t="s">
        <v>1100</v>
      </c>
      <c r="H699" s="14" t="s">
        <v>14</v>
      </c>
      <c r="I699" s="125"/>
      <c r="J699" s="145"/>
      <c r="K699" s="145"/>
    </row>
    <row r="700" spans="2:20" ht="45" hidden="1" customHeight="1" outlineLevel="3" x14ac:dyDescent="0.25">
      <c r="B700" s="77" t="str">
        <f>B48</f>
        <v>Address1</v>
      </c>
      <c r="E700" s="14" t="s">
        <v>1128</v>
      </c>
      <c r="G700" s="19" t="s">
        <v>1101</v>
      </c>
      <c r="H700" s="14" t="s">
        <v>561</v>
      </c>
      <c r="I700" s="125" t="s">
        <v>1102</v>
      </c>
      <c r="J700" s="145"/>
      <c r="K700" s="145"/>
    </row>
    <row r="701" spans="2:20" ht="45" hidden="1" customHeight="1" outlineLevel="3" x14ac:dyDescent="0.25">
      <c r="B701" s="77" t="str">
        <f>B49</f>
        <v>Address2</v>
      </c>
      <c r="I701" s="145"/>
      <c r="J701" s="145"/>
      <c r="K701" s="145"/>
    </row>
    <row r="702" spans="2:20" ht="45" hidden="1" customHeight="1" outlineLevel="3" x14ac:dyDescent="0.25">
      <c r="B702" s="77" t="str">
        <f>B50</f>
        <v>City</v>
      </c>
      <c r="I702" s="145"/>
      <c r="J702" s="145"/>
      <c r="K702" s="145"/>
    </row>
    <row r="703" spans="2:20" ht="45" hidden="1" customHeight="1" outlineLevel="3" x14ac:dyDescent="0.25">
      <c r="B703" s="77" t="str">
        <f>B51</f>
        <v>State</v>
      </c>
      <c r="I703" s="145"/>
      <c r="J703" s="145"/>
      <c r="K703" s="145"/>
    </row>
    <row r="704" spans="2:20" ht="45" hidden="1" customHeight="1" outlineLevel="3" x14ac:dyDescent="0.25">
      <c r="B704" s="77" t="str">
        <f>B52</f>
        <v>Zip</v>
      </c>
      <c r="I704" s="145"/>
      <c r="J704" s="145"/>
      <c r="K704" s="145"/>
    </row>
    <row r="705" spans="2:11" ht="45" hidden="1" customHeight="1" outlineLevel="3" x14ac:dyDescent="0.25">
      <c r="B705" s="9" t="s">
        <v>1103</v>
      </c>
      <c r="I705" s="145"/>
      <c r="J705" s="145"/>
      <c r="K705" s="145"/>
    </row>
    <row r="706" spans="2:11" ht="45" hidden="1" customHeight="1" outlineLevel="3" x14ac:dyDescent="0.25">
      <c r="B706" s="9" t="s">
        <v>1104</v>
      </c>
      <c r="I706" s="145"/>
      <c r="J706" s="145"/>
      <c r="K706" s="145"/>
    </row>
    <row r="707" spans="2:11" ht="45" hidden="1" customHeight="1" outlineLevel="3" x14ac:dyDescent="0.25">
      <c r="B707" s="9" t="s">
        <v>1105</v>
      </c>
      <c r="I707" s="145"/>
      <c r="J707" s="145"/>
      <c r="K707" s="145"/>
    </row>
    <row r="708" spans="2:11" ht="45" hidden="1" customHeight="1" outlineLevel="3" x14ac:dyDescent="0.25">
      <c r="B708" s="9" t="s">
        <v>1106</v>
      </c>
      <c r="I708" s="145"/>
      <c r="J708" s="145"/>
      <c r="K708" s="145"/>
    </row>
    <row r="709" spans="2:11" ht="45" hidden="1" customHeight="1" outlineLevel="3" x14ac:dyDescent="0.25">
      <c r="B709" s="9" t="s">
        <v>1107</v>
      </c>
    </row>
    <row r="710" spans="2:11" ht="45" hidden="1" customHeight="1" outlineLevel="3" x14ac:dyDescent="0.25">
      <c r="B710" s="21"/>
      <c r="G710" s="19" t="s">
        <v>442</v>
      </c>
      <c r="H710" s="14" t="s">
        <v>29</v>
      </c>
      <c r="I710" s="125"/>
      <c r="J710" s="145"/>
      <c r="K710" s="145"/>
    </row>
    <row r="711" spans="2:11" ht="45" hidden="1" customHeight="1" outlineLevel="3" x14ac:dyDescent="0.25">
      <c r="B711" s="21"/>
      <c r="G711" s="19" t="s">
        <v>1108</v>
      </c>
      <c r="H711" s="14" t="s">
        <v>29</v>
      </c>
      <c r="I711" s="125"/>
      <c r="J711" s="145"/>
      <c r="K711" s="145"/>
    </row>
    <row r="712" spans="2:11" ht="45" hidden="1" customHeight="1" outlineLevel="3" x14ac:dyDescent="0.25">
      <c r="B712" s="77" t="str">
        <f>B48</f>
        <v>Address1</v>
      </c>
      <c r="G712" s="12" t="s">
        <v>1109</v>
      </c>
      <c r="H712" s="14" t="s">
        <v>14</v>
      </c>
      <c r="I712" s="125"/>
      <c r="J712" s="145"/>
      <c r="K712" s="145"/>
    </row>
    <row r="713" spans="2:11" ht="45" hidden="1" customHeight="1" outlineLevel="3" x14ac:dyDescent="0.25">
      <c r="B713" s="77" t="str">
        <f>B49</f>
        <v>Address2</v>
      </c>
      <c r="G713" s="12" t="s">
        <v>104</v>
      </c>
      <c r="H713" s="14" t="s">
        <v>14</v>
      </c>
      <c r="I713" s="125"/>
      <c r="J713" s="145"/>
      <c r="K713" s="145"/>
    </row>
    <row r="714" spans="2:11" ht="45" hidden="1" customHeight="1" outlineLevel="3" x14ac:dyDescent="0.25">
      <c r="B714" s="77" t="str">
        <f>B50</f>
        <v>City</v>
      </c>
      <c r="G714" s="12" t="s">
        <v>105</v>
      </c>
      <c r="H714" s="14" t="s">
        <v>14</v>
      </c>
      <c r="I714" s="125"/>
      <c r="J714" s="145"/>
      <c r="K714" s="145"/>
    </row>
    <row r="715" spans="2:11" ht="45" hidden="1" customHeight="1" outlineLevel="3" x14ac:dyDescent="0.25">
      <c r="B715" s="77" t="str">
        <f>B51</f>
        <v>State</v>
      </c>
      <c r="G715" s="12" t="s">
        <v>106</v>
      </c>
      <c r="H715" s="14" t="s">
        <v>29</v>
      </c>
      <c r="I715" s="125"/>
      <c r="J715" s="145"/>
      <c r="K715" s="145"/>
    </row>
    <row r="716" spans="2:11" ht="45" hidden="1" customHeight="1" outlineLevel="3" x14ac:dyDescent="0.25">
      <c r="B716" s="77" t="str">
        <f>B52</f>
        <v>Zip</v>
      </c>
      <c r="G716" s="12" t="s">
        <v>107</v>
      </c>
      <c r="H716" s="14" t="s">
        <v>14</v>
      </c>
      <c r="I716" s="125"/>
      <c r="J716" s="145"/>
      <c r="K716" s="145"/>
    </row>
    <row r="717" spans="2:11" ht="45" hidden="1" customHeight="1" outlineLevel="3" x14ac:dyDescent="0.25">
      <c r="B717" s="77" t="str">
        <f>B56</f>
        <v>Work Phone</v>
      </c>
      <c r="G717" s="19" t="s">
        <v>110</v>
      </c>
      <c r="H717" s="14" t="s">
        <v>14</v>
      </c>
      <c r="I717" s="125"/>
      <c r="J717" s="145"/>
      <c r="K717" s="145"/>
    </row>
    <row r="718" spans="2:11" ht="45" hidden="1" customHeight="1" outlineLevel="3" x14ac:dyDescent="0.25">
      <c r="B718" s="21" t="str">
        <f>G718</f>
        <v>Ext:</v>
      </c>
      <c r="C718" s="202"/>
      <c r="G718" s="19" t="s">
        <v>111</v>
      </c>
      <c r="H718" s="14" t="s">
        <v>14</v>
      </c>
      <c r="I718" s="125"/>
      <c r="J718" s="145"/>
      <c r="K718" s="145"/>
    </row>
    <row r="719" spans="2:11" ht="45" hidden="1" customHeight="1" outlineLevel="3" x14ac:dyDescent="0.25">
      <c r="B719" s="77" t="str">
        <f>B53</f>
        <v>Home Phone</v>
      </c>
      <c r="G719" s="19" t="s">
        <v>108</v>
      </c>
      <c r="H719" s="14" t="s">
        <v>14</v>
      </c>
      <c r="I719" s="125"/>
      <c r="J719" s="145"/>
      <c r="K719" s="145"/>
    </row>
    <row r="720" spans="2:11" ht="45" hidden="1" customHeight="1" outlineLevel="3" x14ac:dyDescent="0.25">
      <c r="B720" s="106" t="s">
        <v>596</v>
      </c>
      <c r="G720" s="19" t="s">
        <v>109</v>
      </c>
      <c r="H720" s="14" t="s">
        <v>14</v>
      </c>
      <c r="I720" s="125"/>
      <c r="J720" s="145"/>
      <c r="K720" s="145"/>
    </row>
    <row r="721" spans="1:23" ht="45" hidden="1" customHeight="1" outlineLevel="3" x14ac:dyDescent="0.25">
      <c r="B721" s="21" t="str">
        <f>G721</f>
        <v>Fax:</v>
      </c>
      <c r="C721" s="202"/>
      <c r="G721" s="19" t="s">
        <v>112</v>
      </c>
      <c r="H721" s="14" t="s">
        <v>14</v>
      </c>
      <c r="I721" s="125"/>
      <c r="J721" s="145"/>
      <c r="K721" s="145"/>
    </row>
    <row r="722" spans="1:23" ht="45" hidden="1" customHeight="1" outlineLevel="3" x14ac:dyDescent="0.25">
      <c r="B722" s="77" t="str">
        <f>B59</f>
        <v>Primary Email</v>
      </c>
      <c r="C722" s="207"/>
      <c r="G722" s="19" t="s">
        <v>113</v>
      </c>
      <c r="H722" s="14" t="s">
        <v>14</v>
      </c>
      <c r="I722" s="125"/>
      <c r="J722" s="145"/>
      <c r="K722" s="145"/>
    </row>
    <row r="723" spans="1:23" ht="45" hidden="1" customHeight="1" outlineLevel="2" x14ac:dyDescent="0.25">
      <c r="A723" s="57" t="s">
        <v>1206</v>
      </c>
      <c r="B723" s="58"/>
      <c r="C723" s="213"/>
      <c r="E723" s="59"/>
      <c r="G723" s="59"/>
      <c r="H723" s="60"/>
      <c r="I723" s="138"/>
      <c r="J723" s="138"/>
      <c r="L723" s="59"/>
      <c r="M723" s="59"/>
      <c r="N723" s="59"/>
      <c r="O723" s="59"/>
      <c r="P723" s="59"/>
      <c r="Q723" s="59"/>
      <c r="R723" s="59"/>
      <c r="S723" s="59"/>
      <c r="T723" s="59"/>
      <c r="U723" s="59"/>
      <c r="V723" s="59"/>
      <c r="W723" s="59"/>
    </row>
    <row r="724" spans="1:23" ht="45" hidden="1" customHeight="1" outlineLevel="4" x14ac:dyDescent="0.25">
      <c r="B724" s="77" t="str">
        <f>B23</f>
        <v>Enrollment Start Date</v>
      </c>
      <c r="C724" s="211"/>
      <c r="G724" s="12" t="s">
        <v>457</v>
      </c>
      <c r="H724" s="14" t="s">
        <v>14</v>
      </c>
    </row>
    <row r="725" spans="1:23" ht="45" hidden="1" customHeight="1" outlineLevel="4" x14ac:dyDescent="0.25">
      <c r="B725" s="21" t="str">
        <f>G725</f>
        <v>Effective Date</v>
      </c>
      <c r="C725" s="202"/>
      <c r="E725" s="14" t="s">
        <v>1111</v>
      </c>
      <c r="G725" s="12" t="s">
        <v>1110</v>
      </c>
      <c r="H725" s="104"/>
      <c r="T725" s="1" t="s">
        <v>1131</v>
      </c>
    </row>
    <row r="726" spans="1:23" ht="45" hidden="1" customHeight="1" outlineLevel="4" x14ac:dyDescent="0.25">
      <c r="B726" s="115" t="s">
        <v>1130</v>
      </c>
      <c r="E726" s="14" t="s">
        <v>1112</v>
      </c>
      <c r="G726" s="12" t="s">
        <v>451</v>
      </c>
      <c r="H726" s="14" t="s">
        <v>29</v>
      </c>
      <c r="I726" s="125" t="s">
        <v>1097</v>
      </c>
      <c r="J726" s="145"/>
      <c r="K726" s="145"/>
    </row>
    <row r="727" spans="1:23" ht="45" hidden="1" customHeight="1" outlineLevel="3" x14ac:dyDescent="0.25">
      <c r="A727" s="116" t="s">
        <v>1203</v>
      </c>
      <c r="B727" s="117"/>
      <c r="C727" s="214"/>
      <c r="E727" s="118"/>
      <c r="G727" s="118"/>
      <c r="H727" s="119"/>
      <c r="I727" s="139"/>
      <c r="J727" s="139"/>
      <c r="L727" s="118"/>
      <c r="M727" s="118"/>
      <c r="N727" s="118"/>
      <c r="O727" s="118"/>
      <c r="P727" s="118"/>
      <c r="Q727" s="118"/>
      <c r="R727" s="118"/>
      <c r="S727" s="118"/>
      <c r="T727" s="118"/>
      <c r="U727" s="118"/>
      <c r="V727" s="118"/>
      <c r="W727" s="118"/>
    </row>
    <row r="728" spans="1:23" ht="45" hidden="1" customHeight="1" outlineLevel="4" x14ac:dyDescent="0.25">
      <c r="C728" s="207"/>
      <c r="G728" s="12" t="s">
        <v>119</v>
      </c>
      <c r="H728" s="14" t="s">
        <v>29</v>
      </c>
      <c r="I728" s="125"/>
      <c r="J728" s="145"/>
      <c r="K728" s="145"/>
    </row>
    <row r="729" spans="1:23" ht="45" hidden="1" customHeight="1" outlineLevel="4" x14ac:dyDescent="0.25">
      <c r="G729" s="12" t="s">
        <v>120</v>
      </c>
      <c r="H729" s="14" t="s">
        <v>29</v>
      </c>
      <c r="I729" s="125"/>
      <c r="J729" s="145"/>
      <c r="K729" s="145"/>
    </row>
    <row r="730" spans="1:23" ht="45" hidden="1" customHeight="1" outlineLevel="4" x14ac:dyDescent="0.25">
      <c r="G730" s="12" t="s">
        <v>1113</v>
      </c>
      <c r="H730" s="14" t="s">
        <v>29</v>
      </c>
      <c r="I730" s="153" t="s">
        <v>1126</v>
      </c>
      <c r="J730" s="175"/>
      <c r="K730" s="145"/>
    </row>
    <row r="731" spans="1:23" ht="45" hidden="1" customHeight="1" outlineLevel="4" x14ac:dyDescent="0.25">
      <c r="G731" s="12" t="s">
        <v>1114</v>
      </c>
      <c r="H731" s="14" t="s">
        <v>29</v>
      </c>
      <c r="I731" s="125"/>
      <c r="J731" s="145"/>
      <c r="K731" s="145"/>
    </row>
    <row r="732" spans="1:23" ht="45" hidden="1" customHeight="1" outlineLevel="4" x14ac:dyDescent="0.25">
      <c r="G732" s="12" t="s">
        <v>185</v>
      </c>
      <c r="H732" s="14" t="s">
        <v>14</v>
      </c>
      <c r="I732" s="125"/>
      <c r="J732" s="145"/>
      <c r="K732" s="145"/>
    </row>
    <row r="733" spans="1:23" ht="45" hidden="1" customHeight="1" outlineLevel="4" x14ac:dyDescent="0.25">
      <c r="G733" s="12" t="s">
        <v>92</v>
      </c>
      <c r="H733" s="14" t="s">
        <v>14</v>
      </c>
      <c r="I733" s="125"/>
      <c r="J733" s="145"/>
      <c r="K733" s="145"/>
    </row>
    <row r="734" spans="1:23" ht="45" hidden="1" customHeight="1" outlineLevel="4" x14ac:dyDescent="0.25">
      <c r="G734" s="20" t="s">
        <v>1115</v>
      </c>
      <c r="H734" s="14" t="s">
        <v>14</v>
      </c>
      <c r="I734" s="125"/>
      <c r="J734" s="145"/>
      <c r="K734" s="145"/>
    </row>
    <row r="735" spans="1:23" ht="45" hidden="1" customHeight="1" outlineLevel="4" x14ac:dyDescent="0.25">
      <c r="G735" s="20" t="s">
        <v>1116</v>
      </c>
      <c r="H735" s="14" t="s">
        <v>14</v>
      </c>
      <c r="I735" s="153" t="s">
        <v>1099</v>
      </c>
      <c r="J735" s="175"/>
      <c r="K735" s="145"/>
    </row>
    <row r="736" spans="1:23" ht="45" hidden="1" customHeight="1" outlineLevel="4" x14ac:dyDescent="0.25">
      <c r="G736" s="20" t="s">
        <v>1117</v>
      </c>
      <c r="H736" s="14" t="s">
        <v>14</v>
      </c>
      <c r="I736" s="125"/>
      <c r="J736" s="145"/>
      <c r="K736" s="145"/>
    </row>
    <row r="737" spans="1:23" ht="45" hidden="1" customHeight="1" outlineLevel="4" x14ac:dyDescent="0.25"/>
    <row r="738" spans="1:23" ht="45" hidden="1" customHeight="1" outlineLevel="4" x14ac:dyDescent="0.25">
      <c r="G738" s="20" t="s">
        <v>1118</v>
      </c>
      <c r="H738" s="14" t="s">
        <v>14</v>
      </c>
      <c r="I738" s="125"/>
      <c r="J738" s="145"/>
      <c r="K738" s="145"/>
    </row>
    <row r="739" spans="1:23" ht="45" hidden="1" customHeight="1" outlineLevel="4" x14ac:dyDescent="0.25">
      <c r="G739" s="20" t="s">
        <v>1119</v>
      </c>
      <c r="H739" s="14" t="s">
        <v>14</v>
      </c>
      <c r="I739" s="153" t="s">
        <v>1123</v>
      </c>
      <c r="J739" s="175"/>
      <c r="K739" s="145"/>
    </row>
    <row r="740" spans="1:23" ht="45" hidden="1" customHeight="1" outlineLevel="4" x14ac:dyDescent="0.25">
      <c r="G740" s="20" t="s">
        <v>1120</v>
      </c>
      <c r="H740" s="14" t="s">
        <v>14</v>
      </c>
      <c r="I740" s="125"/>
      <c r="J740" s="145"/>
      <c r="K740" s="145"/>
    </row>
    <row r="741" spans="1:23" ht="45" hidden="1" customHeight="1" outlineLevel="4" x14ac:dyDescent="0.25">
      <c r="G741" s="20" t="s">
        <v>1121</v>
      </c>
      <c r="H741" s="14" t="s">
        <v>14</v>
      </c>
      <c r="I741" s="125"/>
      <c r="J741" s="145"/>
      <c r="K741" s="145"/>
    </row>
    <row r="742" spans="1:23" ht="45" hidden="1" customHeight="1" outlineLevel="4" x14ac:dyDescent="0.25">
      <c r="G742" s="20" t="s">
        <v>1122</v>
      </c>
      <c r="H742" s="14" t="s">
        <v>14</v>
      </c>
      <c r="I742" s="125"/>
      <c r="J742" s="145"/>
      <c r="K742" s="145"/>
    </row>
    <row r="743" spans="1:23" ht="45" hidden="1" customHeight="1" outlineLevel="3" x14ac:dyDescent="0.25">
      <c r="A743" s="116" t="s">
        <v>1204</v>
      </c>
      <c r="B743" s="117"/>
      <c r="C743" s="214"/>
      <c r="E743" s="118"/>
      <c r="G743" s="118"/>
      <c r="H743" s="119"/>
      <c r="I743" s="139"/>
      <c r="J743" s="139"/>
      <c r="L743" s="118"/>
      <c r="M743" s="118"/>
      <c r="N743" s="118"/>
      <c r="O743" s="118"/>
      <c r="P743" s="118"/>
      <c r="Q743" s="118"/>
      <c r="R743" s="118"/>
      <c r="S743" s="118"/>
      <c r="T743" s="118"/>
      <c r="U743" s="118"/>
      <c r="V743" s="118"/>
      <c r="W743" s="118"/>
    </row>
    <row r="744" spans="1:23" ht="45" hidden="1" customHeight="1" outlineLevel="4" x14ac:dyDescent="0.25">
      <c r="G744" s="12" t="s">
        <v>120</v>
      </c>
      <c r="H744" s="14" t="s">
        <v>29</v>
      </c>
      <c r="I744" s="153" t="s">
        <v>1099</v>
      </c>
      <c r="J744" s="175"/>
      <c r="K744" s="145"/>
    </row>
    <row r="745" spans="1:23" ht="45" hidden="1" customHeight="1" outlineLevel="4" x14ac:dyDescent="0.25">
      <c r="G745" s="12" t="s">
        <v>452</v>
      </c>
      <c r="H745" s="14" t="s">
        <v>14</v>
      </c>
      <c r="I745" s="153" t="s">
        <v>1099</v>
      </c>
      <c r="J745" s="175"/>
      <c r="K745" s="145"/>
    </row>
    <row r="746" spans="1:23" ht="45" hidden="1" customHeight="1" outlineLevel="4" x14ac:dyDescent="0.25">
      <c r="E746" s="14" t="s">
        <v>1093</v>
      </c>
      <c r="G746" s="12" t="s">
        <v>453</v>
      </c>
      <c r="H746" s="14" t="s">
        <v>29</v>
      </c>
      <c r="I746" s="153" t="s">
        <v>1099</v>
      </c>
      <c r="J746" s="175"/>
      <c r="K746" s="145"/>
    </row>
    <row r="747" spans="1:23" ht="45" hidden="1" customHeight="1" outlineLevel="3" x14ac:dyDescent="0.25">
      <c r="A747" s="116" t="s">
        <v>1132</v>
      </c>
      <c r="B747" s="117"/>
      <c r="C747" s="214"/>
      <c r="E747" s="118"/>
      <c r="G747" s="118"/>
      <c r="H747" s="119"/>
      <c r="I747" s="139"/>
      <c r="J747" s="139"/>
      <c r="L747" s="118"/>
      <c r="M747" s="118"/>
      <c r="N747" s="118"/>
      <c r="O747" s="118"/>
      <c r="P747" s="118"/>
      <c r="Q747" s="118"/>
      <c r="R747" s="118"/>
      <c r="S747" s="118"/>
      <c r="T747" s="118"/>
      <c r="U747" s="118"/>
      <c r="V747" s="118"/>
      <c r="W747" s="118"/>
    </row>
    <row r="748" spans="1:23" ht="45" hidden="1" customHeight="1" outlineLevel="4" x14ac:dyDescent="0.25"/>
    <row r="749" spans="1:23" ht="45" hidden="1" customHeight="1" outlineLevel="4" x14ac:dyDescent="0.25"/>
    <row r="750" spans="1:23" ht="45" hidden="1" customHeight="1" outlineLevel="4" x14ac:dyDescent="0.25"/>
    <row r="751" spans="1:23" ht="45" hidden="1" customHeight="1" outlineLevel="4" x14ac:dyDescent="0.25"/>
    <row r="752" spans="1:23" ht="45" hidden="1" customHeight="1" outlineLevel="4" x14ac:dyDescent="0.25"/>
    <row r="753" spans="1:23" ht="45" hidden="1" customHeight="1" outlineLevel="4" x14ac:dyDescent="0.25"/>
    <row r="754" spans="1:23" ht="45" hidden="1" customHeight="1" outlineLevel="4" x14ac:dyDescent="0.25"/>
    <row r="755" spans="1:23" s="74" customFormat="1" ht="45" hidden="1" customHeight="1" outlineLevel="1" x14ac:dyDescent="0.25">
      <c r="A755" s="94" t="s">
        <v>1205</v>
      </c>
      <c r="B755" s="95"/>
      <c r="C755" s="212"/>
      <c r="E755" s="96"/>
      <c r="G755" s="95"/>
      <c r="H755" s="97"/>
      <c r="I755" s="137"/>
      <c r="J755" s="137"/>
      <c r="K755" s="140"/>
      <c r="L755" s="95"/>
      <c r="M755" s="95"/>
      <c r="N755" s="95"/>
      <c r="O755" s="95"/>
      <c r="P755" s="95"/>
      <c r="Q755" s="95"/>
      <c r="R755" s="95"/>
      <c r="S755" s="95"/>
      <c r="T755" s="95"/>
      <c r="U755" s="95"/>
      <c r="V755" s="95"/>
      <c r="W755" s="95"/>
    </row>
    <row r="756" spans="1:23" s="74" customFormat="1" ht="45" hidden="1" customHeight="1" outlineLevel="2" x14ac:dyDescent="0.25">
      <c r="A756" s="73"/>
      <c r="C756" s="215"/>
      <c r="E756" s="75"/>
      <c r="H756" s="76"/>
      <c r="I756" s="140"/>
      <c r="J756" s="140"/>
      <c r="K756" s="140"/>
    </row>
    <row r="757" spans="1:23" ht="45" hidden="1" customHeight="1" outlineLevel="2" x14ac:dyDescent="0.25">
      <c r="A757" s="57" t="s">
        <v>546</v>
      </c>
      <c r="B757" s="58"/>
      <c r="C757" s="213"/>
      <c r="E757" s="59"/>
      <c r="G757" s="59"/>
      <c r="H757" s="60"/>
      <c r="I757" s="138"/>
      <c r="J757" s="138"/>
      <c r="L757" s="59"/>
      <c r="M757" s="59"/>
      <c r="N757" s="59"/>
      <c r="O757" s="59"/>
      <c r="P757" s="59"/>
      <c r="Q757" s="59"/>
      <c r="R757" s="59"/>
      <c r="S757" s="59"/>
      <c r="T757" s="59"/>
      <c r="U757" s="59"/>
      <c r="V757" s="59"/>
      <c r="W757" s="59"/>
    </row>
    <row r="758" spans="1:23" ht="45" hidden="1" customHeight="1" outlineLevel="3" x14ac:dyDescent="0.25"/>
    <row r="759" spans="1:23" ht="45" hidden="1" customHeight="1" outlineLevel="3" x14ac:dyDescent="0.25">
      <c r="B759" s="21" t="str">
        <f>G759</f>
        <v>Prefix:</v>
      </c>
      <c r="C759" s="202"/>
      <c r="G759" s="3" t="s">
        <v>478</v>
      </c>
      <c r="H759" s="14" t="s">
        <v>14</v>
      </c>
      <c r="I759" s="125"/>
      <c r="J759" s="145"/>
      <c r="K759" s="145"/>
    </row>
    <row r="760" spans="1:23" ht="45" hidden="1" customHeight="1" outlineLevel="3" x14ac:dyDescent="0.25">
      <c r="B760" s="77"/>
      <c r="G760" s="12" t="s">
        <v>93</v>
      </c>
      <c r="H760" s="14" t="s">
        <v>14</v>
      </c>
      <c r="I760" s="125"/>
      <c r="J760" s="145"/>
      <c r="K760" s="145"/>
    </row>
    <row r="761" spans="1:23" ht="45" hidden="1" customHeight="1" outlineLevel="3" x14ac:dyDescent="0.25">
      <c r="B761" s="77"/>
      <c r="G761" s="3" t="s">
        <v>94</v>
      </c>
      <c r="H761" s="14" t="s">
        <v>14</v>
      </c>
      <c r="I761" s="125"/>
      <c r="J761" s="145"/>
      <c r="K761" s="145"/>
    </row>
    <row r="762" spans="1:23" ht="45" hidden="1" customHeight="1" outlineLevel="3" x14ac:dyDescent="0.25">
      <c r="B762" s="77"/>
      <c r="G762" s="12" t="s">
        <v>95</v>
      </c>
      <c r="H762" s="14" t="s">
        <v>14</v>
      </c>
      <c r="I762" s="125"/>
      <c r="J762" s="145"/>
      <c r="K762" s="145"/>
    </row>
    <row r="763" spans="1:23" ht="45" hidden="1" customHeight="1" outlineLevel="3" x14ac:dyDescent="0.25">
      <c r="B763" s="77"/>
      <c r="G763" s="20" t="s">
        <v>155</v>
      </c>
      <c r="H763" s="14" t="s">
        <v>14</v>
      </c>
      <c r="I763" s="125"/>
      <c r="J763" s="145"/>
      <c r="K763" s="145"/>
    </row>
    <row r="764" spans="1:23" ht="45" hidden="1" customHeight="1" outlineLevel="3" x14ac:dyDescent="0.25">
      <c r="B764" s="77"/>
      <c r="G764" s="3" t="s">
        <v>96</v>
      </c>
      <c r="H764" s="14" t="s">
        <v>29</v>
      </c>
      <c r="I764" s="125"/>
      <c r="J764" s="145"/>
      <c r="K764" s="145"/>
    </row>
    <row r="765" spans="1:23" ht="45" hidden="1" customHeight="1" outlineLevel="3" x14ac:dyDescent="0.25">
      <c r="B765" s="77"/>
      <c r="G765" s="12" t="s">
        <v>98</v>
      </c>
      <c r="H765" s="14" t="s">
        <v>14</v>
      </c>
      <c r="I765" s="125"/>
      <c r="J765" s="145"/>
      <c r="K765" s="145"/>
    </row>
    <row r="766" spans="1:23" ht="45" hidden="1" customHeight="1" outlineLevel="3" x14ac:dyDescent="0.25">
      <c r="G766" s="13" t="s">
        <v>511</v>
      </c>
      <c r="H766" s="14" t="s">
        <v>14</v>
      </c>
      <c r="I766" s="125" t="s">
        <v>1099</v>
      </c>
      <c r="J766" s="145"/>
      <c r="K766" s="145"/>
    </row>
    <row r="767" spans="1:23" ht="45" hidden="1" customHeight="1" outlineLevel="3" x14ac:dyDescent="0.25">
      <c r="G767" s="120" t="s">
        <v>1133</v>
      </c>
      <c r="H767" s="14" t="s">
        <v>29</v>
      </c>
      <c r="I767" s="125"/>
      <c r="J767" s="145"/>
      <c r="K767" s="145"/>
    </row>
    <row r="768" spans="1:23" ht="45" hidden="1" customHeight="1" outlineLevel="3" x14ac:dyDescent="0.25">
      <c r="B768" s="77"/>
      <c r="G768" s="3" t="s">
        <v>99</v>
      </c>
      <c r="H768" s="14" t="s">
        <v>29</v>
      </c>
      <c r="I768" s="125"/>
      <c r="J768" s="145"/>
      <c r="K768" s="145"/>
    </row>
    <row r="769" spans="2:20" ht="45" hidden="1" customHeight="1" outlineLevel="3" x14ac:dyDescent="0.25">
      <c r="B769" s="21"/>
      <c r="G769" s="12" t="s">
        <v>484</v>
      </c>
      <c r="H769" s="14" t="s">
        <v>29</v>
      </c>
      <c r="I769" s="141" t="s">
        <v>485</v>
      </c>
      <c r="J769" s="147"/>
      <c r="K769" s="174"/>
      <c r="S769" s="6"/>
      <c r="T769" s="6"/>
    </row>
    <row r="770" spans="2:20" ht="45" hidden="1" customHeight="1" outlineLevel="3" x14ac:dyDescent="0.25">
      <c r="B770" s="21"/>
      <c r="G770" s="12" t="s">
        <v>486</v>
      </c>
      <c r="H770" s="14" t="s">
        <v>29</v>
      </c>
      <c r="I770" s="141" t="s">
        <v>485</v>
      </c>
      <c r="J770" s="147"/>
      <c r="K770" s="174"/>
      <c r="S770" s="6"/>
      <c r="T770" s="6"/>
    </row>
    <row r="771" spans="2:20" ht="45" hidden="1" customHeight="1" outlineLevel="3" x14ac:dyDescent="0.25">
      <c r="B771" s="21"/>
      <c r="G771" s="12" t="s">
        <v>487</v>
      </c>
      <c r="H771" s="14" t="s">
        <v>29</v>
      </c>
      <c r="I771" s="141" t="s">
        <v>485</v>
      </c>
      <c r="J771" s="147"/>
      <c r="K771" s="174"/>
      <c r="S771" s="6"/>
      <c r="T771" s="6"/>
    </row>
    <row r="772" spans="2:20" ht="45" hidden="1" customHeight="1" outlineLevel="3" x14ac:dyDescent="0.25">
      <c r="B772" s="21"/>
      <c r="G772" s="12" t="s">
        <v>488</v>
      </c>
      <c r="H772" s="14" t="s">
        <v>558</v>
      </c>
      <c r="I772" s="141" t="s">
        <v>475</v>
      </c>
      <c r="J772" s="147"/>
      <c r="K772" s="174"/>
      <c r="S772" s="6"/>
      <c r="T772" s="6"/>
    </row>
    <row r="773" spans="2:20" ht="45" hidden="1" customHeight="1" outlineLevel="3" x14ac:dyDescent="0.25">
      <c r="B773" s="21"/>
      <c r="G773" s="12" t="s">
        <v>492</v>
      </c>
      <c r="H773" s="14" t="s">
        <v>558</v>
      </c>
      <c r="I773" s="141" t="s">
        <v>475</v>
      </c>
      <c r="J773" s="147"/>
      <c r="K773" s="174"/>
    </row>
    <row r="774" spans="2:20" ht="45" hidden="1" customHeight="1" outlineLevel="3" x14ac:dyDescent="0.25">
      <c r="B774" s="77"/>
      <c r="G774" s="19" t="s">
        <v>1100</v>
      </c>
      <c r="H774" s="14" t="s">
        <v>14</v>
      </c>
      <c r="I774" s="125"/>
      <c r="J774" s="145"/>
      <c r="K774" s="145"/>
    </row>
    <row r="775" spans="2:20" ht="45" hidden="1" customHeight="1" outlineLevel="3" x14ac:dyDescent="0.25">
      <c r="B775" s="77"/>
      <c r="E775" s="14" t="s">
        <v>1128</v>
      </c>
      <c r="G775" s="19" t="s">
        <v>1101</v>
      </c>
      <c r="H775" s="14" t="s">
        <v>561</v>
      </c>
      <c r="I775" s="125" t="s">
        <v>1102</v>
      </c>
      <c r="J775" s="145"/>
      <c r="K775" s="145"/>
    </row>
    <row r="776" spans="2:20" ht="45" hidden="1" customHeight="1" outlineLevel="3" x14ac:dyDescent="0.25">
      <c r="B776" s="77"/>
      <c r="I776" s="145"/>
      <c r="J776" s="145"/>
      <c r="K776" s="145"/>
    </row>
    <row r="777" spans="2:20" ht="45" hidden="1" customHeight="1" outlineLevel="3" x14ac:dyDescent="0.25">
      <c r="B777" s="77"/>
      <c r="I777" s="145"/>
      <c r="J777" s="145"/>
      <c r="K777" s="145"/>
    </row>
    <row r="778" spans="2:20" ht="45" hidden="1" customHeight="1" outlineLevel="3" x14ac:dyDescent="0.25">
      <c r="B778" s="77"/>
      <c r="I778" s="145"/>
      <c r="J778" s="145"/>
      <c r="K778" s="145"/>
    </row>
    <row r="779" spans="2:20" ht="45" hidden="1" customHeight="1" outlineLevel="3" x14ac:dyDescent="0.25">
      <c r="B779" s="77"/>
      <c r="I779" s="145"/>
      <c r="J779" s="145"/>
      <c r="K779" s="145"/>
    </row>
    <row r="780" spans="2:20" ht="45" hidden="1" customHeight="1" outlineLevel="3" x14ac:dyDescent="0.25">
      <c r="B780" s="9"/>
      <c r="I780" s="145"/>
      <c r="J780" s="145"/>
      <c r="K780" s="145"/>
    </row>
    <row r="781" spans="2:20" ht="45" hidden="1" customHeight="1" outlineLevel="3" x14ac:dyDescent="0.25">
      <c r="B781" s="9"/>
      <c r="I781" s="145"/>
      <c r="J781" s="145"/>
      <c r="K781" s="145"/>
    </row>
    <row r="782" spans="2:20" ht="45" hidden="1" customHeight="1" outlineLevel="3" x14ac:dyDescent="0.25">
      <c r="B782" s="9"/>
      <c r="I782" s="145"/>
      <c r="J782" s="145"/>
      <c r="K782" s="145"/>
    </row>
    <row r="783" spans="2:20" ht="45" hidden="1" customHeight="1" outlineLevel="3" x14ac:dyDescent="0.25">
      <c r="B783" s="9"/>
      <c r="I783" s="145"/>
      <c r="J783" s="145"/>
      <c r="K783" s="145"/>
    </row>
    <row r="784" spans="2:20" ht="45" hidden="1" customHeight="1" outlineLevel="3" x14ac:dyDescent="0.25">
      <c r="B784" s="9"/>
    </row>
    <row r="785" spans="1:23" ht="45" hidden="1" customHeight="1" outlineLevel="3" x14ac:dyDescent="0.25">
      <c r="B785" s="21"/>
      <c r="G785" s="19" t="s">
        <v>442</v>
      </c>
      <c r="H785" s="14" t="s">
        <v>29</v>
      </c>
      <c r="I785" s="125"/>
      <c r="J785" s="145"/>
      <c r="K785" s="145"/>
    </row>
    <row r="786" spans="1:23" ht="45" hidden="1" customHeight="1" outlineLevel="3" x14ac:dyDescent="0.25">
      <c r="B786" s="21"/>
      <c r="G786" s="19" t="s">
        <v>1108</v>
      </c>
      <c r="H786" s="14" t="s">
        <v>29</v>
      </c>
      <c r="I786" s="125"/>
      <c r="J786" s="145"/>
      <c r="K786" s="145"/>
    </row>
    <row r="787" spans="1:23" ht="45" hidden="1" customHeight="1" outlineLevel="3" x14ac:dyDescent="0.25">
      <c r="B787" s="77">
        <f>B522</f>
        <v>0</v>
      </c>
      <c r="G787" s="12" t="s">
        <v>1109</v>
      </c>
      <c r="H787" s="14" t="s">
        <v>14</v>
      </c>
      <c r="I787" s="125"/>
      <c r="J787" s="145"/>
      <c r="K787" s="145"/>
    </row>
    <row r="788" spans="1:23" ht="45" hidden="1" customHeight="1" outlineLevel="3" x14ac:dyDescent="0.25">
      <c r="B788" s="77">
        <f>B523</f>
        <v>0</v>
      </c>
      <c r="G788" s="12" t="s">
        <v>104</v>
      </c>
      <c r="H788" s="14" t="s">
        <v>14</v>
      </c>
      <c r="I788" s="125"/>
      <c r="J788" s="145"/>
      <c r="K788" s="145"/>
    </row>
    <row r="789" spans="1:23" ht="45" hidden="1" customHeight="1" outlineLevel="3" x14ac:dyDescent="0.25">
      <c r="B789" s="77">
        <f t="shared" ref="B789:B791" si="18">B524</f>
        <v>0</v>
      </c>
      <c r="G789" s="12" t="s">
        <v>105</v>
      </c>
      <c r="H789" s="14" t="s">
        <v>14</v>
      </c>
      <c r="I789" s="125"/>
      <c r="J789" s="145"/>
      <c r="K789" s="145"/>
    </row>
    <row r="790" spans="1:23" ht="45" hidden="1" customHeight="1" outlineLevel="3" x14ac:dyDescent="0.25">
      <c r="B790" s="77">
        <f t="shared" si="18"/>
        <v>0</v>
      </c>
      <c r="G790" s="12" t="s">
        <v>106</v>
      </c>
      <c r="H790" s="14" t="s">
        <v>29</v>
      </c>
      <c r="I790" s="125"/>
      <c r="J790" s="145"/>
      <c r="K790" s="145"/>
    </row>
    <row r="791" spans="1:23" ht="45" hidden="1" customHeight="1" outlineLevel="3" x14ac:dyDescent="0.25">
      <c r="B791" s="77">
        <f t="shared" si="18"/>
        <v>0</v>
      </c>
      <c r="G791" s="12" t="s">
        <v>107</v>
      </c>
      <c r="H791" s="14" t="s">
        <v>14</v>
      </c>
      <c r="I791" s="125"/>
      <c r="J791" s="145"/>
      <c r="K791" s="145"/>
    </row>
    <row r="792" spans="1:23" ht="45" hidden="1" customHeight="1" outlineLevel="3" x14ac:dyDescent="0.25">
      <c r="B792" s="77" t="str">
        <f>B529</f>
        <v>Type</v>
      </c>
      <c r="G792" s="19" t="s">
        <v>110</v>
      </c>
      <c r="H792" s="14" t="s">
        <v>14</v>
      </c>
      <c r="I792" s="125"/>
      <c r="J792" s="145"/>
      <c r="K792" s="145"/>
    </row>
    <row r="793" spans="1:23" ht="45" hidden="1" customHeight="1" outlineLevel="3" x14ac:dyDescent="0.25">
      <c r="B793" s="21" t="str">
        <f>G793</f>
        <v>Ext:</v>
      </c>
      <c r="C793" s="202"/>
      <c r="G793" s="19" t="s">
        <v>111</v>
      </c>
      <c r="H793" s="14" t="s">
        <v>14</v>
      </c>
      <c r="I793" s="125"/>
      <c r="J793" s="145"/>
      <c r="K793" s="145"/>
    </row>
    <row r="794" spans="1:23" ht="45" hidden="1" customHeight="1" outlineLevel="3" x14ac:dyDescent="0.25">
      <c r="B794" s="77">
        <f>B527</f>
        <v>0</v>
      </c>
      <c r="G794" s="19" t="s">
        <v>108</v>
      </c>
      <c r="H794" s="14" t="s">
        <v>14</v>
      </c>
      <c r="I794" s="125"/>
      <c r="J794" s="145"/>
      <c r="K794" s="145"/>
    </row>
    <row r="795" spans="1:23" ht="45" hidden="1" customHeight="1" outlineLevel="3" x14ac:dyDescent="0.25">
      <c r="B795" s="106" t="s">
        <v>596</v>
      </c>
      <c r="G795" s="19" t="s">
        <v>109</v>
      </c>
      <c r="H795" s="14" t="s">
        <v>14</v>
      </c>
      <c r="I795" s="125"/>
      <c r="J795" s="145"/>
      <c r="K795" s="145"/>
    </row>
    <row r="796" spans="1:23" ht="45" hidden="1" customHeight="1" outlineLevel="3" x14ac:dyDescent="0.25">
      <c r="B796" s="21" t="str">
        <f>G796</f>
        <v>Fax:</v>
      </c>
      <c r="C796" s="202"/>
      <c r="G796" s="19" t="s">
        <v>112</v>
      </c>
      <c r="H796" s="14" t="s">
        <v>14</v>
      </c>
      <c r="I796" s="125"/>
      <c r="J796" s="145"/>
      <c r="K796" s="145"/>
    </row>
    <row r="797" spans="1:23" ht="45" hidden="1" customHeight="1" outlineLevel="3" x14ac:dyDescent="0.25">
      <c r="B797" s="77" t="str">
        <f t="shared" ref="B797" si="19">B532</f>
        <v>Street 1</v>
      </c>
      <c r="C797" s="207"/>
      <c r="G797" s="19" t="s">
        <v>113</v>
      </c>
      <c r="H797" s="14" t="s">
        <v>14</v>
      </c>
      <c r="I797" s="125"/>
      <c r="J797" s="145"/>
      <c r="K797" s="145"/>
    </row>
    <row r="798" spans="1:23" ht="45" hidden="1" customHeight="1" outlineLevel="3" x14ac:dyDescent="0.25"/>
    <row r="799" spans="1:23" ht="45" hidden="1" customHeight="1" outlineLevel="2" x14ac:dyDescent="0.25">
      <c r="A799" s="57" t="s">
        <v>456</v>
      </c>
      <c r="B799" s="58"/>
      <c r="C799" s="213"/>
      <c r="E799" s="59"/>
      <c r="G799" s="59"/>
      <c r="H799" s="60"/>
      <c r="I799" s="138"/>
      <c r="J799" s="138"/>
      <c r="L799" s="59"/>
      <c r="M799" s="59"/>
      <c r="N799" s="59"/>
      <c r="O799" s="59"/>
      <c r="P799" s="59"/>
      <c r="Q799" s="59"/>
      <c r="R799" s="59"/>
      <c r="S799" s="59"/>
      <c r="T799" s="59"/>
      <c r="U799" s="59"/>
      <c r="V799" s="59"/>
      <c r="W799" s="59"/>
    </row>
    <row r="800" spans="1:23" ht="45" hidden="1" customHeight="1" outlineLevel="3" x14ac:dyDescent="0.25"/>
    <row r="801" spans="1:23" ht="45" hidden="1" customHeight="1" outlineLevel="3" x14ac:dyDescent="0.25">
      <c r="B801" s="77"/>
      <c r="C801" s="211"/>
      <c r="G801" s="12" t="s">
        <v>457</v>
      </c>
      <c r="H801" s="14" t="s">
        <v>14</v>
      </c>
    </row>
    <row r="802" spans="1:23" ht="45" hidden="1" customHeight="1" outlineLevel="3" x14ac:dyDescent="0.25">
      <c r="B802" s="21" t="str">
        <f>G802</f>
        <v>Effective Date</v>
      </c>
      <c r="C802" s="202"/>
      <c r="E802" s="14" t="s">
        <v>1111</v>
      </c>
      <c r="G802" s="12" t="s">
        <v>1110</v>
      </c>
      <c r="H802" s="104"/>
      <c r="T802" s="1" t="s">
        <v>1131</v>
      </c>
    </row>
    <row r="803" spans="1:23" ht="45" hidden="1" customHeight="1" outlineLevel="3" x14ac:dyDescent="0.25">
      <c r="B803" s="115" t="s">
        <v>1130</v>
      </c>
      <c r="E803" s="14" t="s">
        <v>1112</v>
      </c>
      <c r="G803" s="12" t="s">
        <v>451</v>
      </c>
      <c r="H803" s="14" t="s">
        <v>29</v>
      </c>
      <c r="I803" s="125" t="s">
        <v>1097</v>
      </c>
      <c r="J803" s="145"/>
      <c r="K803" s="145"/>
    </row>
    <row r="804" spans="1:23" ht="45" hidden="1" customHeight="1" outlineLevel="3" x14ac:dyDescent="0.25"/>
    <row r="805" spans="1:23" ht="45" hidden="1" customHeight="1" outlineLevel="2" x14ac:dyDescent="0.25">
      <c r="A805" s="116" t="s">
        <v>1125</v>
      </c>
      <c r="B805" s="117"/>
      <c r="C805" s="214"/>
      <c r="E805" s="118"/>
      <c r="G805" s="118"/>
      <c r="H805" s="119"/>
      <c r="I805" s="139"/>
      <c r="J805" s="139"/>
      <c r="L805" s="118"/>
      <c r="M805" s="118"/>
      <c r="N805" s="118"/>
      <c r="O805" s="118"/>
      <c r="P805" s="118"/>
      <c r="Q805" s="118"/>
      <c r="R805" s="118"/>
      <c r="S805" s="118"/>
      <c r="T805" s="118"/>
      <c r="U805" s="118"/>
      <c r="V805" s="118"/>
      <c r="W805" s="118"/>
    </row>
    <row r="806" spans="1:23" ht="45" hidden="1" customHeight="1" outlineLevel="3" x14ac:dyDescent="0.25">
      <c r="C806" s="207"/>
      <c r="G806" s="12" t="s">
        <v>119</v>
      </c>
      <c r="H806" s="14" t="s">
        <v>29</v>
      </c>
      <c r="I806" s="125"/>
      <c r="J806" s="145"/>
      <c r="K806" s="145"/>
    </row>
    <row r="807" spans="1:23" ht="45" hidden="1" customHeight="1" outlineLevel="3" x14ac:dyDescent="0.25">
      <c r="G807" s="12" t="s">
        <v>120</v>
      </c>
      <c r="H807" s="14" t="s">
        <v>29</v>
      </c>
      <c r="I807" s="125"/>
      <c r="J807" s="145"/>
      <c r="K807" s="145"/>
    </row>
    <row r="808" spans="1:23" ht="45" hidden="1" customHeight="1" outlineLevel="3" x14ac:dyDescent="0.25">
      <c r="G808" s="12" t="s">
        <v>1113</v>
      </c>
      <c r="H808" s="14" t="s">
        <v>29</v>
      </c>
      <c r="I808" s="153" t="s">
        <v>1126</v>
      </c>
      <c r="J808" s="175"/>
      <c r="K808" s="145"/>
    </row>
    <row r="809" spans="1:23" ht="45" hidden="1" customHeight="1" outlineLevel="3" x14ac:dyDescent="0.25">
      <c r="G809" s="12" t="s">
        <v>1114</v>
      </c>
      <c r="H809" s="14" t="s">
        <v>29</v>
      </c>
      <c r="I809" s="125"/>
      <c r="J809" s="145"/>
      <c r="K809" s="145"/>
    </row>
    <row r="810" spans="1:23" ht="45" hidden="1" customHeight="1" outlineLevel="3" x14ac:dyDescent="0.25">
      <c r="G810" s="12" t="s">
        <v>185</v>
      </c>
      <c r="H810" s="14" t="s">
        <v>14</v>
      </c>
      <c r="I810" s="125"/>
      <c r="J810" s="145"/>
      <c r="K810" s="145"/>
    </row>
    <row r="811" spans="1:23" ht="45" hidden="1" customHeight="1" outlineLevel="3" x14ac:dyDescent="0.25">
      <c r="G811" s="12" t="s">
        <v>92</v>
      </c>
      <c r="H811" s="14" t="s">
        <v>14</v>
      </c>
      <c r="I811" s="125"/>
      <c r="J811" s="145"/>
      <c r="K811" s="145"/>
    </row>
    <row r="812" spans="1:23" ht="45" hidden="1" customHeight="1" outlineLevel="3" x14ac:dyDescent="0.25">
      <c r="G812" s="20" t="s">
        <v>1115</v>
      </c>
      <c r="H812" s="14" t="s">
        <v>14</v>
      </c>
      <c r="I812" s="125"/>
      <c r="J812" s="145"/>
      <c r="K812" s="145"/>
    </row>
    <row r="813" spans="1:23" ht="45" hidden="1" customHeight="1" outlineLevel="3" x14ac:dyDescent="0.25">
      <c r="G813" s="20" t="s">
        <v>1116</v>
      </c>
      <c r="H813" s="14" t="s">
        <v>14</v>
      </c>
      <c r="I813" s="153" t="s">
        <v>1099</v>
      </c>
      <c r="J813" s="175"/>
      <c r="K813" s="145"/>
    </row>
    <row r="814" spans="1:23" ht="45" hidden="1" customHeight="1" outlineLevel="3" x14ac:dyDescent="0.25">
      <c r="G814" s="20" t="s">
        <v>1117</v>
      </c>
      <c r="H814" s="14" t="s">
        <v>14</v>
      </c>
      <c r="I814" s="125"/>
      <c r="J814" s="145"/>
      <c r="K814" s="145"/>
    </row>
    <row r="815" spans="1:23" ht="45" hidden="1" customHeight="1" outlineLevel="3" x14ac:dyDescent="0.25"/>
    <row r="816" spans="1:23" ht="45" hidden="1" customHeight="1" outlineLevel="3" x14ac:dyDescent="0.25">
      <c r="G816" s="20" t="s">
        <v>1118</v>
      </c>
      <c r="H816" s="14" t="s">
        <v>14</v>
      </c>
      <c r="I816" s="125"/>
      <c r="J816" s="145"/>
      <c r="K816" s="145"/>
    </row>
    <row r="817" spans="1:23" ht="45" hidden="1" customHeight="1" outlineLevel="3" x14ac:dyDescent="0.25">
      <c r="G817" s="20" t="s">
        <v>1119</v>
      </c>
      <c r="H817" s="14" t="s">
        <v>14</v>
      </c>
      <c r="I817" s="153" t="s">
        <v>1123</v>
      </c>
      <c r="J817" s="175"/>
      <c r="K817" s="145"/>
    </row>
    <row r="818" spans="1:23" ht="45" hidden="1" customHeight="1" outlineLevel="3" x14ac:dyDescent="0.25">
      <c r="G818" s="20" t="s">
        <v>1120</v>
      </c>
      <c r="H818" s="14" t="s">
        <v>14</v>
      </c>
      <c r="I818" s="125"/>
      <c r="J818" s="145"/>
      <c r="K818" s="145"/>
    </row>
    <row r="819" spans="1:23" ht="45" hidden="1" customHeight="1" outlineLevel="3" x14ac:dyDescent="0.25">
      <c r="G819" s="20" t="s">
        <v>1121</v>
      </c>
      <c r="H819" s="14" t="s">
        <v>14</v>
      </c>
      <c r="I819" s="125"/>
      <c r="J819" s="145"/>
      <c r="K819" s="145"/>
    </row>
    <row r="820" spans="1:23" ht="45" hidden="1" customHeight="1" outlineLevel="3" x14ac:dyDescent="0.25">
      <c r="G820" s="20" t="s">
        <v>1122</v>
      </c>
      <c r="H820" s="14" t="s">
        <v>14</v>
      </c>
      <c r="I820" s="125"/>
      <c r="J820" s="145"/>
      <c r="K820" s="145"/>
    </row>
    <row r="821" spans="1:23" ht="45" hidden="1" customHeight="1" outlineLevel="3" x14ac:dyDescent="0.25"/>
    <row r="822" spans="1:23" ht="45" hidden="1" customHeight="1" outlineLevel="2" x14ac:dyDescent="0.25">
      <c r="A822" s="116" t="s">
        <v>1124</v>
      </c>
      <c r="B822" s="117"/>
      <c r="C822" s="214"/>
      <c r="E822" s="118"/>
      <c r="G822" s="118"/>
      <c r="H822" s="119"/>
      <c r="I822" s="139"/>
      <c r="J822" s="139"/>
      <c r="L822" s="118"/>
      <c r="M822" s="118"/>
      <c r="N822" s="118"/>
      <c r="O822" s="118"/>
      <c r="P822" s="118"/>
      <c r="Q822" s="118"/>
      <c r="R822" s="118"/>
      <c r="S822" s="118"/>
      <c r="T822" s="118"/>
      <c r="U822" s="118"/>
      <c r="V822" s="118"/>
      <c r="W822" s="118"/>
    </row>
    <row r="823" spans="1:23" ht="45" hidden="1" customHeight="1" outlineLevel="3" x14ac:dyDescent="0.25"/>
    <row r="824" spans="1:23" ht="45" hidden="1" customHeight="1" outlineLevel="3" x14ac:dyDescent="0.25">
      <c r="G824" s="12" t="s">
        <v>120</v>
      </c>
      <c r="H824" s="14" t="s">
        <v>29</v>
      </c>
      <c r="I824" s="153" t="s">
        <v>1099</v>
      </c>
      <c r="J824" s="175"/>
      <c r="K824" s="145"/>
    </row>
    <row r="825" spans="1:23" ht="45" hidden="1" customHeight="1" outlineLevel="3" x14ac:dyDescent="0.25">
      <c r="G825" s="12" t="s">
        <v>452</v>
      </c>
      <c r="H825" s="14" t="s">
        <v>14</v>
      </c>
      <c r="I825" s="153" t="s">
        <v>1099</v>
      </c>
      <c r="J825" s="175"/>
      <c r="K825" s="145"/>
    </row>
    <row r="826" spans="1:23" ht="45" hidden="1" customHeight="1" outlineLevel="3" x14ac:dyDescent="0.25">
      <c r="E826" s="14" t="s">
        <v>1093</v>
      </c>
      <c r="G826" s="12" t="s">
        <v>453</v>
      </c>
      <c r="H826" s="14" t="s">
        <v>29</v>
      </c>
      <c r="I826" s="153" t="s">
        <v>1099</v>
      </c>
      <c r="J826" s="175"/>
      <c r="K826" s="145"/>
    </row>
    <row r="827" spans="1:23" ht="45" hidden="1" customHeight="1" outlineLevel="3" x14ac:dyDescent="0.25"/>
    <row r="828" spans="1:23" ht="45" hidden="1" customHeight="1" outlineLevel="2" x14ac:dyDescent="0.25">
      <c r="A828" s="116" t="s">
        <v>1132</v>
      </c>
      <c r="B828" s="117"/>
      <c r="C828" s="214"/>
      <c r="E828" s="118"/>
      <c r="G828" s="118"/>
      <c r="H828" s="119"/>
      <c r="I828" s="139"/>
      <c r="J828" s="139"/>
      <c r="L828" s="118"/>
      <c r="M828" s="118"/>
      <c r="N828" s="118"/>
      <c r="O828" s="118"/>
      <c r="P828" s="118"/>
      <c r="Q828" s="118"/>
      <c r="R828" s="118"/>
      <c r="S828" s="118"/>
      <c r="T828" s="118"/>
      <c r="U828" s="118"/>
      <c r="V828" s="118"/>
      <c r="W828" s="118"/>
    </row>
  </sheetData>
  <dataConsolidate/>
  <customSheetViews>
    <customSheetView guid="{2F0EE798-70DA-460A-B90E-645A10A87AEC}" scale="85" showGridLines="0" hiddenColumns="1" topLeftCell="A107">
      <selection activeCell="C110" sqref="C110"/>
      <pageMargins left="0.7" right="0.7" top="0.75" bottom="0.75" header="0.3" footer="0.3"/>
      <pageSetup orientation="portrait" r:id="rId1"/>
    </customSheetView>
    <customSheetView guid="{D3F78401-2A5B-4AA3-A27D-A6F2A4AC0172}" scale="85" showGridLines="0" showAutoFilter="1" hiddenColumns="1">
      <selection activeCell="C6" sqref="C6"/>
      <pageMargins left="0.7" right="0.7" top="0.75" bottom="0.75" header="0.3" footer="0.3"/>
      <pageSetup orientation="portrait" r:id="rId2"/>
      <autoFilter ref="L1:L821"/>
    </customSheetView>
  </customSheetViews>
  <conditionalFormatting sqref="B50:B52">
    <cfRule type="duplicateValues" dxfId="1474" priority="3040"/>
  </conditionalFormatting>
  <conditionalFormatting sqref="J49:K49">
    <cfRule type="containsText" dxfId="1473" priority="3039" stopIfTrue="1" operator="containsText" text="Insufficient room for address">
      <formula>NOT(ISERROR(SEARCH("Insufficient room for address",J49)))</formula>
    </cfRule>
  </conditionalFormatting>
  <conditionalFormatting sqref="I489:K490 I494:K495 I499:K1048576 I50:K54 I40 I48 I56:K56 J49:K49 I31:K31 I30 I34:K38 I32 J77:K80 J71:K75 J82:K83 J68:K69 I7:K7 I23:K23 J61:K64 I9:K9 I17:K21 I28:K28 I59:K59 J57:K58 J33:K33 I25:K25 J24:K24 J26:K27 J29:K29 I11:K15 J10:K10 I105:K109 J94:K104 J86:K90">
    <cfRule type="containsText" dxfId="1472" priority="3034" operator="containsText" text="#N/A">
      <formula>NOT(ISERROR(SEARCH("#N/A",I7)))</formula>
    </cfRule>
  </conditionalFormatting>
  <conditionalFormatting sqref="I115:K115 I486:K488 J112 J114:K128 I130:K134 J127:J129">
    <cfRule type="containsErrors" dxfId="57" priority="3030">
      <formula>ISERROR(I112)</formula>
    </cfRule>
    <cfRule type="containsText" dxfId="56" priority="3031" operator="containsText" text="#N/A">
      <formula>NOT(ISERROR(SEARCH("#N/A",I112)))</formula>
    </cfRule>
  </conditionalFormatting>
  <conditionalFormatting sqref="P78">
    <cfRule type="containsErrors" dxfId="1471" priority="2994">
      <formula>ISERROR(P78)</formula>
    </cfRule>
    <cfRule type="containsText" dxfId="1470" priority="2995" operator="containsText" text="#N/A">
      <formula>NOT(ISERROR(SEARCH("#N/A",P78)))</formula>
    </cfRule>
  </conditionalFormatting>
  <conditionalFormatting sqref="I114:K114">
    <cfRule type="containsErrors" dxfId="1469" priority="3026">
      <formula>ISERROR(I114)</formula>
    </cfRule>
    <cfRule type="containsText" dxfId="1468" priority="3027" operator="containsText" text="#N/A">
      <formula>NOT(ISERROR(SEARCH("#N/A",I114)))</formula>
    </cfRule>
  </conditionalFormatting>
  <conditionalFormatting sqref="I118:K118">
    <cfRule type="containsErrors" dxfId="1467" priority="3024">
      <formula>ISERROR(I118)</formula>
    </cfRule>
    <cfRule type="containsText" dxfId="1466" priority="3025" operator="containsText" text="#N/A">
      <formula>NOT(ISERROR(SEARCH("#N/A",I118)))</formula>
    </cfRule>
  </conditionalFormatting>
  <conditionalFormatting sqref="I120:K120">
    <cfRule type="containsErrors" dxfId="1465" priority="3022">
      <formula>ISERROR(I120)</formula>
    </cfRule>
    <cfRule type="containsText" dxfId="1464" priority="3023" operator="containsText" text="#N/A">
      <formula>NOT(ISERROR(SEARCH("#N/A",I120)))</formula>
    </cfRule>
  </conditionalFormatting>
  <conditionalFormatting sqref="I121:K121">
    <cfRule type="containsErrors" dxfId="1463" priority="3020">
      <formula>ISERROR(I121)</formula>
    </cfRule>
    <cfRule type="containsText" dxfId="1462" priority="3021" operator="containsText" text="#N/A">
      <formula>NOT(ISERROR(SEARCH("#N/A",I121)))</formula>
    </cfRule>
  </conditionalFormatting>
  <conditionalFormatting sqref="O64:Q64">
    <cfRule type="containsErrors" dxfId="1461" priority="3012">
      <formula>ISERROR(O64)</formula>
    </cfRule>
    <cfRule type="containsText" dxfId="1460" priority="3013" operator="containsText" text="#N/A">
      <formula>NOT(ISERROR(SEARCH("#N/A",O64)))</formula>
    </cfRule>
  </conditionalFormatting>
  <conditionalFormatting sqref="O67">
    <cfRule type="containsErrors" dxfId="1459" priority="3010">
      <formula>ISERROR(O67)</formula>
    </cfRule>
    <cfRule type="containsText" dxfId="1458" priority="3011" operator="containsText" text="#N/A">
      <formula>NOT(ISERROR(SEARCH("#N/A",O67)))</formula>
    </cfRule>
  </conditionalFormatting>
  <conditionalFormatting sqref="P67">
    <cfRule type="containsErrors" dxfId="1457" priority="3008">
      <formula>ISERROR(P67)</formula>
    </cfRule>
    <cfRule type="containsText" dxfId="1456" priority="3009" operator="containsText" text="#N/A">
      <formula>NOT(ISERROR(SEARCH("#N/A",P67)))</formula>
    </cfRule>
  </conditionalFormatting>
  <conditionalFormatting sqref="O68">
    <cfRule type="containsErrors" dxfId="1455" priority="3006">
      <formula>ISERROR(O68)</formula>
    </cfRule>
    <cfRule type="containsText" dxfId="1454" priority="3007" operator="containsText" text="#N/A">
      <formula>NOT(ISERROR(SEARCH("#N/A",O68)))</formula>
    </cfRule>
  </conditionalFormatting>
  <conditionalFormatting sqref="P68">
    <cfRule type="containsErrors" dxfId="1453" priority="3004">
      <formula>ISERROR(P68)</formula>
    </cfRule>
    <cfRule type="containsText" dxfId="1452" priority="3005" operator="containsText" text="#N/A">
      <formula>NOT(ISERROR(SEARCH("#N/A",P68)))</formula>
    </cfRule>
  </conditionalFormatting>
  <conditionalFormatting sqref="P69">
    <cfRule type="containsErrors" dxfId="1451" priority="3002">
      <formula>ISERROR(P69)</formula>
    </cfRule>
    <cfRule type="containsText" dxfId="1450" priority="3003" operator="containsText" text="#N/A">
      <formula>NOT(ISERROR(SEARCH("#N/A",P69)))</formula>
    </cfRule>
  </conditionalFormatting>
  <conditionalFormatting sqref="O77">
    <cfRule type="containsErrors" dxfId="1449" priority="3000">
      <formula>ISERROR(O77)</formula>
    </cfRule>
    <cfRule type="containsText" dxfId="1448" priority="3001" operator="containsText" text="#N/A">
      <formula>NOT(ISERROR(SEARCH("#N/A",O77)))</formula>
    </cfRule>
  </conditionalFormatting>
  <conditionalFormatting sqref="P77">
    <cfRule type="containsErrors" dxfId="1447" priority="2998">
      <formula>ISERROR(P77)</formula>
    </cfRule>
    <cfRule type="containsText" dxfId="1446" priority="2999" operator="containsText" text="#N/A">
      <formula>NOT(ISERROR(SEARCH("#N/A",P77)))</formula>
    </cfRule>
  </conditionalFormatting>
  <conditionalFormatting sqref="O78">
    <cfRule type="containsErrors" dxfId="1445" priority="2996">
      <formula>ISERROR(O78)</formula>
    </cfRule>
    <cfRule type="containsText" dxfId="1444" priority="2997" operator="containsText" text="#N/A">
      <formula>NOT(ISERROR(SEARCH("#N/A",O78)))</formula>
    </cfRule>
  </conditionalFormatting>
  <conditionalFormatting sqref="P79">
    <cfRule type="containsErrors" dxfId="1443" priority="2992">
      <formula>ISERROR(P79)</formula>
    </cfRule>
    <cfRule type="containsText" dxfId="1442" priority="2993" operator="containsText" text="#N/A">
      <formula>NOT(ISERROR(SEARCH("#N/A",P79)))</formula>
    </cfRule>
  </conditionalFormatting>
  <conditionalFormatting sqref="Q82">
    <cfRule type="containsErrors" dxfId="1441" priority="2988">
      <formula>ISERROR(Q82)</formula>
    </cfRule>
    <cfRule type="containsText" dxfId="1440" priority="2989" operator="containsText" text="#N/A">
      <formula>NOT(ISERROR(SEARCH("#N/A",Q82)))</formula>
    </cfRule>
  </conditionalFormatting>
  <conditionalFormatting sqref="Q83">
    <cfRule type="containsErrors" dxfId="1439" priority="2984">
      <formula>ISERROR(Q83)</formula>
    </cfRule>
    <cfRule type="containsText" dxfId="1438" priority="2985" operator="containsText" text="#N/A">
      <formula>NOT(ISERROR(SEARCH("#N/A",Q83)))</formula>
    </cfRule>
  </conditionalFormatting>
  <conditionalFormatting sqref="P86">
    <cfRule type="containsErrors" dxfId="1437" priority="2982">
      <formula>ISERROR(P86)</formula>
    </cfRule>
    <cfRule type="containsText" dxfId="1436" priority="2983" operator="containsText" text="#N/A">
      <formula>NOT(ISERROR(SEARCH("#N/A",P86)))</formula>
    </cfRule>
  </conditionalFormatting>
  <conditionalFormatting sqref="P88">
    <cfRule type="containsErrors" dxfId="1435" priority="2978">
      <formula>ISERROR(P88)</formula>
    </cfRule>
    <cfRule type="containsText" dxfId="1434" priority="2979" operator="containsText" text="#N/A">
      <formula>NOT(ISERROR(SEARCH("#N/A",P88)))</formula>
    </cfRule>
  </conditionalFormatting>
  <conditionalFormatting sqref="P89">
    <cfRule type="containsErrors" dxfId="1433" priority="2976">
      <formula>ISERROR(P89)</formula>
    </cfRule>
    <cfRule type="containsText" dxfId="1432" priority="2977" operator="containsText" text="#N/A">
      <formula>NOT(ISERROR(SEARCH("#N/A",P89)))</formula>
    </cfRule>
  </conditionalFormatting>
  <conditionalFormatting sqref="P90">
    <cfRule type="containsErrors" dxfId="1431" priority="2974">
      <formula>ISERROR(P90)</formula>
    </cfRule>
    <cfRule type="containsText" dxfId="1430" priority="2975" operator="containsText" text="#N/A">
      <formula>NOT(ISERROR(SEARCH("#N/A",P90)))</formula>
    </cfRule>
  </conditionalFormatting>
  <conditionalFormatting sqref="P93">
    <cfRule type="containsErrors" dxfId="1429" priority="2972">
      <formula>ISERROR(P93)</formula>
    </cfRule>
    <cfRule type="containsText" dxfId="1428" priority="2973" operator="containsText" text="#N/A">
      <formula>NOT(ISERROR(SEARCH("#N/A",P93)))</formula>
    </cfRule>
  </conditionalFormatting>
  <conditionalFormatting sqref="P95">
    <cfRule type="containsErrors" dxfId="1427" priority="2970">
      <formula>ISERROR(P95)</formula>
    </cfRule>
    <cfRule type="containsText" dxfId="1426" priority="2971" operator="containsText" text="#N/A">
      <formula>NOT(ISERROR(SEARCH("#N/A",P95)))</formula>
    </cfRule>
  </conditionalFormatting>
  <conditionalFormatting sqref="P96">
    <cfRule type="containsErrors" dxfId="1425" priority="2968">
      <formula>ISERROR(P96)</formula>
    </cfRule>
    <cfRule type="containsText" dxfId="1424" priority="2969" operator="containsText" text="#N/A">
      <formula>NOT(ISERROR(SEARCH("#N/A",P96)))</formula>
    </cfRule>
  </conditionalFormatting>
  <conditionalFormatting sqref="M111">
    <cfRule type="containsErrors" dxfId="1423" priority="2946">
      <formula>ISERROR(M111)</formula>
    </cfRule>
    <cfRule type="containsText" dxfId="1422" priority="2947" operator="containsText" text="#N/A">
      <formula>NOT(ISERROR(SEARCH("#N/A",M111)))</formula>
    </cfRule>
  </conditionalFormatting>
  <conditionalFormatting sqref="M112">
    <cfRule type="containsErrors" dxfId="1421" priority="2944">
      <formula>ISERROR(M112)</formula>
    </cfRule>
    <cfRule type="containsText" dxfId="1420" priority="2945" operator="containsText" text="#N/A">
      <formula>NOT(ISERROR(SEARCH("#N/A",M112)))</formula>
    </cfRule>
  </conditionalFormatting>
  <conditionalFormatting sqref="M113">
    <cfRule type="containsErrors" dxfId="1419" priority="2942">
      <formula>ISERROR(M113)</formula>
    </cfRule>
    <cfRule type="containsText" dxfId="1418" priority="2943" operator="containsText" text="#N/A">
      <formula>NOT(ISERROR(SEARCH("#N/A",M113)))</formula>
    </cfRule>
  </conditionalFormatting>
  <conditionalFormatting sqref="M114">
    <cfRule type="containsErrors" dxfId="1417" priority="2940">
      <formula>ISERROR(M114)</formula>
    </cfRule>
    <cfRule type="containsText" dxfId="1416" priority="2941" operator="containsText" text="#N/A">
      <formula>NOT(ISERROR(SEARCH("#N/A",M114)))</formula>
    </cfRule>
  </conditionalFormatting>
  <conditionalFormatting sqref="M115">
    <cfRule type="containsErrors" dxfId="1415" priority="2938">
      <formula>ISERROR(M115)</formula>
    </cfRule>
    <cfRule type="containsText" dxfId="1414" priority="2939" operator="containsText" text="#N/A">
      <formula>NOT(ISERROR(SEARCH("#N/A",M115)))</formula>
    </cfRule>
  </conditionalFormatting>
  <conditionalFormatting sqref="M116">
    <cfRule type="containsErrors" dxfId="1413" priority="2936">
      <formula>ISERROR(M116)</formula>
    </cfRule>
    <cfRule type="containsText" dxfId="1412" priority="2937" operator="containsText" text="#N/A">
      <formula>NOT(ISERROR(SEARCH("#N/A",M116)))</formula>
    </cfRule>
  </conditionalFormatting>
  <conditionalFormatting sqref="M117">
    <cfRule type="containsErrors" dxfId="1411" priority="2934">
      <formula>ISERROR(M117)</formula>
    </cfRule>
    <cfRule type="containsText" dxfId="1410" priority="2935" operator="containsText" text="#N/A">
      <formula>NOT(ISERROR(SEARCH("#N/A",M117)))</formula>
    </cfRule>
  </conditionalFormatting>
  <conditionalFormatting sqref="M118">
    <cfRule type="containsErrors" dxfId="1409" priority="2932">
      <formula>ISERROR(M118)</formula>
    </cfRule>
    <cfRule type="containsText" dxfId="1408" priority="2933" operator="containsText" text="#N/A">
      <formula>NOT(ISERROR(SEARCH("#N/A",M118)))</formula>
    </cfRule>
  </conditionalFormatting>
  <conditionalFormatting sqref="M120">
    <cfRule type="containsErrors" dxfId="1407" priority="2930">
      <formula>ISERROR(M120)</formula>
    </cfRule>
    <cfRule type="containsText" dxfId="1406" priority="2931" operator="containsText" text="#N/A">
      <formula>NOT(ISERROR(SEARCH("#N/A",M120)))</formula>
    </cfRule>
  </conditionalFormatting>
  <conditionalFormatting sqref="M121">
    <cfRule type="containsErrors" dxfId="1405" priority="2928">
      <formula>ISERROR(M121)</formula>
    </cfRule>
    <cfRule type="containsText" dxfId="1404" priority="2929" operator="containsText" text="#N/A">
      <formula>NOT(ISERROR(SEARCH("#N/A",M121)))</formula>
    </cfRule>
  </conditionalFormatting>
  <conditionalFormatting sqref="N103:N109">
    <cfRule type="containsErrors" dxfId="1403" priority="2922">
      <formula>ISERROR(N103)</formula>
    </cfRule>
    <cfRule type="containsText" dxfId="1402" priority="2923" operator="containsText" text="#N/A">
      <formula>NOT(ISERROR(SEARCH("#N/A",N103)))</formula>
    </cfRule>
  </conditionalFormatting>
  <conditionalFormatting sqref="N122">
    <cfRule type="containsErrors" dxfId="1401" priority="2920">
      <formula>ISERROR(N122)</formula>
    </cfRule>
    <cfRule type="containsText" dxfId="1400" priority="2921" operator="containsText" text="#N/A">
      <formula>NOT(ISERROR(SEARCH("#N/A",N122)))</formula>
    </cfRule>
  </conditionalFormatting>
  <conditionalFormatting sqref="N123">
    <cfRule type="containsErrors" dxfId="1399" priority="2918">
      <formula>ISERROR(N123)</formula>
    </cfRule>
    <cfRule type="containsText" dxfId="1398" priority="2919" operator="containsText" text="#N/A">
      <formula>NOT(ISERROR(SEARCH("#N/A",N123)))</formula>
    </cfRule>
  </conditionalFormatting>
  <conditionalFormatting sqref="N124:N127">
    <cfRule type="containsErrors" dxfId="1397" priority="2916">
      <formula>ISERROR(N124)</formula>
    </cfRule>
    <cfRule type="containsText" dxfId="1396" priority="2917" operator="containsText" text="#N/A">
      <formula>NOT(ISERROR(SEARCH("#N/A",N124)))</formula>
    </cfRule>
  </conditionalFormatting>
  <conditionalFormatting sqref="P111">
    <cfRule type="containsErrors" dxfId="1395" priority="2912">
      <formula>ISERROR(P111)</formula>
    </cfRule>
    <cfRule type="containsText" dxfId="1394" priority="2913" operator="containsText" text="#N/A">
      <formula>NOT(ISERROR(SEARCH("#N/A",P111)))</formula>
    </cfRule>
  </conditionalFormatting>
  <conditionalFormatting sqref="P113">
    <cfRule type="containsErrors" dxfId="1393" priority="2908">
      <formula>ISERROR(P113)</formula>
    </cfRule>
    <cfRule type="containsText" dxfId="1392" priority="2909" operator="containsText" text="#N/A">
      <formula>NOT(ISERROR(SEARCH("#N/A",P113)))</formula>
    </cfRule>
  </conditionalFormatting>
  <conditionalFormatting sqref="P114">
    <cfRule type="containsErrors" dxfId="1391" priority="2906">
      <formula>ISERROR(P114)</formula>
    </cfRule>
    <cfRule type="containsText" dxfId="1390" priority="2907" operator="containsText" text="#N/A">
      <formula>NOT(ISERROR(SEARCH("#N/A",P114)))</formula>
    </cfRule>
  </conditionalFormatting>
  <conditionalFormatting sqref="P115">
    <cfRule type="containsErrors" dxfId="1389" priority="2904">
      <formula>ISERROR(P115)</formula>
    </cfRule>
    <cfRule type="containsText" dxfId="1388" priority="2905" operator="containsText" text="#N/A">
      <formula>NOT(ISERROR(SEARCH("#N/A",P115)))</formula>
    </cfRule>
  </conditionalFormatting>
  <conditionalFormatting sqref="P118">
    <cfRule type="containsErrors" dxfId="1387" priority="2902">
      <formula>ISERROR(P118)</formula>
    </cfRule>
    <cfRule type="containsText" dxfId="1386" priority="2903" operator="containsText" text="#N/A">
      <formula>NOT(ISERROR(SEARCH("#N/A",P118)))</formula>
    </cfRule>
  </conditionalFormatting>
  <conditionalFormatting sqref="P120">
    <cfRule type="containsErrors" dxfId="1385" priority="2900">
      <formula>ISERROR(P120)</formula>
    </cfRule>
    <cfRule type="containsText" dxfId="1384" priority="2901" operator="containsText" text="#N/A">
      <formula>NOT(ISERROR(SEARCH("#N/A",P120)))</formula>
    </cfRule>
  </conditionalFormatting>
  <conditionalFormatting sqref="P121">
    <cfRule type="containsErrors" dxfId="1383" priority="2898">
      <formula>ISERROR(P121)</formula>
    </cfRule>
    <cfRule type="containsText" dxfId="1382" priority="2899" operator="containsText" text="#N/A">
      <formula>NOT(ISERROR(SEARCH("#N/A",P121)))</formula>
    </cfRule>
  </conditionalFormatting>
  <conditionalFormatting sqref="N111:N121">
    <cfRule type="containsErrors" dxfId="1381" priority="2878">
      <formula>ISERROR(N111)</formula>
    </cfRule>
    <cfRule type="containsText" dxfId="1380" priority="2879" operator="containsText" text="#N/A">
      <formula>NOT(ISERROR(SEARCH("#N/A",N111)))</formula>
    </cfRule>
  </conditionalFormatting>
  <conditionalFormatting sqref="N128">
    <cfRule type="containsErrors" dxfId="1379" priority="2876">
      <formula>ISERROR(N128)</formula>
    </cfRule>
    <cfRule type="containsText" dxfId="1378" priority="2877" operator="containsText" text="#N/A">
      <formula>NOT(ISERROR(SEARCH("#N/A",N128)))</formula>
    </cfRule>
  </conditionalFormatting>
  <conditionalFormatting sqref="N130">
    <cfRule type="containsErrors" dxfId="1377" priority="2872">
      <formula>ISERROR(N130)</formula>
    </cfRule>
    <cfRule type="containsText" dxfId="1376" priority="2873" operator="containsText" text="#N/A">
      <formula>NOT(ISERROR(SEARCH("#N/A",N130)))</formula>
    </cfRule>
  </conditionalFormatting>
  <conditionalFormatting sqref="N131">
    <cfRule type="containsErrors" dxfId="1375" priority="2870">
      <formula>ISERROR(N131)</formula>
    </cfRule>
    <cfRule type="containsText" dxfId="1374" priority="2871" operator="containsText" text="#N/A">
      <formula>NOT(ISERROR(SEARCH("#N/A",N131)))</formula>
    </cfRule>
  </conditionalFormatting>
  <conditionalFormatting sqref="N132">
    <cfRule type="containsErrors" dxfId="1373" priority="2868">
      <formula>ISERROR(N132)</formula>
    </cfRule>
    <cfRule type="containsText" dxfId="1372" priority="2869" operator="containsText" text="#N/A">
      <formula>NOT(ISERROR(SEARCH("#N/A",N132)))</formula>
    </cfRule>
  </conditionalFormatting>
  <conditionalFormatting sqref="N133">
    <cfRule type="containsErrors" dxfId="1371" priority="2866">
      <formula>ISERROR(N133)</formula>
    </cfRule>
    <cfRule type="containsText" dxfId="1370" priority="2867" operator="containsText" text="#N/A">
      <formula>NOT(ISERROR(SEARCH("#N/A",N133)))</formula>
    </cfRule>
  </conditionalFormatting>
  <conditionalFormatting sqref="N134">
    <cfRule type="containsErrors" dxfId="1369" priority="2864">
      <formula>ISERROR(N134)</formula>
    </cfRule>
    <cfRule type="containsText" dxfId="1368" priority="2865" operator="containsText" text="#N/A">
      <formula>NOT(ISERROR(SEARCH("#N/A",N134)))</formula>
    </cfRule>
  </conditionalFormatting>
  <conditionalFormatting sqref="Q69 Q77:Q79 Q71:Q75">
    <cfRule type="containsErrors" dxfId="1367" priority="2862" stopIfTrue="1">
      <formula>ISERROR(Q69)</formula>
    </cfRule>
  </conditionalFormatting>
  <conditionalFormatting sqref="I65:K66">
    <cfRule type="containsErrors" dxfId="1366" priority="2856">
      <formula>ISERROR(I65)</formula>
    </cfRule>
    <cfRule type="containsText" dxfId="1365" priority="2857" operator="containsText" text="#N/A">
      <formula>NOT(ISERROR(SEARCH("#N/A",I65)))</formula>
    </cfRule>
  </conditionalFormatting>
  <conditionalFormatting sqref="Q86:Q90 Q93:Q104">
    <cfRule type="containsErrors" dxfId="1364" priority="2854">
      <formula>ISERROR(Q86)</formula>
    </cfRule>
    <cfRule type="containsText" dxfId="1363" priority="2855" operator="containsText" text="#N/A">
      <formula>NOT(ISERROR(SEARCH("#N/A",Q86)))</formula>
    </cfRule>
  </conditionalFormatting>
  <conditionalFormatting sqref="R86">
    <cfRule type="containsErrors" dxfId="1362" priority="2852">
      <formula>ISERROR(R86)</formula>
    </cfRule>
    <cfRule type="containsText" dxfId="1361" priority="2853" operator="containsText" text="#N/A">
      <formula>NOT(ISERROR(SEARCH("#N/A",R86)))</formula>
    </cfRule>
  </conditionalFormatting>
  <conditionalFormatting sqref="R87">
    <cfRule type="containsErrors" dxfId="1360" priority="2850">
      <formula>ISERROR(R87)</formula>
    </cfRule>
    <cfRule type="containsText" dxfId="1359" priority="2851" operator="containsText" text="#N/A">
      <formula>NOT(ISERROR(SEARCH("#N/A",R87)))</formula>
    </cfRule>
  </conditionalFormatting>
  <conditionalFormatting sqref="R89:R90">
    <cfRule type="containsErrors" dxfId="1358" priority="2848" stopIfTrue="1">
      <formula>ISERROR(R89)</formula>
    </cfRule>
  </conditionalFormatting>
  <conditionalFormatting sqref="R93:R104">
    <cfRule type="containsErrors" dxfId="1357" priority="2846">
      <formula>ISERROR(R93)</formula>
    </cfRule>
    <cfRule type="containsText" dxfId="1356" priority="2847" operator="containsText" text="#N/A">
      <formula>NOT(ISERROR(SEARCH("#N/A",R93)))</formula>
    </cfRule>
  </conditionalFormatting>
  <conditionalFormatting sqref="R88">
    <cfRule type="containsErrors" dxfId="1355" priority="2844">
      <formula>ISERROR(R88)</formula>
    </cfRule>
    <cfRule type="containsText" dxfId="1354" priority="2845" operator="containsText" text="#N/A">
      <formula>NOT(ISERROR(SEARCH("#N/A",R88)))</formula>
    </cfRule>
  </conditionalFormatting>
  <conditionalFormatting sqref="J93:K93">
    <cfRule type="containsErrors" dxfId="1353" priority="2842">
      <formula>ISERROR(J93)</formula>
    </cfRule>
    <cfRule type="containsText" dxfId="1352" priority="2843" operator="containsText" text="#N/A">
      <formula>NOT(ISERROR(SEARCH("#N/A",J93)))</formula>
    </cfRule>
  </conditionalFormatting>
  <conditionalFormatting sqref="I60:K60">
    <cfRule type="containsErrors" dxfId="1351" priority="2840">
      <formula>ISERROR(I60)</formula>
    </cfRule>
    <cfRule type="containsText" dxfId="1350" priority="2841" operator="containsText" text="#N/A">
      <formula>NOT(ISERROR(SEARCH("#N/A",I60)))</formula>
    </cfRule>
  </conditionalFormatting>
  <conditionalFormatting sqref="J22:K22">
    <cfRule type="containsErrors" dxfId="1349" priority="2838">
      <formula>ISERROR(J22)</formula>
    </cfRule>
    <cfRule type="containsText" dxfId="1348" priority="2839" operator="containsText" text="#N/A">
      <formula>NOT(ISERROR(SEARCH("#N/A",J22)))</formula>
    </cfRule>
  </conditionalFormatting>
  <conditionalFormatting sqref="Q111:Q115 Q118:Q119 Q122:Q128">
    <cfRule type="containsErrors" dxfId="1347" priority="2836" stopIfTrue="1">
      <formula>ISERROR(Q111)</formula>
    </cfRule>
  </conditionalFormatting>
  <conditionalFormatting sqref="I491:K491">
    <cfRule type="containsErrors" dxfId="1346" priority="2834">
      <formula>ISERROR(I491)</formula>
    </cfRule>
    <cfRule type="containsText" dxfId="1345" priority="2835" operator="containsText" text="#N/A">
      <formula>NOT(ISERROR(SEARCH("#N/A",I491)))</formula>
    </cfRule>
  </conditionalFormatting>
  <conditionalFormatting sqref="P491">
    <cfRule type="containsErrors" dxfId="1344" priority="2832">
      <formula>ISERROR(P491)</formula>
    </cfRule>
    <cfRule type="containsText" dxfId="1343" priority="2833" operator="containsText" text="#N/A">
      <formula>NOT(ISERROR(SEARCH("#N/A",P491)))</formula>
    </cfRule>
  </conditionalFormatting>
  <conditionalFormatting sqref="P492">
    <cfRule type="containsErrors" dxfId="1342" priority="2830">
      <formula>ISERROR(P492)</formula>
    </cfRule>
    <cfRule type="containsText" dxfId="1341" priority="2831" operator="containsText" text="#N/A">
      <formula>NOT(ISERROR(SEARCH("#N/A",P492)))</formula>
    </cfRule>
  </conditionalFormatting>
  <conditionalFormatting sqref="I493:K493">
    <cfRule type="containsErrors" dxfId="1340" priority="2828">
      <formula>ISERROR(I493)</formula>
    </cfRule>
    <cfRule type="containsText" dxfId="1339" priority="2829" operator="containsText" text="#N/A">
      <formula>NOT(ISERROR(SEARCH("#N/A",I493)))</formula>
    </cfRule>
  </conditionalFormatting>
  <conditionalFormatting sqref="I492:K492">
    <cfRule type="containsErrors" dxfId="1338" priority="2826">
      <formula>ISERROR(I492)</formula>
    </cfRule>
    <cfRule type="containsText" dxfId="1337" priority="2827" operator="containsText" text="#N/A">
      <formula>NOT(ISERROR(SEARCH("#N/A",I492)))</formula>
    </cfRule>
  </conditionalFormatting>
  <conditionalFormatting sqref="I496:K496">
    <cfRule type="containsErrors" dxfId="1336" priority="2824">
      <formula>ISERROR(I496)</formula>
    </cfRule>
    <cfRule type="containsText" dxfId="1335" priority="2825" operator="containsText" text="#N/A">
      <formula>NOT(ISERROR(SEARCH("#N/A",I496)))</formula>
    </cfRule>
  </conditionalFormatting>
  <conditionalFormatting sqref="I498:K498">
    <cfRule type="containsErrors" dxfId="1334" priority="2822">
      <formula>ISERROR(I498)</formula>
    </cfRule>
    <cfRule type="containsText" dxfId="1333" priority="2823" operator="containsText" text="#N/A">
      <formula>NOT(ISERROR(SEARCH("#N/A",I498)))</formula>
    </cfRule>
  </conditionalFormatting>
  <conditionalFormatting sqref="I497:K497">
    <cfRule type="containsErrors" dxfId="1332" priority="2820">
      <formula>ISERROR(I497)</formula>
    </cfRule>
    <cfRule type="containsText" dxfId="1331" priority="2821" operator="containsText" text="#N/A">
      <formula>NOT(ISERROR(SEARCH("#N/A",I497)))</formula>
    </cfRule>
  </conditionalFormatting>
  <conditionalFormatting sqref="Q496">
    <cfRule type="containsErrors" dxfId="1330" priority="2818">
      <formula>ISERROR(Q496)</formula>
    </cfRule>
    <cfRule type="containsText" dxfId="1329" priority="2819" operator="containsText" text="#N/A">
      <formula>NOT(ISERROR(SEARCH("#N/A",Q496)))</formula>
    </cfRule>
  </conditionalFormatting>
  <conditionalFormatting sqref="Q497">
    <cfRule type="containsErrors" dxfId="1328" priority="2816">
      <formula>ISERROR(Q497)</formula>
    </cfRule>
    <cfRule type="containsText" dxfId="1327" priority="2817" operator="containsText" text="#N/A">
      <formula>NOT(ISERROR(SEARCH("#N/A",Q497)))</formula>
    </cfRule>
  </conditionalFormatting>
  <conditionalFormatting sqref="Q498">
    <cfRule type="containsErrors" dxfId="1326" priority="2814">
      <formula>ISERROR(Q498)</formula>
    </cfRule>
    <cfRule type="containsText" dxfId="1325" priority="2815" operator="containsText" text="#N/A">
      <formula>NOT(ISERROR(SEARCH("#N/A",Q498)))</formula>
    </cfRule>
  </conditionalFormatting>
  <conditionalFormatting sqref="Q486:Q488">
    <cfRule type="containsErrors" dxfId="1324" priority="2808">
      <formula>ISERROR(Q486)</formula>
    </cfRule>
    <cfRule type="containsText" dxfId="1323" priority="2809" operator="containsText" text="#N/A">
      <formula>NOT(ISERROR(SEARCH("#N/A",Q486)))</formula>
    </cfRule>
  </conditionalFormatting>
  <conditionalFormatting sqref="N486:N488">
    <cfRule type="containsErrors" dxfId="1322" priority="2810">
      <formula>ISERROR(N486)</formula>
    </cfRule>
    <cfRule type="containsText" dxfId="1321" priority="2811" operator="containsText" text="#N/A">
      <formula>NOT(ISERROR(SEARCH("#N/A",N486)))</formula>
    </cfRule>
  </conditionalFormatting>
  <conditionalFormatting sqref="I155:K159">
    <cfRule type="containsErrors" dxfId="1320" priority="2806">
      <formula>ISERROR(I155)</formula>
    </cfRule>
    <cfRule type="containsText" dxfId="1319" priority="2807" operator="containsText" text="#N/A">
      <formula>NOT(ISERROR(SEARCH("#N/A",I155)))</formula>
    </cfRule>
  </conditionalFormatting>
  <conditionalFormatting sqref="N148">
    <cfRule type="containsErrors" dxfId="1318" priority="2772">
      <formula>ISERROR(N148)</formula>
    </cfRule>
    <cfRule type="containsText" dxfId="1317" priority="2773" operator="containsText" text="#N/A">
      <formula>NOT(ISERROR(SEARCH("#N/A",N148)))</formula>
    </cfRule>
  </conditionalFormatting>
  <conditionalFormatting sqref="J139">
    <cfRule type="containsErrors" dxfId="1316" priority="2802">
      <formula>ISERROR(J139)</formula>
    </cfRule>
    <cfRule type="containsText" dxfId="1315" priority="2803" operator="containsText" text="#N/A">
      <formula>NOT(ISERROR(SEARCH("#N/A",J139)))</formula>
    </cfRule>
  </conditionalFormatting>
  <conditionalFormatting sqref="J143:K143">
    <cfRule type="containsErrors" dxfId="1314" priority="2800">
      <formula>ISERROR(J143)</formula>
    </cfRule>
    <cfRule type="containsText" dxfId="1313" priority="2801" operator="containsText" text="#N/A">
      <formula>NOT(ISERROR(SEARCH("#N/A",J143)))</formula>
    </cfRule>
  </conditionalFormatting>
  <conditionalFormatting sqref="M141">
    <cfRule type="containsErrors" dxfId="1312" priority="2784">
      <formula>ISERROR(M141)</formula>
    </cfRule>
    <cfRule type="containsText" dxfId="1311" priority="2785" operator="containsText" text="#N/A">
      <formula>NOT(ISERROR(SEARCH("#N/A",M141)))</formula>
    </cfRule>
  </conditionalFormatting>
  <conditionalFormatting sqref="M142">
    <cfRule type="containsErrors" dxfId="1310" priority="2782">
      <formula>ISERROR(M142)</formula>
    </cfRule>
    <cfRule type="containsText" dxfId="1309" priority="2783" operator="containsText" text="#N/A">
      <formula>NOT(ISERROR(SEARCH("#N/A",M142)))</formula>
    </cfRule>
  </conditionalFormatting>
  <conditionalFormatting sqref="M143">
    <cfRule type="containsErrors" dxfId="1308" priority="2780">
      <formula>ISERROR(M143)</formula>
    </cfRule>
    <cfRule type="containsText" dxfId="1307" priority="2781" operator="containsText" text="#N/A">
      <formula>NOT(ISERROR(SEARCH("#N/A",M143)))</formula>
    </cfRule>
  </conditionalFormatting>
  <conditionalFormatting sqref="M145">
    <cfRule type="containsErrors" dxfId="1306" priority="2778">
      <formula>ISERROR(M145)</formula>
    </cfRule>
    <cfRule type="containsText" dxfId="1305" priority="2779" operator="containsText" text="#N/A">
      <formula>NOT(ISERROR(SEARCH("#N/A",M145)))</formula>
    </cfRule>
  </conditionalFormatting>
  <conditionalFormatting sqref="M146">
    <cfRule type="containsErrors" dxfId="1304" priority="2776">
      <formula>ISERROR(M146)</formula>
    </cfRule>
    <cfRule type="containsText" dxfId="1303" priority="2777" operator="containsText" text="#N/A">
      <formula>NOT(ISERROR(SEARCH("#N/A",M146)))</formula>
    </cfRule>
  </conditionalFormatting>
  <conditionalFormatting sqref="N147">
    <cfRule type="containsErrors" dxfId="1302" priority="2774">
      <formula>ISERROR(N147)</formula>
    </cfRule>
    <cfRule type="containsText" dxfId="1301" priority="2775" operator="containsText" text="#N/A">
      <formula>NOT(ISERROR(SEARCH("#N/A",N147)))</formula>
    </cfRule>
  </conditionalFormatting>
  <conditionalFormatting sqref="N149:N152">
    <cfRule type="containsErrors" dxfId="1300" priority="2770">
      <formula>ISERROR(N149)</formula>
    </cfRule>
    <cfRule type="containsText" dxfId="1299" priority="2771" operator="containsText" text="#N/A">
      <formula>NOT(ISERROR(SEARCH("#N/A",N149)))</formula>
    </cfRule>
  </conditionalFormatting>
  <conditionalFormatting sqref="P143">
    <cfRule type="containsErrors" dxfId="1298" priority="2760">
      <formula>ISERROR(P143)</formula>
    </cfRule>
    <cfRule type="containsText" dxfId="1297" priority="2761" operator="containsText" text="#N/A">
      <formula>NOT(ISERROR(SEARCH("#N/A",P143)))</formula>
    </cfRule>
  </conditionalFormatting>
  <conditionalFormatting sqref="P145">
    <cfRule type="containsErrors" dxfId="1296" priority="2758">
      <formula>ISERROR(P145)</formula>
    </cfRule>
    <cfRule type="containsText" dxfId="1295" priority="2759" operator="containsText" text="#N/A">
      <formula>NOT(ISERROR(SEARCH("#N/A",P145)))</formula>
    </cfRule>
  </conditionalFormatting>
  <conditionalFormatting sqref="P146">
    <cfRule type="containsErrors" dxfId="1294" priority="2756">
      <formula>ISERROR(P146)</formula>
    </cfRule>
    <cfRule type="containsText" dxfId="1293" priority="2757" operator="containsText" text="#N/A">
      <formula>NOT(ISERROR(SEARCH("#N/A",P146)))</formula>
    </cfRule>
  </conditionalFormatting>
  <conditionalFormatting sqref="N141:N146">
    <cfRule type="containsErrors" dxfId="1292" priority="2754">
      <formula>ISERROR(N141)</formula>
    </cfRule>
    <cfRule type="containsText" dxfId="1291" priority="2755" operator="containsText" text="#N/A">
      <formula>NOT(ISERROR(SEARCH("#N/A",N141)))</formula>
    </cfRule>
  </conditionalFormatting>
  <conditionalFormatting sqref="N153">
    <cfRule type="containsErrors" dxfId="1290" priority="2752">
      <formula>ISERROR(N153)</formula>
    </cfRule>
    <cfRule type="containsText" dxfId="1289" priority="2753" operator="containsText" text="#N/A">
      <formula>NOT(ISERROR(SEARCH("#N/A",N153)))</formula>
    </cfRule>
  </conditionalFormatting>
  <conditionalFormatting sqref="N155">
    <cfRule type="containsErrors" dxfId="1288" priority="2748">
      <formula>ISERROR(N155)</formula>
    </cfRule>
    <cfRule type="containsText" dxfId="1287" priority="2749" operator="containsText" text="#N/A">
      <formula>NOT(ISERROR(SEARCH("#N/A",N155)))</formula>
    </cfRule>
  </conditionalFormatting>
  <conditionalFormatting sqref="N156">
    <cfRule type="containsErrors" dxfId="1286" priority="2746">
      <formula>ISERROR(N156)</formula>
    </cfRule>
    <cfRule type="containsText" dxfId="1285" priority="2747" operator="containsText" text="#N/A">
      <formula>NOT(ISERROR(SEARCH("#N/A",N156)))</formula>
    </cfRule>
  </conditionalFormatting>
  <conditionalFormatting sqref="N157">
    <cfRule type="containsErrors" dxfId="1284" priority="2744">
      <formula>ISERROR(N157)</formula>
    </cfRule>
    <cfRule type="containsText" dxfId="1283" priority="2745" operator="containsText" text="#N/A">
      <formula>NOT(ISERROR(SEARCH("#N/A",N157)))</formula>
    </cfRule>
  </conditionalFormatting>
  <conditionalFormatting sqref="N158">
    <cfRule type="containsErrors" dxfId="1282" priority="2742">
      <formula>ISERROR(N158)</formula>
    </cfRule>
    <cfRule type="containsText" dxfId="1281" priority="2743" operator="containsText" text="#N/A">
      <formula>NOT(ISERROR(SEARCH("#N/A",N158)))</formula>
    </cfRule>
  </conditionalFormatting>
  <conditionalFormatting sqref="N159">
    <cfRule type="containsErrors" dxfId="1280" priority="2740">
      <formula>ISERROR(N159)</formula>
    </cfRule>
    <cfRule type="containsText" dxfId="1279" priority="2741" operator="containsText" text="#N/A">
      <formula>NOT(ISERROR(SEARCH("#N/A",N159)))</formula>
    </cfRule>
  </conditionalFormatting>
  <conditionalFormatting sqref="Q143:Q144 Q147:Q153">
    <cfRule type="containsErrors" dxfId="1278" priority="2739" stopIfTrue="1">
      <formula>ISERROR(Q143)</formula>
    </cfRule>
  </conditionalFormatting>
  <conditionalFormatting sqref="I181:J184 I180">
    <cfRule type="containsErrors" dxfId="1277" priority="2737">
      <formula>ISERROR(I180)</formula>
    </cfRule>
    <cfRule type="containsText" dxfId="1276" priority="2738" operator="containsText" text="#N/A">
      <formula>NOT(ISERROR(SEARCH("#N/A",I180)))</formula>
    </cfRule>
  </conditionalFormatting>
  <conditionalFormatting sqref="J164">
    <cfRule type="containsErrors" dxfId="1275" priority="2733">
      <formula>ISERROR(J164)</formula>
    </cfRule>
    <cfRule type="containsText" dxfId="1274" priority="2734" operator="containsText" text="#N/A">
      <formula>NOT(ISERROR(SEARCH("#N/A",J164)))</formula>
    </cfRule>
  </conditionalFormatting>
  <conditionalFormatting sqref="J168">
    <cfRule type="containsErrors" dxfId="1273" priority="2731">
      <formula>ISERROR(J168)</formula>
    </cfRule>
    <cfRule type="containsText" dxfId="1272" priority="2732" operator="containsText" text="#N/A">
      <formula>NOT(ISERROR(SEARCH("#N/A",J168)))</formula>
    </cfRule>
  </conditionalFormatting>
  <conditionalFormatting sqref="I207:J209 I205:I206">
    <cfRule type="containsErrors" dxfId="1271" priority="2668">
      <formula>ISERROR(I205)</formula>
    </cfRule>
    <cfRule type="containsText" dxfId="1270" priority="2669" operator="containsText" text="#N/A">
      <formula>NOT(ISERROR(SEARCH("#N/A",I205)))</formula>
    </cfRule>
  </conditionalFormatting>
  <conditionalFormatting sqref="J189">
    <cfRule type="containsErrors" dxfId="1269" priority="2664">
      <formula>ISERROR(J189)</formula>
    </cfRule>
    <cfRule type="containsText" dxfId="1268" priority="2665" operator="containsText" text="#N/A">
      <formula>NOT(ISERROR(SEARCH("#N/A",J189)))</formula>
    </cfRule>
  </conditionalFormatting>
  <conditionalFormatting sqref="I232:J234 I230:I231">
    <cfRule type="containsErrors" dxfId="1267" priority="2599">
      <formula>ISERROR(I230)</formula>
    </cfRule>
    <cfRule type="containsText" dxfId="1266" priority="2600" operator="containsText" text="#N/A">
      <formula>NOT(ISERROR(SEARCH("#N/A",I230)))</formula>
    </cfRule>
  </conditionalFormatting>
  <conditionalFormatting sqref="J214">
    <cfRule type="containsErrors" dxfId="1265" priority="2595">
      <formula>ISERROR(J214)</formula>
    </cfRule>
    <cfRule type="containsText" dxfId="1264" priority="2596" operator="containsText" text="#N/A">
      <formula>NOT(ISERROR(SEARCH("#N/A",J214)))</formula>
    </cfRule>
  </conditionalFormatting>
  <conditionalFormatting sqref="J218">
    <cfRule type="containsErrors" dxfId="1263" priority="2593">
      <formula>ISERROR(J218)</formula>
    </cfRule>
    <cfRule type="containsText" dxfId="1262" priority="2594" operator="containsText" text="#N/A">
      <formula>NOT(ISERROR(SEARCH("#N/A",J218)))</formula>
    </cfRule>
  </conditionalFormatting>
  <conditionalFormatting sqref="N278">
    <cfRule type="containsErrors" dxfId="1261" priority="2407">
      <formula>ISERROR(N278)</formula>
    </cfRule>
    <cfRule type="containsText" dxfId="1260" priority="2408" operator="containsText" text="#N/A">
      <formula>NOT(ISERROR(SEARCH("#N/A",N278)))</formula>
    </cfRule>
  </conditionalFormatting>
  <conditionalFormatting sqref="I257:J259 I255:I256">
    <cfRule type="containsErrors" dxfId="1259" priority="2530">
      <formula>ISERROR(I255)</formula>
    </cfRule>
    <cfRule type="containsText" dxfId="1258" priority="2531" operator="containsText" text="#N/A">
      <formula>NOT(ISERROR(SEARCH("#N/A",I255)))</formula>
    </cfRule>
  </conditionalFormatting>
  <conditionalFormatting sqref="J239">
    <cfRule type="containsErrors" dxfId="1257" priority="2526">
      <formula>ISERROR(J239)</formula>
    </cfRule>
    <cfRule type="containsText" dxfId="1256" priority="2527" operator="containsText" text="#N/A">
      <formula>NOT(ISERROR(SEARCH("#N/A",J239)))</formula>
    </cfRule>
  </conditionalFormatting>
  <conditionalFormatting sqref="J243">
    <cfRule type="containsErrors" dxfId="1255" priority="2524">
      <formula>ISERROR(J243)</formula>
    </cfRule>
    <cfRule type="containsText" dxfId="1254" priority="2525" operator="containsText" text="#N/A">
      <formula>NOT(ISERROR(SEARCH("#N/A",J243)))</formula>
    </cfRule>
  </conditionalFormatting>
  <conditionalFormatting sqref="N299:N302">
    <cfRule type="containsErrors" dxfId="1253" priority="2356">
      <formula>ISERROR(N299)</formula>
    </cfRule>
    <cfRule type="containsText" dxfId="1252" priority="2357" operator="containsText" text="#N/A">
      <formula>NOT(ISERROR(SEARCH("#N/A",N299)))</formula>
    </cfRule>
  </conditionalFormatting>
  <conditionalFormatting sqref="P286">
    <cfRule type="containsErrors" dxfId="1251" priority="2354">
      <formula>ISERROR(P286)</formula>
    </cfRule>
    <cfRule type="containsText" dxfId="1250" priority="2355" operator="containsText" text="#N/A">
      <formula>NOT(ISERROR(SEARCH("#N/A",P286)))</formula>
    </cfRule>
  </conditionalFormatting>
  <conditionalFormatting sqref="I281:K284 I280">
    <cfRule type="containsErrors" dxfId="1249" priority="2461">
      <formula>ISERROR(I280)</formula>
    </cfRule>
    <cfRule type="containsText" dxfId="1248" priority="2462" operator="containsText" text="#N/A">
      <formula>NOT(ISERROR(SEARCH("#N/A",I280)))</formula>
    </cfRule>
  </conditionalFormatting>
  <conditionalFormatting sqref="M267">
    <cfRule type="containsErrors" dxfId="1247" priority="2437">
      <formula>ISERROR(M267)</formula>
    </cfRule>
    <cfRule type="containsText" dxfId="1246" priority="2438" operator="containsText" text="#N/A">
      <formula>NOT(ISERROR(SEARCH("#N/A",M267)))</formula>
    </cfRule>
  </conditionalFormatting>
  <conditionalFormatting sqref="J264:K264">
    <cfRule type="containsErrors" dxfId="1245" priority="2457">
      <formula>ISERROR(J264)</formula>
    </cfRule>
    <cfRule type="containsText" dxfId="1244" priority="2458" operator="containsText" text="#N/A">
      <formula>NOT(ISERROR(SEARCH("#N/A",J264)))</formula>
    </cfRule>
  </conditionalFormatting>
  <conditionalFormatting sqref="J268:K268">
    <cfRule type="containsErrors" dxfId="1243" priority="2455">
      <formula>ISERROR(J268)</formula>
    </cfRule>
    <cfRule type="containsText" dxfId="1242" priority="2456" operator="containsText" text="#N/A">
      <formula>NOT(ISERROR(SEARCH("#N/A",J268)))</formula>
    </cfRule>
  </conditionalFormatting>
  <conditionalFormatting sqref="M264">
    <cfRule type="containsErrors" dxfId="1241" priority="2443">
      <formula>ISERROR(M264)</formula>
    </cfRule>
    <cfRule type="containsText" dxfId="1240" priority="2444" operator="containsText" text="#N/A">
      <formula>NOT(ISERROR(SEARCH("#N/A",M264)))</formula>
    </cfRule>
  </conditionalFormatting>
  <conditionalFormatting sqref="M266">
    <cfRule type="containsErrors" dxfId="1239" priority="2439">
      <formula>ISERROR(M266)</formula>
    </cfRule>
    <cfRule type="containsText" dxfId="1238" priority="2440" operator="containsText" text="#N/A">
      <formula>NOT(ISERROR(SEARCH("#N/A",M266)))</formula>
    </cfRule>
  </conditionalFormatting>
  <conditionalFormatting sqref="M268">
    <cfRule type="containsErrors" dxfId="1237" priority="2435">
      <formula>ISERROR(M268)</formula>
    </cfRule>
    <cfRule type="containsText" dxfId="1236" priority="2436" operator="containsText" text="#N/A">
      <formula>NOT(ISERROR(SEARCH("#N/A",M268)))</formula>
    </cfRule>
  </conditionalFormatting>
  <conditionalFormatting sqref="M270">
    <cfRule type="containsErrors" dxfId="1235" priority="2433">
      <formula>ISERROR(M270)</formula>
    </cfRule>
    <cfRule type="containsText" dxfId="1234" priority="2434" operator="containsText" text="#N/A">
      <formula>NOT(ISERROR(SEARCH("#N/A",M270)))</formula>
    </cfRule>
  </conditionalFormatting>
  <conditionalFormatting sqref="M271">
    <cfRule type="containsErrors" dxfId="1233" priority="2431">
      <formula>ISERROR(M271)</formula>
    </cfRule>
    <cfRule type="containsText" dxfId="1232" priority="2432" operator="containsText" text="#N/A">
      <formula>NOT(ISERROR(SEARCH("#N/A",M271)))</formula>
    </cfRule>
  </conditionalFormatting>
  <conditionalFormatting sqref="N272">
    <cfRule type="containsErrors" dxfId="1231" priority="2429">
      <formula>ISERROR(N272)</formula>
    </cfRule>
    <cfRule type="containsText" dxfId="1230" priority="2430" operator="containsText" text="#N/A">
      <formula>NOT(ISERROR(SEARCH("#N/A",N272)))</formula>
    </cfRule>
  </conditionalFormatting>
  <conditionalFormatting sqref="N273">
    <cfRule type="containsErrors" dxfId="1229" priority="2427">
      <formula>ISERROR(N273)</formula>
    </cfRule>
    <cfRule type="containsText" dxfId="1228" priority="2428" operator="containsText" text="#N/A">
      <formula>NOT(ISERROR(SEARCH("#N/A",N273)))</formula>
    </cfRule>
  </conditionalFormatting>
  <conditionalFormatting sqref="N274:N277">
    <cfRule type="containsErrors" dxfId="1227" priority="2425">
      <formula>ISERROR(N274)</formula>
    </cfRule>
    <cfRule type="containsText" dxfId="1226" priority="2426" operator="containsText" text="#N/A">
      <formula>NOT(ISERROR(SEARCH("#N/A",N274)))</formula>
    </cfRule>
  </conditionalFormatting>
  <conditionalFormatting sqref="P264">
    <cfRule type="containsErrors" dxfId="1225" priority="2419">
      <formula>ISERROR(P264)</formula>
    </cfRule>
    <cfRule type="containsText" dxfId="1224" priority="2420" operator="containsText" text="#N/A">
      <formula>NOT(ISERROR(SEARCH("#N/A",P264)))</formula>
    </cfRule>
  </conditionalFormatting>
  <conditionalFormatting sqref="P268">
    <cfRule type="containsErrors" dxfId="1223" priority="2415">
      <formula>ISERROR(P268)</formula>
    </cfRule>
    <cfRule type="containsText" dxfId="1222" priority="2416" operator="containsText" text="#N/A">
      <formula>NOT(ISERROR(SEARCH("#N/A",P268)))</formula>
    </cfRule>
  </conditionalFormatting>
  <conditionalFormatting sqref="P270">
    <cfRule type="containsErrors" dxfId="1221" priority="2413">
      <formula>ISERROR(P270)</formula>
    </cfRule>
    <cfRule type="containsText" dxfId="1220" priority="2414" operator="containsText" text="#N/A">
      <formula>NOT(ISERROR(SEARCH("#N/A",P270)))</formula>
    </cfRule>
  </conditionalFormatting>
  <conditionalFormatting sqref="P271">
    <cfRule type="containsErrors" dxfId="1219" priority="2411">
      <formula>ISERROR(P271)</formula>
    </cfRule>
    <cfRule type="containsText" dxfId="1218" priority="2412" operator="containsText" text="#N/A">
      <formula>NOT(ISERROR(SEARCH("#N/A",P271)))</formula>
    </cfRule>
  </conditionalFormatting>
  <conditionalFormatting sqref="N264 N266:N271">
    <cfRule type="containsErrors" dxfId="1217" priority="2409">
      <formula>ISERROR(N264)</formula>
    </cfRule>
    <cfRule type="containsText" dxfId="1216" priority="2410" operator="containsText" text="#N/A">
      <formula>NOT(ISERROR(SEARCH("#N/A",N264)))</formula>
    </cfRule>
  </conditionalFormatting>
  <conditionalFormatting sqref="N280">
    <cfRule type="containsErrors" dxfId="1215" priority="2403">
      <formula>ISERROR(N280)</formula>
    </cfRule>
    <cfRule type="containsText" dxfId="1214" priority="2404" operator="containsText" text="#N/A">
      <formula>NOT(ISERROR(SEARCH("#N/A",N280)))</formula>
    </cfRule>
  </conditionalFormatting>
  <conditionalFormatting sqref="N281">
    <cfRule type="containsErrors" dxfId="1213" priority="2401">
      <formula>ISERROR(N281)</formula>
    </cfRule>
    <cfRule type="containsText" dxfId="1212" priority="2402" operator="containsText" text="#N/A">
      <formula>NOT(ISERROR(SEARCH("#N/A",N281)))</formula>
    </cfRule>
  </conditionalFormatting>
  <conditionalFormatting sqref="N282">
    <cfRule type="containsErrors" dxfId="1211" priority="2399">
      <formula>ISERROR(N282)</formula>
    </cfRule>
    <cfRule type="containsText" dxfId="1210" priority="2400" operator="containsText" text="#N/A">
      <formula>NOT(ISERROR(SEARCH("#N/A",N282)))</formula>
    </cfRule>
  </conditionalFormatting>
  <conditionalFormatting sqref="N283">
    <cfRule type="containsErrors" dxfId="1209" priority="2397">
      <formula>ISERROR(N283)</formula>
    </cfRule>
    <cfRule type="containsText" dxfId="1208" priority="2398" operator="containsText" text="#N/A">
      <formula>NOT(ISERROR(SEARCH("#N/A",N283)))</formula>
    </cfRule>
  </conditionalFormatting>
  <conditionalFormatting sqref="N284">
    <cfRule type="containsErrors" dxfId="1207" priority="2395">
      <formula>ISERROR(N284)</formula>
    </cfRule>
    <cfRule type="containsText" dxfId="1206" priority="2396" operator="containsText" text="#N/A">
      <formula>NOT(ISERROR(SEARCH("#N/A",N284)))</formula>
    </cfRule>
  </conditionalFormatting>
  <conditionalFormatting sqref="Q264 Q268:Q269 Q272:Q278">
    <cfRule type="containsErrors" dxfId="1205" priority="2394" stopIfTrue="1">
      <formula>ISERROR(Q264)</formula>
    </cfRule>
  </conditionalFormatting>
  <conditionalFormatting sqref="I305:K309">
    <cfRule type="containsErrors" dxfId="1204" priority="2392">
      <formula>ISERROR(I305)</formula>
    </cfRule>
    <cfRule type="containsText" dxfId="1203" priority="2393" operator="containsText" text="#N/A">
      <formula>NOT(ISERROR(SEARCH("#N/A",I305)))</formula>
    </cfRule>
  </conditionalFormatting>
  <conditionalFormatting sqref="M291">
    <cfRule type="containsErrors" dxfId="1202" priority="2370">
      <formula>ISERROR(M291)</formula>
    </cfRule>
    <cfRule type="containsText" dxfId="1201" priority="2371" operator="containsText" text="#N/A">
      <formula>NOT(ISERROR(SEARCH("#N/A",M291)))</formula>
    </cfRule>
  </conditionalFormatting>
  <conditionalFormatting sqref="J289">
    <cfRule type="containsErrors" dxfId="1200" priority="2388">
      <formula>ISERROR(J289)</formula>
    </cfRule>
    <cfRule type="containsText" dxfId="1199" priority="2389" operator="containsText" text="#N/A">
      <formula>NOT(ISERROR(SEARCH("#N/A",J289)))</formula>
    </cfRule>
  </conditionalFormatting>
  <conditionalFormatting sqref="J293:K293">
    <cfRule type="containsErrors" dxfId="1198" priority="2386">
      <formula>ISERROR(J293)</formula>
    </cfRule>
    <cfRule type="containsText" dxfId="1197" priority="2387" operator="containsText" text="#N/A">
      <formula>NOT(ISERROR(SEARCH("#N/A",J293)))</formula>
    </cfRule>
  </conditionalFormatting>
  <conditionalFormatting sqref="M286">
    <cfRule type="containsErrors" dxfId="1196" priority="2380">
      <formula>ISERROR(M286)</formula>
    </cfRule>
    <cfRule type="containsText" dxfId="1195" priority="2381" operator="containsText" text="#N/A">
      <formula>NOT(ISERROR(SEARCH("#N/A",M286)))</formula>
    </cfRule>
  </conditionalFormatting>
  <conditionalFormatting sqref="M287">
    <cfRule type="containsErrors" dxfId="1194" priority="2378">
      <formula>ISERROR(M287)</formula>
    </cfRule>
    <cfRule type="containsText" dxfId="1193" priority="2379" operator="containsText" text="#N/A">
      <formula>NOT(ISERROR(SEARCH("#N/A",M287)))</formula>
    </cfRule>
  </conditionalFormatting>
  <conditionalFormatting sqref="M288">
    <cfRule type="containsErrors" dxfId="1192" priority="2376">
      <formula>ISERROR(M288)</formula>
    </cfRule>
    <cfRule type="containsText" dxfId="1191" priority="2377" operator="containsText" text="#N/A">
      <formula>NOT(ISERROR(SEARCH("#N/A",M288)))</formula>
    </cfRule>
  </conditionalFormatting>
  <conditionalFormatting sqref="M289">
    <cfRule type="containsErrors" dxfId="1190" priority="2374">
      <formula>ISERROR(M289)</formula>
    </cfRule>
    <cfRule type="containsText" dxfId="1189" priority="2375" operator="containsText" text="#N/A">
      <formula>NOT(ISERROR(SEARCH("#N/A",M289)))</formula>
    </cfRule>
  </conditionalFormatting>
  <conditionalFormatting sqref="M292">
    <cfRule type="containsErrors" dxfId="1188" priority="2368">
      <formula>ISERROR(M292)</formula>
    </cfRule>
    <cfRule type="containsText" dxfId="1187" priority="2369" operator="containsText" text="#N/A">
      <formula>NOT(ISERROR(SEARCH("#N/A",M292)))</formula>
    </cfRule>
  </conditionalFormatting>
  <conditionalFormatting sqref="M293">
    <cfRule type="containsErrors" dxfId="1186" priority="2366">
      <formula>ISERROR(M293)</formula>
    </cfRule>
    <cfRule type="containsText" dxfId="1185" priority="2367" operator="containsText" text="#N/A">
      <formula>NOT(ISERROR(SEARCH("#N/A",M293)))</formula>
    </cfRule>
  </conditionalFormatting>
  <conditionalFormatting sqref="M295">
    <cfRule type="containsErrors" dxfId="1184" priority="2364">
      <formula>ISERROR(M295)</formula>
    </cfRule>
    <cfRule type="containsText" dxfId="1183" priority="2365" operator="containsText" text="#N/A">
      <formula>NOT(ISERROR(SEARCH("#N/A",M295)))</formula>
    </cfRule>
  </conditionalFormatting>
  <conditionalFormatting sqref="M296">
    <cfRule type="containsErrors" dxfId="1182" priority="2362">
      <formula>ISERROR(M296)</formula>
    </cfRule>
    <cfRule type="containsText" dxfId="1181" priority="2363" operator="containsText" text="#N/A">
      <formula>NOT(ISERROR(SEARCH("#N/A",M296)))</formula>
    </cfRule>
  </conditionalFormatting>
  <conditionalFormatting sqref="N297">
    <cfRule type="containsErrors" dxfId="1180" priority="2360">
      <formula>ISERROR(N297)</formula>
    </cfRule>
    <cfRule type="containsText" dxfId="1179" priority="2361" operator="containsText" text="#N/A">
      <formula>NOT(ISERROR(SEARCH("#N/A",N297)))</formula>
    </cfRule>
  </conditionalFormatting>
  <conditionalFormatting sqref="N298">
    <cfRule type="containsErrors" dxfId="1178" priority="2358">
      <formula>ISERROR(N298)</formula>
    </cfRule>
    <cfRule type="containsText" dxfId="1177" priority="2359" operator="containsText" text="#N/A">
      <formula>NOT(ISERROR(SEARCH("#N/A",N298)))</formula>
    </cfRule>
  </conditionalFormatting>
  <conditionalFormatting sqref="P288">
    <cfRule type="containsErrors" dxfId="1176" priority="2352">
      <formula>ISERROR(P288)</formula>
    </cfRule>
    <cfRule type="containsText" dxfId="1175" priority="2353" operator="containsText" text="#N/A">
      <formula>NOT(ISERROR(SEARCH("#N/A",P288)))</formula>
    </cfRule>
  </conditionalFormatting>
  <conditionalFormatting sqref="P289">
    <cfRule type="containsErrors" dxfId="1174" priority="2350">
      <formula>ISERROR(P289)</formula>
    </cfRule>
    <cfRule type="containsText" dxfId="1173" priority="2351" operator="containsText" text="#N/A">
      <formula>NOT(ISERROR(SEARCH("#N/A",P289)))</formula>
    </cfRule>
  </conditionalFormatting>
  <conditionalFormatting sqref="P293">
    <cfRule type="containsErrors" dxfId="1172" priority="2346">
      <formula>ISERROR(P293)</formula>
    </cfRule>
    <cfRule type="containsText" dxfId="1171" priority="2347" operator="containsText" text="#N/A">
      <formula>NOT(ISERROR(SEARCH("#N/A",P293)))</formula>
    </cfRule>
  </conditionalFormatting>
  <conditionalFormatting sqref="P295">
    <cfRule type="containsErrors" dxfId="1170" priority="2344">
      <formula>ISERROR(P295)</formula>
    </cfRule>
    <cfRule type="containsText" dxfId="1169" priority="2345" operator="containsText" text="#N/A">
      <formula>NOT(ISERROR(SEARCH("#N/A",P295)))</formula>
    </cfRule>
  </conditionalFormatting>
  <conditionalFormatting sqref="P296">
    <cfRule type="containsErrors" dxfId="1168" priority="2342">
      <formula>ISERROR(P296)</formula>
    </cfRule>
    <cfRule type="containsText" dxfId="1167" priority="2343" operator="containsText" text="#N/A">
      <formula>NOT(ISERROR(SEARCH("#N/A",P296)))</formula>
    </cfRule>
  </conditionalFormatting>
  <conditionalFormatting sqref="N286:N289 N291:N296">
    <cfRule type="containsErrors" dxfId="1166" priority="2340">
      <formula>ISERROR(N286)</formula>
    </cfRule>
    <cfRule type="containsText" dxfId="1165" priority="2341" operator="containsText" text="#N/A">
      <formula>NOT(ISERROR(SEARCH("#N/A",N286)))</formula>
    </cfRule>
  </conditionalFormatting>
  <conditionalFormatting sqref="N303">
    <cfRule type="containsErrors" dxfId="1164" priority="2338">
      <formula>ISERROR(N303)</formula>
    </cfRule>
    <cfRule type="containsText" dxfId="1163" priority="2339" operator="containsText" text="#N/A">
      <formula>NOT(ISERROR(SEARCH("#N/A",N303)))</formula>
    </cfRule>
  </conditionalFormatting>
  <conditionalFormatting sqref="N305">
    <cfRule type="containsErrors" dxfId="1162" priority="2334">
      <formula>ISERROR(N305)</formula>
    </cfRule>
    <cfRule type="containsText" dxfId="1161" priority="2335" operator="containsText" text="#N/A">
      <formula>NOT(ISERROR(SEARCH("#N/A",N305)))</formula>
    </cfRule>
  </conditionalFormatting>
  <conditionalFormatting sqref="N306">
    <cfRule type="containsErrors" dxfId="1160" priority="2332">
      <formula>ISERROR(N306)</formula>
    </cfRule>
    <cfRule type="containsText" dxfId="1159" priority="2333" operator="containsText" text="#N/A">
      <formula>NOT(ISERROR(SEARCH("#N/A",N306)))</formula>
    </cfRule>
  </conditionalFormatting>
  <conditionalFormatting sqref="N307">
    <cfRule type="containsErrors" dxfId="1158" priority="2330">
      <formula>ISERROR(N307)</formula>
    </cfRule>
    <cfRule type="containsText" dxfId="1157" priority="2331" operator="containsText" text="#N/A">
      <formula>NOT(ISERROR(SEARCH("#N/A",N307)))</formula>
    </cfRule>
  </conditionalFormatting>
  <conditionalFormatting sqref="N308">
    <cfRule type="containsErrors" dxfId="1156" priority="2328">
      <formula>ISERROR(N308)</formula>
    </cfRule>
    <cfRule type="containsText" dxfId="1155" priority="2329" operator="containsText" text="#N/A">
      <formula>NOT(ISERROR(SEARCH("#N/A",N308)))</formula>
    </cfRule>
  </conditionalFormatting>
  <conditionalFormatting sqref="N309">
    <cfRule type="containsErrors" dxfId="1154" priority="2326">
      <formula>ISERROR(N309)</formula>
    </cfRule>
    <cfRule type="containsText" dxfId="1153" priority="2327" operator="containsText" text="#N/A">
      <formula>NOT(ISERROR(SEARCH("#N/A",N309)))</formula>
    </cfRule>
  </conditionalFormatting>
  <conditionalFormatting sqref="Q286:Q289 Q293:Q294 Q297:Q303">
    <cfRule type="containsErrors" dxfId="1152" priority="2325" stopIfTrue="1">
      <formula>ISERROR(Q286)</formula>
    </cfRule>
  </conditionalFormatting>
  <conditionalFormatting sqref="I331:J334 I330">
    <cfRule type="containsErrors" dxfId="1151" priority="2323">
      <formula>ISERROR(I330)</formula>
    </cfRule>
    <cfRule type="containsText" dxfId="1150" priority="2324" operator="containsText" text="#N/A">
      <formula>NOT(ISERROR(SEARCH("#N/A",I330)))</formula>
    </cfRule>
  </conditionalFormatting>
  <conditionalFormatting sqref="J314">
    <cfRule type="containsErrors" dxfId="1149" priority="2319">
      <formula>ISERROR(J314)</formula>
    </cfRule>
    <cfRule type="containsText" dxfId="1148" priority="2320" operator="containsText" text="#N/A">
      <formula>NOT(ISERROR(SEARCH("#N/A",J314)))</formula>
    </cfRule>
  </conditionalFormatting>
  <conditionalFormatting sqref="I355:K359">
    <cfRule type="containsErrors" dxfId="1147" priority="2254">
      <formula>ISERROR(I355)</formula>
    </cfRule>
    <cfRule type="containsText" dxfId="1146" priority="2255" operator="containsText" text="#N/A">
      <formula>NOT(ISERROR(SEARCH("#N/A",I355)))</formula>
    </cfRule>
  </conditionalFormatting>
  <conditionalFormatting sqref="J339">
    <cfRule type="containsErrors" dxfId="1145" priority="2250">
      <formula>ISERROR(J339)</formula>
    </cfRule>
    <cfRule type="containsText" dxfId="1144" priority="2251" operator="containsText" text="#N/A">
      <formula>NOT(ISERROR(SEARCH("#N/A",J339)))</formula>
    </cfRule>
  </conditionalFormatting>
  <conditionalFormatting sqref="J343:K343">
    <cfRule type="containsErrors" dxfId="1143" priority="2248">
      <formula>ISERROR(J343)</formula>
    </cfRule>
    <cfRule type="containsText" dxfId="1142" priority="2249" operator="containsText" text="#N/A">
      <formula>NOT(ISERROR(SEARCH("#N/A",J343)))</formula>
    </cfRule>
  </conditionalFormatting>
  <conditionalFormatting sqref="M341">
    <cfRule type="containsErrors" dxfId="1141" priority="2232">
      <formula>ISERROR(M341)</formula>
    </cfRule>
    <cfRule type="containsText" dxfId="1140" priority="2233" operator="containsText" text="#N/A">
      <formula>NOT(ISERROR(SEARCH("#N/A",M341)))</formula>
    </cfRule>
  </conditionalFormatting>
  <conditionalFormatting sqref="M342">
    <cfRule type="containsErrors" dxfId="1139" priority="2230">
      <formula>ISERROR(M342)</formula>
    </cfRule>
    <cfRule type="containsText" dxfId="1138" priority="2231" operator="containsText" text="#N/A">
      <formula>NOT(ISERROR(SEARCH("#N/A",M342)))</formula>
    </cfRule>
  </conditionalFormatting>
  <conditionalFormatting sqref="M343">
    <cfRule type="containsErrors" dxfId="1137" priority="2228">
      <formula>ISERROR(M343)</formula>
    </cfRule>
    <cfRule type="containsText" dxfId="1136" priority="2229" operator="containsText" text="#N/A">
      <formula>NOT(ISERROR(SEARCH("#N/A",M343)))</formula>
    </cfRule>
  </conditionalFormatting>
  <conditionalFormatting sqref="M345">
    <cfRule type="containsErrors" dxfId="1135" priority="2226">
      <formula>ISERROR(M345)</formula>
    </cfRule>
    <cfRule type="containsText" dxfId="1134" priority="2227" operator="containsText" text="#N/A">
      <formula>NOT(ISERROR(SEARCH("#N/A",M345)))</formula>
    </cfRule>
  </conditionalFormatting>
  <conditionalFormatting sqref="M346">
    <cfRule type="containsErrors" dxfId="1133" priority="2224">
      <formula>ISERROR(M346)</formula>
    </cfRule>
    <cfRule type="containsText" dxfId="1132" priority="2225" operator="containsText" text="#N/A">
      <formula>NOT(ISERROR(SEARCH("#N/A",M346)))</formula>
    </cfRule>
  </conditionalFormatting>
  <conditionalFormatting sqref="N347">
    <cfRule type="containsErrors" dxfId="1131" priority="2222">
      <formula>ISERROR(N347)</formula>
    </cfRule>
    <cfRule type="containsText" dxfId="1130" priority="2223" operator="containsText" text="#N/A">
      <formula>NOT(ISERROR(SEARCH("#N/A",N347)))</formula>
    </cfRule>
  </conditionalFormatting>
  <conditionalFormatting sqref="N348">
    <cfRule type="containsErrors" dxfId="1129" priority="2220">
      <formula>ISERROR(N348)</formula>
    </cfRule>
    <cfRule type="containsText" dxfId="1128" priority="2221" operator="containsText" text="#N/A">
      <formula>NOT(ISERROR(SEARCH("#N/A",N348)))</formula>
    </cfRule>
  </conditionalFormatting>
  <conditionalFormatting sqref="N349:N352">
    <cfRule type="containsErrors" dxfId="1127" priority="2218">
      <formula>ISERROR(N349)</formula>
    </cfRule>
    <cfRule type="containsText" dxfId="1126" priority="2219" operator="containsText" text="#N/A">
      <formula>NOT(ISERROR(SEARCH("#N/A",N349)))</formula>
    </cfRule>
  </conditionalFormatting>
  <conditionalFormatting sqref="P343">
    <cfRule type="containsErrors" dxfId="1125" priority="2208">
      <formula>ISERROR(P343)</formula>
    </cfRule>
    <cfRule type="containsText" dxfId="1124" priority="2209" operator="containsText" text="#N/A">
      <formula>NOT(ISERROR(SEARCH("#N/A",P343)))</formula>
    </cfRule>
  </conditionalFormatting>
  <conditionalFormatting sqref="P345">
    <cfRule type="containsErrors" dxfId="1123" priority="2206">
      <formula>ISERROR(P345)</formula>
    </cfRule>
    <cfRule type="containsText" dxfId="1122" priority="2207" operator="containsText" text="#N/A">
      <formula>NOT(ISERROR(SEARCH("#N/A",P345)))</formula>
    </cfRule>
  </conditionalFormatting>
  <conditionalFormatting sqref="P346">
    <cfRule type="containsErrors" dxfId="1121" priority="2204">
      <formula>ISERROR(P346)</formula>
    </cfRule>
    <cfRule type="containsText" dxfId="1120" priority="2205" operator="containsText" text="#N/A">
      <formula>NOT(ISERROR(SEARCH("#N/A",P346)))</formula>
    </cfRule>
  </conditionalFormatting>
  <conditionalFormatting sqref="N341:N346">
    <cfRule type="containsErrors" dxfId="1119" priority="2202">
      <formula>ISERROR(N341)</formula>
    </cfRule>
    <cfRule type="containsText" dxfId="1118" priority="2203" operator="containsText" text="#N/A">
      <formula>NOT(ISERROR(SEARCH("#N/A",N341)))</formula>
    </cfRule>
  </conditionalFormatting>
  <conditionalFormatting sqref="N353">
    <cfRule type="containsErrors" dxfId="1117" priority="2200">
      <formula>ISERROR(N353)</formula>
    </cfRule>
    <cfRule type="containsText" dxfId="1116" priority="2201" operator="containsText" text="#N/A">
      <formula>NOT(ISERROR(SEARCH("#N/A",N353)))</formula>
    </cfRule>
  </conditionalFormatting>
  <conditionalFormatting sqref="N355">
    <cfRule type="containsErrors" dxfId="1115" priority="2196">
      <formula>ISERROR(N355)</formula>
    </cfRule>
    <cfRule type="containsText" dxfId="1114" priority="2197" operator="containsText" text="#N/A">
      <formula>NOT(ISERROR(SEARCH("#N/A",N355)))</formula>
    </cfRule>
  </conditionalFormatting>
  <conditionalFormatting sqref="N356">
    <cfRule type="containsErrors" dxfId="1113" priority="2194">
      <formula>ISERROR(N356)</formula>
    </cfRule>
    <cfRule type="containsText" dxfId="1112" priority="2195" operator="containsText" text="#N/A">
      <formula>NOT(ISERROR(SEARCH("#N/A",N356)))</formula>
    </cfRule>
  </conditionalFormatting>
  <conditionalFormatting sqref="N357">
    <cfRule type="containsErrors" dxfId="1111" priority="2192">
      <formula>ISERROR(N357)</formula>
    </cfRule>
    <cfRule type="containsText" dxfId="1110" priority="2193" operator="containsText" text="#N/A">
      <formula>NOT(ISERROR(SEARCH("#N/A",N357)))</formula>
    </cfRule>
  </conditionalFormatting>
  <conditionalFormatting sqref="N358">
    <cfRule type="containsErrors" dxfId="1109" priority="2190">
      <formula>ISERROR(N358)</formula>
    </cfRule>
    <cfRule type="containsText" dxfId="1108" priority="2191" operator="containsText" text="#N/A">
      <formula>NOT(ISERROR(SEARCH("#N/A",N358)))</formula>
    </cfRule>
  </conditionalFormatting>
  <conditionalFormatting sqref="N359">
    <cfRule type="containsErrors" dxfId="1107" priority="2188">
      <formula>ISERROR(N359)</formula>
    </cfRule>
    <cfRule type="containsText" dxfId="1106" priority="2189" operator="containsText" text="#N/A">
      <formula>NOT(ISERROR(SEARCH("#N/A",N359)))</formula>
    </cfRule>
  </conditionalFormatting>
  <conditionalFormatting sqref="Q343:Q344 Q347:Q353">
    <cfRule type="containsErrors" dxfId="1105" priority="2187" stopIfTrue="1">
      <formula>ISERROR(Q343)</formula>
    </cfRule>
  </conditionalFormatting>
  <conditionalFormatting sqref="I381:J384 I380">
    <cfRule type="containsErrors" dxfId="1104" priority="2185">
      <formula>ISERROR(I380)</formula>
    </cfRule>
    <cfRule type="containsText" dxfId="1103" priority="2186" operator="containsText" text="#N/A">
      <formula>NOT(ISERROR(SEARCH("#N/A",I380)))</formula>
    </cfRule>
  </conditionalFormatting>
  <conditionalFormatting sqref="J364">
    <cfRule type="containsErrors" dxfId="1102" priority="2181">
      <formula>ISERROR(J364)</formula>
    </cfRule>
    <cfRule type="containsText" dxfId="1101" priority="2182" operator="containsText" text="#N/A">
      <formula>NOT(ISERROR(SEARCH("#N/A",J364)))</formula>
    </cfRule>
  </conditionalFormatting>
  <conditionalFormatting sqref="J368">
    <cfRule type="containsErrors" dxfId="1100" priority="2179">
      <formula>ISERROR(J368)</formula>
    </cfRule>
    <cfRule type="containsText" dxfId="1099" priority="2180" operator="containsText" text="#N/A">
      <formula>NOT(ISERROR(SEARCH("#N/A",J368)))</formula>
    </cfRule>
  </conditionalFormatting>
  <conditionalFormatting sqref="I405:K409">
    <cfRule type="containsErrors" dxfId="1098" priority="2116">
      <formula>ISERROR(I405)</formula>
    </cfRule>
    <cfRule type="containsText" dxfId="1097" priority="2117" operator="containsText" text="#N/A">
      <formula>NOT(ISERROR(SEARCH("#N/A",I405)))</formula>
    </cfRule>
  </conditionalFormatting>
  <conditionalFormatting sqref="J389">
    <cfRule type="containsErrors" dxfId="1096" priority="2112">
      <formula>ISERROR(J389)</formula>
    </cfRule>
    <cfRule type="containsText" dxfId="1095" priority="2113" operator="containsText" text="#N/A">
      <formula>NOT(ISERROR(SEARCH("#N/A",J389)))</formula>
    </cfRule>
  </conditionalFormatting>
  <conditionalFormatting sqref="J393:K393">
    <cfRule type="containsErrors" dxfId="1094" priority="2110">
      <formula>ISERROR(J393)</formula>
    </cfRule>
    <cfRule type="containsText" dxfId="1093" priority="2111" operator="containsText" text="#N/A">
      <formula>NOT(ISERROR(SEARCH("#N/A",J393)))</formula>
    </cfRule>
  </conditionalFormatting>
  <conditionalFormatting sqref="N406">
    <cfRule type="containsErrors" dxfId="1092" priority="2056">
      <formula>ISERROR(N406)</formula>
    </cfRule>
    <cfRule type="containsText" dxfId="1091" priority="2057" operator="containsText" text="#N/A">
      <formula>NOT(ISERROR(SEARCH("#N/A",N406)))</formula>
    </cfRule>
  </conditionalFormatting>
  <conditionalFormatting sqref="N407">
    <cfRule type="containsErrors" dxfId="1090" priority="2054">
      <formula>ISERROR(N407)</formula>
    </cfRule>
    <cfRule type="containsText" dxfId="1089" priority="2055" operator="containsText" text="#N/A">
      <formula>NOT(ISERROR(SEARCH("#N/A",N407)))</formula>
    </cfRule>
  </conditionalFormatting>
  <conditionalFormatting sqref="M391">
    <cfRule type="containsErrors" dxfId="1088" priority="2094">
      <formula>ISERROR(M391)</formula>
    </cfRule>
    <cfRule type="containsText" dxfId="1087" priority="2095" operator="containsText" text="#N/A">
      <formula>NOT(ISERROR(SEARCH("#N/A",M391)))</formula>
    </cfRule>
  </conditionalFormatting>
  <conditionalFormatting sqref="M392">
    <cfRule type="containsErrors" dxfId="1086" priority="2092">
      <formula>ISERROR(M392)</formula>
    </cfRule>
    <cfRule type="containsText" dxfId="1085" priority="2093" operator="containsText" text="#N/A">
      <formula>NOT(ISERROR(SEARCH("#N/A",M392)))</formula>
    </cfRule>
  </conditionalFormatting>
  <conditionalFormatting sqref="M393">
    <cfRule type="containsErrors" dxfId="1084" priority="2090">
      <formula>ISERROR(M393)</formula>
    </cfRule>
    <cfRule type="containsText" dxfId="1083" priority="2091" operator="containsText" text="#N/A">
      <formula>NOT(ISERROR(SEARCH("#N/A",M393)))</formula>
    </cfRule>
  </conditionalFormatting>
  <conditionalFormatting sqref="M395">
    <cfRule type="containsErrors" dxfId="1082" priority="2088">
      <formula>ISERROR(M395)</formula>
    </cfRule>
    <cfRule type="containsText" dxfId="1081" priority="2089" operator="containsText" text="#N/A">
      <formula>NOT(ISERROR(SEARCH("#N/A",M395)))</formula>
    </cfRule>
  </conditionalFormatting>
  <conditionalFormatting sqref="M396">
    <cfRule type="containsErrors" dxfId="1080" priority="2086">
      <formula>ISERROR(M396)</formula>
    </cfRule>
    <cfRule type="containsText" dxfId="1079" priority="2087" operator="containsText" text="#N/A">
      <formula>NOT(ISERROR(SEARCH("#N/A",M396)))</formula>
    </cfRule>
  </conditionalFormatting>
  <conditionalFormatting sqref="N397">
    <cfRule type="containsErrors" dxfId="1078" priority="2084">
      <formula>ISERROR(N397)</formula>
    </cfRule>
    <cfRule type="containsText" dxfId="1077" priority="2085" operator="containsText" text="#N/A">
      <formula>NOT(ISERROR(SEARCH("#N/A",N397)))</formula>
    </cfRule>
  </conditionalFormatting>
  <conditionalFormatting sqref="N398">
    <cfRule type="containsErrors" dxfId="1076" priority="2082">
      <formula>ISERROR(N398)</formula>
    </cfRule>
    <cfRule type="containsText" dxfId="1075" priority="2083" operator="containsText" text="#N/A">
      <formula>NOT(ISERROR(SEARCH("#N/A",N398)))</formula>
    </cfRule>
  </conditionalFormatting>
  <conditionalFormatting sqref="N399:N402">
    <cfRule type="containsErrors" dxfId="1074" priority="2080">
      <formula>ISERROR(N399)</formula>
    </cfRule>
    <cfRule type="containsText" dxfId="1073" priority="2081" operator="containsText" text="#N/A">
      <formula>NOT(ISERROR(SEARCH("#N/A",N399)))</formula>
    </cfRule>
  </conditionalFormatting>
  <conditionalFormatting sqref="P393">
    <cfRule type="containsErrors" dxfId="1072" priority="2070">
      <formula>ISERROR(P393)</formula>
    </cfRule>
    <cfRule type="containsText" dxfId="1071" priority="2071" operator="containsText" text="#N/A">
      <formula>NOT(ISERROR(SEARCH("#N/A",P393)))</formula>
    </cfRule>
  </conditionalFormatting>
  <conditionalFormatting sqref="P395">
    <cfRule type="containsErrors" dxfId="1070" priority="2068">
      <formula>ISERROR(P395)</formula>
    </cfRule>
    <cfRule type="containsText" dxfId="1069" priority="2069" operator="containsText" text="#N/A">
      <formula>NOT(ISERROR(SEARCH("#N/A",P395)))</formula>
    </cfRule>
  </conditionalFormatting>
  <conditionalFormatting sqref="P396">
    <cfRule type="containsErrors" dxfId="1068" priority="2066">
      <formula>ISERROR(P396)</formula>
    </cfRule>
    <cfRule type="containsText" dxfId="1067" priority="2067" operator="containsText" text="#N/A">
      <formula>NOT(ISERROR(SEARCH("#N/A",P396)))</formula>
    </cfRule>
  </conditionalFormatting>
  <conditionalFormatting sqref="N391:N396">
    <cfRule type="containsErrors" dxfId="1066" priority="2064">
      <formula>ISERROR(N391)</formula>
    </cfRule>
    <cfRule type="containsText" dxfId="1065" priority="2065" operator="containsText" text="#N/A">
      <formula>NOT(ISERROR(SEARCH("#N/A",N391)))</formula>
    </cfRule>
  </conditionalFormatting>
  <conditionalFormatting sqref="N403">
    <cfRule type="containsErrors" dxfId="1064" priority="2062">
      <formula>ISERROR(N403)</formula>
    </cfRule>
    <cfRule type="containsText" dxfId="1063" priority="2063" operator="containsText" text="#N/A">
      <formula>NOT(ISERROR(SEARCH("#N/A",N403)))</formula>
    </cfRule>
  </conditionalFormatting>
  <conditionalFormatting sqref="N405">
    <cfRule type="containsErrors" dxfId="1062" priority="2058">
      <formula>ISERROR(N405)</formula>
    </cfRule>
    <cfRule type="containsText" dxfId="1061" priority="2059" operator="containsText" text="#N/A">
      <formula>NOT(ISERROR(SEARCH("#N/A",N405)))</formula>
    </cfRule>
  </conditionalFormatting>
  <conditionalFormatting sqref="N408">
    <cfRule type="containsErrors" dxfId="1060" priority="2052">
      <formula>ISERROR(N408)</formula>
    </cfRule>
    <cfRule type="containsText" dxfId="1059" priority="2053" operator="containsText" text="#N/A">
      <formula>NOT(ISERROR(SEARCH("#N/A",N408)))</formula>
    </cfRule>
  </conditionalFormatting>
  <conditionalFormatting sqref="N409">
    <cfRule type="containsErrors" dxfId="1058" priority="2050">
      <formula>ISERROR(N409)</formula>
    </cfRule>
    <cfRule type="containsText" dxfId="1057" priority="2051" operator="containsText" text="#N/A">
      <formula>NOT(ISERROR(SEARCH("#N/A",N409)))</formula>
    </cfRule>
  </conditionalFormatting>
  <conditionalFormatting sqref="Q393:Q394 Q397:Q403">
    <cfRule type="containsErrors" dxfId="1056" priority="2049" stopIfTrue="1">
      <formula>ISERROR(Q393)</formula>
    </cfRule>
  </conditionalFormatting>
  <conditionalFormatting sqref="I431:K434 I430">
    <cfRule type="containsErrors" dxfId="1055" priority="2047">
      <formula>ISERROR(I430)</formula>
    </cfRule>
    <cfRule type="containsText" dxfId="1054" priority="2048" operator="containsText" text="#N/A">
      <formula>NOT(ISERROR(SEARCH("#N/A",I430)))</formula>
    </cfRule>
  </conditionalFormatting>
  <conditionalFormatting sqref="M411">
    <cfRule type="containsErrors" dxfId="1053" priority="2035">
      <formula>ISERROR(M411)</formula>
    </cfRule>
    <cfRule type="containsText" dxfId="1052" priority="2036" operator="containsText" text="#N/A">
      <formula>NOT(ISERROR(SEARCH("#N/A",M411)))</formula>
    </cfRule>
  </conditionalFormatting>
  <conditionalFormatting sqref="J414">
    <cfRule type="containsErrors" dxfId="1051" priority="2043">
      <formula>ISERROR(J414)</formula>
    </cfRule>
    <cfRule type="containsText" dxfId="1050" priority="2044" operator="containsText" text="#N/A">
      <formula>NOT(ISERROR(SEARCH("#N/A",J414)))</formula>
    </cfRule>
  </conditionalFormatting>
  <conditionalFormatting sqref="J418:K418">
    <cfRule type="containsErrors" dxfId="1049" priority="2041">
      <formula>ISERROR(J418)</formula>
    </cfRule>
    <cfRule type="containsText" dxfId="1048" priority="2042" operator="containsText" text="#N/A">
      <formula>NOT(ISERROR(SEARCH("#N/A",J418)))</formula>
    </cfRule>
  </conditionalFormatting>
  <conditionalFormatting sqref="P414">
    <cfRule type="containsErrors" dxfId="1047" priority="2005">
      <formula>ISERROR(P414)</formula>
    </cfRule>
    <cfRule type="containsText" dxfId="1046" priority="2006" operator="containsText" text="#N/A">
      <formula>NOT(ISERROR(SEARCH("#N/A",P414)))</formula>
    </cfRule>
  </conditionalFormatting>
  <conditionalFormatting sqref="M412">
    <cfRule type="containsErrors" dxfId="1045" priority="2033">
      <formula>ISERROR(M412)</formula>
    </cfRule>
    <cfRule type="containsText" dxfId="1044" priority="2034" operator="containsText" text="#N/A">
      <formula>NOT(ISERROR(SEARCH("#N/A",M412)))</formula>
    </cfRule>
  </conditionalFormatting>
  <conditionalFormatting sqref="M413">
    <cfRule type="containsErrors" dxfId="1043" priority="2031">
      <formula>ISERROR(M413)</formula>
    </cfRule>
    <cfRule type="containsText" dxfId="1042" priority="2032" operator="containsText" text="#N/A">
      <formula>NOT(ISERROR(SEARCH("#N/A",M413)))</formula>
    </cfRule>
  </conditionalFormatting>
  <conditionalFormatting sqref="M414">
    <cfRule type="containsErrors" dxfId="1041" priority="2029">
      <formula>ISERROR(M414)</formula>
    </cfRule>
    <cfRule type="containsText" dxfId="1040" priority="2030" operator="containsText" text="#N/A">
      <formula>NOT(ISERROR(SEARCH("#N/A",M414)))</formula>
    </cfRule>
  </conditionalFormatting>
  <conditionalFormatting sqref="M416">
    <cfRule type="containsErrors" dxfId="1039" priority="2025">
      <formula>ISERROR(M416)</formula>
    </cfRule>
    <cfRule type="containsText" dxfId="1038" priority="2026" operator="containsText" text="#N/A">
      <formula>NOT(ISERROR(SEARCH("#N/A",M416)))</formula>
    </cfRule>
  </conditionalFormatting>
  <conditionalFormatting sqref="M417">
    <cfRule type="containsErrors" dxfId="1037" priority="2023">
      <formula>ISERROR(M417)</formula>
    </cfRule>
    <cfRule type="containsText" dxfId="1036" priority="2024" operator="containsText" text="#N/A">
      <formula>NOT(ISERROR(SEARCH("#N/A",M417)))</formula>
    </cfRule>
  </conditionalFormatting>
  <conditionalFormatting sqref="M418">
    <cfRule type="containsErrors" dxfId="1035" priority="2021">
      <formula>ISERROR(M418)</formula>
    </cfRule>
    <cfRule type="containsText" dxfId="1034" priority="2022" operator="containsText" text="#N/A">
      <formula>NOT(ISERROR(SEARCH("#N/A",M418)))</formula>
    </cfRule>
  </conditionalFormatting>
  <conditionalFormatting sqref="M420">
    <cfRule type="containsErrors" dxfId="1033" priority="2019">
      <formula>ISERROR(M420)</formula>
    </cfRule>
    <cfRule type="containsText" dxfId="1032" priority="2020" operator="containsText" text="#N/A">
      <formula>NOT(ISERROR(SEARCH("#N/A",M420)))</formula>
    </cfRule>
  </conditionalFormatting>
  <conditionalFormatting sqref="M421">
    <cfRule type="containsErrors" dxfId="1031" priority="2017">
      <formula>ISERROR(M421)</formula>
    </cfRule>
    <cfRule type="containsText" dxfId="1030" priority="2018" operator="containsText" text="#N/A">
      <formula>NOT(ISERROR(SEARCH("#N/A",M421)))</formula>
    </cfRule>
  </conditionalFormatting>
  <conditionalFormatting sqref="N422">
    <cfRule type="containsErrors" dxfId="1029" priority="2015">
      <formula>ISERROR(N422)</formula>
    </cfRule>
    <cfRule type="containsText" dxfId="1028" priority="2016" operator="containsText" text="#N/A">
      <formula>NOT(ISERROR(SEARCH("#N/A",N422)))</formula>
    </cfRule>
  </conditionalFormatting>
  <conditionalFormatting sqref="N423">
    <cfRule type="containsErrors" dxfId="1027" priority="2013">
      <formula>ISERROR(N423)</formula>
    </cfRule>
    <cfRule type="containsText" dxfId="1026" priority="2014" operator="containsText" text="#N/A">
      <formula>NOT(ISERROR(SEARCH("#N/A",N423)))</formula>
    </cfRule>
  </conditionalFormatting>
  <conditionalFormatting sqref="N424:N427">
    <cfRule type="containsErrors" dxfId="1025" priority="2011">
      <formula>ISERROR(N424)</formula>
    </cfRule>
    <cfRule type="containsText" dxfId="1024" priority="2012" operator="containsText" text="#N/A">
      <formula>NOT(ISERROR(SEARCH("#N/A",N424)))</formula>
    </cfRule>
  </conditionalFormatting>
  <conditionalFormatting sqref="P411">
    <cfRule type="containsErrors" dxfId="1023" priority="2009">
      <formula>ISERROR(P411)</formula>
    </cfRule>
    <cfRule type="containsText" dxfId="1022" priority="2010" operator="containsText" text="#N/A">
      <formula>NOT(ISERROR(SEARCH("#N/A",P411)))</formula>
    </cfRule>
  </conditionalFormatting>
  <conditionalFormatting sqref="P413">
    <cfRule type="containsErrors" dxfId="1021" priority="2007">
      <formula>ISERROR(P413)</formula>
    </cfRule>
    <cfRule type="containsText" dxfId="1020" priority="2008" operator="containsText" text="#N/A">
      <formula>NOT(ISERROR(SEARCH("#N/A",P413)))</formula>
    </cfRule>
  </conditionalFormatting>
  <conditionalFormatting sqref="P418">
    <cfRule type="containsErrors" dxfId="1019" priority="2001">
      <formula>ISERROR(P418)</formula>
    </cfRule>
    <cfRule type="containsText" dxfId="1018" priority="2002" operator="containsText" text="#N/A">
      <formula>NOT(ISERROR(SEARCH("#N/A",P418)))</formula>
    </cfRule>
  </conditionalFormatting>
  <conditionalFormatting sqref="P420">
    <cfRule type="containsErrors" dxfId="1017" priority="1999">
      <formula>ISERROR(P420)</formula>
    </cfRule>
    <cfRule type="containsText" dxfId="1016" priority="2000" operator="containsText" text="#N/A">
      <formula>NOT(ISERROR(SEARCH("#N/A",P420)))</formula>
    </cfRule>
  </conditionalFormatting>
  <conditionalFormatting sqref="P421">
    <cfRule type="containsErrors" dxfId="1015" priority="1997">
      <formula>ISERROR(P421)</formula>
    </cfRule>
    <cfRule type="containsText" dxfId="1014" priority="1998" operator="containsText" text="#N/A">
      <formula>NOT(ISERROR(SEARCH("#N/A",P421)))</formula>
    </cfRule>
  </conditionalFormatting>
  <conditionalFormatting sqref="N411:N414 N416:N421">
    <cfRule type="containsErrors" dxfId="1013" priority="1995">
      <formula>ISERROR(N411)</formula>
    </cfRule>
    <cfRule type="containsText" dxfId="1012" priority="1996" operator="containsText" text="#N/A">
      <formula>NOT(ISERROR(SEARCH("#N/A",N411)))</formula>
    </cfRule>
  </conditionalFormatting>
  <conditionalFormatting sqref="N428">
    <cfRule type="containsErrors" dxfId="1011" priority="1993">
      <formula>ISERROR(N428)</formula>
    </cfRule>
    <cfRule type="containsText" dxfId="1010" priority="1994" operator="containsText" text="#N/A">
      <formula>NOT(ISERROR(SEARCH("#N/A",N428)))</formula>
    </cfRule>
  </conditionalFormatting>
  <conditionalFormatting sqref="N430">
    <cfRule type="containsErrors" dxfId="1009" priority="1989">
      <formula>ISERROR(N430)</formula>
    </cfRule>
    <cfRule type="containsText" dxfId="1008" priority="1990" operator="containsText" text="#N/A">
      <formula>NOT(ISERROR(SEARCH("#N/A",N430)))</formula>
    </cfRule>
  </conditionalFormatting>
  <conditionalFormatting sqref="N431">
    <cfRule type="containsErrors" dxfId="1007" priority="1987">
      <formula>ISERROR(N431)</formula>
    </cfRule>
    <cfRule type="containsText" dxfId="1006" priority="1988" operator="containsText" text="#N/A">
      <formula>NOT(ISERROR(SEARCH("#N/A",N431)))</formula>
    </cfRule>
  </conditionalFormatting>
  <conditionalFormatting sqref="N432">
    <cfRule type="containsErrors" dxfId="1005" priority="1985">
      <formula>ISERROR(N432)</formula>
    </cfRule>
    <cfRule type="containsText" dxfId="1004" priority="1986" operator="containsText" text="#N/A">
      <formula>NOT(ISERROR(SEARCH("#N/A",N432)))</formula>
    </cfRule>
  </conditionalFormatting>
  <conditionalFormatting sqref="N433">
    <cfRule type="containsErrors" dxfId="1003" priority="1983">
      <formula>ISERROR(N433)</formula>
    </cfRule>
    <cfRule type="containsText" dxfId="1002" priority="1984" operator="containsText" text="#N/A">
      <formula>NOT(ISERROR(SEARCH("#N/A",N433)))</formula>
    </cfRule>
  </conditionalFormatting>
  <conditionalFormatting sqref="N434">
    <cfRule type="containsErrors" dxfId="1001" priority="1981">
      <formula>ISERROR(N434)</formula>
    </cfRule>
    <cfRule type="containsText" dxfId="1000" priority="1982" operator="containsText" text="#N/A">
      <formula>NOT(ISERROR(SEARCH("#N/A",N434)))</formula>
    </cfRule>
  </conditionalFormatting>
  <conditionalFormatting sqref="Q411:Q414 Q418:Q419 Q422:Q428">
    <cfRule type="containsErrors" dxfId="999" priority="1980" stopIfTrue="1">
      <formula>ISERROR(Q411)</formula>
    </cfRule>
  </conditionalFormatting>
  <conditionalFormatting sqref="I456:K459 I455">
    <cfRule type="containsErrors" dxfId="998" priority="1978">
      <formula>ISERROR(I455)</formula>
    </cfRule>
    <cfRule type="containsText" dxfId="997" priority="1979" operator="containsText" text="#N/A">
      <formula>NOT(ISERROR(SEARCH("#N/A",I455)))</formula>
    </cfRule>
  </conditionalFormatting>
  <conditionalFormatting sqref="J439">
    <cfRule type="containsErrors" dxfId="996" priority="1974">
      <formula>ISERROR(J439)</formula>
    </cfRule>
    <cfRule type="containsText" dxfId="995" priority="1975" operator="containsText" text="#N/A">
      <formula>NOT(ISERROR(SEARCH("#N/A",J439)))</formula>
    </cfRule>
  </conditionalFormatting>
  <conditionalFormatting sqref="M441">
    <cfRule type="containsErrors" dxfId="994" priority="1956">
      <formula>ISERROR(M441)</formula>
    </cfRule>
    <cfRule type="containsText" dxfId="993" priority="1957" operator="containsText" text="#N/A">
      <formula>NOT(ISERROR(SEARCH("#N/A",M441)))</formula>
    </cfRule>
  </conditionalFormatting>
  <conditionalFormatting sqref="M442">
    <cfRule type="containsErrors" dxfId="992" priority="1954">
      <formula>ISERROR(M442)</formula>
    </cfRule>
    <cfRule type="containsText" dxfId="991" priority="1955" operator="containsText" text="#N/A">
      <formula>NOT(ISERROR(SEARCH("#N/A",M442)))</formula>
    </cfRule>
  </conditionalFormatting>
  <conditionalFormatting sqref="M443">
    <cfRule type="containsErrors" dxfId="990" priority="1952">
      <formula>ISERROR(M443)</formula>
    </cfRule>
    <cfRule type="containsText" dxfId="989" priority="1953" operator="containsText" text="#N/A">
      <formula>NOT(ISERROR(SEARCH("#N/A",M443)))</formula>
    </cfRule>
  </conditionalFormatting>
  <conditionalFormatting sqref="M445">
    <cfRule type="containsErrors" dxfId="988" priority="1950">
      <formula>ISERROR(M445)</formula>
    </cfRule>
    <cfRule type="containsText" dxfId="987" priority="1951" operator="containsText" text="#N/A">
      <formula>NOT(ISERROR(SEARCH("#N/A",M445)))</formula>
    </cfRule>
  </conditionalFormatting>
  <conditionalFormatting sqref="M446">
    <cfRule type="containsErrors" dxfId="986" priority="1948">
      <formula>ISERROR(M446)</formula>
    </cfRule>
    <cfRule type="containsText" dxfId="985" priority="1949" operator="containsText" text="#N/A">
      <formula>NOT(ISERROR(SEARCH("#N/A",M446)))</formula>
    </cfRule>
  </conditionalFormatting>
  <conditionalFormatting sqref="N447">
    <cfRule type="containsErrors" dxfId="984" priority="1946">
      <formula>ISERROR(N447)</formula>
    </cfRule>
    <cfRule type="containsText" dxfId="983" priority="1947" operator="containsText" text="#N/A">
      <formula>NOT(ISERROR(SEARCH("#N/A",N447)))</formula>
    </cfRule>
  </conditionalFormatting>
  <conditionalFormatting sqref="N448">
    <cfRule type="containsErrors" dxfId="982" priority="1944">
      <formula>ISERROR(N448)</formula>
    </cfRule>
    <cfRule type="containsText" dxfId="981" priority="1945" operator="containsText" text="#N/A">
      <formula>NOT(ISERROR(SEARCH("#N/A",N448)))</formula>
    </cfRule>
  </conditionalFormatting>
  <conditionalFormatting sqref="N449:N452">
    <cfRule type="containsErrors" dxfId="980" priority="1942">
      <formula>ISERROR(N449)</formula>
    </cfRule>
    <cfRule type="containsText" dxfId="979" priority="1943" operator="containsText" text="#N/A">
      <formula>NOT(ISERROR(SEARCH("#N/A",N449)))</formula>
    </cfRule>
  </conditionalFormatting>
  <conditionalFormatting sqref="P443">
    <cfRule type="containsErrors" dxfId="978" priority="1932">
      <formula>ISERROR(P443)</formula>
    </cfRule>
    <cfRule type="containsText" dxfId="977" priority="1933" operator="containsText" text="#N/A">
      <formula>NOT(ISERROR(SEARCH("#N/A",P443)))</formula>
    </cfRule>
  </conditionalFormatting>
  <conditionalFormatting sqref="P445">
    <cfRule type="containsErrors" dxfId="976" priority="1930">
      <formula>ISERROR(P445)</formula>
    </cfRule>
    <cfRule type="containsText" dxfId="975" priority="1931" operator="containsText" text="#N/A">
      <formula>NOT(ISERROR(SEARCH("#N/A",P445)))</formula>
    </cfRule>
  </conditionalFormatting>
  <conditionalFormatting sqref="P446">
    <cfRule type="containsErrors" dxfId="974" priority="1928">
      <formula>ISERROR(P446)</formula>
    </cfRule>
    <cfRule type="containsText" dxfId="973" priority="1929" operator="containsText" text="#N/A">
      <formula>NOT(ISERROR(SEARCH("#N/A",P446)))</formula>
    </cfRule>
  </conditionalFormatting>
  <conditionalFormatting sqref="N441:N446">
    <cfRule type="containsErrors" dxfId="972" priority="1926">
      <formula>ISERROR(N441)</formula>
    </cfRule>
    <cfRule type="containsText" dxfId="971" priority="1927" operator="containsText" text="#N/A">
      <formula>NOT(ISERROR(SEARCH("#N/A",N441)))</formula>
    </cfRule>
  </conditionalFormatting>
  <conditionalFormatting sqref="N453">
    <cfRule type="containsErrors" dxfId="970" priority="1924">
      <formula>ISERROR(N453)</formula>
    </cfRule>
    <cfRule type="containsText" dxfId="969" priority="1925" operator="containsText" text="#N/A">
      <formula>NOT(ISERROR(SEARCH("#N/A",N453)))</formula>
    </cfRule>
  </conditionalFormatting>
  <conditionalFormatting sqref="N455">
    <cfRule type="containsErrors" dxfId="968" priority="1920">
      <formula>ISERROR(N455)</formula>
    </cfRule>
    <cfRule type="containsText" dxfId="967" priority="1921" operator="containsText" text="#N/A">
      <formula>NOT(ISERROR(SEARCH("#N/A",N455)))</formula>
    </cfRule>
  </conditionalFormatting>
  <conditionalFormatting sqref="N456">
    <cfRule type="containsErrors" dxfId="966" priority="1918">
      <formula>ISERROR(N456)</formula>
    </cfRule>
    <cfRule type="containsText" dxfId="965" priority="1919" operator="containsText" text="#N/A">
      <formula>NOT(ISERROR(SEARCH("#N/A",N456)))</formula>
    </cfRule>
  </conditionalFormatting>
  <conditionalFormatting sqref="N457">
    <cfRule type="containsErrors" dxfId="964" priority="1916">
      <formula>ISERROR(N457)</formula>
    </cfRule>
    <cfRule type="containsText" dxfId="963" priority="1917" operator="containsText" text="#N/A">
      <formula>NOT(ISERROR(SEARCH("#N/A",N457)))</formula>
    </cfRule>
  </conditionalFormatting>
  <conditionalFormatting sqref="N458">
    <cfRule type="containsErrors" dxfId="962" priority="1914">
      <formula>ISERROR(N458)</formula>
    </cfRule>
    <cfRule type="containsText" dxfId="961" priority="1915" operator="containsText" text="#N/A">
      <formula>NOT(ISERROR(SEARCH("#N/A",N458)))</formula>
    </cfRule>
  </conditionalFormatting>
  <conditionalFormatting sqref="N459">
    <cfRule type="containsErrors" dxfId="960" priority="1912">
      <formula>ISERROR(N459)</formula>
    </cfRule>
    <cfRule type="containsText" dxfId="959" priority="1913" operator="containsText" text="#N/A">
      <formula>NOT(ISERROR(SEARCH("#N/A",N459)))</formula>
    </cfRule>
  </conditionalFormatting>
  <conditionalFormatting sqref="Q443:Q444 Q447:Q453">
    <cfRule type="containsErrors" dxfId="958" priority="1911" stopIfTrue="1">
      <formula>ISERROR(Q443)</formula>
    </cfRule>
  </conditionalFormatting>
  <conditionalFormatting sqref="I482:K484 I480:I481">
    <cfRule type="containsErrors" dxfId="957" priority="1909">
      <formula>ISERROR(I480)</formula>
    </cfRule>
    <cfRule type="containsText" dxfId="956" priority="1910" operator="containsText" text="#N/A">
      <formula>NOT(ISERROR(SEARCH("#N/A",I480)))</formula>
    </cfRule>
  </conditionalFormatting>
  <conditionalFormatting sqref="J464:K464">
    <cfRule type="containsErrors" dxfId="955" priority="1905">
      <formula>ISERROR(J464)</formula>
    </cfRule>
    <cfRule type="containsText" dxfId="954" priority="1906" operator="containsText" text="#N/A">
      <formula>NOT(ISERROR(SEARCH("#N/A",J464)))</formula>
    </cfRule>
  </conditionalFormatting>
  <conditionalFormatting sqref="M464">
    <cfRule type="containsErrors" dxfId="953" priority="1891">
      <formula>ISERROR(M464)</formula>
    </cfRule>
    <cfRule type="containsText" dxfId="952" priority="1892" operator="containsText" text="#N/A">
      <formula>NOT(ISERROR(SEARCH("#N/A",M464)))</formula>
    </cfRule>
  </conditionalFormatting>
  <conditionalFormatting sqref="M466">
    <cfRule type="containsErrors" dxfId="951" priority="1887">
      <formula>ISERROR(M466)</formula>
    </cfRule>
    <cfRule type="containsText" dxfId="950" priority="1888" operator="containsText" text="#N/A">
      <formula>NOT(ISERROR(SEARCH("#N/A",M466)))</formula>
    </cfRule>
  </conditionalFormatting>
  <conditionalFormatting sqref="M467">
    <cfRule type="containsErrors" dxfId="949" priority="1885">
      <formula>ISERROR(M467)</formula>
    </cfRule>
    <cfRule type="containsText" dxfId="948" priority="1886" operator="containsText" text="#N/A">
      <formula>NOT(ISERROR(SEARCH("#N/A",M467)))</formula>
    </cfRule>
  </conditionalFormatting>
  <conditionalFormatting sqref="M468">
    <cfRule type="containsErrors" dxfId="947" priority="1883">
      <formula>ISERROR(M468)</formula>
    </cfRule>
    <cfRule type="containsText" dxfId="946" priority="1884" operator="containsText" text="#N/A">
      <formula>NOT(ISERROR(SEARCH("#N/A",M468)))</formula>
    </cfRule>
  </conditionalFormatting>
  <conditionalFormatting sqref="M470">
    <cfRule type="containsErrors" dxfId="945" priority="1881">
      <formula>ISERROR(M470)</formula>
    </cfRule>
    <cfRule type="containsText" dxfId="944" priority="1882" operator="containsText" text="#N/A">
      <formula>NOT(ISERROR(SEARCH("#N/A",M470)))</formula>
    </cfRule>
  </conditionalFormatting>
  <conditionalFormatting sqref="M471">
    <cfRule type="containsErrors" dxfId="943" priority="1879">
      <formula>ISERROR(M471)</formula>
    </cfRule>
    <cfRule type="containsText" dxfId="942" priority="1880" operator="containsText" text="#N/A">
      <formula>NOT(ISERROR(SEARCH("#N/A",M471)))</formula>
    </cfRule>
  </conditionalFormatting>
  <conditionalFormatting sqref="N472">
    <cfRule type="containsErrors" dxfId="941" priority="1877">
      <formula>ISERROR(N472)</formula>
    </cfRule>
    <cfRule type="containsText" dxfId="940" priority="1878" operator="containsText" text="#N/A">
      <formula>NOT(ISERROR(SEARCH("#N/A",N472)))</formula>
    </cfRule>
  </conditionalFormatting>
  <conditionalFormatting sqref="N473">
    <cfRule type="containsErrors" dxfId="939" priority="1875">
      <formula>ISERROR(N473)</formula>
    </cfRule>
    <cfRule type="containsText" dxfId="938" priority="1876" operator="containsText" text="#N/A">
      <formula>NOT(ISERROR(SEARCH("#N/A",N473)))</formula>
    </cfRule>
  </conditionalFormatting>
  <conditionalFormatting sqref="N474:N477">
    <cfRule type="containsErrors" dxfId="937" priority="1873">
      <formula>ISERROR(N474)</formula>
    </cfRule>
    <cfRule type="containsText" dxfId="936" priority="1874" operator="containsText" text="#N/A">
      <formula>NOT(ISERROR(SEARCH("#N/A",N474)))</formula>
    </cfRule>
  </conditionalFormatting>
  <conditionalFormatting sqref="P464">
    <cfRule type="containsErrors" dxfId="935" priority="1867">
      <formula>ISERROR(P464)</formula>
    </cfRule>
    <cfRule type="containsText" dxfId="934" priority="1868" operator="containsText" text="#N/A">
      <formula>NOT(ISERROR(SEARCH("#N/A",P464)))</formula>
    </cfRule>
  </conditionalFormatting>
  <conditionalFormatting sqref="P468">
    <cfRule type="containsErrors" dxfId="933" priority="1863">
      <formula>ISERROR(P468)</formula>
    </cfRule>
    <cfRule type="containsText" dxfId="932" priority="1864" operator="containsText" text="#N/A">
      <formula>NOT(ISERROR(SEARCH("#N/A",P468)))</formula>
    </cfRule>
  </conditionalFormatting>
  <conditionalFormatting sqref="P470">
    <cfRule type="containsErrors" dxfId="931" priority="1861">
      <formula>ISERROR(P470)</formula>
    </cfRule>
    <cfRule type="containsText" dxfId="930" priority="1862" operator="containsText" text="#N/A">
      <formula>NOT(ISERROR(SEARCH("#N/A",P470)))</formula>
    </cfRule>
  </conditionalFormatting>
  <conditionalFormatting sqref="P471">
    <cfRule type="containsErrors" dxfId="929" priority="1859">
      <formula>ISERROR(P471)</formula>
    </cfRule>
    <cfRule type="containsText" dxfId="928" priority="1860" operator="containsText" text="#N/A">
      <formula>NOT(ISERROR(SEARCH("#N/A",P471)))</formula>
    </cfRule>
  </conditionalFormatting>
  <conditionalFormatting sqref="N464 N466:N471">
    <cfRule type="containsErrors" dxfId="927" priority="1857">
      <formula>ISERROR(N464)</formula>
    </cfRule>
    <cfRule type="containsText" dxfId="926" priority="1858" operator="containsText" text="#N/A">
      <formula>NOT(ISERROR(SEARCH("#N/A",N464)))</formula>
    </cfRule>
  </conditionalFormatting>
  <conditionalFormatting sqref="N478">
    <cfRule type="containsErrors" dxfId="925" priority="1855">
      <formula>ISERROR(N478)</formula>
    </cfRule>
    <cfRule type="containsText" dxfId="924" priority="1856" operator="containsText" text="#N/A">
      <formula>NOT(ISERROR(SEARCH("#N/A",N478)))</formula>
    </cfRule>
  </conditionalFormatting>
  <conditionalFormatting sqref="N480">
    <cfRule type="containsErrors" dxfId="923" priority="1851">
      <formula>ISERROR(N480)</formula>
    </cfRule>
    <cfRule type="containsText" dxfId="922" priority="1852" operator="containsText" text="#N/A">
      <formula>NOT(ISERROR(SEARCH("#N/A",N480)))</formula>
    </cfRule>
  </conditionalFormatting>
  <conditionalFormatting sqref="N481">
    <cfRule type="containsErrors" dxfId="921" priority="1849">
      <formula>ISERROR(N481)</formula>
    </cfRule>
    <cfRule type="containsText" dxfId="920" priority="1850" operator="containsText" text="#N/A">
      <formula>NOT(ISERROR(SEARCH("#N/A",N481)))</formula>
    </cfRule>
  </conditionalFormatting>
  <conditionalFormatting sqref="N482">
    <cfRule type="containsErrors" dxfId="919" priority="1847">
      <formula>ISERROR(N482)</formula>
    </cfRule>
    <cfRule type="containsText" dxfId="918" priority="1848" operator="containsText" text="#N/A">
      <formula>NOT(ISERROR(SEARCH("#N/A",N482)))</formula>
    </cfRule>
  </conditionalFormatting>
  <conditionalFormatting sqref="N483">
    <cfRule type="containsErrors" dxfId="917" priority="1845">
      <formula>ISERROR(N483)</formula>
    </cfRule>
    <cfRule type="containsText" dxfId="916" priority="1846" operator="containsText" text="#N/A">
      <formula>NOT(ISERROR(SEARCH("#N/A",N483)))</formula>
    </cfRule>
  </conditionalFormatting>
  <conditionalFormatting sqref="N484">
    <cfRule type="containsErrors" dxfId="915" priority="1843">
      <formula>ISERROR(N484)</formula>
    </cfRule>
    <cfRule type="containsText" dxfId="914" priority="1844" operator="containsText" text="#N/A">
      <formula>NOT(ISERROR(SEARCH("#N/A",N484)))</formula>
    </cfRule>
  </conditionalFormatting>
  <conditionalFormatting sqref="Q464 Q468:Q469 Q472:Q478">
    <cfRule type="containsErrors" dxfId="913" priority="1842" stopIfTrue="1">
      <formula>ISERROR(Q464)</formula>
    </cfRule>
  </conditionalFormatting>
  <conditionalFormatting sqref="P497">
    <cfRule type="containsErrors" dxfId="912" priority="1840">
      <formula>ISERROR(P497)</formula>
    </cfRule>
    <cfRule type="containsText" dxfId="911" priority="1841" operator="containsText" text="#N/A">
      <formula>NOT(ISERROR(SEARCH("#N/A",P497)))</formula>
    </cfRule>
  </conditionalFormatting>
  <conditionalFormatting sqref="P498">
    <cfRule type="containsErrors" dxfId="910" priority="1838">
      <formula>ISERROR(P498)</formula>
    </cfRule>
    <cfRule type="containsText" dxfId="909" priority="1839" operator="containsText" text="#N/A">
      <formula>NOT(ISERROR(SEARCH("#N/A",P498)))</formula>
    </cfRule>
  </conditionalFormatting>
  <conditionalFormatting sqref="M68">
    <cfRule type="containsErrors" dxfId="908" priority="1836">
      <formula>ISERROR(M68)</formula>
    </cfRule>
    <cfRule type="containsText" dxfId="907" priority="1837" operator="containsText" text="#N/A">
      <formula>NOT(ISERROR(SEARCH("#N/A",M68)))</formula>
    </cfRule>
  </conditionalFormatting>
  <conditionalFormatting sqref="M78">
    <cfRule type="containsErrors" dxfId="906" priority="1834">
      <formula>ISERROR(M78)</formula>
    </cfRule>
    <cfRule type="containsText" dxfId="905" priority="1835" operator="containsText" text="#N/A">
      <formula>NOT(ISERROR(SEARCH("#N/A",M78)))</formula>
    </cfRule>
  </conditionalFormatting>
  <conditionalFormatting sqref="I69:K69">
    <cfRule type="containsErrors" dxfId="904" priority="1339">
      <formula>ISERROR(I69)</formula>
    </cfRule>
    <cfRule type="containsText" dxfId="903" priority="1804" operator="containsText" text="#N/A">
      <formula>NOT(ISERROR(SEARCH("#N/A",I69)))</formula>
    </cfRule>
  </conditionalFormatting>
  <conditionalFormatting sqref="J79:K79">
    <cfRule type="containsErrors" dxfId="902" priority="1800">
      <formula>ISERROR(J79)</formula>
    </cfRule>
    <cfRule type="containsText" dxfId="901" priority="1801" operator="containsText" text="#N/A">
      <formula>NOT(ISERROR(SEARCH("#N/A",J79)))</formula>
    </cfRule>
  </conditionalFormatting>
  <conditionalFormatting sqref="J39:K47">
    <cfRule type="containsErrors" dxfId="900" priority="1786">
      <formula>ISERROR(J39)</formula>
    </cfRule>
    <cfRule type="containsText" dxfId="899" priority="1787" operator="containsText" text="#N/A">
      <formula>NOT(ISERROR(SEARCH("#N/A",J39)))</formula>
    </cfRule>
  </conditionalFormatting>
  <conditionalFormatting sqref="I49">
    <cfRule type="containsText" dxfId="898" priority="1785" stopIfTrue="1" operator="containsText" text="Insufficient room for address">
      <formula>NOT(ISERROR(SEARCH("Insufficient room for address",I49)))</formula>
    </cfRule>
  </conditionalFormatting>
  <conditionalFormatting sqref="I49">
    <cfRule type="containsErrors" dxfId="897" priority="1783">
      <formula>ISERROR(I49)</formula>
    </cfRule>
    <cfRule type="containsText" dxfId="896" priority="1784" operator="containsText" text="#N/A">
      <formula>NOT(ISERROR(SEARCH("#N/A",I49)))</formula>
    </cfRule>
  </conditionalFormatting>
  <conditionalFormatting sqref="I113">
    <cfRule type="containsErrors" dxfId="895" priority="1774">
      <formula>ISERROR(I113)</formula>
    </cfRule>
    <cfRule type="containsText" dxfId="894" priority="1775" operator="containsText" text="#N/A">
      <formula>NOT(ISERROR(SEARCH("#N/A",I113)))</formula>
    </cfRule>
  </conditionalFormatting>
  <conditionalFormatting sqref="I111">
    <cfRule type="containsErrors" dxfId="893" priority="1772">
      <formula>ISERROR(I111)</formula>
    </cfRule>
    <cfRule type="containsText" dxfId="892" priority="1773" operator="containsText" text="#N/A">
      <formula>NOT(ISERROR(SEARCH("#N/A",I111)))</formula>
    </cfRule>
  </conditionalFormatting>
  <conditionalFormatting sqref="J82:K82">
    <cfRule type="containsErrors" dxfId="891" priority="1685">
      <formula>ISERROR(J82)</formula>
    </cfRule>
    <cfRule type="containsText" dxfId="890" priority="1686" operator="containsText" text="#N/A">
      <formula>NOT(ISERROR(SEARCH("#N/A",J82)))</formula>
    </cfRule>
  </conditionalFormatting>
  <conditionalFormatting sqref="C2">
    <cfRule type="containsText" dxfId="889" priority="1683" operator="containsText" text="#N/A">
      <formula>NOT(ISERROR(SEARCH("#N/A",C2)))</formula>
    </cfRule>
  </conditionalFormatting>
  <conditionalFormatting sqref="J113">
    <cfRule type="containsErrors" dxfId="888" priority="1679">
      <formula>ISERROR(J113)</formula>
    </cfRule>
    <cfRule type="containsText" dxfId="887" priority="1680" operator="containsText" text="#N/A">
      <formula>NOT(ISERROR(SEARCH("#N/A",J113)))</formula>
    </cfRule>
  </conditionalFormatting>
  <conditionalFormatting sqref="J144:K152 K153">
    <cfRule type="containsErrors" dxfId="886" priority="1675">
      <formula>ISERROR(J144)</formula>
    </cfRule>
    <cfRule type="containsText" dxfId="885" priority="1676" operator="containsText" text="#N/A">
      <formula>NOT(ISERROR(SEARCH("#N/A",J144)))</formula>
    </cfRule>
  </conditionalFormatting>
  <conditionalFormatting sqref="J244:J252 J255:J256">
    <cfRule type="containsErrors" dxfId="884" priority="1581">
      <formula>ISERROR(J244)</formula>
    </cfRule>
    <cfRule type="containsText" dxfId="883" priority="1582" operator="containsText" text="#N/A">
      <formula>NOT(ISERROR(SEARCH("#N/A",J244)))</formula>
    </cfRule>
  </conditionalFormatting>
  <conditionalFormatting sqref="J169:J177 J180">
    <cfRule type="containsErrors" dxfId="882" priority="1641">
      <formula>ISERROR(J169)</formula>
    </cfRule>
    <cfRule type="containsText" dxfId="881" priority="1642" operator="containsText" text="#N/A">
      <formula>NOT(ISERROR(SEARCH("#N/A",J169)))</formula>
    </cfRule>
  </conditionalFormatting>
  <conditionalFormatting sqref="J219:J227 J230:J231">
    <cfRule type="containsErrors" dxfId="880" priority="1599">
      <formula>ISERROR(J219)</formula>
    </cfRule>
    <cfRule type="containsText" dxfId="879" priority="1600" operator="containsText" text="#N/A">
      <formula>NOT(ISERROR(SEARCH("#N/A",J219)))</formula>
    </cfRule>
  </conditionalFormatting>
  <conditionalFormatting sqref="J269:K277 J280:K280 K278">
    <cfRule type="containsErrors" dxfId="878" priority="1563">
      <formula>ISERROR(J269)</formula>
    </cfRule>
    <cfRule type="containsText" dxfId="877" priority="1564" operator="containsText" text="#N/A">
      <formula>NOT(ISERROR(SEARCH("#N/A",J269)))</formula>
    </cfRule>
  </conditionalFormatting>
  <conditionalFormatting sqref="J345:K352 K344 K353">
    <cfRule type="containsErrors" dxfId="876" priority="1503">
      <formula>ISERROR(J344)</formula>
    </cfRule>
    <cfRule type="containsText" dxfId="875" priority="1504" operator="containsText" text="#N/A">
      <formula>NOT(ISERROR(SEARCH("#N/A",J344)))</formula>
    </cfRule>
  </conditionalFormatting>
  <conditionalFormatting sqref="J294:K302 K303">
    <cfRule type="containsErrors" dxfId="874" priority="1537">
      <formula>ISERROR(J294)</formula>
    </cfRule>
    <cfRule type="containsText" dxfId="873" priority="1538" operator="containsText" text="#N/A">
      <formula>NOT(ISERROR(SEARCH("#N/A",J294)))</formula>
    </cfRule>
  </conditionalFormatting>
  <conditionalFormatting sqref="J369:J377 J380">
    <cfRule type="containsErrors" dxfId="872" priority="1485">
      <formula>ISERROR(J369)</formula>
    </cfRule>
    <cfRule type="containsText" dxfId="871" priority="1486" operator="containsText" text="#N/A">
      <formula>NOT(ISERROR(SEARCH("#N/A",J369)))</formula>
    </cfRule>
  </conditionalFormatting>
  <conditionalFormatting sqref="J394:K402 K403">
    <cfRule type="containsErrors" dxfId="870" priority="1467">
      <formula>ISERROR(J394)</formula>
    </cfRule>
    <cfRule type="containsText" dxfId="869" priority="1468" operator="containsText" text="#N/A">
      <formula>NOT(ISERROR(SEARCH("#N/A",J394)))</formula>
    </cfRule>
  </conditionalFormatting>
  <conditionalFormatting sqref="J419:K427 J430:K430 K428">
    <cfRule type="containsErrors" dxfId="868" priority="1449">
      <formula>ISERROR(J419)</formula>
    </cfRule>
    <cfRule type="containsText" dxfId="867" priority="1450" operator="containsText" text="#N/A">
      <formula>NOT(ISERROR(SEARCH("#N/A",J419)))</formula>
    </cfRule>
  </conditionalFormatting>
  <conditionalFormatting sqref="J137">
    <cfRule type="containsErrors" dxfId="866" priority="1411">
      <formula>ISERROR(J137)</formula>
    </cfRule>
    <cfRule type="containsText" dxfId="865" priority="1412" operator="containsText" text="#N/A">
      <formula>NOT(ISERROR(SEARCH("#N/A",J137)))</formula>
    </cfRule>
  </conditionalFormatting>
  <conditionalFormatting sqref="J138">
    <cfRule type="containsErrors" dxfId="864" priority="1409">
      <formula>ISERROR(J138)</formula>
    </cfRule>
    <cfRule type="containsText" dxfId="863" priority="1410" operator="containsText" text="#N/A">
      <formula>NOT(ISERROR(SEARCH("#N/A",J138)))</formula>
    </cfRule>
  </conditionalFormatting>
  <conditionalFormatting sqref="J162">
    <cfRule type="containsErrors" dxfId="862" priority="1407">
      <formula>ISERROR(J162)</formula>
    </cfRule>
    <cfRule type="containsText" dxfId="861" priority="1408" operator="containsText" text="#N/A">
      <formula>NOT(ISERROR(SEARCH("#N/A",J162)))</formula>
    </cfRule>
  </conditionalFormatting>
  <conditionalFormatting sqref="J163">
    <cfRule type="containsErrors" dxfId="860" priority="1405">
      <formula>ISERROR(J163)</formula>
    </cfRule>
    <cfRule type="containsText" dxfId="859" priority="1406" operator="containsText" text="#N/A">
      <formula>NOT(ISERROR(SEARCH("#N/A",J163)))</formula>
    </cfRule>
  </conditionalFormatting>
  <conditionalFormatting sqref="J187">
    <cfRule type="containsErrors" dxfId="858" priority="1403">
      <formula>ISERROR(J187)</formula>
    </cfRule>
    <cfRule type="containsText" dxfId="857" priority="1404" operator="containsText" text="#N/A">
      <formula>NOT(ISERROR(SEARCH("#N/A",J187)))</formula>
    </cfRule>
  </conditionalFormatting>
  <conditionalFormatting sqref="J188">
    <cfRule type="containsErrors" dxfId="856" priority="1401">
      <formula>ISERROR(J188)</formula>
    </cfRule>
    <cfRule type="containsText" dxfId="855" priority="1402" operator="containsText" text="#N/A">
      <formula>NOT(ISERROR(SEARCH("#N/A",J188)))</formula>
    </cfRule>
  </conditionalFormatting>
  <conditionalFormatting sqref="J212">
    <cfRule type="containsErrors" dxfId="854" priority="1399">
      <formula>ISERROR(J212)</formula>
    </cfRule>
    <cfRule type="containsText" dxfId="853" priority="1400" operator="containsText" text="#N/A">
      <formula>NOT(ISERROR(SEARCH("#N/A",J212)))</formula>
    </cfRule>
  </conditionalFormatting>
  <conditionalFormatting sqref="J213">
    <cfRule type="containsErrors" dxfId="852" priority="1397">
      <formula>ISERROR(J213)</formula>
    </cfRule>
    <cfRule type="containsText" dxfId="851" priority="1398" operator="containsText" text="#N/A">
      <formula>NOT(ISERROR(SEARCH("#N/A",J213)))</formula>
    </cfRule>
  </conditionalFormatting>
  <conditionalFormatting sqref="J237">
    <cfRule type="containsErrors" dxfId="850" priority="1395">
      <formula>ISERROR(J237)</formula>
    </cfRule>
    <cfRule type="containsText" dxfId="849" priority="1396" operator="containsText" text="#N/A">
      <formula>NOT(ISERROR(SEARCH("#N/A",J237)))</formula>
    </cfRule>
  </conditionalFormatting>
  <conditionalFormatting sqref="J238">
    <cfRule type="containsErrors" dxfId="848" priority="1393">
      <formula>ISERROR(J238)</formula>
    </cfRule>
    <cfRule type="containsText" dxfId="847" priority="1394" operator="containsText" text="#N/A">
      <formula>NOT(ISERROR(SEARCH("#N/A",J238)))</formula>
    </cfRule>
  </conditionalFormatting>
  <conditionalFormatting sqref="J262">
    <cfRule type="containsErrors" dxfId="846" priority="1391">
      <formula>ISERROR(J262)</formula>
    </cfRule>
    <cfRule type="containsText" dxfId="845" priority="1392" operator="containsText" text="#N/A">
      <formula>NOT(ISERROR(SEARCH("#N/A",J262)))</formula>
    </cfRule>
  </conditionalFormatting>
  <conditionalFormatting sqref="J263">
    <cfRule type="containsErrors" dxfId="844" priority="1389">
      <formula>ISERROR(J263)</formula>
    </cfRule>
    <cfRule type="containsText" dxfId="843" priority="1390" operator="containsText" text="#N/A">
      <formula>NOT(ISERROR(SEARCH("#N/A",J263)))</formula>
    </cfRule>
  </conditionalFormatting>
  <conditionalFormatting sqref="J287">
    <cfRule type="containsErrors" dxfId="842" priority="1387">
      <formula>ISERROR(J287)</formula>
    </cfRule>
    <cfRule type="containsText" dxfId="841" priority="1388" operator="containsText" text="#N/A">
      <formula>NOT(ISERROR(SEARCH("#N/A",J287)))</formula>
    </cfRule>
  </conditionalFormatting>
  <conditionalFormatting sqref="J288">
    <cfRule type="containsErrors" dxfId="840" priority="1385">
      <formula>ISERROR(J288)</formula>
    </cfRule>
    <cfRule type="containsText" dxfId="839" priority="1386" operator="containsText" text="#N/A">
      <formula>NOT(ISERROR(SEARCH("#N/A",J288)))</formula>
    </cfRule>
  </conditionalFormatting>
  <conditionalFormatting sqref="J312">
    <cfRule type="containsErrors" dxfId="838" priority="1383">
      <formula>ISERROR(J312)</formula>
    </cfRule>
    <cfRule type="containsText" dxfId="837" priority="1384" operator="containsText" text="#N/A">
      <formula>NOT(ISERROR(SEARCH("#N/A",J312)))</formula>
    </cfRule>
  </conditionalFormatting>
  <conditionalFormatting sqref="J313">
    <cfRule type="containsErrors" dxfId="836" priority="1381">
      <formula>ISERROR(J313)</formula>
    </cfRule>
    <cfRule type="containsText" dxfId="835" priority="1382" operator="containsText" text="#N/A">
      <formula>NOT(ISERROR(SEARCH("#N/A",J313)))</formula>
    </cfRule>
  </conditionalFormatting>
  <conditionalFormatting sqref="J337">
    <cfRule type="containsErrors" dxfId="834" priority="1379">
      <formula>ISERROR(J337)</formula>
    </cfRule>
    <cfRule type="containsText" dxfId="833" priority="1380" operator="containsText" text="#N/A">
      <formula>NOT(ISERROR(SEARCH("#N/A",J337)))</formula>
    </cfRule>
  </conditionalFormatting>
  <conditionalFormatting sqref="J338">
    <cfRule type="containsErrors" dxfId="832" priority="1377">
      <formula>ISERROR(J338)</formula>
    </cfRule>
    <cfRule type="containsText" dxfId="831" priority="1378" operator="containsText" text="#N/A">
      <formula>NOT(ISERROR(SEARCH("#N/A",J338)))</formula>
    </cfRule>
  </conditionalFormatting>
  <conditionalFormatting sqref="J362">
    <cfRule type="containsErrors" dxfId="830" priority="1375">
      <formula>ISERROR(J362)</formula>
    </cfRule>
    <cfRule type="containsText" dxfId="829" priority="1376" operator="containsText" text="#N/A">
      <formula>NOT(ISERROR(SEARCH("#N/A",J362)))</formula>
    </cfRule>
  </conditionalFormatting>
  <conditionalFormatting sqref="J363">
    <cfRule type="containsErrors" dxfId="828" priority="1373">
      <formula>ISERROR(J363)</formula>
    </cfRule>
    <cfRule type="containsText" dxfId="827" priority="1374" operator="containsText" text="#N/A">
      <formula>NOT(ISERROR(SEARCH("#N/A",J363)))</formula>
    </cfRule>
  </conditionalFormatting>
  <conditionalFormatting sqref="J387">
    <cfRule type="containsErrors" dxfId="826" priority="1371">
      <formula>ISERROR(J387)</formula>
    </cfRule>
    <cfRule type="containsText" dxfId="825" priority="1372" operator="containsText" text="#N/A">
      <formula>NOT(ISERROR(SEARCH("#N/A",J387)))</formula>
    </cfRule>
  </conditionalFormatting>
  <conditionalFormatting sqref="J388">
    <cfRule type="containsErrors" dxfId="824" priority="1369">
      <formula>ISERROR(J388)</formula>
    </cfRule>
    <cfRule type="containsText" dxfId="823" priority="1370" operator="containsText" text="#N/A">
      <formula>NOT(ISERROR(SEARCH("#N/A",J388)))</formula>
    </cfRule>
  </conditionalFormatting>
  <conditionalFormatting sqref="J412">
    <cfRule type="containsErrors" dxfId="822" priority="1367">
      <formula>ISERROR(J412)</formula>
    </cfRule>
    <cfRule type="containsText" dxfId="821" priority="1368" operator="containsText" text="#N/A">
      <formula>NOT(ISERROR(SEARCH("#N/A",J412)))</formula>
    </cfRule>
  </conditionalFormatting>
  <conditionalFormatting sqref="J413">
    <cfRule type="containsErrors" dxfId="820" priority="1365">
      <formula>ISERROR(J413)</formula>
    </cfRule>
    <cfRule type="containsText" dxfId="819" priority="1366" operator="containsText" text="#N/A">
      <formula>NOT(ISERROR(SEARCH("#N/A",J413)))</formula>
    </cfRule>
  </conditionalFormatting>
  <conditionalFormatting sqref="J437">
    <cfRule type="containsErrors" dxfId="818" priority="1363">
      <formula>ISERROR(J437)</formula>
    </cfRule>
    <cfRule type="containsText" dxfId="817" priority="1364" operator="containsText" text="#N/A">
      <formula>NOT(ISERROR(SEARCH("#N/A",J437)))</formula>
    </cfRule>
  </conditionalFormatting>
  <conditionalFormatting sqref="J438">
    <cfRule type="containsErrors" dxfId="816" priority="1361">
      <formula>ISERROR(J438)</formula>
    </cfRule>
    <cfRule type="containsText" dxfId="815" priority="1362" operator="containsText" text="#N/A">
      <formula>NOT(ISERROR(SEARCH("#N/A",J438)))</formula>
    </cfRule>
  </conditionalFormatting>
  <conditionalFormatting sqref="J462">
    <cfRule type="containsErrors" dxfId="814" priority="1359">
      <formula>ISERROR(J462)</formula>
    </cfRule>
    <cfRule type="containsText" dxfId="813" priority="1360" operator="containsText" text="#N/A">
      <formula>NOT(ISERROR(SEARCH("#N/A",J462)))</formula>
    </cfRule>
  </conditionalFormatting>
  <conditionalFormatting sqref="J463">
    <cfRule type="containsErrors" dxfId="812" priority="1357">
      <formula>ISERROR(J463)</formula>
    </cfRule>
    <cfRule type="containsText" dxfId="811" priority="1358" operator="containsText" text="#N/A">
      <formula>NOT(ISERROR(SEARCH("#N/A",J463)))</formula>
    </cfRule>
  </conditionalFormatting>
  <conditionalFormatting sqref="I78">
    <cfRule type="containsErrors" dxfId="810" priority="726">
      <formula>ISERROR(I78)</formula>
    </cfRule>
    <cfRule type="containsText" dxfId="809" priority="1350" operator="containsText" text="#N/A">
      <formula>NOT(ISERROR(SEARCH("#N/A",I78)))</formula>
    </cfRule>
  </conditionalFormatting>
  <conditionalFormatting sqref="I79">
    <cfRule type="containsErrors" dxfId="808" priority="1351">
      <formula>ISERROR(I79)</formula>
    </cfRule>
    <cfRule type="containsText" dxfId="807" priority="1352" operator="containsText" text="#N/A">
      <formula>NOT(ISERROR(SEARCH("#N/A",I79)))</formula>
    </cfRule>
  </conditionalFormatting>
  <conditionalFormatting sqref="I76:K76">
    <cfRule type="containsErrors" dxfId="806" priority="1348">
      <formula>ISERROR(I76)</formula>
    </cfRule>
    <cfRule type="containsText" dxfId="805" priority="1349" operator="containsText" text="#N/A">
      <formula>NOT(ISERROR(SEARCH("#N/A",I76)))</formula>
    </cfRule>
  </conditionalFormatting>
  <conditionalFormatting sqref="I70:K70">
    <cfRule type="containsErrors" dxfId="802" priority="1344">
      <formula>ISERROR(I70)</formula>
    </cfRule>
    <cfRule type="containsText" dxfId="801" priority="1345" operator="containsText" text="#N/A">
      <formula>NOT(ISERROR(SEARCH("#N/A",I70)))</formula>
    </cfRule>
  </conditionalFormatting>
  <conditionalFormatting sqref="J83:K83">
    <cfRule type="containsErrors" dxfId="800" priority="1340">
      <formula>ISERROR(J83)</formula>
    </cfRule>
    <cfRule type="containsText" dxfId="799" priority="1341" operator="containsText" text="#N/A">
      <formula>NOT(ISERROR(SEARCH("#N/A",J83)))</formula>
    </cfRule>
  </conditionalFormatting>
  <conditionalFormatting sqref="I68">
    <cfRule type="containsErrors" dxfId="798" priority="723">
      <formula>ISERROR(I68)</formula>
    </cfRule>
    <cfRule type="containsText" dxfId="797" priority="1338" operator="containsText" text="#N/A">
      <formula>NOT(ISERROR(SEARCH("#N/A",I68)))</formula>
    </cfRule>
  </conditionalFormatting>
  <conditionalFormatting sqref="J81:K81">
    <cfRule type="containsErrors" dxfId="796" priority="1336">
      <formula>ISERROR(J81)</formula>
    </cfRule>
    <cfRule type="containsText" dxfId="795" priority="1337" operator="containsText" text="#N/A">
      <formula>NOT(ISERROR(SEARCH("#N/A",J81)))</formula>
    </cfRule>
  </conditionalFormatting>
  <conditionalFormatting sqref="J5:K5">
    <cfRule type="containsErrors" dxfId="794" priority="1248">
      <formula>ISERROR(J5)</formula>
    </cfRule>
    <cfRule type="containsText" dxfId="793" priority="1249" operator="containsText" text="#N/A">
      <formula>NOT(ISERROR(SEARCH("#N/A",J5)))</formula>
    </cfRule>
  </conditionalFormatting>
  <conditionalFormatting sqref="I6:K6">
    <cfRule type="containsText" dxfId="792" priority="1247" operator="containsText" text="#N/A">
      <formula>NOT(ISERROR(SEARCH("#N/A",I6)))</formula>
    </cfRule>
  </conditionalFormatting>
  <conditionalFormatting sqref="I8:K8">
    <cfRule type="containsErrors" dxfId="791" priority="1245">
      <formula>ISERROR(I8)</formula>
    </cfRule>
    <cfRule type="containsText" dxfId="790" priority="1246" operator="containsText" text="#N/A">
      <formula>NOT(ISERROR(SEARCH("#N/A",I8)))</formula>
    </cfRule>
  </conditionalFormatting>
  <conditionalFormatting sqref="I16:K16">
    <cfRule type="containsErrors" dxfId="789" priority="1243">
      <formula>ISERROR(I16)</formula>
    </cfRule>
    <cfRule type="containsText" dxfId="788" priority="1244" operator="containsText" text="#N/A">
      <formula>NOT(ISERROR(SEARCH("#N/A",I16)))</formula>
    </cfRule>
  </conditionalFormatting>
  <conditionalFormatting sqref="J84:K84">
    <cfRule type="containsErrors" dxfId="787" priority="1241">
      <formula>ISERROR(J84)</formula>
    </cfRule>
    <cfRule type="containsText" dxfId="786" priority="1242" operator="containsText" text="#N/A">
      <formula>NOT(ISERROR(SEARCH("#N/A",J84)))</formula>
    </cfRule>
  </conditionalFormatting>
  <conditionalFormatting sqref="I85:K85">
    <cfRule type="containsErrors" dxfId="785" priority="1239">
      <formula>ISERROR(I85)</formula>
    </cfRule>
    <cfRule type="containsText" dxfId="784" priority="1240" operator="containsText" text="#N/A">
      <formula>NOT(ISERROR(SEARCH("#N/A",I85)))</formula>
    </cfRule>
  </conditionalFormatting>
  <conditionalFormatting sqref="I110:K110">
    <cfRule type="containsErrors" dxfId="783" priority="1237">
      <formula>ISERROR(I110)</formula>
    </cfRule>
    <cfRule type="containsText" dxfId="782" priority="1238" operator="containsText" text="#N/A">
      <formula>NOT(ISERROR(SEARCH("#N/A",I110)))</formula>
    </cfRule>
  </conditionalFormatting>
  <conditionalFormatting sqref="I135:J135">
    <cfRule type="containsErrors" dxfId="781" priority="1235">
      <formula>ISERROR(I135)</formula>
    </cfRule>
    <cfRule type="containsText" dxfId="780" priority="1236" operator="containsText" text="#N/A">
      <formula>NOT(ISERROR(SEARCH("#N/A",I135)))</formula>
    </cfRule>
  </conditionalFormatting>
  <conditionalFormatting sqref="I160:J160">
    <cfRule type="containsErrors" dxfId="779" priority="1233">
      <formula>ISERROR(I160)</formula>
    </cfRule>
    <cfRule type="containsText" dxfId="778" priority="1234" operator="containsText" text="#N/A">
      <formula>NOT(ISERROR(SEARCH("#N/A",I160)))</formula>
    </cfRule>
  </conditionalFormatting>
  <conditionalFormatting sqref="I185:J185">
    <cfRule type="containsErrors" dxfId="777" priority="1231">
      <formula>ISERROR(I185)</formula>
    </cfRule>
    <cfRule type="containsText" dxfId="776" priority="1232" operator="containsText" text="#N/A">
      <formula>NOT(ISERROR(SEARCH("#N/A",I185)))</formula>
    </cfRule>
  </conditionalFormatting>
  <conditionalFormatting sqref="I210:J210">
    <cfRule type="containsErrors" dxfId="775" priority="1229">
      <formula>ISERROR(I210)</formula>
    </cfRule>
    <cfRule type="containsText" dxfId="774" priority="1230" operator="containsText" text="#N/A">
      <formula>NOT(ISERROR(SEARCH("#N/A",I210)))</formula>
    </cfRule>
  </conditionalFormatting>
  <conditionalFormatting sqref="I235:J235">
    <cfRule type="containsErrors" dxfId="773" priority="1227">
      <formula>ISERROR(I235)</formula>
    </cfRule>
    <cfRule type="containsText" dxfId="772" priority="1228" operator="containsText" text="#N/A">
      <formula>NOT(ISERROR(SEARCH("#N/A",I235)))</formula>
    </cfRule>
  </conditionalFormatting>
  <conditionalFormatting sqref="I260:J260">
    <cfRule type="containsErrors" dxfId="771" priority="1225">
      <formula>ISERROR(I260)</formula>
    </cfRule>
    <cfRule type="containsText" dxfId="770" priority="1226" operator="containsText" text="#N/A">
      <formula>NOT(ISERROR(SEARCH("#N/A",I260)))</formula>
    </cfRule>
  </conditionalFormatting>
  <conditionalFormatting sqref="I285:J285">
    <cfRule type="containsErrors" dxfId="769" priority="1223">
      <formula>ISERROR(I285)</formula>
    </cfRule>
    <cfRule type="containsText" dxfId="768" priority="1224" operator="containsText" text="#N/A">
      <formula>NOT(ISERROR(SEARCH("#N/A",I285)))</formula>
    </cfRule>
  </conditionalFormatting>
  <conditionalFormatting sqref="J310">
    <cfRule type="containsErrors" dxfId="767" priority="1221">
      <formula>ISERROR(J310)</formula>
    </cfRule>
    <cfRule type="containsText" dxfId="766" priority="1222" operator="containsText" text="#N/A">
      <formula>NOT(ISERROR(SEARCH("#N/A",J310)))</formula>
    </cfRule>
  </conditionalFormatting>
  <conditionalFormatting sqref="I335:J335">
    <cfRule type="containsErrors" dxfId="765" priority="1219">
      <formula>ISERROR(I335)</formula>
    </cfRule>
    <cfRule type="containsText" dxfId="764" priority="1220" operator="containsText" text="#N/A">
      <formula>NOT(ISERROR(SEARCH("#N/A",I335)))</formula>
    </cfRule>
  </conditionalFormatting>
  <conditionalFormatting sqref="I360:J360">
    <cfRule type="containsErrors" dxfId="763" priority="1217">
      <formula>ISERROR(I360)</formula>
    </cfRule>
    <cfRule type="containsText" dxfId="762" priority="1218" operator="containsText" text="#N/A">
      <formula>NOT(ISERROR(SEARCH("#N/A",I360)))</formula>
    </cfRule>
  </conditionalFormatting>
  <conditionalFormatting sqref="I385:J385">
    <cfRule type="containsErrors" dxfId="761" priority="1215">
      <formula>ISERROR(I385)</formula>
    </cfRule>
    <cfRule type="containsText" dxfId="760" priority="1216" operator="containsText" text="#N/A">
      <formula>NOT(ISERROR(SEARCH("#N/A",I385)))</formula>
    </cfRule>
  </conditionalFormatting>
  <conditionalFormatting sqref="I410:J410">
    <cfRule type="containsErrors" dxfId="759" priority="1213">
      <formula>ISERROR(I410)</formula>
    </cfRule>
    <cfRule type="containsText" dxfId="758" priority="1214" operator="containsText" text="#N/A">
      <formula>NOT(ISERROR(SEARCH("#N/A",I410)))</formula>
    </cfRule>
  </conditionalFormatting>
  <conditionalFormatting sqref="I435:J435">
    <cfRule type="containsErrors" dxfId="757" priority="1211">
      <formula>ISERROR(I435)</formula>
    </cfRule>
    <cfRule type="containsText" dxfId="756" priority="1212" operator="containsText" text="#N/A">
      <formula>NOT(ISERROR(SEARCH("#N/A",I435)))</formula>
    </cfRule>
  </conditionalFormatting>
  <conditionalFormatting sqref="I460:J460">
    <cfRule type="containsErrors" dxfId="755" priority="1209">
      <formula>ISERROR(I460)</formula>
    </cfRule>
    <cfRule type="containsText" dxfId="754" priority="1210" operator="containsText" text="#N/A">
      <formula>NOT(ISERROR(SEARCH("#N/A",I460)))</formula>
    </cfRule>
  </conditionalFormatting>
  <conditionalFormatting sqref="J485:K485">
    <cfRule type="containsErrors" dxfId="753" priority="1207">
      <formula>ISERROR(J485)</formula>
    </cfRule>
    <cfRule type="containsText" dxfId="752" priority="1208" operator="containsText" text="#N/A">
      <formula>NOT(ISERROR(SEARCH("#N/A",J485)))</formula>
    </cfRule>
  </conditionalFormatting>
  <conditionalFormatting sqref="J140:K140">
    <cfRule type="containsErrors" dxfId="751" priority="1198">
      <formula>ISERROR(J140)</formula>
    </cfRule>
    <cfRule type="containsText" dxfId="750" priority="1199" operator="containsText" text="#N/A">
      <formula>NOT(ISERROR(SEARCH("#N/A",J140)))</formula>
    </cfRule>
  </conditionalFormatting>
  <conditionalFormatting sqref="M140">
    <cfRule type="containsErrors" dxfId="749" priority="1196">
      <formula>ISERROR(M140)</formula>
    </cfRule>
    <cfRule type="containsText" dxfId="748" priority="1197" operator="containsText" text="#N/A">
      <formula>NOT(ISERROR(SEARCH("#N/A",M140)))</formula>
    </cfRule>
  </conditionalFormatting>
  <conditionalFormatting sqref="P140">
    <cfRule type="containsErrors" dxfId="747" priority="1194">
      <formula>ISERROR(P140)</formula>
    </cfRule>
    <cfRule type="containsText" dxfId="746" priority="1195" operator="containsText" text="#N/A">
      <formula>NOT(ISERROR(SEARCH("#N/A",P140)))</formula>
    </cfRule>
  </conditionalFormatting>
  <conditionalFormatting sqref="N140">
    <cfRule type="containsErrors" dxfId="745" priority="1192">
      <formula>ISERROR(N140)</formula>
    </cfRule>
    <cfRule type="containsText" dxfId="744" priority="1193" operator="containsText" text="#N/A">
      <formula>NOT(ISERROR(SEARCH("#N/A",N140)))</formula>
    </cfRule>
  </conditionalFormatting>
  <conditionalFormatting sqref="Q140">
    <cfRule type="containsErrors" dxfId="743" priority="1191" stopIfTrue="1">
      <formula>ISERROR(Q140)</formula>
    </cfRule>
  </conditionalFormatting>
  <conditionalFormatting sqref="J165:K165">
    <cfRule type="containsErrors" dxfId="742" priority="1189">
      <formula>ISERROR(J165)</formula>
    </cfRule>
    <cfRule type="containsText" dxfId="741" priority="1190" operator="containsText" text="#N/A">
      <formula>NOT(ISERROR(SEARCH("#N/A",J165)))</formula>
    </cfRule>
  </conditionalFormatting>
  <conditionalFormatting sqref="M165">
    <cfRule type="containsErrors" dxfId="740" priority="1187">
      <formula>ISERROR(M165)</formula>
    </cfRule>
    <cfRule type="containsText" dxfId="739" priority="1188" operator="containsText" text="#N/A">
      <formula>NOT(ISERROR(SEARCH("#N/A",M165)))</formula>
    </cfRule>
  </conditionalFormatting>
  <conditionalFormatting sqref="P165">
    <cfRule type="containsErrors" dxfId="738" priority="1185">
      <formula>ISERROR(P165)</formula>
    </cfRule>
    <cfRule type="containsText" dxfId="737" priority="1186" operator="containsText" text="#N/A">
      <formula>NOT(ISERROR(SEARCH("#N/A",P165)))</formula>
    </cfRule>
  </conditionalFormatting>
  <conditionalFormatting sqref="N165">
    <cfRule type="containsErrors" dxfId="736" priority="1183">
      <formula>ISERROR(N165)</formula>
    </cfRule>
    <cfRule type="containsText" dxfId="735" priority="1184" operator="containsText" text="#N/A">
      <formula>NOT(ISERROR(SEARCH("#N/A",N165)))</formula>
    </cfRule>
  </conditionalFormatting>
  <conditionalFormatting sqref="Q165">
    <cfRule type="containsErrors" dxfId="734" priority="1182" stopIfTrue="1">
      <formula>ISERROR(Q165)</formula>
    </cfRule>
  </conditionalFormatting>
  <conditionalFormatting sqref="J190:K190">
    <cfRule type="containsErrors" dxfId="733" priority="1175">
      <formula>ISERROR(J190)</formula>
    </cfRule>
    <cfRule type="containsText" dxfId="732" priority="1176" operator="containsText" text="#N/A">
      <formula>NOT(ISERROR(SEARCH("#N/A",J190)))</formula>
    </cfRule>
  </conditionalFormatting>
  <conditionalFormatting sqref="M190">
    <cfRule type="containsErrors" dxfId="731" priority="1173">
      <formula>ISERROR(M190)</formula>
    </cfRule>
    <cfRule type="containsText" dxfId="730" priority="1174" operator="containsText" text="#N/A">
      <formula>NOT(ISERROR(SEARCH("#N/A",M190)))</formula>
    </cfRule>
  </conditionalFormatting>
  <conditionalFormatting sqref="P190">
    <cfRule type="containsErrors" dxfId="729" priority="1171">
      <formula>ISERROR(P190)</formula>
    </cfRule>
    <cfRule type="containsText" dxfId="728" priority="1172" operator="containsText" text="#N/A">
      <formula>NOT(ISERROR(SEARCH("#N/A",P190)))</formula>
    </cfRule>
  </conditionalFormatting>
  <conditionalFormatting sqref="N190">
    <cfRule type="containsErrors" dxfId="727" priority="1169">
      <formula>ISERROR(N190)</formula>
    </cfRule>
    <cfRule type="containsText" dxfId="726" priority="1170" operator="containsText" text="#N/A">
      <formula>NOT(ISERROR(SEARCH("#N/A",N190)))</formula>
    </cfRule>
  </conditionalFormatting>
  <conditionalFormatting sqref="Q190">
    <cfRule type="containsErrors" dxfId="725" priority="1168" stopIfTrue="1">
      <formula>ISERROR(Q190)</formula>
    </cfRule>
  </conditionalFormatting>
  <conditionalFormatting sqref="J215:K215">
    <cfRule type="containsErrors" dxfId="724" priority="1161">
      <formula>ISERROR(J215)</formula>
    </cfRule>
    <cfRule type="containsText" dxfId="723" priority="1162" operator="containsText" text="#N/A">
      <formula>NOT(ISERROR(SEARCH("#N/A",J215)))</formula>
    </cfRule>
  </conditionalFormatting>
  <conditionalFormatting sqref="M215">
    <cfRule type="containsErrors" dxfId="722" priority="1159">
      <formula>ISERROR(M215)</formula>
    </cfRule>
    <cfRule type="containsText" dxfId="721" priority="1160" operator="containsText" text="#N/A">
      <formula>NOT(ISERROR(SEARCH("#N/A",M215)))</formula>
    </cfRule>
  </conditionalFormatting>
  <conditionalFormatting sqref="P215">
    <cfRule type="containsErrors" dxfId="720" priority="1157">
      <formula>ISERROR(P215)</formula>
    </cfRule>
    <cfRule type="containsText" dxfId="719" priority="1158" operator="containsText" text="#N/A">
      <formula>NOT(ISERROR(SEARCH("#N/A",P215)))</formula>
    </cfRule>
  </conditionalFormatting>
  <conditionalFormatting sqref="N215">
    <cfRule type="containsErrors" dxfId="718" priority="1155">
      <formula>ISERROR(N215)</formula>
    </cfRule>
    <cfRule type="containsText" dxfId="717" priority="1156" operator="containsText" text="#N/A">
      <formula>NOT(ISERROR(SEARCH("#N/A",N215)))</formula>
    </cfRule>
  </conditionalFormatting>
  <conditionalFormatting sqref="Q215">
    <cfRule type="containsErrors" dxfId="716" priority="1154" stopIfTrue="1">
      <formula>ISERROR(Q215)</formula>
    </cfRule>
  </conditionalFormatting>
  <conditionalFormatting sqref="J265:K265">
    <cfRule type="containsErrors" dxfId="715" priority="1124">
      <formula>ISERROR(J265)</formula>
    </cfRule>
    <cfRule type="containsText" dxfId="714" priority="1125" operator="containsText" text="#N/A">
      <formula>NOT(ISERROR(SEARCH("#N/A",J265)))</formula>
    </cfRule>
  </conditionalFormatting>
  <conditionalFormatting sqref="M265">
    <cfRule type="containsErrors" dxfId="713" priority="1122">
      <formula>ISERROR(M265)</formula>
    </cfRule>
    <cfRule type="containsText" dxfId="712" priority="1123" operator="containsText" text="#N/A">
      <formula>NOT(ISERROR(SEARCH("#N/A",M265)))</formula>
    </cfRule>
  </conditionalFormatting>
  <conditionalFormatting sqref="P265">
    <cfRule type="containsErrors" dxfId="711" priority="1120">
      <formula>ISERROR(P265)</formula>
    </cfRule>
    <cfRule type="containsText" dxfId="710" priority="1121" operator="containsText" text="#N/A">
      <formula>NOT(ISERROR(SEARCH("#N/A",P265)))</formula>
    </cfRule>
  </conditionalFormatting>
  <conditionalFormatting sqref="N265">
    <cfRule type="containsErrors" dxfId="709" priority="1118">
      <formula>ISERROR(N265)</formula>
    </cfRule>
    <cfRule type="containsText" dxfId="708" priority="1119" operator="containsText" text="#N/A">
      <formula>NOT(ISERROR(SEARCH("#N/A",N265)))</formula>
    </cfRule>
  </conditionalFormatting>
  <conditionalFormatting sqref="Q265">
    <cfRule type="containsErrors" dxfId="707" priority="1117" stopIfTrue="1">
      <formula>ISERROR(Q265)</formula>
    </cfRule>
  </conditionalFormatting>
  <conditionalFormatting sqref="J290:K290">
    <cfRule type="containsErrors" dxfId="706" priority="1110">
      <formula>ISERROR(J290)</formula>
    </cfRule>
    <cfRule type="containsText" dxfId="705" priority="1111" operator="containsText" text="#N/A">
      <formula>NOT(ISERROR(SEARCH("#N/A",J290)))</formula>
    </cfRule>
  </conditionalFormatting>
  <conditionalFormatting sqref="M290">
    <cfRule type="containsErrors" dxfId="704" priority="1108">
      <formula>ISERROR(M290)</formula>
    </cfRule>
    <cfRule type="containsText" dxfId="703" priority="1109" operator="containsText" text="#N/A">
      <formula>NOT(ISERROR(SEARCH("#N/A",M290)))</formula>
    </cfRule>
  </conditionalFormatting>
  <conditionalFormatting sqref="P290">
    <cfRule type="containsErrors" dxfId="702" priority="1106">
      <formula>ISERROR(P290)</formula>
    </cfRule>
    <cfRule type="containsText" dxfId="701" priority="1107" operator="containsText" text="#N/A">
      <formula>NOT(ISERROR(SEARCH("#N/A",P290)))</formula>
    </cfRule>
  </conditionalFormatting>
  <conditionalFormatting sqref="N290">
    <cfRule type="containsErrors" dxfId="700" priority="1104">
      <formula>ISERROR(N290)</formula>
    </cfRule>
    <cfRule type="containsText" dxfId="699" priority="1105" operator="containsText" text="#N/A">
      <formula>NOT(ISERROR(SEARCH("#N/A",N290)))</formula>
    </cfRule>
  </conditionalFormatting>
  <conditionalFormatting sqref="Q290">
    <cfRule type="containsErrors" dxfId="698" priority="1103" stopIfTrue="1">
      <formula>ISERROR(Q290)</formula>
    </cfRule>
  </conditionalFormatting>
  <conditionalFormatting sqref="J315:K315">
    <cfRule type="containsErrors" dxfId="697" priority="1096">
      <formula>ISERROR(J315)</formula>
    </cfRule>
    <cfRule type="containsText" dxfId="696" priority="1097" operator="containsText" text="#N/A">
      <formula>NOT(ISERROR(SEARCH("#N/A",J315)))</formula>
    </cfRule>
  </conditionalFormatting>
  <conditionalFormatting sqref="M315">
    <cfRule type="containsErrors" dxfId="695" priority="1094">
      <formula>ISERROR(M315)</formula>
    </cfRule>
    <cfRule type="containsText" dxfId="694" priority="1095" operator="containsText" text="#N/A">
      <formula>NOT(ISERROR(SEARCH("#N/A",M315)))</formula>
    </cfRule>
  </conditionalFormatting>
  <conditionalFormatting sqref="P315">
    <cfRule type="containsErrors" dxfId="693" priority="1092">
      <formula>ISERROR(P315)</formula>
    </cfRule>
    <cfRule type="containsText" dxfId="692" priority="1093" operator="containsText" text="#N/A">
      <formula>NOT(ISERROR(SEARCH("#N/A",P315)))</formula>
    </cfRule>
  </conditionalFormatting>
  <conditionalFormatting sqref="N315">
    <cfRule type="containsErrors" dxfId="691" priority="1090">
      <formula>ISERROR(N315)</formula>
    </cfRule>
    <cfRule type="containsText" dxfId="690" priority="1091" operator="containsText" text="#N/A">
      <formula>NOT(ISERROR(SEARCH("#N/A",N315)))</formula>
    </cfRule>
  </conditionalFormatting>
  <conditionalFormatting sqref="Q315">
    <cfRule type="containsErrors" dxfId="689" priority="1089" stopIfTrue="1">
      <formula>ISERROR(Q315)</formula>
    </cfRule>
  </conditionalFormatting>
  <conditionalFormatting sqref="J340:K340">
    <cfRule type="containsErrors" dxfId="688" priority="1082">
      <formula>ISERROR(J340)</formula>
    </cfRule>
    <cfRule type="containsText" dxfId="687" priority="1083" operator="containsText" text="#N/A">
      <formula>NOT(ISERROR(SEARCH("#N/A",J340)))</formula>
    </cfRule>
  </conditionalFormatting>
  <conditionalFormatting sqref="M340">
    <cfRule type="containsErrors" dxfId="686" priority="1080">
      <formula>ISERROR(M340)</formula>
    </cfRule>
    <cfRule type="containsText" dxfId="685" priority="1081" operator="containsText" text="#N/A">
      <formula>NOT(ISERROR(SEARCH("#N/A",M340)))</formula>
    </cfRule>
  </conditionalFormatting>
  <conditionalFormatting sqref="P340">
    <cfRule type="containsErrors" dxfId="684" priority="1078">
      <formula>ISERROR(P340)</formula>
    </cfRule>
    <cfRule type="containsText" dxfId="683" priority="1079" operator="containsText" text="#N/A">
      <formula>NOT(ISERROR(SEARCH("#N/A",P340)))</formula>
    </cfRule>
  </conditionalFormatting>
  <conditionalFormatting sqref="N340">
    <cfRule type="containsErrors" dxfId="682" priority="1076">
      <formula>ISERROR(N340)</formula>
    </cfRule>
    <cfRule type="containsText" dxfId="681" priority="1077" operator="containsText" text="#N/A">
      <formula>NOT(ISERROR(SEARCH("#N/A",N340)))</formula>
    </cfRule>
  </conditionalFormatting>
  <conditionalFormatting sqref="Q340">
    <cfRule type="containsErrors" dxfId="680" priority="1075" stopIfTrue="1">
      <formula>ISERROR(Q340)</formula>
    </cfRule>
  </conditionalFormatting>
  <conditionalFormatting sqref="J365:K365">
    <cfRule type="containsErrors" dxfId="679" priority="1068">
      <formula>ISERROR(J365)</formula>
    </cfRule>
    <cfRule type="containsText" dxfId="678" priority="1069" operator="containsText" text="#N/A">
      <formula>NOT(ISERROR(SEARCH("#N/A",J365)))</formula>
    </cfRule>
  </conditionalFormatting>
  <conditionalFormatting sqref="M365">
    <cfRule type="containsErrors" dxfId="677" priority="1066">
      <formula>ISERROR(M365)</formula>
    </cfRule>
    <cfRule type="containsText" dxfId="676" priority="1067" operator="containsText" text="#N/A">
      <formula>NOT(ISERROR(SEARCH("#N/A",M365)))</formula>
    </cfRule>
  </conditionalFormatting>
  <conditionalFormatting sqref="P365">
    <cfRule type="containsErrors" dxfId="675" priority="1064">
      <formula>ISERROR(P365)</formula>
    </cfRule>
    <cfRule type="containsText" dxfId="674" priority="1065" operator="containsText" text="#N/A">
      <formula>NOT(ISERROR(SEARCH("#N/A",P365)))</formula>
    </cfRule>
  </conditionalFormatting>
  <conditionalFormatting sqref="N365">
    <cfRule type="containsErrors" dxfId="673" priority="1062">
      <formula>ISERROR(N365)</formula>
    </cfRule>
    <cfRule type="containsText" dxfId="672" priority="1063" operator="containsText" text="#N/A">
      <formula>NOT(ISERROR(SEARCH("#N/A",N365)))</formula>
    </cfRule>
  </conditionalFormatting>
  <conditionalFormatting sqref="Q365">
    <cfRule type="containsErrors" dxfId="671" priority="1061" stopIfTrue="1">
      <formula>ISERROR(Q365)</formula>
    </cfRule>
  </conditionalFormatting>
  <conditionalFormatting sqref="J390:K390">
    <cfRule type="containsErrors" dxfId="670" priority="1054">
      <formula>ISERROR(J390)</formula>
    </cfRule>
    <cfRule type="containsText" dxfId="669" priority="1055" operator="containsText" text="#N/A">
      <formula>NOT(ISERROR(SEARCH("#N/A",J390)))</formula>
    </cfRule>
  </conditionalFormatting>
  <conditionalFormatting sqref="M390">
    <cfRule type="containsErrors" dxfId="668" priority="1052">
      <formula>ISERROR(M390)</formula>
    </cfRule>
    <cfRule type="containsText" dxfId="667" priority="1053" operator="containsText" text="#N/A">
      <formula>NOT(ISERROR(SEARCH("#N/A",M390)))</formula>
    </cfRule>
  </conditionalFormatting>
  <conditionalFormatting sqref="P390">
    <cfRule type="containsErrors" dxfId="666" priority="1050">
      <formula>ISERROR(P390)</formula>
    </cfRule>
    <cfRule type="containsText" dxfId="665" priority="1051" operator="containsText" text="#N/A">
      <formula>NOT(ISERROR(SEARCH("#N/A",P390)))</formula>
    </cfRule>
  </conditionalFormatting>
  <conditionalFormatting sqref="N390">
    <cfRule type="containsErrors" dxfId="664" priority="1048">
      <formula>ISERROR(N390)</formula>
    </cfRule>
    <cfRule type="containsText" dxfId="663" priority="1049" operator="containsText" text="#N/A">
      <formula>NOT(ISERROR(SEARCH("#N/A",N390)))</formula>
    </cfRule>
  </conditionalFormatting>
  <conditionalFormatting sqref="Q390">
    <cfRule type="containsErrors" dxfId="662" priority="1047" stopIfTrue="1">
      <formula>ISERROR(Q390)</formula>
    </cfRule>
  </conditionalFormatting>
  <conditionalFormatting sqref="J415:K415">
    <cfRule type="containsErrors" dxfId="661" priority="1040">
      <formula>ISERROR(J415)</formula>
    </cfRule>
    <cfRule type="containsText" dxfId="660" priority="1041" operator="containsText" text="#N/A">
      <formula>NOT(ISERROR(SEARCH("#N/A",J415)))</formula>
    </cfRule>
  </conditionalFormatting>
  <conditionalFormatting sqref="M415">
    <cfRule type="containsErrors" dxfId="659" priority="1038">
      <formula>ISERROR(M415)</formula>
    </cfRule>
    <cfRule type="containsText" dxfId="658" priority="1039" operator="containsText" text="#N/A">
      <formula>NOT(ISERROR(SEARCH("#N/A",M415)))</formula>
    </cfRule>
  </conditionalFormatting>
  <conditionalFormatting sqref="P415">
    <cfRule type="containsErrors" dxfId="657" priority="1036">
      <formula>ISERROR(P415)</formula>
    </cfRule>
    <cfRule type="containsText" dxfId="656" priority="1037" operator="containsText" text="#N/A">
      <formula>NOT(ISERROR(SEARCH("#N/A",P415)))</formula>
    </cfRule>
  </conditionalFormatting>
  <conditionalFormatting sqref="N415">
    <cfRule type="containsErrors" dxfId="655" priority="1034">
      <formula>ISERROR(N415)</formula>
    </cfRule>
    <cfRule type="containsText" dxfId="654" priority="1035" operator="containsText" text="#N/A">
      <formula>NOT(ISERROR(SEARCH("#N/A",N415)))</formula>
    </cfRule>
  </conditionalFormatting>
  <conditionalFormatting sqref="Q415">
    <cfRule type="containsErrors" dxfId="653" priority="1033" stopIfTrue="1">
      <formula>ISERROR(Q415)</formula>
    </cfRule>
  </conditionalFormatting>
  <conditionalFormatting sqref="J440:K440">
    <cfRule type="containsErrors" dxfId="652" priority="1026">
      <formula>ISERROR(J440)</formula>
    </cfRule>
    <cfRule type="containsText" dxfId="651" priority="1027" operator="containsText" text="#N/A">
      <formula>NOT(ISERROR(SEARCH("#N/A",J440)))</formula>
    </cfRule>
  </conditionalFormatting>
  <conditionalFormatting sqref="M440">
    <cfRule type="containsErrors" dxfId="650" priority="1024">
      <formula>ISERROR(M440)</formula>
    </cfRule>
    <cfRule type="containsText" dxfId="649" priority="1025" operator="containsText" text="#N/A">
      <formula>NOT(ISERROR(SEARCH("#N/A",M440)))</formula>
    </cfRule>
  </conditionalFormatting>
  <conditionalFormatting sqref="P440">
    <cfRule type="containsErrors" dxfId="648" priority="1022">
      <formula>ISERROR(P440)</formula>
    </cfRule>
    <cfRule type="containsText" dxfId="647" priority="1023" operator="containsText" text="#N/A">
      <formula>NOT(ISERROR(SEARCH("#N/A",P440)))</formula>
    </cfRule>
  </conditionalFormatting>
  <conditionalFormatting sqref="N440">
    <cfRule type="containsErrors" dxfId="646" priority="1020">
      <formula>ISERROR(N440)</formula>
    </cfRule>
    <cfRule type="containsText" dxfId="645" priority="1021" operator="containsText" text="#N/A">
      <formula>NOT(ISERROR(SEARCH("#N/A",N440)))</formula>
    </cfRule>
  </conditionalFormatting>
  <conditionalFormatting sqref="Q440">
    <cfRule type="containsErrors" dxfId="644" priority="1019" stopIfTrue="1">
      <formula>ISERROR(Q440)</formula>
    </cfRule>
  </conditionalFormatting>
  <conditionalFormatting sqref="J465:K465">
    <cfRule type="containsErrors" dxfId="643" priority="1012">
      <formula>ISERROR(J465)</formula>
    </cfRule>
    <cfRule type="containsText" dxfId="642" priority="1013" operator="containsText" text="#N/A">
      <formula>NOT(ISERROR(SEARCH("#N/A",J465)))</formula>
    </cfRule>
  </conditionalFormatting>
  <conditionalFormatting sqref="M465">
    <cfRule type="containsErrors" dxfId="641" priority="1010">
      <formula>ISERROR(M465)</formula>
    </cfRule>
    <cfRule type="containsText" dxfId="640" priority="1011" operator="containsText" text="#N/A">
      <formula>NOT(ISERROR(SEARCH("#N/A",M465)))</formula>
    </cfRule>
  </conditionalFormatting>
  <conditionalFormatting sqref="P465">
    <cfRule type="containsErrors" dxfId="639" priority="1008">
      <formula>ISERROR(P465)</formula>
    </cfRule>
    <cfRule type="containsText" dxfId="638" priority="1009" operator="containsText" text="#N/A">
      <formula>NOT(ISERROR(SEARCH("#N/A",P465)))</formula>
    </cfRule>
  </conditionalFormatting>
  <conditionalFormatting sqref="N465">
    <cfRule type="containsErrors" dxfId="637" priority="1006">
      <formula>ISERROR(N465)</formula>
    </cfRule>
    <cfRule type="containsText" dxfId="636" priority="1007" operator="containsText" text="#N/A">
      <formula>NOT(ISERROR(SEARCH("#N/A",N465)))</formula>
    </cfRule>
  </conditionalFormatting>
  <conditionalFormatting sqref="Q465">
    <cfRule type="containsErrors" dxfId="635" priority="1005" stopIfTrue="1">
      <formula>ISERROR(Q465)</formula>
    </cfRule>
  </conditionalFormatting>
  <conditionalFormatting sqref="I1">
    <cfRule type="containsText" dxfId="634" priority="965" operator="containsText" text="#N/A">
      <formula>NOT(ISERROR(SEARCH("#N/A",I1)))</formula>
    </cfRule>
  </conditionalFormatting>
  <conditionalFormatting sqref="B82:C83">
    <cfRule type="containsText" dxfId="633" priority="959" operator="containsText" text="#N/A">
      <formula>NOT(ISERROR(SEARCH("#N/A",B82)))</formula>
    </cfRule>
  </conditionalFormatting>
  <conditionalFormatting sqref="C387">
    <cfRule type="containsText" dxfId="632" priority="866" operator="containsText" text="#N/A">
      <formula>NOT(ISERROR(SEARCH("#N/A",C387)))</formula>
    </cfRule>
  </conditionalFormatting>
  <conditionalFormatting sqref="B387">
    <cfRule type="containsText" dxfId="631" priority="865" operator="containsText" text="#N/A">
      <formula>NOT(ISERROR(SEARCH("#N/A",B387)))</formula>
    </cfRule>
  </conditionalFormatting>
  <conditionalFormatting sqref="C137">
    <cfRule type="containsText" dxfId="630" priority="956" operator="containsText" text="#N/A">
      <formula>NOT(ISERROR(SEARCH("#N/A",C137)))</formula>
    </cfRule>
  </conditionalFormatting>
  <conditionalFormatting sqref="B137">
    <cfRule type="containsText" dxfId="629" priority="955" operator="containsText" text="#N/A">
      <formula>NOT(ISERROR(SEARCH("#N/A",B137)))</formula>
    </cfRule>
  </conditionalFormatting>
  <conditionalFormatting sqref="C112">
    <cfRule type="containsText" dxfId="628" priority="954" operator="containsText" text="#N/A">
      <formula>NOT(ISERROR(SEARCH("#N/A",C112)))</formula>
    </cfRule>
  </conditionalFormatting>
  <conditionalFormatting sqref="B112">
    <cfRule type="containsText" dxfId="627" priority="953" operator="containsText" text="#N/A">
      <formula>NOT(ISERROR(SEARCH("#N/A",B112)))</formula>
    </cfRule>
  </conditionalFormatting>
  <conditionalFormatting sqref="C116:C117">
    <cfRule type="containsText" dxfId="626" priority="952" operator="containsText" text="#N/A">
      <formula>NOT(ISERROR(SEARCH("#N/A",C116)))</formula>
    </cfRule>
  </conditionalFormatting>
  <conditionalFormatting sqref="B116:B117">
    <cfRule type="containsText" dxfId="625" priority="951" operator="containsText" text="#N/A">
      <formula>NOT(ISERROR(SEARCH("#N/A",B116)))</formula>
    </cfRule>
  </conditionalFormatting>
  <conditionalFormatting sqref="C119">
    <cfRule type="containsText" dxfId="624" priority="950" operator="containsText" text="#N/A">
      <formula>NOT(ISERROR(SEARCH("#N/A",C119)))</formula>
    </cfRule>
  </conditionalFormatting>
  <conditionalFormatting sqref="B119">
    <cfRule type="containsText" dxfId="623" priority="949" operator="containsText" text="#N/A">
      <formula>NOT(ISERROR(SEARCH("#N/A",B119)))</formula>
    </cfRule>
  </conditionalFormatting>
  <conditionalFormatting sqref="C122:C128 C130:C134">
    <cfRule type="containsText" dxfId="622" priority="948" operator="containsText" text="#N/A">
      <formula>NOT(ISERROR(SEARCH("#N/A",C122)))</formula>
    </cfRule>
  </conditionalFormatting>
  <conditionalFormatting sqref="B122:B128 B130:B134">
    <cfRule type="containsText" dxfId="621" priority="947" operator="containsText" text="#N/A">
      <formula>NOT(ISERROR(SEARCH("#N/A",B122)))</formula>
    </cfRule>
  </conditionalFormatting>
  <conditionalFormatting sqref="C141:C142">
    <cfRule type="containsText" dxfId="620" priority="946" operator="containsText" text="#N/A">
      <formula>NOT(ISERROR(SEARCH("#N/A",C141)))</formula>
    </cfRule>
  </conditionalFormatting>
  <conditionalFormatting sqref="B141:B142">
    <cfRule type="containsText" dxfId="619" priority="945" operator="containsText" text="#N/A">
      <formula>NOT(ISERROR(SEARCH("#N/A",B141)))</formula>
    </cfRule>
  </conditionalFormatting>
  <conditionalFormatting sqref="C144">
    <cfRule type="containsText" dxfId="618" priority="944" operator="containsText" text="#N/A">
      <formula>NOT(ISERROR(SEARCH("#N/A",C144)))</formula>
    </cfRule>
  </conditionalFormatting>
  <conditionalFormatting sqref="B144">
    <cfRule type="containsText" dxfId="617" priority="943" operator="containsText" text="#N/A">
      <formula>NOT(ISERROR(SEARCH("#N/A",B144)))</formula>
    </cfRule>
  </conditionalFormatting>
  <conditionalFormatting sqref="C147:C153 C155:C159">
    <cfRule type="containsText" dxfId="616" priority="942" operator="containsText" text="#N/A">
      <formula>NOT(ISERROR(SEARCH("#N/A",C147)))</formula>
    </cfRule>
  </conditionalFormatting>
  <conditionalFormatting sqref="B147:B153 B155:B159">
    <cfRule type="containsText" dxfId="615" priority="941" operator="containsText" text="#N/A">
      <formula>NOT(ISERROR(SEARCH("#N/A",B147)))</formula>
    </cfRule>
  </conditionalFormatting>
  <conditionalFormatting sqref="C162">
    <cfRule type="containsText" dxfId="614" priority="940" operator="containsText" text="#N/A">
      <formula>NOT(ISERROR(SEARCH("#N/A",C162)))</formula>
    </cfRule>
  </conditionalFormatting>
  <conditionalFormatting sqref="B162">
    <cfRule type="containsText" dxfId="613" priority="939" operator="containsText" text="#N/A">
      <formula>NOT(ISERROR(SEARCH("#N/A",B162)))</formula>
    </cfRule>
  </conditionalFormatting>
  <conditionalFormatting sqref="C166:C167">
    <cfRule type="containsText" dxfId="612" priority="938" operator="containsText" text="#N/A">
      <formula>NOT(ISERROR(SEARCH("#N/A",C166)))</formula>
    </cfRule>
  </conditionalFormatting>
  <conditionalFormatting sqref="B166:B167">
    <cfRule type="containsText" dxfId="611" priority="937" operator="containsText" text="#N/A">
      <formula>NOT(ISERROR(SEARCH("#N/A",B166)))</formula>
    </cfRule>
  </conditionalFormatting>
  <conditionalFormatting sqref="C169">
    <cfRule type="containsText" dxfId="610" priority="936" operator="containsText" text="#N/A">
      <formula>NOT(ISERROR(SEARCH("#N/A",C169)))</formula>
    </cfRule>
  </conditionalFormatting>
  <conditionalFormatting sqref="B169">
    <cfRule type="containsText" dxfId="609" priority="935" operator="containsText" text="#N/A">
      <formula>NOT(ISERROR(SEARCH("#N/A",B169)))</formula>
    </cfRule>
  </conditionalFormatting>
  <conditionalFormatting sqref="C172:C178 C180:C184">
    <cfRule type="containsText" dxfId="608" priority="934" operator="containsText" text="#N/A">
      <formula>NOT(ISERROR(SEARCH("#N/A",C172)))</formula>
    </cfRule>
  </conditionalFormatting>
  <conditionalFormatting sqref="B172:B178 B180:B184">
    <cfRule type="containsText" dxfId="607" priority="933" operator="containsText" text="#N/A">
      <formula>NOT(ISERROR(SEARCH("#N/A",B172)))</formula>
    </cfRule>
  </conditionalFormatting>
  <conditionalFormatting sqref="C187">
    <cfRule type="containsText" dxfId="606" priority="932" operator="containsText" text="#N/A">
      <formula>NOT(ISERROR(SEARCH("#N/A",C187)))</formula>
    </cfRule>
  </conditionalFormatting>
  <conditionalFormatting sqref="B187">
    <cfRule type="containsText" dxfId="605" priority="931" operator="containsText" text="#N/A">
      <formula>NOT(ISERROR(SEARCH("#N/A",B187)))</formula>
    </cfRule>
  </conditionalFormatting>
  <conditionalFormatting sqref="C191:C192">
    <cfRule type="containsText" dxfId="604" priority="930" operator="containsText" text="#N/A">
      <formula>NOT(ISERROR(SEARCH("#N/A",C191)))</formula>
    </cfRule>
  </conditionalFormatting>
  <conditionalFormatting sqref="B191:B192">
    <cfRule type="containsText" dxfId="603" priority="929" operator="containsText" text="#N/A">
      <formula>NOT(ISERROR(SEARCH("#N/A",B191)))</formula>
    </cfRule>
  </conditionalFormatting>
  <conditionalFormatting sqref="C194">
    <cfRule type="containsText" dxfId="602" priority="928" operator="containsText" text="#N/A">
      <formula>NOT(ISERROR(SEARCH("#N/A",C194)))</formula>
    </cfRule>
  </conditionalFormatting>
  <conditionalFormatting sqref="B194">
    <cfRule type="containsText" dxfId="601" priority="927" operator="containsText" text="#N/A">
      <formula>NOT(ISERROR(SEARCH("#N/A",B194)))</formula>
    </cfRule>
  </conditionalFormatting>
  <conditionalFormatting sqref="C197:C202">
    <cfRule type="containsText" dxfId="600" priority="926" operator="containsText" text="#N/A">
      <formula>NOT(ISERROR(SEARCH("#N/A",C197)))</formula>
    </cfRule>
  </conditionalFormatting>
  <conditionalFormatting sqref="B197:B202">
    <cfRule type="containsText" dxfId="599" priority="925" operator="containsText" text="#N/A">
      <formula>NOT(ISERROR(SEARCH("#N/A",B197)))</formula>
    </cfRule>
  </conditionalFormatting>
  <conditionalFormatting sqref="C203 C205:C209">
    <cfRule type="containsText" dxfId="598" priority="924" operator="containsText" text="#N/A">
      <formula>NOT(ISERROR(SEARCH("#N/A",C203)))</formula>
    </cfRule>
  </conditionalFormatting>
  <conditionalFormatting sqref="B203 B205:B209">
    <cfRule type="containsText" dxfId="597" priority="923" operator="containsText" text="#N/A">
      <formula>NOT(ISERROR(SEARCH("#N/A",B203)))</formula>
    </cfRule>
  </conditionalFormatting>
  <conditionalFormatting sqref="C212">
    <cfRule type="containsText" dxfId="596" priority="922" operator="containsText" text="#N/A">
      <formula>NOT(ISERROR(SEARCH("#N/A",C212)))</formula>
    </cfRule>
  </conditionalFormatting>
  <conditionalFormatting sqref="B212">
    <cfRule type="containsText" dxfId="595" priority="921" operator="containsText" text="#N/A">
      <formula>NOT(ISERROR(SEARCH("#N/A",B212)))</formula>
    </cfRule>
  </conditionalFormatting>
  <conditionalFormatting sqref="C216:C217">
    <cfRule type="containsText" dxfId="594" priority="920" operator="containsText" text="#N/A">
      <formula>NOT(ISERROR(SEARCH("#N/A",C216)))</formula>
    </cfRule>
  </conditionalFormatting>
  <conditionalFormatting sqref="B216:B217">
    <cfRule type="containsText" dxfId="593" priority="919" operator="containsText" text="#N/A">
      <formula>NOT(ISERROR(SEARCH("#N/A",B216)))</formula>
    </cfRule>
  </conditionalFormatting>
  <conditionalFormatting sqref="C219">
    <cfRule type="containsText" dxfId="592" priority="918" operator="containsText" text="#N/A">
      <formula>NOT(ISERROR(SEARCH("#N/A",C219)))</formula>
    </cfRule>
  </conditionalFormatting>
  <conditionalFormatting sqref="B219">
    <cfRule type="containsText" dxfId="591" priority="917" operator="containsText" text="#N/A">
      <formula>NOT(ISERROR(SEARCH("#N/A",B219)))</formula>
    </cfRule>
  </conditionalFormatting>
  <conditionalFormatting sqref="C222:C228 C230:C234">
    <cfRule type="containsText" dxfId="590" priority="916" operator="containsText" text="#N/A">
      <formula>NOT(ISERROR(SEARCH("#N/A",C222)))</formula>
    </cfRule>
  </conditionalFormatting>
  <conditionalFormatting sqref="B222:B228 B230:B234">
    <cfRule type="containsText" dxfId="589" priority="915" operator="containsText" text="#N/A">
      <formula>NOT(ISERROR(SEARCH("#N/A",B222)))</formula>
    </cfRule>
  </conditionalFormatting>
  <conditionalFormatting sqref="C237">
    <cfRule type="containsText" dxfId="588" priority="914" operator="containsText" text="#N/A">
      <formula>NOT(ISERROR(SEARCH("#N/A",C237)))</formula>
    </cfRule>
  </conditionalFormatting>
  <conditionalFormatting sqref="B237">
    <cfRule type="containsText" dxfId="587" priority="913" operator="containsText" text="#N/A">
      <formula>NOT(ISERROR(SEARCH("#N/A",B237)))</formula>
    </cfRule>
  </conditionalFormatting>
  <conditionalFormatting sqref="C241:C242">
    <cfRule type="containsText" dxfId="586" priority="912" operator="containsText" text="#N/A">
      <formula>NOT(ISERROR(SEARCH("#N/A",C241)))</formula>
    </cfRule>
  </conditionalFormatting>
  <conditionalFormatting sqref="B241:B242">
    <cfRule type="containsText" dxfId="585" priority="911" operator="containsText" text="#N/A">
      <formula>NOT(ISERROR(SEARCH("#N/A",B241)))</formula>
    </cfRule>
  </conditionalFormatting>
  <conditionalFormatting sqref="C244">
    <cfRule type="containsText" dxfId="584" priority="910" operator="containsText" text="#N/A">
      <formula>NOT(ISERROR(SEARCH("#N/A",C244)))</formula>
    </cfRule>
  </conditionalFormatting>
  <conditionalFormatting sqref="B244">
    <cfRule type="containsText" dxfId="583" priority="909" operator="containsText" text="#N/A">
      <formula>NOT(ISERROR(SEARCH("#N/A",B244)))</formula>
    </cfRule>
  </conditionalFormatting>
  <conditionalFormatting sqref="C247:C253 C255:C259">
    <cfRule type="containsText" dxfId="582" priority="908" operator="containsText" text="#N/A">
      <formula>NOT(ISERROR(SEARCH("#N/A",C247)))</formula>
    </cfRule>
  </conditionalFormatting>
  <conditionalFormatting sqref="B247:B253 B255:B259">
    <cfRule type="containsText" dxfId="581" priority="907" operator="containsText" text="#N/A">
      <formula>NOT(ISERROR(SEARCH("#N/A",B247)))</formula>
    </cfRule>
  </conditionalFormatting>
  <conditionalFormatting sqref="C262">
    <cfRule type="containsText" dxfId="580" priority="906" operator="containsText" text="#N/A">
      <formula>NOT(ISERROR(SEARCH("#N/A",C262)))</formula>
    </cfRule>
  </conditionalFormatting>
  <conditionalFormatting sqref="B262">
    <cfRule type="containsText" dxfId="579" priority="905" operator="containsText" text="#N/A">
      <formula>NOT(ISERROR(SEARCH("#N/A",B262)))</formula>
    </cfRule>
  </conditionalFormatting>
  <conditionalFormatting sqref="C266:C267">
    <cfRule type="containsText" dxfId="578" priority="904" operator="containsText" text="#N/A">
      <formula>NOT(ISERROR(SEARCH("#N/A",C266)))</formula>
    </cfRule>
  </conditionalFormatting>
  <conditionalFormatting sqref="B266:B267">
    <cfRule type="containsText" dxfId="577" priority="903" operator="containsText" text="#N/A">
      <formula>NOT(ISERROR(SEARCH("#N/A",B266)))</formula>
    </cfRule>
  </conditionalFormatting>
  <conditionalFormatting sqref="C269">
    <cfRule type="containsText" dxfId="576" priority="902" operator="containsText" text="#N/A">
      <formula>NOT(ISERROR(SEARCH("#N/A",C269)))</formula>
    </cfRule>
  </conditionalFormatting>
  <conditionalFormatting sqref="B269">
    <cfRule type="containsText" dxfId="575" priority="901" operator="containsText" text="#N/A">
      <formula>NOT(ISERROR(SEARCH("#N/A",B269)))</formula>
    </cfRule>
  </conditionalFormatting>
  <conditionalFormatting sqref="C272:C278 C280:C284">
    <cfRule type="containsText" dxfId="574" priority="900" operator="containsText" text="#N/A">
      <formula>NOT(ISERROR(SEARCH("#N/A",C272)))</formula>
    </cfRule>
  </conditionalFormatting>
  <conditionalFormatting sqref="B272:B278 B280:B284">
    <cfRule type="containsText" dxfId="573" priority="899" operator="containsText" text="#N/A">
      <formula>NOT(ISERROR(SEARCH("#N/A",B272)))</formula>
    </cfRule>
  </conditionalFormatting>
  <conditionalFormatting sqref="C287">
    <cfRule type="containsText" dxfId="572" priority="898" operator="containsText" text="#N/A">
      <formula>NOT(ISERROR(SEARCH("#N/A",C287)))</formula>
    </cfRule>
  </conditionalFormatting>
  <conditionalFormatting sqref="B287">
    <cfRule type="containsText" dxfId="571" priority="897" operator="containsText" text="#N/A">
      <formula>NOT(ISERROR(SEARCH("#N/A",B287)))</formula>
    </cfRule>
  </conditionalFormatting>
  <conditionalFormatting sqref="C291:C292">
    <cfRule type="containsText" dxfId="570" priority="896" operator="containsText" text="#N/A">
      <formula>NOT(ISERROR(SEARCH("#N/A",C291)))</formula>
    </cfRule>
  </conditionalFormatting>
  <conditionalFormatting sqref="B291:B292">
    <cfRule type="containsText" dxfId="569" priority="895" operator="containsText" text="#N/A">
      <formula>NOT(ISERROR(SEARCH("#N/A",B291)))</formula>
    </cfRule>
  </conditionalFormatting>
  <conditionalFormatting sqref="C294">
    <cfRule type="containsText" dxfId="568" priority="894" operator="containsText" text="#N/A">
      <formula>NOT(ISERROR(SEARCH("#N/A",C294)))</formula>
    </cfRule>
  </conditionalFormatting>
  <conditionalFormatting sqref="B294">
    <cfRule type="containsText" dxfId="567" priority="893" operator="containsText" text="#N/A">
      <formula>NOT(ISERROR(SEARCH("#N/A",B294)))</formula>
    </cfRule>
  </conditionalFormatting>
  <conditionalFormatting sqref="C297:C303 C305:C309">
    <cfRule type="containsText" dxfId="566" priority="892" operator="containsText" text="#N/A">
      <formula>NOT(ISERROR(SEARCH("#N/A",C297)))</formula>
    </cfRule>
  </conditionalFormatting>
  <conditionalFormatting sqref="B297:B303 B305:B309">
    <cfRule type="containsText" dxfId="565" priority="891" operator="containsText" text="#N/A">
      <formula>NOT(ISERROR(SEARCH("#N/A",B297)))</formula>
    </cfRule>
  </conditionalFormatting>
  <conditionalFormatting sqref="C312">
    <cfRule type="containsText" dxfId="564" priority="890" operator="containsText" text="#N/A">
      <formula>NOT(ISERROR(SEARCH("#N/A",C312)))</formula>
    </cfRule>
  </conditionalFormatting>
  <conditionalFormatting sqref="B312">
    <cfRule type="containsText" dxfId="563" priority="889" operator="containsText" text="#N/A">
      <formula>NOT(ISERROR(SEARCH("#N/A",B312)))</formula>
    </cfRule>
  </conditionalFormatting>
  <conditionalFormatting sqref="C316:C317">
    <cfRule type="containsText" dxfId="562" priority="888" operator="containsText" text="#N/A">
      <formula>NOT(ISERROR(SEARCH("#N/A",C316)))</formula>
    </cfRule>
  </conditionalFormatting>
  <conditionalFormatting sqref="B316:B317">
    <cfRule type="containsText" dxfId="561" priority="887" operator="containsText" text="#N/A">
      <formula>NOT(ISERROR(SEARCH("#N/A",B316)))</formula>
    </cfRule>
  </conditionalFormatting>
  <conditionalFormatting sqref="C319">
    <cfRule type="containsText" dxfId="560" priority="886" operator="containsText" text="#N/A">
      <formula>NOT(ISERROR(SEARCH("#N/A",C319)))</formula>
    </cfRule>
  </conditionalFormatting>
  <conditionalFormatting sqref="B319">
    <cfRule type="containsText" dxfId="559" priority="885" operator="containsText" text="#N/A">
      <formula>NOT(ISERROR(SEARCH("#N/A",B319)))</formula>
    </cfRule>
  </conditionalFormatting>
  <conditionalFormatting sqref="C322:C328 C330:C334">
    <cfRule type="containsText" dxfId="558" priority="884" operator="containsText" text="#N/A">
      <formula>NOT(ISERROR(SEARCH("#N/A",C322)))</formula>
    </cfRule>
  </conditionalFormatting>
  <conditionalFormatting sqref="B322:B328 B330:B334">
    <cfRule type="containsText" dxfId="557" priority="883" operator="containsText" text="#N/A">
      <formula>NOT(ISERROR(SEARCH("#N/A",B322)))</formula>
    </cfRule>
  </conditionalFormatting>
  <conditionalFormatting sqref="C337">
    <cfRule type="containsText" dxfId="556" priority="882" operator="containsText" text="#N/A">
      <formula>NOT(ISERROR(SEARCH("#N/A",C337)))</formula>
    </cfRule>
  </conditionalFormatting>
  <conditionalFormatting sqref="B337">
    <cfRule type="containsText" dxfId="555" priority="881" operator="containsText" text="#N/A">
      <formula>NOT(ISERROR(SEARCH("#N/A",B337)))</formula>
    </cfRule>
  </conditionalFormatting>
  <conditionalFormatting sqref="C341:C342">
    <cfRule type="containsText" dxfId="554" priority="880" operator="containsText" text="#N/A">
      <formula>NOT(ISERROR(SEARCH("#N/A",C341)))</formula>
    </cfRule>
  </conditionalFormatting>
  <conditionalFormatting sqref="B341:B342">
    <cfRule type="containsText" dxfId="553" priority="879" operator="containsText" text="#N/A">
      <formula>NOT(ISERROR(SEARCH("#N/A",B341)))</formula>
    </cfRule>
  </conditionalFormatting>
  <conditionalFormatting sqref="C344">
    <cfRule type="containsText" dxfId="552" priority="878" operator="containsText" text="#N/A">
      <formula>NOT(ISERROR(SEARCH("#N/A",C344)))</formula>
    </cfRule>
  </conditionalFormatting>
  <conditionalFormatting sqref="B344">
    <cfRule type="containsText" dxfId="551" priority="877" operator="containsText" text="#N/A">
      <formula>NOT(ISERROR(SEARCH("#N/A",B344)))</formula>
    </cfRule>
  </conditionalFormatting>
  <conditionalFormatting sqref="C347:C353 C355:C359">
    <cfRule type="containsText" dxfId="550" priority="876" operator="containsText" text="#N/A">
      <formula>NOT(ISERROR(SEARCH("#N/A",C347)))</formula>
    </cfRule>
  </conditionalFormatting>
  <conditionalFormatting sqref="B347:B353 B355:B359">
    <cfRule type="containsText" dxfId="549" priority="875" operator="containsText" text="#N/A">
      <formula>NOT(ISERROR(SEARCH("#N/A",B347)))</formula>
    </cfRule>
  </conditionalFormatting>
  <conditionalFormatting sqref="C362">
    <cfRule type="containsText" dxfId="548" priority="874" operator="containsText" text="#N/A">
      <formula>NOT(ISERROR(SEARCH("#N/A",C362)))</formula>
    </cfRule>
  </conditionalFormatting>
  <conditionalFormatting sqref="B362">
    <cfRule type="containsText" dxfId="547" priority="873" operator="containsText" text="#N/A">
      <formula>NOT(ISERROR(SEARCH("#N/A",B362)))</formula>
    </cfRule>
  </conditionalFormatting>
  <conditionalFormatting sqref="C366:C367">
    <cfRule type="containsText" dxfId="546" priority="872" operator="containsText" text="#N/A">
      <formula>NOT(ISERROR(SEARCH("#N/A",C366)))</formula>
    </cfRule>
  </conditionalFormatting>
  <conditionalFormatting sqref="B366:B367">
    <cfRule type="containsText" dxfId="545" priority="871" operator="containsText" text="#N/A">
      <formula>NOT(ISERROR(SEARCH("#N/A",B366)))</formula>
    </cfRule>
  </conditionalFormatting>
  <conditionalFormatting sqref="C369">
    <cfRule type="containsText" dxfId="544" priority="870" operator="containsText" text="#N/A">
      <formula>NOT(ISERROR(SEARCH("#N/A",C369)))</formula>
    </cfRule>
  </conditionalFormatting>
  <conditionalFormatting sqref="B369">
    <cfRule type="containsText" dxfId="543" priority="869" operator="containsText" text="#N/A">
      <formula>NOT(ISERROR(SEARCH("#N/A",B369)))</formula>
    </cfRule>
  </conditionalFormatting>
  <conditionalFormatting sqref="C372:C378 C380:C384">
    <cfRule type="containsText" dxfId="542" priority="868" operator="containsText" text="#N/A">
      <formula>NOT(ISERROR(SEARCH("#N/A",C372)))</formula>
    </cfRule>
  </conditionalFormatting>
  <conditionalFormatting sqref="B372:B378 B380:B384">
    <cfRule type="containsText" dxfId="541" priority="867" operator="containsText" text="#N/A">
      <formula>NOT(ISERROR(SEARCH("#N/A",B372)))</formula>
    </cfRule>
  </conditionalFormatting>
  <conditionalFormatting sqref="C391:C392">
    <cfRule type="containsText" dxfId="540" priority="864" operator="containsText" text="#N/A">
      <formula>NOT(ISERROR(SEARCH("#N/A",C391)))</formula>
    </cfRule>
  </conditionalFormatting>
  <conditionalFormatting sqref="B391:B392">
    <cfRule type="containsText" dxfId="539" priority="863" operator="containsText" text="#N/A">
      <formula>NOT(ISERROR(SEARCH("#N/A",B391)))</formula>
    </cfRule>
  </conditionalFormatting>
  <conditionalFormatting sqref="C394">
    <cfRule type="containsText" dxfId="538" priority="862" operator="containsText" text="#N/A">
      <formula>NOT(ISERROR(SEARCH("#N/A",C394)))</formula>
    </cfRule>
  </conditionalFormatting>
  <conditionalFormatting sqref="B394">
    <cfRule type="containsText" dxfId="537" priority="861" operator="containsText" text="#N/A">
      <formula>NOT(ISERROR(SEARCH("#N/A",B394)))</formula>
    </cfRule>
  </conditionalFormatting>
  <conditionalFormatting sqref="C397:C403 C405:C409">
    <cfRule type="containsText" dxfId="536" priority="860" operator="containsText" text="#N/A">
      <formula>NOT(ISERROR(SEARCH("#N/A",C397)))</formula>
    </cfRule>
  </conditionalFormatting>
  <conditionalFormatting sqref="B397:B403 B405:B409">
    <cfRule type="containsText" dxfId="535" priority="859" operator="containsText" text="#N/A">
      <formula>NOT(ISERROR(SEARCH("#N/A",B397)))</formula>
    </cfRule>
  </conditionalFormatting>
  <conditionalFormatting sqref="C412">
    <cfRule type="containsText" dxfId="534" priority="858" operator="containsText" text="#N/A">
      <formula>NOT(ISERROR(SEARCH("#N/A",C412)))</formula>
    </cfRule>
  </conditionalFormatting>
  <conditionalFormatting sqref="B412">
    <cfRule type="containsText" dxfId="533" priority="857" operator="containsText" text="#N/A">
      <formula>NOT(ISERROR(SEARCH("#N/A",B412)))</formula>
    </cfRule>
  </conditionalFormatting>
  <conditionalFormatting sqref="C416:C417">
    <cfRule type="containsText" dxfId="532" priority="856" operator="containsText" text="#N/A">
      <formula>NOT(ISERROR(SEARCH("#N/A",C416)))</formula>
    </cfRule>
  </conditionalFormatting>
  <conditionalFormatting sqref="B416:B417">
    <cfRule type="containsText" dxfId="531" priority="855" operator="containsText" text="#N/A">
      <formula>NOT(ISERROR(SEARCH("#N/A",B416)))</formula>
    </cfRule>
  </conditionalFormatting>
  <conditionalFormatting sqref="C419">
    <cfRule type="containsText" dxfId="530" priority="854" operator="containsText" text="#N/A">
      <formula>NOT(ISERROR(SEARCH("#N/A",C419)))</formula>
    </cfRule>
  </conditionalFormatting>
  <conditionalFormatting sqref="B419">
    <cfRule type="containsText" dxfId="529" priority="853" operator="containsText" text="#N/A">
      <formula>NOT(ISERROR(SEARCH("#N/A",B419)))</formula>
    </cfRule>
  </conditionalFormatting>
  <conditionalFormatting sqref="C422:C428 C430:C434">
    <cfRule type="containsText" dxfId="528" priority="852" operator="containsText" text="#N/A">
      <formula>NOT(ISERROR(SEARCH("#N/A",C422)))</formula>
    </cfRule>
  </conditionalFormatting>
  <conditionalFormatting sqref="B422:B428 B430:B434">
    <cfRule type="containsText" dxfId="527" priority="851" operator="containsText" text="#N/A">
      <formula>NOT(ISERROR(SEARCH("#N/A",B422)))</formula>
    </cfRule>
  </conditionalFormatting>
  <conditionalFormatting sqref="C437">
    <cfRule type="containsText" dxfId="526" priority="850" operator="containsText" text="#N/A">
      <formula>NOT(ISERROR(SEARCH("#N/A",C437)))</formula>
    </cfRule>
  </conditionalFormatting>
  <conditionalFormatting sqref="B437">
    <cfRule type="containsText" dxfId="525" priority="849" operator="containsText" text="#N/A">
      <formula>NOT(ISERROR(SEARCH("#N/A",B437)))</formula>
    </cfRule>
  </conditionalFormatting>
  <conditionalFormatting sqref="C441:C442">
    <cfRule type="containsText" dxfId="524" priority="848" operator="containsText" text="#N/A">
      <formula>NOT(ISERROR(SEARCH("#N/A",C441)))</formula>
    </cfRule>
  </conditionalFormatting>
  <conditionalFormatting sqref="B441:B442">
    <cfRule type="containsText" dxfId="523" priority="847" operator="containsText" text="#N/A">
      <formula>NOT(ISERROR(SEARCH("#N/A",B441)))</formula>
    </cfRule>
  </conditionalFormatting>
  <conditionalFormatting sqref="C444">
    <cfRule type="containsText" dxfId="522" priority="846" operator="containsText" text="#N/A">
      <formula>NOT(ISERROR(SEARCH("#N/A",C444)))</formula>
    </cfRule>
  </conditionalFormatting>
  <conditionalFormatting sqref="B444">
    <cfRule type="containsText" dxfId="521" priority="845" operator="containsText" text="#N/A">
      <formula>NOT(ISERROR(SEARCH("#N/A",B444)))</formula>
    </cfRule>
  </conditionalFormatting>
  <conditionalFormatting sqref="C447:C453 C455:C459">
    <cfRule type="containsText" dxfId="520" priority="844" operator="containsText" text="#N/A">
      <formula>NOT(ISERROR(SEARCH("#N/A",C447)))</formula>
    </cfRule>
  </conditionalFormatting>
  <conditionalFormatting sqref="B447:B453 B455:B459">
    <cfRule type="containsText" dxfId="519" priority="843" operator="containsText" text="#N/A">
      <formula>NOT(ISERROR(SEARCH("#N/A",B447)))</formula>
    </cfRule>
  </conditionalFormatting>
  <conditionalFormatting sqref="C462">
    <cfRule type="containsText" dxfId="518" priority="842" operator="containsText" text="#N/A">
      <formula>NOT(ISERROR(SEARCH("#N/A",C462)))</formula>
    </cfRule>
  </conditionalFormatting>
  <conditionalFormatting sqref="B462">
    <cfRule type="containsText" dxfId="517" priority="841" operator="containsText" text="#N/A">
      <formula>NOT(ISERROR(SEARCH("#N/A",B462)))</formula>
    </cfRule>
  </conditionalFormatting>
  <conditionalFormatting sqref="C466:C467">
    <cfRule type="containsText" dxfId="516" priority="840" operator="containsText" text="#N/A">
      <formula>NOT(ISERROR(SEARCH("#N/A",C466)))</formula>
    </cfRule>
  </conditionalFormatting>
  <conditionalFormatting sqref="B466:B467">
    <cfRule type="containsText" dxfId="515" priority="839" operator="containsText" text="#N/A">
      <formula>NOT(ISERROR(SEARCH("#N/A",B466)))</formula>
    </cfRule>
  </conditionalFormatting>
  <conditionalFormatting sqref="C469">
    <cfRule type="containsText" dxfId="514" priority="838" operator="containsText" text="#N/A">
      <formula>NOT(ISERROR(SEARCH("#N/A",C469)))</formula>
    </cfRule>
  </conditionalFormatting>
  <conditionalFormatting sqref="B469">
    <cfRule type="containsText" dxfId="513" priority="837" operator="containsText" text="#N/A">
      <formula>NOT(ISERROR(SEARCH("#N/A",B469)))</formula>
    </cfRule>
  </conditionalFormatting>
  <conditionalFormatting sqref="C472:C478 C480:C484">
    <cfRule type="containsText" dxfId="512" priority="836" operator="containsText" text="#N/A">
      <formula>NOT(ISERROR(SEARCH("#N/A",C472)))</formula>
    </cfRule>
  </conditionalFormatting>
  <conditionalFormatting sqref="B472:B478 B480:B484">
    <cfRule type="containsText" dxfId="511" priority="835" operator="containsText" text="#N/A">
      <formula>NOT(ISERROR(SEARCH("#N/A",B472)))</formula>
    </cfRule>
  </conditionalFormatting>
  <conditionalFormatting sqref="C486">
    <cfRule type="containsText" dxfId="510" priority="834" operator="containsText" text="#N/A">
      <formula>NOT(ISERROR(SEARCH("#N/A",C486)))</formula>
    </cfRule>
  </conditionalFormatting>
  <conditionalFormatting sqref="B486">
    <cfRule type="containsText" dxfId="509" priority="833" operator="containsText" text="#N/A">
      <formula>NOT(ISERROR(SEARCH("#N/A",B486)))</formula>
    </cfRule>
  </conditionalFormatting>
  <conditionalFormatting sqref="I64">
    <cfRule type="expression" dxfId="508" priority="829">
      <formula>ISBLANK($I$7)</formula>
    </cfRule>
    <cfRule type="expression" dxfId="507" priority="830">
      <formula>ISNUMBER(SEARCH("&lt;Please update mapping list in Config tab if needed&gt;",$I$64))</formula>
    </cfRule>
    <cfRule type="containsText" dxfId="506" priority="831" operator="containsText" text="#N/A">
      <formula>NOT(ISERROR(SEARCH("#N/A",I64)))</formula>
    </cfRule>
  </conditionalFormatting>
  <conditionalFormatting sqref="I22">
    <cfRule type="containsErrors" dxfId="505" priority="827">
      <formula>ISERROR(I22)</formula>
    </cfRule>
    <cfRule type="containsText" dxfId="504" priority="828" operator="containsText" text="#N/A">
      <formula>NOT(ISERROR(SEARCH("#N/A",I22)))</formula>
    </cfRule>
  </conditionalFormatting>
  <conditionalFormatting sqref="I81">
    <cfRule type="containsErrors" dxfId="503" priority="825">
      <formula>ISERROR(I81)</formula>
    </cfRule>
    <cfRule type="containsText" dxfId="502" priority="826" operator="containsText" text="#N/A">
      <formula>NOT(ISERROR(SEARCH("#N/A",I81)))</formula>
    </cfRule>
  </conditionalFormatting>
  <conditionalFormatting sqref="J129:K129">
    <cfRule type="containsErrors" dxfId="501" priority="823">
      <formula>ISERROR(J129)</formula>
    </cfRule>
    <cfRule type="containsText" dxfId="500" priority="824" operator="containsText" text="#N/A">
      <formula>NOT(ISERROR(SEARCH("#N/A",J129)))</formula>
    </cfRule>
  </conditionalFormatting>
  <conditionalFormatting sqref="N129">
    <cfRule type="containsErrors" dxfId="499" priority="821">
      <formula>ISERROR(N129)</formula>
    </cfRule>
    <cfRule type="containsText" dxfId="498" priority="822" operator="containsText" text="#N/A">
      <formula>NOT(ISERROR(SEARCH("#N/A",N129)))</formula>
    </cfRule>
  </conditionalFormatting>
  <conditionalFormatting sqref="Q129">
    <cfRule type="containsErrors" dxfId="497" priority="820" stopIfTrue="1">
      <formula>ISERROR(Q129)</formula>
    </cfRule>
  </conditionalFormatting>
  <conditionalFormatting sqref="C129">
    <cfRule type="containsText" dxfId="496" priority="819" operator="containsText" text="#N/A">
      <formula>NOT(ISERROR(SEARCH("#N/A",C129)))</formula>
    </cfRule>
  </conditionalFormatting>
  <conditionalFormatting sqref="B129">
    <cfRule type="containsText" dxfId="495" priority="818" operator="containsText" text="#N/A">
      <formula>NOT(ISERROR(SEARCH("#N/A",B129)))</formula>
    </cfRule>
  </conditionalFormatting>
  <conditionalFormatting sqref="N154">
    <cfRule type="containsErrors" dxfId="494" priority="814">
      <formula>ISERROR(N154)</formula>
    </cfRule>
    <cfRule type="containsText" dxfId="493" priority="815" operator="containsText" text="#N/A">
      <formula>NOT(ISERROR(SEARCH("#N/A",N154)))</formula>
    </cfRule>
  </conditionalFormatting>
  <conditionalFormatting sqref="Q154">
    <cfRule type="containsErrors" dxfId="492" priority="813" stopIfTrue="1">
      <formula>ISERROR(Q154)</formula>
    </cfRule>
  </conditionalFormatting>
  <conditionalFormatting sqref="K154">
    <cfRule type="containsErrors" dxfId="491" priority="811">
      <formula>ISERROR(K154)</formula>
    </cfRule>
    <cfRule type="containsText" dxfId="490" priority="812" operator="containsText" text="#N/A">
      <formula>NOT(ISERROR(SEARCH("#N/A",K154)))</formula>
    </cfRule>
  </conditionalFormatting>
  <conditionalFormatting sqref="C154">
    <cfRule type="containsText" dxfId="489" priority="810" operator="containsText" text="#N/A">
      <formula>NOT(ISERROR(SEARCH("#N/A",C154)))</formula>
    </cfRule>
  </conditionalFormatting>
  <conditionalFormatting sqref="B154">
    <cfRule type="containsText" dxfId="488" priority="809" operator="containsText" text="#N/A">
      <formula>NOT(ISERROR(SEARCH("#N/A",B154)))</formula>
    </cfRule>
  </conditionalFormatting>
  <conditionalFormatting sqref="C254">
    <cfRule type="containsText" dxfId="487" priority="798" operator="containsText" text="#N/A">
      <formula>NOT(ISERROR(SEARCH("#N/A",C254)))</formula>
    </cfRule>
  </conditionalFormatting>
  <conditionalFormatting sqref="B254">
    <cfRule type="containsText" dxfId="486" priority="797" operator="containsText" text="#N/A">
      <formula>NOT(ISERROR(SEARCH("#N/A",B254)))</formula>
    </cfRule>
  </conditionalFormatting>
  <conditionalFormatting sqref="N279">
    <cfRule type="containsErrors" dxfId="485" priority="793">
      <formula>ISERROR(N279)</formula>
    </cfRule>
    <cfRule type="containsText" dxfId="484" priority="794" operator="containsText" text="#N/A">
      <formula>NOT(ISERROR(SEARCH("#N/A",N279)))</formula>
    </cfRule>
  </conditionalFormatting>
  <conditionalFormatting sqref="Q279">
    <cfRule type="containsErrors" dxfId="483" priority="792" stopIfTrue="1">
      <formula>ISERROR(Q279)</formula>
    </cfRule>
  </conditionalFormatting>
  <conditionalFormatting sqref="K279">
    <cfRule type="containsErrors" dxfId="482" priority="790">
      <formula>ISERROR(K279)</formula>
    </cfRule>
    <cfRule type="containsText" dxfId="481" priority="791" operator="containsText" text="#N/A">
      <formula>NOT(ISERROR(SEARCH("#N/A",K279)))</formula>
    </cfRule>
  </conditionalFormatting>
  <conditionalFormatting sqref="C279">
    <cfRule type="containsText" dxfId="480" priority="789" operator="containsText" text="#N/A">
      <formula>NOT(ISERROR(SEARCH("#N/A",C279)))</formula>
    </cfRule>
  </conditionalFormatting>
  <conditionalFormatting sqref="B279">
    <cfRule type="containsText" dxfId="479" priority="788" operator="containsText" text="#N/A">
      <formula>NOT(ISERROR(SEARCH("#N/A",B279)))</formula>
    </cfRule>
  </conditionalFormatting>
  <conditionalFormatting sqref="N304">
    <cfRule type="containsErrors" dxfId="478" priority="784">
      <formula>ISERROR(N304)</formula>
    </cfRule>
    <cfRule type="containsText" dxfId="477" priority="785" operator="containsText" text="#N/A">
      <formula>NOT(ISERROR(SEARCH("#N/A",N304)))</formula>
    </cfRule>
  </conditionalFormatting>
  <conditionalFormatting sqref="Q304">
    <cfRule type="containsErrors" dxfId="476" priority="783" stopIfTrue="1">
      <formula>ISERROR(Q304)</formula>
    </cfRule>
  </conditionalFormatting>
  <conditionalFormatting sqref="K304">
    <cfRule type="containsErrors" dxfId="475" priority="781">
      <formula>ISERROR(K304)</formula>
    </cfRule>
    <cfRule type="containsText" dxfId="474" priority="782" operator="containsText" text="#N/A">
      <formula>NOT(ISERROR(SEARCH("#N/A",K304)))</formula>
    </cfRule>
  </conditionalFormatting>
  <conditionalFormatting sqref="C304">
    <cfRule type="containsText" dxfId="473" priority="780" operator="containsText" text="#N/A">
      <formula>NOT(ISERROR(SEARCH("#N/A",C304)))</formula>
    </cfRule>
  </conditionalFormatting>
  <conditionalFormatting sqref="B304">
    <cfRule type="containsText" dxfId="472" priority="779" operator="containsText" text="#N/A">
      <formula>NOT(ISERROR(SEARCH("#N/A",B304)))</formula>
    </cfRule>
  </conditionalFormatting>
  <conditionalFormatting sqref="C329">
    <cfRule type="containsText" dxfId="471" priority="776" operator="containsText" text="#N/A">
      <formula>NOT(ISERROR(SEARCH("#N/A",C329)))</formula>
    </cfRule>
  </conditionalFormatting>
  <conditionalFormatting sqref="B329">
    <cfRule type="containsText" dxfId="470" priority="775" operator="containsText" text="#N/A">
      <formula>NOT(ISERROR(SEARCH("#N/A",B329)))</formula>
    </cfRule>
  </conditionalFormatting>
  <conditionalFormatting sqref="N354">
    <cfRule type="containsErrors" dxfId="469" priority="771">
      <formula>ISERROR(N354)</formula>
    </cfRule>
    <cfRule type="containsText" dxfId="468" priority="772" operator="containsText" text="#N/A">
      <formula>NOT(ISERROR(SEARCH("#N/A",N354)))</formula>
    </cfRule>
  </conditionalFormatting>
  <conditionalFormatting sqref="Q354">
    <cfRule type="containsErrors" dxfId="467" priority="770" stopIfTrue="1">
      <formula>ISERROR(Q354)</formula>
    </cfRule>
  </conditionalFormatting>
  <conditionalFormatting sqref="K354">
    <cfRule type="containsErrors" dxfId="466" priority="768">
      <formula>ISERROR(K354)</formula>
    </cfRule>
    <cfRule type="containsText" dxfId="465" priority="769" operator="containsText" text="#N/A">
      <formula>NOT(ISERROR(SEARCH("#N/A",K354)))</formula>
    </cfRule>
  </conditionalFormatting>
  <conditionalFormatting sqref="C354">
    <cfRule type="containsText" dxfId="464" priority="767" operator="containsText" text="#N/A">
      <formula>NOT(ISERROR(SEARCH("#N/A",C354)))</formula>
    </cfRule>
  </conditionalFormatting>
  <conditionalFormatting sqref="B354">
    <cfRule type="containsText" dxfId="463" priority="766" operator="containsText" text="#N/A">
      <formula>NOT(ISERROR(SEARCH("#N/A",B354)))</formula>
    </cfRule>
  </conditionalFormatting>
  <conditionalFormatting sqref="C379">
    <cfRule type="containsText" dxfId="462" priority="761" operator="containsText" text="#N/A">
      <formula>NOT(ISERROR(SEARCH("#N/A",C379)))</formula>
    </cfRule>
  </conditionalFormatting>
  <conditionalFormatting sqref="B379">
    <cfRule type="containsText" dxfId="461" priority="760" operator="containsText" text="#N/A">
      <formula>NOT(ISERROR(SEARCH("#N/A",B379)))</formula>
    </cfRule>
  </conditionalFormatting>
  <conditionalFormatting sqref="M404">
    <cfRule type="containsErrors" dxfId="460" priority="758">
      <formula>ISERROR(M404)</formula>
    </cfRule>
    <cfRule type="containsText" dxfId="459" priority="759" operator="containsText" text="#N/A">
      <formula>NOT(ISERROR(SEARCH("#N/A",M404)))</formula>
    </cfRule>
  </conditionalFormatting>
  <conditionalFormatting sqref="P404">
    <cfRule type="containsErrors" dxfId="458" priority="756">
      <formula>ISERROR(P404)</formula>
    </cfRule>
    <cfRule type="containsText" dxfId="457" priority="757" operator="containsText" text="#N/A">
      <formula>NOT(ISERROR(SEARCH("#N/A",P404)))</formula>
    </cfRule>
  </conditionalFormatting>
  <conditionalFormatting sqref="N404">
    <cfRule type="containsErrors" dxfId="456" priority="754">
      <formula>ISERROR(N404)</formula>
    </cfRule>
    <cfRule type="containsText" dxfId="455" priority="755" operator="containsText" text="#N/A">
      <formula>NOT(ISERROR(SEARCH("#N/A",N404)))</formula>
    </cfRule>
  </conditionalFormatting>
  <conditionalFormatting sqref="K404">
    <cfRule type="containsErrors" dxfId="454" priority="750">
      <formula>ISERROR(K404)</formula>
    </cfRule>
    <cfRule type="containsText" dxfId="453" priority="751" operator="containsText" text="#N/A">
      <formula>NOT(ISERROR(SEARCH("#N/A",K404)))</formula>
    </cfRule>
  </conditionalFormatting>
  <conditionalFormatting sqref="N429">
    <cfRule type="containsErrors" dxfId="452" priority="746">
      <formula>ISERROR(N429)</formula>
    </cfRule>
    <cfRule type="containsText" dxfId="451" priority="747" operator="containsText" text="#N/A">
      <formula>NOT(ISERROR(SEARCH("#N/A",N429)))</formula>
    </cfRule>
  </conditionalFormatting>
  <conditionalFormatting sqref="Q429">
    <cfRule type="containsErrors" dxfId="450" priority="745" stopIfTrue="1">
      <formula>ISERROR(Q429)</formula>
    </cfRule>
  </conditionalFormatting>
  <conditionalFormatting sqref="K429">
    <cfRule type="containsErrors" dxfId="449" priority="743">
      <formula>ISERROR(K429)</formula>
    </cfRule>
    <cfRule type="containsText" dxfId="448" priority="744" operator="containsText" text="#N/A">
      <formula>NOT(ISERROR(SEARCH("#N/A",K429)))</formula>
    </cfRule>
  </conditionalFormatting>
  <conditionalFormatting sqref="C429">
    <cfRule type="containsText" dxfId="447" priority="742" operator="containsText" text="#N/A">
      <formula>NOT(ISERROR(SEARCH("#N/A",C429)))</formula>
    </cfRule>
  </conditionalFormatting>
  <conditionalFormatting sqref="B429">
    <cfRule type="containsText" dxfId="446" priority="741" operator="containsText" text="#N/A">
      <formula>NOT(ISERROR(SEARCH("#N/A",B429)))</formula>
    </cfRule>
  </conditionalFormatting>
  <conditionalFormatting sqref="N454">
    <cfRule type="containsErrors" dxfId="445" priority="737">
      <formula>ISERROR(N454)</formula>
    </cfRule>
    <cfRule type="containsText" dxfId="444" priority="738" operator="containsText" text="#N/A">
      <formula>NOT(ISERROR(SEARCH("#N/A",N454)))</formula>
    </cfRule>
  </conditionalFormatting>
  <conditionalFormatting sqref="Q454">
    <cfRule type="containsErrors" dxfId="443" priority="736" stopIfTrue="1">
      <formula>ISERROR(Q454)</formula>
    </cfRule>
  </conditionalFormatting>
  <conditionalFormatting sqref="C454">
    <cfRule type="containsText" dxfId="442" priority="735" operator="containsText" text="#N/A">
      <formula>NOT(ISERROR(SEARCH("#N/A",C454)))</formula>
    </cfRule>
  </conditionalFormatting>
  <conditionalFormatting sqref="B454">
    <cfRule type="containsText" dxfId="441" priority="734" operator="containsText" text="#N/A">
      <formula>NOT(ISERROR(SEARCH("#N/A",B454)))</formula>
    </cfRule>
  </conditionalFormatting>
  <conditionalFormatting sqref="N479">
    <cfRule type="containsErrors" dxfId="440" priority="730">
      <formula>ISERROR(N479)</formula>
    </cfRule>
    <cfRule type="containsText" dxfId="439" priority="731" operator="containsText" text="#N/A">
      <formula>NOT(ISERROR(SEARCH("#N/A",N479)))</formula>
    </cfRule>
  </conditionalFormatting>
  <conditionalFormatting sqref="Q479">
    <cfRule type="containsErrors" dxfId="438" priority="729" stopIfTrue="1">
      <formula>ISERROR(Q479)</formula>
    </cfRule>
  </conditionalFormatting>
  <conditionalFormatting sqref="C479">
    <cfRule type="containsText" dxfId="437" priority="728" operator="containsText" text="#N/A">
      <formula>NOT(ISERROR(SEARCH("#N/A",C479)))</formula>
    </cfRule>
  </conditionalFormatting>
  <conditionalFormatting sqref="B479">
    <cfRule type="containsText" dxfId="436" priority="727" operator="containsText" text="#N/A">
      <formula>NOT(ISERROR(SEARCH("#N/A",B479)))</formula>
    </cfRule>
  </conditionalFormatting>
  <conditionalFormatting sqref="I77">
    <cfRule type="containsErrors" dxfId="435" priority="722">
      <formula>ISERROR(I77)</formula>
    </cfRule>
    <cfRule type="containsText" dxfId="434" priority="725" operator="containsText" text="#N/A">
      <formula>NOT(ISERROR(SEARCH("#N/A",I77)))</formula>
    </cfRule>
  </conditionalFormatting>
  <conditionalFormatting sqref="I78:I79">
    <cfRule type="containsBlanks" dxfId="433" priority="3041">
      <formula>LEN(TRIM(I78))=0</formula>
    </cfRule>
  </conditionalFormatting>
  <conditionalFormatting sqref="I68:I69">
    <cfRule type="containsBlanks" dxfId="432" priority="3042">
      <formula>LEN(TRIM(I68))=0</formula>
    </cfRule>
  </conditionalFormatting>
  <conditionalFormatting sqref="I67">
    <cfRule type="containsErrors" dxfId="431" priority="718">
      <formula>ISERROR(I67)</formula>
    </cfRule>
    <cfRule type="containsText" dxfId="430" priority="1805" operator="containsText" text="#N/A">
      <formula>NOT(ISERROR(SEARCH("#N/A",I67)))</formula>
    </cfRule>
  </conditionalFormatting>
  <conditionalFormatting sqref="J240:K240">
    <cfRule type="containsErrors" dxfId="429" priority="714">
      <formula>ISERROR(J240)</formula>
    </cfRule>
    <cfRule type="containsText" dxfId="428" priority="715" operator="containsText" text="#N/A">
      <formula>NOT(ISERROR(SEARCH("#N/A",J240)))</formula>
    </cfRule>
  </conditionalFormatting>
  <conditionalFormatting sqref="M240">
    <cfRule type="containsErrors" dxfId="427" priority="712">
      <formula>ISERROR(M240)</formula>
    </cfRule>
    <cfRule type="containsText" dxfId="426" priority="713" operator="containsText" text="#N/A">
      <formula>NOT(ISERROR(SEARCH("#N/A",M240)))</formula>
    </cfRule>
  </conditionalFormatting>
  <conditionalFormatting sqref="P240">
    <cfRule type="containsErrors" dxfId="425" priority="710">
      <formula>ISERROR(P240)</formula>
    </cfRule>
    <cfRule type="containsText" dxfId="424" priority="711" operator="containsText" text="#N/A">
      <formula>NOT(ISERROR(SEARCH("#N/A",P240)))</formula>
    </cfRule>
  </conditionalFormatting>
  <conditionalFormatting sqref="N240">
    <cfRule type="containsErrors" dxfId="423" priority="708">
      <formula>ISERROR(N240)</formula>
    </cfRule>
    <cfRule type="containsText" dxfId="422" priority="709" operator="containsText" text="#N/A">
      <formula>NOT(ISERROR(SEARCH("#N/A",N240)))</formula>
    </cfRule>
  </conditionalFormatting>
  <conditionalFormatting sqref="Q240">
    <cfRule type="containsErrors" dxfId="421" priority="707" stopIfTrue="1">
      <formula>ISERROR(Q240)</formula>
    </cfRule>
  </conditionalFormatting>
  <conditionalFormatting sqref="B404:C404">
    <cfRule type="containsText" dxfId="420" priority="706" operator="containsText" text="#N/A">
      <formula>NOT(ISERROR(SEARCH("#N/A",B404)))</formula>
    </cfRule>
  </conditionalFormatting>
  <conditionalFormatting sqref="N179">
    <cfRule type="containsErrors" dxfId="419" priority="702">
      <formula>ISERROR(N179)</formula>
    </cfRule>
    <cfRule type="containsText" dxfId="418" priority="703" operator="containsText" text="#N/A">
      <formula>NOT(ISERROR(SEARCH("#N/A",N179)))</formula>
    </cfRule>
  </conditionalFormatting>
  <conditionalFormatting sqref="Q179">
    <cfRule type="containsErrors" dxfId="417" priority="701" stopIfTrue="1">
      <formula>ISERROR(Q179)</formula>
    </cfRule>
  </conditionalFormatting>
  <conditionalFormatting sqref="K179">
    <cfRule type="containsErrors" dxfId="416" priority="699">
      <formula>ISERROR(K179)</formula>
    </cfRule>
    <cfRule type="containsText" dxfId="415" priority="700" operator="containsText" text="#N/A">
      <formula>NOT(ISERROR(SEARCH("#N/A",K179)))</formula>
    </cfRule>
  </conditionalFormatting>
  <conditionalFormatting sqref="C179">
    <cfRule type="containsText" dxfId="414" priority="698" operator="containsText" text="#N/A">
      <formula>NOT(ISERROR(SEARCH("#N/A",C179)))</formula>
    </cfRule>
  </conditionalFormatting>
  <conditionalFormatting sqref="B179">
    <cfRule type="containsText" dxfId="413" priority="697" operator="containsText" text="#N/A">
      <formula>NOT(ISERROR(SEARCH("#N/A",B179)))</formula>
    </cfRule>
  </conditionalFormatting>
  <conditionalFormatting sqref="N204">
    <cfRule type="containsErrors" dxfId="412" priority="693">
      <formula>ISERROR(N204)</formula>
    </cfRule>
    <cfRule type="containsText" dxfId="411" priority="694" operator="containsText" text="#N/A">
      <formula>NOT(ISERROR(SEARCH("#N/A",N204)))</formula>
    </cfRule>
  </conditionalFormatting>
  <conditionalFormatting sqref="Q204">
    <cfRule type="containsErrors" dxfId="410" priority="692" stopIfTrue="1">
      <formula>ISERROR(Q204)</formula>
    </cfRule>
  </conditionalFormatting>
  <conditionalFormatting sqref="K204">
    <cfRule type="containsErrors" dxfId="409" priority="690">
      <formula>ISERROR(K204)</formula>
    </cfRule>
    <cfRule type="containsText" dxfId="408" priority="691" operator="containsText" text="#N/A">
      <formula>NOT(ISERROR(SEARCH("#N/A",K204)))</formula>
    </cfRule>
  </conditionalFormatting>
  <conditionalFormatting sqref="C204">
    <cfRule type="containsText" dxfId="407" priority="689" operator="containsText" text="#N/A">
      <formula>NOT(ISERROR(SEARCH("#N/A",C204)))</formula>
    </cfRule>
  </conditionalFormatting>
  <conditionalFormatting sqref="B204">
    <cfRule type="containsText" dxfId="406" priority="688" operator="containsText" text="#N/A">
      <formula>NOT(ISERROR(SEARCH("#N/A",B204)))</formula>
    </cfRule>
  </conditionalFormatting>
  <conditionalFormatting sqref="N229">
    <cfRule type="containsErrors" dxfId="405" priority="684">
      <formula>ISERROR(N229)</formula>
    </cfRule>
    <cfRule type="containsText" dxfId="404" priority="685" operator="containsText" text="#N/A">
      <formula>NOT(ISERROR(SEARCH("#N/A",N229)))</formula>
    </cfRule>
  </conditionalFormatting>
  <conditionalFormatting sqref="Q229">
    <cfRule type="containsErrors" dxfId="403" priority="683" stopIfTrue="1">
      <formula>ISERROR(Q229)</formula>
    </cfRule>
  </conditionalFormatting>
  <conditionalFormatting sqref="K229">
    <cfRule type="containsErrors" dxfId="402" priority="681">
      <formula>ISERROR(K229)</formula>
    </cfRule>
    <cfRule type="containsText" dxfId="401" priority="682" operator="containsText" text="#N/A">
      <formula>NOT(ISERROR(SEARCH("#N/A",K229)))</formula>
    </cfRule>
  </conditionalFormatting>
  <conditionalFormatting sqref="C229">
    <cfRule type="containsText" dxfId="400" priority="680" operator="containsText" text="#N/A">
      <formula>NOT(ISERROR(SEARCH("#N/A",C229)))</formula>
    </cfRule>
  </conditionalFormatting>
  <conditionalFormatting sqref="B229">
    <cfRule type="containsText" dxfId="399" priority="679" operator="containsText" text="#N/A">
      <formula>NOT(ISERROR(SEARCH("#N/A",B229)))</formula>
    </cfRule>
  </conditionalFormatting>
  <conditionalFormatting sqref="I10">
    <cfRule type="containsText" dxfId="398" priority="678" operator="containsText" text="#N/A">
      <formula>NOT(ISERROR(SEARCH("#N/A",I10)))</formula>
    </cfRule>
  </conditionalFormatting>
  <conditionalFormatting sqref="I122:I129">
    <cfRule type="containsErrors" dxfId="397" priority="452">
      <formula>ISERROR(I122)</formula>
    </cfRule>
    <cfRule type="containsText" dxfId="396" priority="453" operator="containsText" text="#N/A">
      <formula>NOT(ISERROR(SEARCH("#N/A",I122)))</formula>
    </cfRule>
  </conditionalFormatting>
  <conditionalFormatting sqref="I61:I63">
    <cfRule type="containsErrors" dxfId="395" priority="450">
      <formula>ISERROR(I61)</formula>
    </cfRule>
    <cfRule type="containsText" dxfId="394" priority="451" operator="containsText" text="#N/A">
      <formula>NOT(ISERROR(SEARCH("#N/A",I61)))</formula>
    </cfRule>
  </conditionalFormatting>
  <conditionalFormatting sqref="I41:I47">
    <cfRule type="containsErrors" dxfId="393" priority="448">
      <formula>ISERROR(I41)</formula>
    </cfRule>
    <cfRule type="containsText" dxfId="392" priority="449" operator="containsText" text="#N/A">
      <formula>NOT(ISERROR(SEARCH("#N/A",I41)))</formula>
    </cfRule>
  </conditionalFormatting>
  <conditionalFormatting sqref="I140">
    <cfRule type="containsErrors" dxfId="391" priority="446">
      <formula>ISERROR(I140)</formula>
    </cfRule>
    <cfRule type="containsText" dxfId="390" priority="447" operator="containsText" text="#N/A">
      <formula>NOT(ISERROR(SEARCH("#N/A",I140)))</formula>
    </cfRule>
  </conditionalFormatting>
  <conditionalFormatting sqref="I139">
    <cfRule type="containsErrors" dxfId="389" priority="444">
      <formula>ISERROR(I139)</formula>
    </cfRule>
    <cfRule type="containsText" dxfId="388" priority="445" operator="containsText" text="#N/A">
      <formula>NOT(ISERROR(SEARCH("#N/A",I139)))</formula>
    </cfRule>
  </conditionalFormatting>
  <conditionalFormatting sqref="I143">
    <cfRule type="containsErrors" dxfId="387" priority="442">
      <formula>ISERROR(I143)</formula>
    </cfRule>
    <cfRule type="containsText" dxfId="386" priority="443" operator="containsText" text="#N/A">
      <formula>NOT(ISERROR(SEARCH("#N/A",I143)))</formula>
    </cfRule>
  </conditionalFormatting>
  <conditionalFormatting sqref="I145">
    <cfRule type="containsErrors" dxfId="385" priority="440">
      <formula>ISERROR(I145)</formula>
    </cfRule>
    <cfRule type="containsText" dxfId="384" priority="441" operator="containsText" text="#N/A">
      <formula>NOT(ISERROR(SEARCH("#N/A",I145)))</formula>
    </cfRule>
  </conditionalFormatting>
  <conditionalFormatting sqref="I138">
    <cfRule type="containsErrors" dxfId="383" priority="436">
      <formula>ISERROR(I138)</formula>
    </cfRule>
    <cfRule type="containsText" dxfId="382" priority="437" operator="containsText" text="#N/A">
      <formula>NOT(ISERROR(SEARCH("#N/A",I138)))</formula>
    </cfRule>
  </conditionalFormatting>
  <conditionalFormatting sqref="I136">
    <cfRule type="containsErrors" dxfId="381" priority="434">
      <formula>ISERROR(I136)</formula>
    </cfRule>
    <cfRule type="containsText" dxfId="380" priority="435" operator="containsText" text="#N/A">
      <formula>NOT(ISERROR(SEARCH("#N/A",I136)))</formula>
    </cfRule>
  </conditionalFormatting>
  <conditionalFormatting sqref="I147:I152">
    <cfRule type="containsErrors" dxfId="379" priority="432">
      <formula>ISERROR(I147)</formula>
    </cfRule>
    <cfRule type="containsText" dxfId="378" priority="433" operator="containsText" text="#N/A">
      <formula>NOT(ISERROR(SEARCH("#N/A",I147)))</formula>
    </cfRule>
  </conditionalFormatting>
  <conditionalFormatting sqref="I165">
    <cfRule type="containsErrors" dxfId="377" priority="430">
      <formula>ISERROR(I165)</formula>
    </cfRule>
    <cfRule type="containsText" dxfId="376" priority="431" operator="containsText" text="#N/A">
      <formula>NOT(ISERROR(SEARCH("#N/A",I165)))</formula>
    </cfRule>
  </conditionalFormatting>
  <conditionalFormatting sqref="I164">
    <cfRule type="containsErrors" dxfId="375" priority="428">
      <formula>ISERROR(I164)</formula>
    </cfRule>
    <cfRule type="containsText" dxfId="374" priority="429" operator="containsText" text="#N/A">
      <formula>NOT(ISERROR(SEARCH("#N/A",I164)))</formula>
    </cfRule>
  </conditionalFormatting>
  <conditionalFormatting sqref="I168">
    <cfRule type="containsErrors" dxfId="373" priority="426">
      <formula>ISERROR(I168)</formula>
    </cfRule>
    <cfRule type="containsText" dxfId="372" priority="427" operator="containsText" text="#N/A">
      <formula>NOT(ISERROR(SEARCH("#N/A",I168)))</formula>
    </cfRule>
  </conditionalFormatting>
  <conditionalFormatting sqref="I170">
    <cfRule type="containsErrors" dxfId="371" priority="424">
      <formula>ISERROR(I170)</formula>
    </cfRule>
    <cfRule type="containsText" dxfId="370" priority="425" operator="containsText" text="#N/A">
      <formula>NOT(ISERROR(SEARCH("#N/A",I170)))</formula>
    </cfRule>
  </conditionalFormatting>
  <conditionalFormatting sqref="I163">
    <cfRule type="containsErrors" dxfId="369" priority="420">
      <formula>ISERROR(I163)</formula>
    </cfRule>
    <cfRule type="containsText" dxfId="368" priority="421" operator="containsText" text="#N/A">
      <formula>NOT(ISERROR(SEARCH("#N/A",I163)))</formula>
    </cfRule>
  </conditionalFormatting>
  <conditionalFormatting sqref="I161">
    <cfRule type="containsErrors" dxfId="367" priority="418">
      <formula>ISERROR(I161)</formula>
    </cfRule>
    <cfRule type="containsText" dxfId="366" priority="419" operator="containsText" text="#N/A">
      <formula>NOT(ISERROR(SEARCH("#N/A",I161)))</formula>
    </cfRule>
  </conditionalFormatting>
  <conditionalFormatting sqref="I172:I177">
    <cfRule type="containsErrors" dxfId="365" priority="416">
      <formula>ISERROR(I172)</formula>
    </cfRule>
    <cfRule type="containsText" dxfId="364" priority="417" operator="containsText" text="#N/A">
      <formula>NOT(ISERROR(SEARCH("#N/A",I172)))</formula>
    </cfRule>
  </conditionalFormatting>
  <conditionalFormatting sqref="I190">
    <cfRule type="containsErrors" dxfId="363" priority="414">
      <formula>ISERROR(I190)</formula>
    </cfRule>
    <cfRule type="containsText" dxfId="362" priority="415" operator="containsText" text="#N/A">
      <formula>NOT(ISERROR(SEARCH("#N/A",I190)))</formula>
    </cfRule>
  </conditionalFormatting>
  <conditionalFormatting sqref="I189">
    <cfRule type="containsErrors" dxfId="361" priority="412">
      <formula>ISERROR(I189)</formula>
    </cfRule>
    <cfRule type="containsText" dxfId="360" priority="413" operator="containsText" text="#N/A">
      <formula>NOT(ISERROR(SEARCH("#N/A",I189)))</formula>
    </cfRule>
  </conditionalFormatting>
  <conditionalFormatting sqref="I193">
    <cfRule type="containsErrors" dxfId="359" priority="410">
      <formula>ISERROR(I193)</formula>
    </cfRule>
    <cfRule type="containsText" dxfId="358" priority="411" operator="containsText" text="#N/A">
      <formula>NOT(ISERROR(SEARCH("#N/A",I193)))</formula>
    </cfRule>
  </conditionalFormatting>
  <conditionalFormatting sqref="I195">
    <cfRule type="containsErrors" dxfId="357" priority="408">
      <formula>ISERROR(I195)</formula>
    </cfRule>
    <cfRule type="containsText" dxfId="356" priority="409" operator="containsText" text="#N/A">
      <formula>NOT(ISERROR(SEARCH("#N/A",I195)))</formula>
    </cfRule>
  </conditionalFormatting>
  <conditionalFormatting sqref="I188">
    <cfRule type="containsErrors" dxfId="355" priority="404">
      <formula>ISERROR(I188)</formula>
    </cfRule>
    <cfRule type="containsText" dxfId="354" priority="405" operator="containsText" text="#N/A">
      <formula>NOT(ISERROR(SEARCH("#N/A",I188)))</formula>
    </cfRule>
  </conditionalFormatting>
  <conditionalFormatting sqref="I186">
    <cfRule type="containsErrors" dxfId="353" priority="402">
      <formula>ISERROR(I186)</formula>
    </cfRule>
    <cfRule type="containsText" dxfId="352" priority="403" operator="containsText" text="#N/A">
      <formula>NOT(ISERROR(SEARCH("#N/A",I186)))</formula>
    </cfRule>
  </conditionalFormatting>
  <conditionalFormatting sqref="I197:I202">
    <cfRule type="containsErrors" dxfId="351" priority="400">
      <formula>ISERROR(I197)</formula>
    </cfRule>
    <cfRule type="containsText" dxfId="350" priority="401" operator="containsText" text="#N/A">
      <formula>NOT(ISERROR(SEARCH("#N/A",I197)))</formula>
    </cfRule>
  </conditionalFormatting>
  <conditionalFormatting sqref="I215">
    <cfRule type="containsErrors" dxfId="349" priority="398">
      <formula>ISERROR(I215)</formula>
    </cfRule>
    <cfRule type="containsText" dxfId="348" priority="399" operator="containsText" text="#N/A">
      <formula>NOT(ISERROR(SEARCH("#N/A",I215)))</formula>
    </cfRule>
  </conditionalFormatting>
  <conditionalFormatting sqref="I214">
    <cfRule type="containsErrors" dxfId="347" priority="396">
      <formula>ISERROR(I214)</formula>
    </cfRule>
    <cfRule type="containsText" dxfId="346" priority="397" operator="containsText" text="#N/A">
      <formula>NOT(ISERROR(SEARCH("#N/A",I214)))</formula>
    </cfRule>
  </conditionalFormatting>
  <conditionalFormatting sqref="I218">
    <cfRule type="containsErrors" dxfId="345" priority="394">
      <formula>ISERROR(I218)</formula>
    </cfRule>
    <cfRule type="containsText" dxfId="344" priority="395" operator="containsText" text="#N/A">
      <formula>NOT(ISERROR(SEARCH("#N/A",I218)))</formula>
    </cfRule>
  </conditionalFormatting>
  <conditionalFormatting sqref="I220">
    <cfRule type="containsErrors" dxfId="343" priority="392">
      <formula>ISERROR(I220)</formula>
    </cfRule>
    <cfRule type="containsText" dxfId="342" priority="393" operator="containsText" text="#N/A">
      <formula>NOT(ISERROR(SEARCH("#N/A",I220)))</formula>
    </cfRule>
  </conditionalFormatting>
  <conditionalFormatting sqref="I213">
    <cfRule type="containsErrors" dxfId="341" priority="388">
      <formula>ISERROR(I213)</formula>
    </cfRule>
    <cfRule type="containsText" dxfId="340" priority="389" operator="containsText" text="#N/A">
      <formula>NOT(ISERROR(SEARCH("#N/A",I213)))</formula>
    </cfRule>
  </conditionalFormatting>
  <conditionalFormatting sqref="I211">
    <cfRule type="containsErrors" dxfId="339" priority="386">
      <formula>ISERROR(I211)</formula>
    </cfRule>
    <cfRule type="containsText" dxfId="338" priority="387" operator="containsText" text="#N/A">
      <formula>NOT(ISERROR(SEARCH("#N/A",I211)))</formula>
    </cfRule>
  </conditionalFormatting>
  <conditionalFormatting sqref="I222:I227">
    <cfRule type="containsErrors" dxfId="337" priority="384">
      <formula>ISERROR(I222)</formula>
    </cfRule>
    <cfRule type="containsText" dxfId="336" priority="385" operator="containsText" text="#N/A">
      <formula>NOT(ISERROR(SEARCH("#N/A",I222)))</formula>
    </cfRule>
  </conditionalFormatting>
  <conditionalFormatting sqref="I240">
    <cfRule type="containsErrors" dxfId="335" priority="382">
      <formula>ISERROR(I240)</formula>
    </cfRule>
    <cfRule type="containsText" dxfId="334" priority="383" operator="containsText" text="#N/A">
      <formula>NOT(ISERROR(SEARCH("#N/A",I240)))</formula>
    </cfRule>
  </conditionalFormatting>
  <conditionalFormatting sqref="I239">
    <cfRule type="containsErrors" dxfId="333" priority="380">
      <formula>ISERROR(I239)</formula>
    </cfRule>
    <cfRule type="containsText" dxfId="332" priority="381" operator="containsText" text="#N/A">
      <formula>NOT(ISERROR(SEARCH("#N/A",I239)))</formula>
    </cfRule>
  </conditionalFormatting>
  <conditionalFormatting sqref="I243">
    <cfRule type="containsErrors" dxfId="331" priority="378">
      <formula>ISERROR(I243)</formula>
    </cfRule>
    <cfRule type="containsText" dxfId="330" priority="379" operator="containsText" text="#N/A">
      <formula>NOT(ISERROR(SEARCH("#N/A",I243)))</formula>
    </cfRule>
  </conditionalFormatting>
  <conditionalFormatting sqref="I245">
    <cfRule type="containsErrors" dxfId="329" priority="376">
      <formula>ISERROR(I245)</formula>
    </cfRule>
    <cfRule type="containsText" dxfId="328" priority="377" operator="containsText" text="#N/A">
      <formula>NOT(ISERROR(SEARCH("#N/A",I245)))</formula>
    </cfRule>
  </conditionalFormatting>
  <conditionalFormatting sqref="I238">
    <cfRule type="containsErrors" dxfId="327" priority="372">
      <formula>ISERROR(I238)</formula>
    </cfRule>
    <cfRule type="containsText" dxfId="326" priority="373" operator="containsText" text="#N/A">
      <formula>NOT(ISERROR(SEARCH("#N/A",I238)))</formula>
    </cfRule>
  </conditionalFormatting>
  <conditionalFormatting sqref="I236">
    <cfRule type="containsErrors" dxfId="325" priority="370">
      <formula>ISERROR(I236)</formula>
    </cfRule>
    <cfRule type="containsText" dxfId="324" priority="371" operator="containsText" text="#N/A">
      <formula>NOT(ISERROR(SEARCH("#N/A",I236)))</formula>
    </cfRule>
  </conditionalFormatting>
  <conditionalFormatting sqref="I247:I252">
    <cfRule type="containsErrors" dxfId="323" priority="368">
      <formula>ISERROR(I247)</formula>
    </cfRule>
    <cfRule type="containsText" dxfId="322" priority="369" operator="containsText" text="#N/A">
      <formula>NOT(ISERROR(SEARCH("#N/A",I247)))</formula>
    </cfRule>
  </conditionalFormatting>
  <conditionalFormatting sqref="I265">
    <cfRule type="containsErrors" dxfId="321" priority="366">
      <formula>ISERROR(I265)</formula>
    </cfRule>
    <cfRule type="containsText" dxfId="320" priority="367" operator="containsText" text="#N/A">
      <formula>NOT(ISERROR(SEARCH("#N/A",I265)))</formula>
    </cfRule>
  </conditionalFormatting>
  <conditionalFormatting sqref="I264">
    <cfRule type="containsErrors" dxfId="319" priority="364">
      <formula>ISERROR(I264)</formula>
    </cfRule>
    <cfRule type="containsText" dxfId="318" priority="365" operator="containsText" text="#N/A">
      <formula>NOT(ISERROR(SEARCH("#N/A",I264)))</formula>
    </cfRule>
  </conditionalFormatting>
  <conditionalFormatting sqref="I268">
    <cfRule type="containsErrors" dxfId="317" priority="362">
      <formula>ISERROR(I268)</formula>
    </cfRule>
    <cfRule type="containsText" dxfId="316" priority="363" operator="containsText" text="#N/A">
      <formula>NOT(ISERROR(SEARCH("#N/A",I268)))</formula>
    </cfRule>
  </conditionalFormatting>
  <conditionalFormatting sqref="I270">
    <cfRule type="containsErrors" dxfId="315" priority="360">
      <formula>ISERROR(I270)</formula>
    </cfRule>
    <cfRule type="containsText" dxfId="314" priority="361" operator="containsText" text="#N/A">
      <formula>NOT(ISERROR(SEARCH("#N/A",I270)))</formula>
    </cfRule>
  </conditionalFormatting>
  <conditionalFormatting sqref="I263">
    <cfRule type="containsErrors" dxfId="313" priority="356">
      <formula>ISERROR(I263)</formula>
    </cfRule>
    <cfRule type="containsText" dxfId="312" priority="357" operator="containsText" text="#N/A">
      <formula>NOT(ISERROR(SEARCH("#N/A",I263)))</formula>
    </cfRule>
  </conditionalFormatting>
  <conditionalFormatting sqref="I261">
    <cfRule type="containsErrors" dxfId="311" priority="354">
      <formula>ISERROR(I261)</formula>
    </cfRule>
    <cfRule type="containsText" dxfId="310" priority="355" operator="containsText" text="#N/A">
      <formula>NOT(ISERROR(SEARCH("#N/A",I261)))</formula>
    </cfRule>
  </conditionalFormatting>
  <conditionalFormatting sqref="I272:I277">
    <cfRule type="containsErrors" dxfId="309" priority="352">
      <formula>ISERROR(I272)</formula>
    </cfRule>
    <cfRule type="containsText" dxfId="308" priority="353" operator="containsText" text="#N/A">
      <formula>NOT(ISERROR(SEARCH("#N/A",I272)))</formula>
    </cfRule>
  </conditionalFormatting>
  <conditionalFormatting sqref="I290">
    <cfRule type="containsErrors" dxfId="307" priority="350">
      <formula>ISERROR(I290)</formula>
    </cfRule>
    <cfRule type="containsText" dxfId="306" priority="351" operator="containsText" text="#N/A">
      <formula>NOT(ISERROR(SEARCH("#N/A",I290)))</formula>
    </cfRule>
  </conditionalFormatting>
  <conditionalFormatting sqref="I289">
    <cfRule type="containsErrors" dxfId="305" priority="348">
      <formula>ISERROR(I289)</formula>
    </cfRule>
    <cfRule type="containsText" dxfId="304" priority="349" operator="containsText" text="#N/A">
      <formula>NOT(ISERROR(SEARCH("#N/A",I289)))</formula>
    </cfRule>
  </conditionalFormatting>
  <conditionalFormatting sqref="I293">
    <cfRule type="containsErrors" dxfId="303" priority="346">
      <formula>ISERROR(I293)</formula>
    </cfRule>
    <cfRule type="containsText" dxfId="302" priority="347" operator="containsText" text="#N/A">
      <formula>NOT(ISERROR(SEARCH("#N/A",I293)))</formula>
    </cfRule>
  </conditionalFormatting>
  <conditionalFormatting sqref="I295">
    <cfRule type="containsErrors" dxfId="301" priority="344">
      <formula>ISERROR(I295)</formula>
    </cfRule>
    <cfRule type="containsText" dxfId="300" priority="345" operator="containsText" text="#N/A">
      <formula>NOT(ISERROR(SEARCH("#N/A",I295)))</formula>
    </cfRule>
  </conditionalFormatting>
  <conditionalFormatting sqref="I288">
    <cfRule type="containsErrors" dxfId="299" priority="340">
      <formula>ISERROR(I288)</formula>
    </cfRule>
    <cfRule type="containsText" dxfId="298" priority="341" operator="containsText" text="#N/A">
      <formula>NOT(ISERROR(SEARCH("#N/A",I288)))</formula>
    </cfRule>
  </conditionalFormatting>
  <conditionalFormatting sqref="I286">
    <cfRule type="containsErrors" dxfId="297" priority="338">
      <formula>ISERROR(I286)</formula>
    </cfRule>
    <cfRule type="containsText" dxfId="296" priority="339" operator="containsText" text="#N/A">
      <formula>NOT(ISERROR(SEARCH("#N/A",I286)))</formula>
    </cfRule>
  </conditionalFormatting>
  <conditionalFormatting sqref="I297:I302">
    <cfRule type="containsErrors" dxfId="295" priority="336">
      <formula>ISERROR(I297)</formula>
    </cfRule>
    <cfRule type="containsText" dxfId="294" priority="337" operator="containsText" text="#N/A">
      <formula>NOT(ISERROR(SEARCH("#N/A",I297)))</formula>
    </cfRule>
  </conditionalFormatting>
  <conditionalFormatting sqref="I315">
    <cfRule type="containsErrors" dxfId="293" priority="334">
      <formula>ISERROR(I315)</formula>
    </cfRule>
    <cfRule type="containsText" dxfId="292" priority="335" operator="containsText" text="#N/A">
      <formula>NOT(ISERROR(SEARCH("#N/A",I315)))</formula>
    </cfRule>
  </conditionalFormatting>
  <conditionalFormatting sqref="I314">
    <cfRule type="containsErrors" dxfId="291" priority="332">
      <formula>ISERROR(I314)</formula>
    </cfRule>
    <cfRule type="containsText" dxfId="290" priority="333" operator="containsText" text="#N/A">
      <formula>NOT(ISERROR(SEARCH("#N/A",I314)))</formula>
    </cfRule>
  </conditionalFormatting>
  <conditionalFormatting sqref="I318">
    <cfRule type="containsErrors" dxfId="289" priority="330">
      <formula>ISERROR(I318)</formula>
    </cfRule>
    <cfRule type="containsText" dxfId="288" priority="331" operator="containsText" text="#N/A">
      <formula>NOT(ISERROR(SEARCH("#N/A",I318)))</formula>
    </cfRule>
  </conditionalFormatting>
  <conditionalFormatting sqref="I320">
    <cfRule type="containsErrors" dxfId="287" priority="328">
      <formula>ISERROR(I320)</formula>
    </cfRule>
    <cfRule type="containsText" dxfId="286" priority="329" operator="containsText" text="#N/A">
      <formula>NOT(ISERROR(SEARCH("#N/A",I320)))</formula>
    </cfRule>
  </conditionalFormatting>
  <conditionalFormatting sqref="I313">
    <cfRule type="containsErrors" dxfId="285" priority="324">
      <formula>ISERROR(I313)</formula>
    </cfRule>
    <cfRule type="containsText" dxfId="284" priority="325" operator="containsText" text="#N/A">
      <formula>NOT(ISERROR(SEARCH("#N/A",I313)))</formula>
    </cfRule>
  </conditionalFormatting>
  <conditionalFormatting sqref="I311">
    <cfRule type="containsErrors" dxfId="283" priority="322">
      <formula>ISERROR(I311)</formula>
    </cfRule>
    <cfRule type="containsText" dxfId="282" priority="323" operator="containsText" text="#N/A">
      <formula>NOT(ISERROR(SEARCH("#N/A",I311)))</formula>
    </cfRule>
  </conditionalFormatting>
  <conditionalFormatting sqref="I322:I327">
    <cfRule type="containsErrors" dxfId="281" priority="320">
      <formula>ISERROR(I322)</formula>
    </cfRule>
    <cfRule type="containsText" dxfId="280" priority="321" operator="containsText" text="#N/A">
      <formula>NOT(ISERROR(SEARCH("#N/A",I322)))</formula>
    </cfRule>
  </conditionalFormatting>
  <conditionalFormatting sqref="I340">
    <cfRule type="containsErrors" dxfId="279" priority="318">
      <formula>ISERROR(I340)</formula>
    </cfRule>
    <cfRule type="containsText" dxfId="278" priority="319" operator="containsText" text="#N/A">
      <formula>NOT(ISERROR(SEARCH("#N/A",I340)))</formula>
    </cfRule>
  </conditionalFormatting>
  <conditionalFormatting sqref="I339">
    <cfRule type="containsErrors" dxfId="277" priority="316">
      <formula>ISERROR(I339)</formula>
    </cfRule>
    <cfRule type="containsText" dxfId="276" priority="317" operator="containsText" text="#N/A">
      <formula>NOT(ISERROR(SEARCH("#N/A",I339)))</formula>
    </cfRule>
  </conditionalFormatting>
  <conditionalFormatting sqref="I343">
    <cfRule type="containsErrors" dxfId="275" priority="314">
      <formula>ISERROR(I343)</formula>
    </cfRule>
    <cfRule type="containsText" dxfId="274" priority="315" operator="containsText" text="#N/A">
      <formula>NOT(ISERROR(SEARCH("#N/A",I343)))</formula>
    </cfRule>
  </conditionalFormatting>
  <conditionalFormatting sqref="I345">
    <cfRule type="containsErrors" dxfId="273" priority="312">
      <formula>ISERROR(I345)</formula>
    </cfRule>
    <cfRule type="containsText" dxfId="272" priority="313" operator="containsText" text="#N/A">
      <formula>NOT(ISERROR(SEARCH("#N/A",I345)))</formula>
    </cfRule>
  </conditionalFormatting>
  <conditionalFormatting sqref="I338">
    <cfRule type="containsErrors" dxfId="271" priority="308">
      <formula>ISERROR(I338)</formula>
    </cfRule>
    <cfRule type="containsText" dxfId="270" priority="309" operator="containsText" text="#N/A">
      <formula>NOT(ISERROR(SEARCH("#N/A",I338)))</formula>
    </cfRule>
  </conditionalFormatting>
  <conditionalFormatting sqref="I336">
    <cfRule type="containsErrors" dxfId="269" priority="306">
      <formula>ISERROR(I336)</formula>
    </cfRule>
    <cfRule type="containsText" dxfId="268" priority="307" operator="containsText" text="#N/A">
      <formula>NOT(ISERROR(SEARCH("#N/A",I336)))</formula>
    </cfRule>
  </conditionalFormatting>
  <conditionalFormatting sqref="I347:I352">
    <cfRule type="containsErrors" dxfId="267" priority="304">
      <formula>ISERROR(I347)</formula>
    </cfRule>
    <cfRule type="containsText" dxfId="266" priority="305" operator="containsText" text="#N/A">
      <formula>NOT(ISERROR(SEARCH("#N/A",I347)))</formula>
    </cfRule>
  </conditionalFormatting>
  <conditionalFormatting sqref="I365">
    <cfRule type="containsErrors" dxfId="265" priority="302">
      <formula>ISERROR(I365)</formula>
    </cfRule>
    <cfRule type="containsText" dxfId="264" priority="303" operator="containsText" text="#N/A">
      <formula>NOT(ISERROR(SEARCH("#N/A",I365)))</formula>
    </cfRule>
  </conditionalFormatting>
  <conditionalFormatting sqref="I364">
    <cfRule type="containsErrors" dxfId="263" priority="300">
      <formula>ISERROR(I364)</formula>
    </cfRule>
    <cfRule type="containsText" dxfId="262" priority="301" operator="containsText" text="#N/A">
      <formula>NOT(ISERROR(SEARCH("#N/A",I364)))</formula>
    </cfRule>
  </conditionalFormatting>
  <conditionalFormatting sqref="I368">
    <cfRule type="containsErrors" dxfId="261" priority="298">
      <formula>ISERROR(I368)</formula>
    </cfRule>
    <cfRule type="containsText" dxfId="260" priority="299" operator="containsText" text="#N/A">
      <formula>NOT(ISERROR(SEARCH("#N/A",I368)))</formula>
    </cfRule>
  </conditionalFormatting>
  <conditionalFormatting sqref="I370">
    <cfRule type="containsErrors" dxfId="259" priority="296">
      <formula>ISERROR(I370)</formula>
    </cfRule>
    <cfRule type="containsText" dxfId="258" priority="297" operator="containsText" text="#N/A">
      <formula>NOT(ISERROR(SEARCH("#N/A",I370)))</formula>
    </cfRule>
  </conditionalFormatting>
  <conditionalFormatting sqref="I363">
    <cfRule type="containsErrors" dxfId="257" priority="292">
      <formula>ISERROR(I363)</formula>
    </cfRule>
    <cfRule type="containsText" dxfId="256" priority="293" operator="containsText" text="#N/A">
      <formula>NOT(ISERROR(SEARCH("#N/A",I363)))</formula>
    </cfRule>
  </conditionalFormatting>
  <conditionalFormatting sqref="I361">
    <cfRule type="containsErrors" dxfId="255" priority="290">
      <formula>ISERROR(I361)</formula>
    </cfRule>
    <cfRule type="containsText" dxfId="254" priority="291" operator="containsText" text="#N/A">
      <formula>NOT(ISERROR(SEARCH("#N/A",I361)))</formula>
    </cfRule>
  </conditionalFormatting>
  <conditionalFormatting sqref="I372:I377">
    <cfRule type="containsErrors" dxfId="253" priority="288">
      <formula>ISERROR(I372)</formula>
    </cfRule>
    <cfRule type="containsText" dxfId="252" priority="289" operator="containsText" text="#N/A">
      <formula>NOT(ISERROR(SEARCH("#N/A",I372)))</formula>
    </cfRule>
  </conditionalFormatting>
  <conditionalFormatting sqref="I390">
    <cfRule type="containsErrors" dxfId="251" priority="286">
      <formula>ISERROR(I390)</formula>
    </cfRule>
    <cfRule type="containsText" dxfId="250" priority="287" operator="containsText" text="#N/A">
      <formula>NOT(ISERROR(SEARCH("#N/A",I390)))</formula>
    </cfRule>
  </conditionalFormatting>
  <conditionalFormatting sqref="I389">
    <cfRule type="containsErrors" dxfId="249" priority="284">
      <formula>ISERROR(I389)</formula>
    </cfRule>
    <cfRule type="containsText" dxfId="248" priority="285" operator="containsText" text="#N/A">
      <formula>NOT(ISERROR(SEARCH("#N/A",I389)))</formula>
    </cfRule>
  </conditionalFormatting>
  <conditionalFormatting sqref="I393">
    <cfRule type="containsErrors" dxfId="247" priority="282">
      <formula>ISERROR(I393)</formula>
    </cfRule>
    <cfRule type="containsText" dxfId="246" priority="283" operator="containsText" text="#N/A">
      <formula>NOT(ISERROR(SEARCH("#N/A",I393)))</formula>
    </cfRule>
  </conditionalFormatting>
  <conditionalFormatting sqref="I395">
    <cfRule type="containsErrors" dxfId="245" priority="280">
      <formula>ISERROR(I395)</formula>
    </cfRule>
    <cfRule type="containsText" dxfId="244" priority="281" operator="containsText" text="#N/A">
      <formula>NOT(ISERROR(SEARCH("#N/A",I395)))</formula>
    </cfRule>
  </conditionalFormatting>
  <conditionalFormatting sqref="I388">
    <cfRule type="containsErrors" dxfId="243" priority="276">
      <formula>ISERROR(I388)</formula>
    </cfRule>
    <cfRule type="containsText" dxfId="242" priority="277" operator="containsText" text="#N/A">
      <formula>NOT(ISERROR(SEARCH("#N/A",I388)))</formula>
    </cfRule>
  </conditionalFormatting>
  <conditionalFormatting sqref="I386">
    <cfRule type="containsErrors" dxfId="241" priority="274">
      <formula>ISERROR(I386)</formula>
    </cfRule>
    <cfRule type="containsText" dxfId="240" priority="275" operator="containsText" text="#N/A">
      <formula>NOT(ISERROR(SEARCH("#N/A",I386)))</formula>
    </cfRule>
  </conditionalFormatting>
  <conditionalFormatting sqref="I397:I402">
    <cfRule type="containsErrors" dxfId="239" priority="272">
      <formula>ISERROR(I397)</formula>
    </cfRule>
    <cfRule type="containsText" dxfId="238" priority="273" operator="containsText" text="#N/A">
      <formula>NOT(ISERROR(SEARCH("#N/A",I397)))</formula>
    </cfRule>
  </conditionalFormatting>
  <conditionalFormatting sqref="I415">
    <cfRule type="containsErrors" dxfId="237" priority="270">
      <formula>ISERROR(I415)</formula>
    </cfRule>
    <cfRule type="containsText" dxfId="236" priority="271" operator="containsText" text="#N/A">
      <formula>NOT(ISERROR(SEARCH("#N/A",I415)))</formula>
    </cfRule>
  </conditionalFormatting>
  <conditionalFormatting sqref="I414">
    <cfRule type="containsErrors" dxfId="235" priority="268">
      <formula>ISERROR(I414)</formula>
    </cfRule>
    <cfRule type="containsText" dxfId="234" priority="269" operator="containsText" text="#N/A">
      <formula>NOT(ISERROR(SEARCH("#N/A",I414)))</formula>
    </cfRule>
  </conditionalFormatting>
  <conditionalFormatting sqref="I418">
    <cfRule type="containsErrors" dxfId="233" priority="266">
      <formula>ISERROR(I418)</formula>
    </cfRule>
    <cfRule type="containsText" dxfId="232" priority="267" operator="containsText" text="#N/A">
      <formula>NOT(ISERROR(SEARCH("#N/A",I418)))</formula>
    </cfRule>
  </conditionalFormatting>
  <conditionalFormatting sqref="I420">
    <cfRule type="containsErrors" dxfId="231" priority="264">
      <formula>ISERROR(I420)</formula>
    </cfRule>
    <cfRule type="containsText" dxfId="230" priority="265" operator="containsText" text="#N/A">
      <formula>NOT(ISERROR(SEARCH("#N/A",I420)))</formula>
    </cfRule>
  </conditionalFormatting>
  <conditionalFormatting sqref="I413">
    <cfRule type="containsErrors" dxfId="229" priority="260">
      <formula>ISERROR(I413)</formula>
    </cfRule>
    <cfRule type="containsText" dxfId="228" priority="261" operator="containsText" text="#N/A">
      <formula>NOT(ISERROR(SEARCH("#N/A",I413)))</formula>
    </cfRule>
  </conditionalFormatting>
  <conditionalFormatting sqref="I411">
    <cfRule type="containsErrors" dxfId="227" priority="258">
      <formula>ISERROR(I411)</formula>
    </cfRule>
    <cfRule type="containsText" dxfId="226" priority="259" operator="containsText" text="#N/A">
      <formula>NOT(ISERROR(SEARCH("#N/A",I411)))</formula>
    </cfRule>
  </conditionalFormatting>
  <conditionalFormatting sqref="I422:I427">
    <cfRule type="containsErrors" dxfId="225" priority="256">
      <formula>ISERROR(I422)</formula>
    </cfRule>
    <cfRule type="containsText" dxfId="224" priority="257" operator="containsText" text="#N/A">
      <formula>NOT(ISERROR(SEARCH("#N/A",I422)))</formula>
    </cfRule>
  </conditionalFormatting>
  <conditionalFormatting sqref="I440">
    <cfRule type="containsErrors" dxfId="223" priority="254">
      <formula>ISERROR(I440)</formula>
    </cfRule>
    <cfRule type="containsText" dxfId="222" priority="255" operator="containsText" text="#N/A">
      <formula>NOT(ISERROR(SEARCH("#N/A",I440)))</formula>
    </cfRule>
  </conditionalFormatting>
  <conditionalFormatting sqref="I439">
    <cfRule type="containsErrors" dxfId="221" priority="252">
      <formula>ISERROR(I439)</formula>
    </cfRule>
    <cfRule type="containsText" dxfId="220" priority="253" operator="containsText" text="#N/A">
      <formula>NOT(ISERROR(SEARCH("#N/A",I439)))</formula>
    </cfRule>
  </conditionalFormatting>
  <conditionalFormatting sqref="I443">
    <cfRule type="containsErrors" dxfId="219" priority="250">
      <formula>ISERROR(I443)</formula>
    </cfRule>
    <cfRule type="containsText" dxfId="218" priority="251" operator="containsText" text="#N/A">
      <formula>NOT(ISERROR(SEARCH("#N/A",I443)))</formula>
    </cfRule>
  </conditionalFormatting>
  <conditionalFormatting sqref="I445">
    <cfRule type="containsErrors" dxfId="217" priority="248">
      <formula>ISERROR(I445)</formula>
    </cfRule>
    <cfRule type="containsText" dxfId="216" priority="249" operator="containsText" text="#N/A">
      <formula>NOT(ISERROR(SEARCH("#N/A",I445)))</formula>
    </cfRule>
  </conditionalFormatting>
  <conditionalFormatting sqref="I438">
    <cfRule type="containsErrors" dxfId="215" priority="244">
      <formula>ISERROR(I438)</formula>
    </cfRule>
    <cfRule type="containsText" dxfId="214" priority="245" operator="containsText" text="#N/A">
      <formula>NOT(ISERROR(SEARCH("#N/A",I438)))</formula>
    </cfRule>
  </conditionalFormatting>
  <conditionalFormatting sqref="I436">
    <cfRule type="containsErrors" dxfId="213" priority="242">
      <formula>ISERROR(I436)</formula>
    </cfRule>
    <cfRule type="containsText" dxfId="212" priority="243" operator="containsText" text="#N/A">
      <formula>NOT(ISERROR(SEARCH("#N/A",I436)))</formula>
    </cfRule>
  </conditionalFormatting>
  <conditionalFormatting sqref="I447:I452">
    <cfRule type="containsErrors" dxfId="211" priority="240">
      <formula>ISERROR(I447)</formula>
    </cfRule>
    <cfRule type="containsText" dxfId="210" priority="241" operator="containsText" text="#N/A">
      <formula>NOT(ISERROR(SEARCH("#N/A",I447)))</formula>
    </cfRule>
  </conditionalFormatting>
  <conditionalFormatting sqref="I465">
    <cfRule type="containsErrors" dxfId="209" priority="238">
      <formula>ISERROR(I465)</formula>
    </cfRule>
    <cfRule type="containsText" dxfId="208" priority="239" operator="containsText" text="#N/A">
      <formula>NOT(ISERROR(SEARCH("#N/A",I465)))</formula>
    </cfRule>
  </conditionalFormatting>
  <conditionalFormatting sqref="I464">
    <cfRule type="containsErrors" dxfId="207" priority="236">
      <formula>ISERROR(I464)</formula>
    </cfRule>
    <cfRule type="containsText" dxfId="206" priority="237" operator="containsText" text="#N/A">
      <formula>NOT(ISERROR(SEARCH("#N/A",I464)))</formula>
    </cfRule>
  </conditionalFormatting>
  <conditionalFormatting sqref="I468">
    <cfRule type="containsErrors" dxfId="205" priority="234">
      <formula>ISERROR(I468)</formula>
    </cfRule>
    <cfRule type="containsText" dxfId="204" priority="235" operator="containsText" text="#N/A">
      <formula>NOT(ISERROR(SEARCH("#N/A",I468)))</formula>
    </cfRule>
  </conditionalFormatting>
  <conditionalFormatting sqref="I470">
    <cfRule type="containsErrors" dxfId="203" priority="232">
      <formula>ISERROR(I470)</formula>
    </cfRule>
    <cfRule type="containsText" dxfId="202" priority="233" operator="containsText" text="#N/A">
      <formula>NOT(ISERROR(SEARCH("#N/A",I470)))</formula>
    </cfRule>
  </conditionalFormatting>
  <conditionalFormatting sqref="I463">
    <cfRule type="containsErrors" dxfId="201" priority="228">
      <formula>ISERROR(I463)</formula>
    </cfRule>
    <cfRule type="containsText" dxfId="200" priority="229" operator="containsText" text="#N/A">
      <formula>NOT(ISERROR(SEARCH("#N/A",I463)))</formula>
    </cfRule>
  </conditionalFormatting>
  <conditionalFormatting sqref="I86:I90">
    <cfRule type="containsErrors" dxfId="199" priority="216">
      <formula>ISERROR(I86)</formula>
    </cfRule>
    <cfRule type="containsText" dxfId="198" priority="217" operator="containsText" text="#N/A">
      <formula>NOT(ISERROR(SEARCH("#N/A",I86)))</formula>
    </cfRule>
  </conditionalFormatting>
  <conditionalFormatting sqref="I472:I477">
    <cfRule type="containsErrors" dxfId="197" priority="224">
      <formula>ISERROR(I472)</formula>
    </cfRule>
    <cfRule type="containsText" dxfId="196" priority="225" operator="containsText" text="#N/A">
      <formula>NOT(ISERROR(SEARCH("#N/A",I472)))</formula>
    </cfRule>
  </conditionalFormatting>
  <conditionalFormatting sqref="I93:I104">
    <cfRule type="containsErrors" dxfId="195" priority="214">
      <formula>ISERROR(I93)</formula>
    </cfRule>
    <cfRule type="containsText" dxfId="194" priority="215" operator="containsText" text="#N/A">
      <formula>NOT(ISERROR(SEARCH("#N/A",I93)))</formula>
    </cfRule>
  </conditionalFormatting>
  <conditionalFormatting sqref="I461">
    <cfRule type="containsErrors" dxfId="193" priority="220">
      <formula>ISERROR(I461)</formula>
    </cfRule>
    <cfRule type="containsText" dxfId="192" priority="221" operator="containsText" text="#N/A">
      <formula>NOT(ISERROR(SEARCH("#N/A",I461)))</formula>
    </cfRule>
  </conditionalFormatting>
  <conditionalFormatting sqref="J67">
    <cfRule type="containsText" dxfId="191" priority="213" operator="containsText" text="#N/A">
      <formula>NOT(ISERROR(SEARCH("#N/A",J67)))</formula>
    </cfRule>
  </conditionalFormatting>
  <conditionalFormatting sqref="B80">
    <cfRule type="containsText" dxfId="188" priority="210" operator="containsText" text="#N/A">
      <formula>NOT(ISERROR(SEARCH("#N/A",B80)))</formula>
    </cfRule>
  </conditionalFormatting>
  <conditionalFormatting sqref="C80">
    <cfRule type="containsText" dxfId="187" priority="209" operator="containsText" text="#N/A">
      <formula>NOT(ISERROR(SEARCH("#N/A",C80)))</formula>
    </cfRule>
  </conditionalFormatting>
  <conditionalFormatting sqref="I146">
    <cfRule type="containsErrors" dxfId="186" priority="207">
      <formula>ISERROR(I146)</formula>
    </cfRule>
    <cfRule type="containsText" dxfId="185" priority="208" operator="containsText" text="#N/A">
      <formula>NOT(ISERROR(SEARCH("#N/A",I146)))</formula>
    </cfRule>
  </conditionalFormatting>
  <conditionalFormatting sqref="I171">
    <cfRule type="containsErrors" dxfId="184" priority="205">
      <formula>ISERROR(I171)</formula>
    </cfRule>
    <cfRule type="containsText" dxfId="183" priority="206" operator="containsText" text="#N/A">
      <formula>NOT(ISERROR(SEARCH("#N/A",I171)))</formula>
    </cfRule>
  </conditionalFormatting>
  <conditionalFormatting sqref="I196">
    <cfRule type="containsErrors" dxfId="182" priority="203">
      <formula>ISERROR(I196)</formula>
    </cfRule>
    <cfRule type="containsText" dxfId="181" priority="204" operator="containsText" text="#N/A">
      <formula>NOT(ISERROR(SEARCH("#N/A",I196)))</formula>
    </cfRule>
  </conditionalFormatting>
  <conditionalFormatting sqref="I221">
    <cfRule type="containsErrors" dxfId="180" priority="201">
      <formula>ISERROR(I221)</formula>
    </cfRule>
    <cfRule type="containsText" dxfId="179" priority="202" operator="containsText" text="#N/A">
      <formula>NOT(ISERROR(SEARCH("#N/A",I221)))</formula>
    </cfRule>
  </conditionalFormatting>
  <conditionalFormatting sqref="I246">
    <cfRule type="containsErrors" dxfId="178" priority="199">
      <formula>ISERROR(I246)</formula>
    </cfRule>
    <cfRule type="containsText" dxfId="177" priority="200" operator="containsText" text="#N/A">
      <formula>NOT(ISERROR(SEARCH("#N/A",I246)))</formula>
    </cfRule>
  </conditionalFormatting>
  <conditionalFormatting sqref="I271">
    <cfRule type="containsErrors" dxfId="176" priority="197">
      <formula>ISERROR(I271)</formula>
    </cfRule>
    <cfRule type="containsText" dxfId="175" priority="198" operator="containsText" text="#N/A">
      <formula>NOT(ISERROR(SEARCH("#N/A",I271)))</formula>
    </cfRule>
  </conditionalFormatting>
  <conditionalFormatting sqref="I296">
    <cfRule type="containsErrors" dxfId="174" priority="195">
      <formula>ISERROR(I296)</formula>
    </cfRule>
    <cfRule type="containsText" dxfId="173" priority="196" operator="containsText" text="#N/A">
      <formula>NOT(ISERROR(SEARCH("#N/A",I296)))</formula>
    </cfRule>
  </conditionalFormatting>
  <conditionalFormatting sqref="I321">
    <cfRule type="containsErrors" dxfId="172" priority="193">
      <formula>ISERROR(I321)</formula>
    </cfRule>
    <cfRule type="containsText" dxfId="171" priority="194" operator="containsText" text="#N/A">
      <formula>NOT(ISERROR(SEARCH("#N/A",I321)))</formula>
    </cfRule>
  </conditionalFormatting>
  <conditionalFormatting sqref="I346">
    <cfRule type="containsErrors" dxfId="170" priority="191">
      <formula>ISERROR(I346)</formula>
    </cfRule>
    <cfRule type="containsText" dxfId="169" priority="192" operator="containsText" text="#N/A">
      <formula>NOT(ISERROR(SEARCH("#N/A",I346)))</formula>
    </cfRule>
  </conditionalFormatting>
  <conditionalFormatting sqref="I371">
    <cfRule type="containsErrors" dxfId="168" priority="189">
      <formula>ISERROR(I371)</formula>
    </cfRule>
    <cfRule type="containsText" dxfId="167" priority="190" operator="containsText" text="#N/A">
      <formula>NOT(ISERROR(SEARCH("#N/A",I371)))</formula>
    </cfRule>
  </conditionalFormatting>
  <conditionalFormatting sqref="I396">
    <cfRule type="containsErrors" dxfId="166" priority="187">
      <formula>ISERROR(I396)</formula>
    </cfRule>
    <cfRule type="containsText" dxfId="165" priority="188" operator="containsText" text="#N/A">
      <formula>NOT(ISERROR(SEARCH("#N/A",I396)))</formula>
    </cfRule>
  </conditionalFormatting>
  <conditionalFormatting sqref="I421">
    <cfRule type="containsErrors" dxfId="164" priority="185">
      <formula>ISERROR(I421)</formula>
    </cfRule>
    <cfRule type="containsText" dxfId="163" priority="186" operator="containsText" text="#N/A">
      <formula>NOT(ISERROR(SEARCH("#N/A",I421)))</formula>
    </cfRule>
  </conditionalFormatting>
  <conditionalFormatting sqref="I446">
    <cfRule type="containsErrors" dxfId="162" priority="183">
      <formula>ISERROR(I446)</formula>
    </cfRule>
    <cfRule type="containsText" dxfId="161" priority="184" operator="containsText" text="#N/A">
      <formula>NOT(ISERROR(SEARCH("#N/A",I446)))</formula>
    </cfRule>
  </conditionalFormatting>
  <conditionalFormatting sqref="I471">
    <cfRule type="containsErrors" dxfId="160" priority="181">
      <formula>ISERROR(I471)</formula>
    </cfRule>
    <cfRule type="containsText" dxfId="159" priority="182" operator="containsText" text="#N/A">
      <formula>NOT(ISERROR(SEARCH("#N/A",I471)))</formula>
    </cfRule>
  </conditionalFormatting>
  <conditionalFormatting sqref="I2">
    <cfRule type="containsText" dxfId="158" priority="180" operator="containsText" text="#N/A">
      <formula>NOT(ISERROR(SEARCH("#N/A",I2)))</formula>
    </cfRule>
  </conditionalFormatting>
  <conditionalFormatting sqref="I153:I154">
    <cfRule type="containsErrors" dxfId="157" priority="150">
      <formula>ISERROR(I153)</formula>
    </cfRule>
    <cfRule type="containsText" dxfId="156" priority="151" operator="containsText" text="#N/A">
      <formula>NOT(ISERROR(SEARCH("#N/A",I153)))</formula>
    </cfRule>
  </conditionalFormatting>
  <conditionalFormatting sqref="I203:I204">
    <cfRule type="containsErrors" dxfId="155" priority="146">
      <formula>ISERROR(I203)</formula>
    </cfRule>
    <cfRule type="containsText" dxfId="154" priority="147" operator="containsText" text="#N/A">
      <formula>NOT(ISERROR(SEARCH("#N/A",I203)))</formula>
    </cfRule>
  </conditionalFormatting>
  <conditionalFormatting sqref="I228:I229">
    <cfRule type="containsErrors" dxfId="153" priority="144">
      <formula>ISERROR(I228)</formula>
    </cfRule>
    <cfRule type="containsText" dxfId="152" priority="145" operator="containsText" text="#N/A">
      <formula>NOT(ISERROR(SEARCH("#N/A",I228)))</formula>
    </cfRule>
  </conditionalFormatting>
  <conditionalFormatting sqref="I253:I254">
    <cfRule type="containsErrors" dxfId="151" priority="142">
      <formula>ISERROR(I253)</formula>
    </cfRule>
    <cfRule type="containsText" dxfId="150" priority="143" operator="containsText" text="#N/A">
      <formula>NOT(ISERROR(SEARCH("#N/A",I253)))</formula>
    </cfRule>
  </conditionalFormatting>
  <conditionalFormatting sqref="I278:I279">
    <cfRule type="containsErrors" dxfId="149" priority="140">
      <formula>ISERROR(I278)</formula>
    </cfRule>
    <cfRule type="containsText" dxfId="148" priority="141" operator="containsText" text="#N/A">
      <formula>NOT(ISERROR(SEARCH("#N/A",I278)))</formula>
    </cfRule>
  </conditionalFormatting>
  <conditionalFormatting sqref="I303:I304">
    <cfRule type="containsErrors" dxfId="147" priority="138">
      <formula>ISERROR(I303)</formula>
    </cfRule>
    <cfRule type="containsText" dxfId="146" priority="139" operator="containsText" text="#N/A">
      <formula>NOT(ISERROR(SEARCH("#N/A",I303)))</formula>
    </cfRule>
  </conditionalFormatting>
  <conditionalFormatting sqref="I328:I329">
    <cfRule type="containsErrors" dxfId="145" priority="136">
      <formula>ISERROR(I328)</formula>
    </cfRule>
    <cfRule type="containsText" dxfId="144" priority="137" operator="containsText" text="#N/A">
      <formula>NOT(ISERROR(SEARCH("#N/A",I328)))</formula>
    </cfRule>
  </conditionalFormatting>
  <conditionalFormatting sqref="I353:I354">
    <cfRule type="containsErrors" dxfId="143" priority="134">
      <formula>ISERROR(I353)</formula>
    </cfRule>
    <cfRule type="containsText" dxfId="142" priority="135" operator="containsText" text="#N/A">
      <formula>NOT(ISERROR(SEARCH("#N/A",I353)))</formula>
    </cfRule>
  </conditionalFormatting>
  <conditionalFormatting sqref="I378:I379">
    <cfRule type="containsErrors" dxfId="141" priority="132">
      <formula>ISERROR(I378)</formula>
    </cfRule>
    <cfRule type="containsText" dxfId="140" priority="133" operator="containsText" text="#N/A">
      <formula>NOT(ISERROR(SEARCH("#N/A",I378)))</formula>
    </cfRule>
  </conditionalFormatting>
  <conditionalFormatting sqref="I403:I404">
    <cfRule type="containsErrors" dxfId="139" priority="130">
      <formula>ISERROR(I403)</formula>
    </cfRule>
    <cfRule type="containsText" dxfId="138" priority="131" operator="containsText" text="#N/A">
      <formula>NOT(ISERROR(SEARCH("#N/A",I403)))</formula>
    </cfRule>
  </conditionalFormatting>
  <conditionalFormatting sqref="I428:I429">
    <cfRule type="containsErrors" dxfId="137" priority="128">
      <formula>ISERROR(I428)</formula>
    </cfRule>
    <cfRule type="containsText" dxfId="136" priority="129" operator="containsText" text="#N/A">
      <formula>NOT(ISERROR(SEARCH("#N/A",I428)))</formula>
    </cfRule>
  </conditionalFormatting>
  <conditionalFormatting sqref="I453:I454">
    <cfRule type="containsErrors" dxfId="135" priority="126">
      <formula>ISERROR(I453)</formula>
    </cfRule>
    <cfRule type="containsText" dxfId="134" priority="127" operator="containsText" text="#N/A">
      <formula>NOT(ISERROR(SEARCH("#N/A",I453)))</formula>
    </cfRule>
  </conditionalFormatting>
  <conditionalFormatting sqref="I478:I479">
    <cfRule type="containsErrors" dxfId="133" priority="124">
      <formula>ISERROR(I478)</formula>
    </cfRule>
    <cfRule type="containsText" dxfId="132" priority="125" operator="containsText" text="#N/A">
      <formula>NOT(ISERROR(SEARCH("#N/A",I478)))</formula>
    </cfRule>
  </conditionalFormatting>
  <conditionalFormatting sqref="I82">
    <cfRule type="containsErrors" dxfId="75" priority="66">
      <formula>ISERROR(I82)</formula>
    </cfRule>
    <cfRule type="containsText" dxfId="74" priority="67" operator="containsText" text="#N/A">
      <formula>NOT(ISERROR(SEARCH("#N/A",I82)))</formula>
    </cfRule>
  </conditionalFormatting>
  <conditionalFormatting sqref="I58">
    <cfRule type="containsErrors" dxfId="73" priority="64">
      <formula>ISERROR(I58)</formula>
    </cfRule>
    <cfRule type="containsText" dxfId="72" priority="65" operator="containsText" text="#N/A">
      <formula>NOT(ISERROR(SEARCH("#N/A",I58)))</formula>
    </cfRule>
  </conditionalFormatting>
  <conditionalFormatting sqref="I27">
    <cfRule type="containsErrors" dxfId="71" priority="62">
      <formula>ISERROR(I27)</formula>
    </cfRule>
    <cfRule type="containsText" dxfId="70" priority="63" operator="containsText" text="#N/A">
      <formula>NOT(ISERROR(SEARCH("#N/A",I27)))</formula>
    </cfRule>
  </conditionalFormatting>
  <conditionalFormatting sqref="I178:I179">
    <cfRule type="containsErrors" dxfId="69" priority="60">
      <formula>ISERROR(I178)</formula>
    </cfRule>
    <cfRule type="containsText" dxfId="68" priority="61" operator="containsText" text="#N/A">
      <formula>NOT(ISERROR(SEARCH("#N/A",I178)))</formula>
    </cfRule>
  </conditionalFormatting>
  <conditionalFormatting sqref="J153:J154">
    <cfRule type="containsErrors" dxfId="55" priority="55">
      <formula>ISERROR(J153)</formula>
    </cfRule>
    <cfRule type="containsText" dxfId="54" priority="56" operator="containsText" text="#N/A">
      <formula>NOT(ISERROR(SEARCH("#N/A",J153)))</formula>
    </cfRule>
  </conditionalFormatting>
  <conditionalFormatting sqref="J154">
    <cfRule type="containsErrors" dxfId="53" priority="53">
      <formula>ISERROR(J154)</formula>
    </cfRule>
    <cfRule type="containsText" dxfId="52" priority="54" operator="containsText" text="#N/A">
      <formula>NOT(ISERROR(SEARCH("#N/A",J154)))</formula>
    </cfRule>
  </conditionalFormatting>
  <conditionalFormatting sqref="J178:J179">
    <cfRule type="containsErrors" dxfId="51" priority="51">
      <formula>ISERROR(J178)</formula>
    </cfRule>
    <cfRule type="containsText" dxfId="50" priority="52" operator="containsText" text="#N/A">
      <formula>NOT(ISERROR(SEARCH("#N/A",J178)))</formula>
    </cfRule>
  </conditionalFormatting>
  <conditionalFormatting sqref="J179">
    <cfRule type="containsErrors" dxfId="49" priority="49">
      <formula>ISERROR(J179)</formula>
    </cfRule>
    <cfRule type="containsText" dxfId="48" priority="50" operator="containsText" text="#N/A">
      <formula>NOT(ISERROR(SEARCH("#N/A",J179)))</formula>
    </cfRule>
  </conditionalFormatting>
  <conditionalFormatting sqref="J203:J204">
    <cfRule type="containsErrors" dxfId="47" priority="47">
      <formula>ISERROR(J203)</formula>
    </cfRule>
    <cfRule type="containsText" dxfId="46" priority="48" operator="containsText" text="#N/A">
      <formula>NOT(ISERROR(SEARCH("#N/A",J203)))</formula>
    </cfRule>
  </conditionalFormatting>
  <conditionalFormatting sqref="J204">
    <cfRule type="containsErrors" dxfId="45" priority="45">
      <formula>ISERROR(J204)</formula>
    </cfRule>
    <cfRule type="containsText" dxfId="44" priority="46" operator="containsText" text="#N/A">
      <formula>NOT(ISERROR(SEARCH("#N/A",J204)))</formula>
    </cfRule>
  </conditionalFormatting>
  <conditionalFormatting sqref="J228:J229">
    <cfRule type="containsErrors" dxfId="43" priority="43">
      <formula>ISERROR(J228)</formula>
    </cfRule>
    <cfRule type="containsText" dxfId="42" priority="44" operator="containsText" text="#N/A">
      <formula>NOT(ISERROR(SEARCH("#N/A",J228)))</formula>
    </cfRule>
  </conditionalFormatting>
  <conditionalFormatting sqref="J229">
    <cfRule type="containsErrors" dxfId="41" priority="41">
      <formula>ISERROR(J229)</formula>
    </cfRule>
    <cfRule type="containsText" dxfId="40" priority="42" operator="containsText" text="#N/A">
      <formula>NOT(ISERROR(SEARCH("#N/A",J229)))</formula>
    </cfRule>
  </conditionalFormatting>
  <conditionalFormatting sqref="J253:J254">
    <cfRule type="containsErrors" dxfId="39" priority="39">
      <formula>ISERROR(J253)</formula>
    </cfRule>
    <cfRule type="containsText" dxfId="38" priority="40" operator="containsText" text="#N/A">
      <formula>NOT(ISERROR(SEARCH("#N/A",J253)))</formula>
    </cfRule>
  </conditionalFormatting>
  <conditionalFormatting sqref="J254">
    <cfRule type="containsErrors" dxfId="37" priority="37">
      <formula>ISERROR(J254)</formula>
    </cfRule>
    <cfRule type="containsText" dxfId="36" priority="38" operator="containsText" text="#N/A">
      <formula>NOT(ISERROR(SEARCH("#N/A",J254)))</formula>
    </cfRule>
  </conditionalFormatting>
  <conditionalFormatting sqref="J278:J279">
    <cfRule type="containsErrors" dxfId="35" priority="35">
      <formula>ISERROR(J278)</formula>
    </cfRule>
    <cfRule type="containsText" dxfId="34" priority="36" operator="containsText" text="#N/A">
      <formula>NOT(ISERROR(SEARCH("#N/A",J278)))</formula>
    </cfRule>
  </conditionalFormatting>
  <conditionalFormatting sqref="J279">
    <cfRule type="containsErrors" dxfId="33" priority="33">
      <formula>ISERROR(J279)</formula>
    </cfRule>
    <cfRule type="containsText" dxfId="32" priority="34" operator="containsText" text="#N/A">
      <formula>NOT(ISERROR(SEARCH("#N/A",J279)))</formula>
    </cfRule>
  </conditionalFormatting>
  <conditionalFormatting sqref="J303:J304">
    <cfRule type="containsErrors" dxfId="31" priority="31">
      <formula>ISERROR(J303)</formula>
    </cfRule>
    <cfRule type="containsText" dxfId="30" priority="32" operator="containsText" text="#N/A">
      <formula>NOT(ISERROR(SEARCH("#N/A",J303)))</formula>
    </cfRule>
  </conditionalFormatting>
  <conditionalFormatting sqref="J304">
    <cfRule type="containsErrors" dxfId="29" priority="29">
      <formula>ISERROR(J304)</formula>
    </cfRule>
    <cfRule type="containsText" dxfId="28" priority="30" operator="containsText" text="#N/A">
      <formula>NOT(ISERROR(SEARCH("#N/A",J304)))</formula>
    </cfRule>
  </conditionalFormatting>
  <conditionalFormatting sqref="J328:J329">
    <cfRule type="containsErrors" dxfId="27" priority="27">
      <formula>ISERROR(J328)</formula>
    </cfRule>
    <cfRule type="containsText" dxfId="26" priority="28" operator="containsText" text="#N/A">
      <formula>NOT(ISERROR(SEARCH("#N/A",J328)))</formula>
    </cfRule>
  </conditionalFormatting>
  <conditionalFormatting sqref="J329">
    <cfRule type="containsErrors" dxfId="25" priority="25">
      <formula>ISERROR(J329)</formula>
    </cfRule>
    <cfRule type="containsText" dxfId="24" priority="26" operator="containsText" text="#N/A">
      <formula>NOT(ISERROR(SEARCH("#N/A",J329)))</formula>
    </cfRule>
  </conditionalFormatting>
  <conditionalFormatting sqref="J353:J354">
    <cfRule type="containsErrors" dxfId="23" priority="23">
      <formula>ISERROR(J353)</formula>
    </cfRule>
    <cfRule type="containsText" dxfId="22" priority="24" operator="containsText" text="#N/A">
      <formula>NOT(ISERROR(SEARCH("#N/A",J353)))</formula>
    </cfRule>
  </conditionalFormatting>
  <conditionalFormatting sqref="J354">
    <cfRule type="containsErrors" dxfId="21" priority="21">
      <formula>ISERROR(J354)</formula>
    </cfRule>
    <cfRule type="containsText" dxfId="20" priority="22" operator="containsText" text="#N/A">
      <formula>NOT(ISERROR(SEARCH("#N/A",J354)))</formula>
    </cfRule>
  </conditionalFormatting>
  <conditionalFormatting sqref="J378:J379">
    <cfRule type="containsErrors" dxfId="19" priority="19">
      <formula>ISERROR(J378)</formula>
    </cfRule>
    <cfRule type="containsText" dxfId="18" priority="20" operator="containsText" text="#N/A">
      <formula>NOT(ISERROR(SEARCH("#N/A",J378)))</formula>
    </cfRule>
  </conditionalFormatting>
  <conditionalFormatting sqref="J379">
    <cfRule type="containsErrors" dxfId="17" priority="17">
      <formula>ISERROR(J379)</formula>
    </cfRule>
    <cfRule type="containsText" dxfId="16" priority="18" operator="containsText" text="#N/A">
      <formula>NOT(ISERROR(SEARCH("#N/A",J379)))</formula>
    </cfRule>
  </conditionalFormatting>
  <conditionalFormatting sqref="J403:J404">
    <cfRule type="containsErrors" dxfId="15" priority="15">
      <formula>ISERROR(J403)</formula>
    </cfRule>
    <cfRule type="containsText" dxfId="14" priority="16" operator="containsText" text="#N/A">
      <formula>NOT(ISERROR(SEARCH("#N/A",J403)))</formula>
    </cfRule>
  </conditionalFormatting>
  <conditionalFormatting sqref="J404">
    <cfRule type="containsErrors" dxfId="13" priority="13">
      <formula>ISERROR(J404)</formula>
    </cfRule>
    <cfRule type="containsText" dxfId="12" priority="14" operator="containsText" text="#N/A">
      <formula>NOT(ISERROR(SEARCH("#N/A",J404)))</formula>
    </cfRule>
  </conditionalFormatting>
  <conditionalFormatting sqref="J428:J429">
    <cfRule type="containsErrors" dxfId="11" priority="11">
      <formula>ISERROR(J428)</formula>
    </cfRule>
    <cfRule type="containsText" dxfId="10" priority="12" operator="containsText" text="#N/A">
      <formula>NOT(ISERROR(SEARCH("#N/A",J428)))</formula>
    </cfRule>
  </conditionalFormatting>
  <conditionalFormatting sqref="J429">
    <cfRule type="containsErrors" dxfId="9" priority="9">
      <formula>ISERROR(J429)</formula>
    </cfRule>
    <cfRule type="containsText" dxfId="8" priority="10" operator="containsText" text="#N/A">
      <formula>NOT(ISERROR(SEARCH("#N/A",J429)))</formula>
    </cfRule>
  </conditionalFormatting>
  <conditionalFormatting sqref="J453:J454">
    <cfRule type="containsErrors" dxfId="7" priority="7">
      <formula>ISERROR(J453)</formula>
    </cfRule>
    <cfRule type="containsText" dxfId="6" priority="8" operator="containsText" text="#N/A">
      <formula>NOT(ISERROR(SEARCH("#N/A",J453)))</formula>
    </cfRule>
  </conditionalFormatting>
  <conditionalFormatting sqref="J454">
    <cfRule type="containsErrors" dxfId="5" priority="5">
      <formula>ISERROR(J454)</formula>
    </cfRule>
    <cfRule type="containsText" dxfId="4" priority="6" operator="containsText" text="#N/A">
      <formula>NOT(ISERROR(SEARCH("#N/A",J454)))</formula>
    </cfRule>
  </conditionalFormatting>
  <conditionalFormatting sqref="J478:J479">
    <cfRule type="containsErrors" dxfId="3" priority="3">
      <formula>ISERROR(J478)</formula>
    </cfRule>
    <cfRule type="containsText" dxfId="2" priority="4" operator="containsText" text="#N/A">
      <formula>NOT(ISERROR(SEARCH("#N/A",J478)))</formula>
    </cfRule>
  </conditionalFormatting>
  <conditionalFormatting sqref="J479">
    <cfRule type="containsErrors" dxfId="1" priority="1">
      <formula>ISERROR(J479)</formula>
    </cfRule>
    <cfRule type="containsText" dxfId="0" priority="2" operator="containsText" text="#N/A">
      <formula>NOT(ISERROR(SEARCH("#N/A",J479)))</formula>
    </cfRule>
  </conditionalFormatting>
  <dataValidations count="17">
    <dataValidation type="list" allowBlank="1" showInputMessage="1" showErrorMessage="1" sqref="I524:K524">
      <formula1>#REF!</formula1>
    </dataValidation>
    <dataValidation type="list" allowBlank="1" showInputMessage="1" showErrorMessage="1" sqref="I525:K525 J448:K450 J423:K425 J398:K400 J373:K375 J348:K350 J323:K325 J298:K300 J273:K275 J248:K250 J223:K225 J198:K200 J173:K175 J148:K150 J123:K125 I519:K521 J473:K475 I689:K689 I680:K680 I672:K673 I505:K505 J10:K10 I595:K595 I573:K573 I570:K570 I567:K567 I558:K558 I529:K530 I513:K515">
      <formula1>#REF!</formula1>
    </dataValidation>
    <dataValidation type="list" allowBlank="1" showInputMessage="1" showErrorMessage="1" sqref="I119:K119 I394:K394 I369:K369 I344 I319:K319 I419:K419 I269:K269 I244:K244 I219:K219 I194:K194 I169:K169 I144:K144 I444:K444 K344 I294:K294 I469:K469">
      <formula1>$AD$7:$AD$7</formula1>
    </dataValidation>
    <dataValidation type="list" allowBlank="1" showInputMessage="1" showErrorMessage="1" sqref="K453 K428 K403 K378 K353 K328 K303 K278 K253 K228 K203 K178 K153 K128 K478">
      <formula1>$AE$7:$AE$7</formula1>
    </dataValidation>
    <dataValidation type="list" allowBlank="1" showInputMessage="1" showErrorMessage="1" sqref="I130:J133 I155:J158 I180:J183 I205:J208 I230:J233 I255:J258 I280:J283 I305:J308 I330:J333 I355:J358 I380:J383 I405:J408 I430:J433 I455:J458 K129:K133 K154:K158 K179:K183 K204:K208 K229:K233 K254:K258 K279:K283 K304:K308 K329:K333 K354:K358 K379:K383 K404:K408 K429:K433 K454:K458 K479:K483 I480:J483">
      <formula1>$AF$7:$AF$7</formula1>
    </dataValidation>
    <dataValidation type="list" allowBlank="1" showInputMessage="1" showErrorMessage="1" sqref="C118 C143 C168 C193 C218 C243 C268 C293 C318 C343 C368 C393 C418 C443 C468">
      <formula1>"M,F"</formula1>
    </dataValidation>
    <dataValidation type="list" allowBlank="1" showInputMessage="1" showErrorMessage="1" sqref="I764:K764">
      <formula1>$B$142:$B$143</formula1>
    </dataValidation>
    <dataValidation type="list" allowBlank="1" showInputMessage="1" showErrorMessage="1" sqref="C165 C465 C440 C415 C390 C365 C340 C315 C290 C265 C240 C215 C190">
      <formula1>$W$7:$W$14</formula1>
    </dataValidation>
    <dataValidation type="list" allowBlank="1" showInputMessage="1" showErrorMessage="1" sqref="I78">
      <formula1>DentalProduct</formula1>
    </dataValidation>
    <dataValidation type="list" allowBlank="1" showInputMessage="1" showErrorMessage="1" sqref="I68">
      <formula1>MedicalProduct</formula1>
    </dataValidation>
    <dataValidation allowBlank="1" showInputMessage="1" sqref="C33"/>
    <dataValidation type="list" allowBlank="1" showInputMessage="1" showErrorMessage="1" sqref="I64">
      <formula1>BilledCategoryOutpt</formula1>
    </dataValidation>
    <dataValidation type="list" allowBlank="1" showInputMessage="1" showErrorMessage="1" sqref="I67">
      <formula1>MedicalProductType</formula1>
    </dataValidation>
    <dataValidation type="list" allowBlank="1" showInputMessage="1" showErrorMessage="1" sqref="I77">
      <formula1>DentalProductType</formula1>
    </dataValidation>
    <dataValidation type="list" showInputMessage="1" showErrorMessage="1" sqref="I503:K503">
      <formula1>#REF!</formula1>
    </dataValidation>
    <dataValidation type="list" allowBlank="1" showInputMessage="1" showErrorMessage="1" sqref="I51">
      <formula1>$AT$10:$AT$59</formula1>
    </dataValidation>
    <dataValidation type="list" allowBlank="1" showInputMessage="1" showErrorMessage="1" sqref="I2">
      <formula1>"Ready for Carrier Entry, Pending"</formula1>
    </dataValidation>
  </dataValidations>
  <pageMargins left="0.7" right="0.7" top="0.75" bottom="0.75" header="0.3" footer="0.3"/>
  <pageSetup orientation="portrait" r:id="rId3"/>
  <legacyDrawing r:id="rId4"/>
  <extLst>
    <ext xmlns:x14="http://schemas.microsoft.com/office/spreadsheetml/2009/9/main" uri="{78C0D931-6437-407d-A8EE-F0AAD7539E65}">
      <x14:conditionalFormattings>
        <x14:conditionalFormatting xmlns:xm="http://schemas.microsoft.com/office/excel/2006/main">
          <x14:cfRule type="containsText" priority="719" operator="containsText" id="{9B5178DE-A6A4-4815-B54E-1E30DDED4DA6}">
            <xm:f>NOT(ISERROR(SEARCH("Please ignore, no Dental Plan for the group in BCBS",I77)))</xm:f>
            <xm:f>"Please ignore, no Dental Plan for the group in BCBS"</xm:f>
            <x14:dxf>
              <font>
                <color auto="1"/>
              </font>
              <fill>
                <patternFill>
                  <bgColor theme="2"/>
                </patternFill>
              </fill>
            </x14:dxf>
          </x14:cfRule>
          <xm:sqref>I77</xm:sqref>
        </x14:conditionalFormatting>
        <x14:conditionalFormatting xmlns:xm="http://schemas.microsoft.com/office/excel/2006/main">
          <x14:cfRule type="containsText" priority="716" operator="containsText" id="{42D47B8C-48A9-4C54-A4FD-9F1E76894FD2}">
            <xm:f>NOT(ISERROR(SEARCH("Please ignore, no Medical Plan for the group in BCBS",I67)))</xm:f>
            <xm:f>"Please ignore, no Medical Plan for the group in BCBS"</xm:f>
            <x14:dxf>
              <font>
                <color auto="1"/>
              </font>
              <fill>
                <patternFill>
                  <bgColor theme="2"/>
                </patternFill>
              </fill>
            </x14:dxf>
          </x14:cfRule>
          <xm:sqref>I67</xm:sqref>
        </x14:conditionalFormatting>
      </x14:conditionalFormattings>
    </ext>
    <ext xmlns:x14="http://schemas.microsoft.com/office/spreadsheetml/2009/9/main" uri="{CCE6A557-97BC-4b89-ADB6-D9C93CAAB3DF}">
      <x14:dataValidations xmlns:xm="http://schemas.microsoft.com/office/excel/2006/main" count="20">
        <x14:dataValidation type="list" allowBlank="1" showInputMessage="1" showErrorMessage="1">
          <x14:formula1>
            <xm:f>'Dropdown list'!$W$10:$W$13</xm:f>
          </x14:formula1>
          <xm:sqref>I61:K61</xm:sqref>
        </x14:dataValidation>
        <x14:dataValidation type="list" allowBlank="1" showInputMessage="1" showErrorMessage="1">
          <x14:formula1>
            <xm:f>'Dropdown list'!$AQ$10:$AQ$11</xm:f>
          </x14:formula1>
          <xm:sqref>I105:K108 I454 I129 I154 I179 I204 I229 I254 I279 I304 I329 I354 I379 I404 I429 I479</xm:sqref>
        </x14:dataValidation>
        <x14:dataValidation type="list" allowBlank="1" showInputMessage="1" showErrorMessage="1">
          <x14:formula1>
            <xm:f>'Dropdown list'!$Z$10:$Z$11</xm:f>
          </x14:formula1>
          <xm:sqref>I73:K73</xm:sqref>
        </x14:dataValidation>
        <x14:dataValidation type="list" allowBlank="1" showInputMessage="1" showErrorMessage="1">
          <x14:formula1>
            <xm:f>'Dropdown list'!$AA$10:$AA$11</xm:f>
          </x14:formula1>
          <xm:sqref>I75:K75</xm:sqref>
        </x14:dataValidation>
        <x14:dataValidation type="list" allowBlank="1" showInputMessage="1" showErrorMessage="1">
          <x14:formula1>
            <xm:f>'Dropdown list'!$T$10:$T$13</xm:f>
          </x14:formula1>
          <xm:sqref>I46:K46</xm:sqref>
        </x14:dataValidation>
        <x14:dataValidation type="list" allowBlank="1" showInputMessage="1" showErrorMessage="1">
          <x14:formula1>
            <xm:f>'Dropdown list'!$AB$11:$AB$18</xm:f>
          </x14:formula1>
          <xm:sqref>C115 I415 I440 C140 I140 I165 I190 I215 I240 I265 I290 I315 I340 I365 I390 I115 I465</xm:sqref>
        </x14:dataValidation>
        <x14:dataValidation type="list" allowBlank="1" showInputMessage="1" showErrorMessage="1">
          <x14:formula1>
            <xm:f>'Dropdown list'!$AU$10:$AU$59</xm:f>
          </x14:formula1>
          <xm:sqref>C51</xm:sqref>
        </x14:dataValidation>
        <x14:dataValidation type="list" allowBlank="1" showInputMessage="1" showErrorMessage="1">
          <x14:formula1>
            <xm:f>'Dropdown list'!$AR$10:$AR$498</xm:f>
          </x14:formula1>
          <xm:sqref>I41:K43 I123:I125 I148:I150 I173:I175 I198:I200 I223:I225 I248:I250 I273:I275 I298:I300 I323:I325 I348:I350 I373:I375 I398:I400 I423:I425 I448:I450 I473:I475</xm:sqref>
        </x14:dataValidation>
        <x14:dataValidation type="list" allowBlank="1" showInputMessage="1" showErrorMessage="1">
          <x14:formula1>
            <xm:f>'Dropdown list'!$B$10:$B$18</xm:f>
          </x14:formula1>
          <xm:sqref>I24</xm:sqref>
        </x14:dataValidation>
        <x14:dataValidation type="list" allowBlank="1" showInputMessage="1" showErrorMessage="1">
          <x14:formula1>
            <xm:f>'Dropdown list'!$D$10:$D$11</xm:f>
          </x14:formula1>
          <xm:sqref>I26</xm:sqref>
        </x14:dataValidation>
        <x14:dataValidation type="list" allowBlank="1" showInputMessage="1" showErrorMessage="1">
          <x14:formula1>
            <xm:f>'Dropdown list'!$K$10:$K$12</xm:f>
          </x14:formula1>
          <xm:sqref>I39:K39</xm:sqref>
        </x14:dataValidation>
        <x14:dataValidation type="list" allowBlank="1" showInputMessage="1" showErrorMessage="1">
          <x14:formula1>
            <xm:f>'Dropdown list'!$E$10:$E$12</xm:f>
          </x14:formula1>
          <xm:sqref>I27</xm:sqref>
        </x14:dataValidation>
        <x14:dataValidation type="list" allowBlank="1" showInputMessage="1" showErrorMessage="1">
          <x14:formula1>
            <xm:f>'Dropdown list'!$C$11:$C$28</xm:f>
          </x14:formula1>
          <xm:sqref>C25 I25</xm:sqref>
        </x14:dataValidation>
        <x14:dataValidation type="list" allowBlank="1" showInputMessage="1" showErrorMessage="1">
          <x14:formula1>
            <xm:f>'Dropdown list'!$G$10:$G$11</xm:f>
          </x14:formula1>
          <xm:sqref>C34</xm:sqref>
        </x14:dataValidation>
        <x14:dataValidation type="list" allowBlank="1" showInputMessage="1" showErrorMessage="1">
          <x14:formula1>
            <xm:f>'Dropdown list'!$I$10:$I$17</xm:f>
          </x14:formula1>
          <xm:sqref>C37</xm:sqref>
        </x14:dataValidation>
        <x14:dataValidation type="list" allowBlank="1" showInputMessage="1" showErrorMessage="1">
          <x14:formula1>
            <xm:f>'Dropdown list'!$Y$10:$Y$11</xm:f>
          </x14:formula1>
          <xm:sqref>I69 I79</xm:sqref>
        </x14:dataValidation>
        <x14:dataValidation type="list" allowBlank="1" showInputMessage="1" showErrorMessage="1">
          <x14:formula1>
            <xm:f>'Dropdown list'!$J$10:$J$14</xm:f>
          </x14:formula1>
          <xm:sqref>I37</xm:sqref>
        </x14:dataValidation>
        <x14:dataValidation type="list" allowBlank="1" showInputMessage="1" showErrorMessage="1">
          <x14:formula1>
            <xm:f>'Dropdown list'!$H$11:$H$12</xm:f>
          </x14:formula1>
          <xm:sqref>I34</xm:sqref>
        </x14:dataValidation>
        <x14:dataValidation type="list" allowBlank="1" showInputMessage="1" showErrorMessage="1">
          <x14:formula1>
            <xm:f>'Dropdown list'!$L$10:$L$12</xm:f>
          </x14:formula1>
          <xm:sqref>I40</xm:sqref>
        </x14:dataValidation>
        <x14:dataValidation type="list" allowBlank="1" showInputMessage="1" showErrorMessage="1">
          <x14:formula1>
            <xm:f>'Dropdown list'!$AP$10:$AP$11</xm:f>
          </x14:formula1>
          <xm:sqref>I428 I453 I128 I153 I178 I203 I228 I253 I278 I303 I328 I353 I378 I403 I478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744"/>
  <sheetViews>
    <sheetView showGridLines="0" topLeftCell="AB1" workbookViewId="0">
      <selection activeCell="AE52" sqref="AE52"/>
    </sheetView>
  </sheetViews>
  <sheetFormatPr defaultColWidth="45.7109375" defaultRowHeight="30" customHeight="1" x14ac:dyDescent="0.25"/>
  <cols>
    <col min="1" max="1" width="11.28515625" customWidth="1"/>
    <col min="2" max="2" width="30.7109375" customWidth="1"/>
    <col min="3" max="3" width="7.42578125" style="166" customWidth="1"/>
    <col min="4" max="10" width="30.7109375" style="171" customWidth="1"/>
    <col min="11" max="12" width="30.7109375" style="172" customWidth="1"/>
    <col min="13" max="13" width="2.140625" style="124" customWidth="1"/>
    <col min="14" max="16" width="30.7109375" style="173" customWidth="1"/>
    <col min="17" max="17" width="2.140625" style="166" customWidth="1"/>
    <col min="18" max="19" width="30.7109375" style="40" customWidth="1"/>
    <col min="20" max="20" width="2.140625" style="166" customWidth="1"/>
    <col min="21" max="22" width="30.7109375" style="7" customWidth="1"/>
    <col min="23" max="23" width="2.140625" style="166" customWidth="1"/>
    <col min="24" max="26" width="30.7109375" customWidth="1"/>
    <col min="27" max="27" width="2.7109375" customWidth="1"/>
    <col min="28" max="28" width="32.5703125" bestFit="1" customWidth="1"/>
    <col min="29" max="29" width="27.5703125" bestFit="1" customWidth="1"/>
    <col min="30" max="30" width="27.5703125" customWidth="1"/>
    <col min="31" max="31" width="41.85546875" bestFit="1" customWidth="1"/>
    <col min="33" max="33" width="45.7109375" style="279"/>
    <col min="34" max="34" width="4" customWidth="1"/>
    <col min="35" max="36" width="20.85546875" bestFit="1" customWidth="1"/>
    <col min="37" max="37" width="31.5703125" bestFit="1" customWidth="1"/>
    <col min="38" max="38" width="26" customWidth="1"/>
    <col min="39" max="39" width="23.140625" customWidth="1"/>
  </cols>
  <sheetData>
    <row r="1" spans="1:38" ht="30" customHeight="1" x14ac:dyDescent="0.25">
      <c r="A1" s="280"/>
      <c r="B1" s="196" t="s">
        <v>2888</v>
      </c>
      <c r="D1" s="1" t="s">
        <v>2148</v>
      </c>
      <c r="E1" s="183"/>
      <c r="F1" s="173"/>
      <c r="G1" s="183"/>
      <c r="H1" s="183"/>
      <c r="I1" s="183"/>
      <c r="J1" s="183"/>
      <c r="K1" s="173"/>
      <c r="L1" s="173"/>
      <c r="X1" s="1" t="s">
        <v>2147</v>
      </c>
      <c r="AB1" s="278" t="s">
        <v>2892</v>
      </c>
      <c r="AI1" t="s">
        <v>2896</v>
      </c>
    </row>
    <row r="2" spans="1:38" ht="30" customHeight="1" x14ac:dyDescent="0.25">
      <c r="A2" s="169"/>
      <c r="B2" s="196" t="s">
        <v>1129</v>
      </c>
      <c r="D2" s="195" t="s">
        <v>2585</v>
      </c>
      <c r="E2" s="195" t="s">
        <v>1337</v>
      </c>
      <c r="F2" s="195" t="s">
        <v>1338</v>
      </c>
      <c r="G2" s="195" t="s">
        <v>9</v>
      </c>
      <c r="H2" s="195" t="s">
        <v>1290</v>
      </c>
      <c r="I2" s="195" t="s">
        <v>1851</v>
      </c>
      <c r="J2" s="169" t="s">
        <v>2868</v>
      </c>
      <c r="K2" s="169" t="s">
        <v>1559</v>
      </c>
      <c r="L2" s="169" t="s">
        <v>338</v>
      </c>
      <c r="N2" s="195" t="s">
        <v>1337</v>
      </c>
      <c r="O2" s="195" t="s">
        <v>1559</v>
      </c>
      <c r="P2" s="195" t="s">
        <v>338</v>
      </c>
      <c r="R2" s="269" t="s">
        <v>1851</v>
      </c>
      <c r="S2" s="269" t="s">
        <v>1337</v>
      </c>
      <c r="U2" s="271" t="s">
        <v>1851</v>
      </c>
      <c r="V2" s="271" t="s">
        <v>2869</v>
      </c>
      <c r="X2" s="195" t="s">
        <v>2146</v>
      </c>
      <c r="Y2" s="195" t="s">
        <v>1613</v>
      </c>
      <c r="Z2" s="195" t="s">
        <v>1614</v>
      </c>
      <c r="AB2" s="277" t="s">
        <v>2884</v>
      </c>
      <c r="AC2" s="275" t="s">
        <v>2889</v>
      </c>
      <c r="AD2" s="277" t="s">
        <v>2897</v>
      </c>
      <c r="AE2" s="276" t="s">
        <v>2885</v>
      </c>
      <c r="AF2" s="276" t="s">
        <v>2886</v>
      </c>
      <c r="AG2" s="277" t="s">
        <v>2887</v>
      </c>
      <c r="AI2" s="277" t="s">
        <v>2894</v>
      </c>
      <c r="AJ2" s="277" t="s">
        <v>2895</v>
      </c>
      <c r="AK2" s="277" t="s">
        <v>2899</v>
      </c>
      <c r="AL2" s="276" t="s">
        <v>2893</v>
      </c>
    </row>
    <row r="3" spans="1:38" ht="30" hidden="1" customHeight="1" x14ac:dyDescent="0.25">
      <c r="A3" s="170"/>
      <c r="B3" s="196" t="s">
        <v>2150</v>
      </c>
      <c r="C3" s="234"/>
      <c r="D3" s="171" t="s">
        <v>1672</v>
      </c>
      <c r="E3" s="171" t="s">
        <v>70</v>
      </c>
      <c r="F3" s="171" t="s">
        <v>1760</v>
      </c>
      <c r="G3" s="171" t="s">
        <v>1291</v>
      </c>
      <c r="H3" s="171" t="s">
        <v>1291</v>
      </c>
      <c r="I3" s="171" t="s">
        <v>1292</v>
      </c>
      <c r="J3" s="172" t="str">
        <f>I3&amp;" - "&amp;E3</f>
        <v>50,000 FEET, INC. - BLUE OPTIONS</v>
      </c>
      <c r="K3" s="172" t="str">
        <f t="shared" ref="K3:K66" si="0">IFERROR(IF(VLOOKUP(E:E,N:O,2,0)="","",VLOOKUP(E:E,N:O,2,0)),"#N/A")</f>
        <v/>
      </c>
      <c r="L3" s="172" t="str">
        <f t="shared" ref="L3:L66" si="1">IFERROR(IF(VLOOKUP(E:E,N:P,3,0)="","#N/A",VLOOKUP(E:E,N:P,3,0)),"#N/A")</f>
        <v>Medical Plan</v>
      </c>
      <c r="N3" s="280" t="s">
        <v>71</v>
      </c>
      <c r="O3" s="280"/>
      <c r="P3" s="281" t="s">
        <v>2111</v>
      </c>
      <c r="R3" s="270" t="s">
        <v>1292</v>
      </c>
      <c r="S3" s="270" t="s">
        <v>70</v>
      </c>
      <c r="U3" s="220" t="s">
        <v>2506</v>
      </c>
      <c r="V3" s="220" t="s">
        <v>71</v>
      </c>
      <c r="X3" s="171" t="s">
        <v>1322</v>
      </c>
      <c r="Y3" s="171" t="s">
        <v>1617</v>
      </c>
      <c r="Z3" s="171" t="s">
        <v>1618</v>
      </c>
      <c r="AA3" s="177"/>
      <c r="AB3" s="280" t="s">
        <v>436</v>
      </c>
      <c r="AC3" s="280" t="s">
        <v>436</v>
      </c>
      <c r="AD3" s="280" t="str">
        <f>AB3&amp;AC3</f>
        <v>EmployeeEmployee</v>
      </c>
      <c r="AE3" s="280"/>
      <c r="AF3" s="280"/>
      <c r="AG3" s="280"/>
      <c r="AI3" s="280" t="s">
        <v>2197</v>
      </c>
      <c r="AJ3" s="280" t="s">
        <v>2197</v>
      </c>
      <c r="AK3" s="280" t="str">
        <f>AI3&amp;AJ3</f>
        <v>NN</v>
      </c>
      <c r="AL3" s="280"/>
    </row>
    <row r="4" spans="1:38" ht="30" hidden="1" customHeight="1" x14ac:dyDescent="0.25">
      <c r="A4" s="190"/>
      <c r="B4" s="190"/>
      <c r="D4" s="171" t="s">
        <v>1675</v>
      </c>
      <c r="E4" s="171" t="s">
        <v>1764</v>
      </c>
      <c r="F4" s="171" t="s">
        <v>1765</v>
      </c>
      <c r="G4" s="171" t="s">
        <v>1291</v>
      </c>
      <c r="H4" s="171" t="s">
        <v>1291</v>
      </c>
      <c r="I4" s="171" t="s">
        <v>1292</v>
      </c>
      <c r="J4" s="172" t="str">
        <f t="shared" ref="J4:J67" si="2">I4&amp;" - "&amp;E4</f>
        <v>50,000 FEET, INC. - BLUE PRECISION</v>
      </c>
      <c r="K4" s="172" t="str">
        <f t="shared" si="0"/>
        <v>BAV</v>
      </c>
      <c r="L4" s="172" t="str">
        <f t="shared" si="1"/>
        <v>Medical Plan</v>
      </c>
      <c r="N4" s="171" t="s">
        <v>70</v>
      </c>
      <c r="O4" s="171"/>
      <c r="P4" s="171" t="s">
        <v>2111</v>
      </c>
      <c r="R4" s="270" t="s">
        <v>1292</v>
      </c>
      <c r="S4" s="270" t="s">
        <v>1764</v>
      </c>
      <c r="U4" s="220" t="s">
        <v>2506</v>
      </c>
      <c r="V4" s="220" t="s">
        <v>1769</v>
      </c>
      <c r="X4" s="171" t="s">
        <v>1322</v>
      </c>
      <c r="Y4" s="171" t="s">
        <v>1620</v>
      </c>
      <c r="Z4" s="171" t="s">
        <v>1619</v>
      </c>
      <c r="AA4" s="177"/>
      <c r="AB4" s="280" t="s">
        <v>436</v>
      </c>
      <c r="AC4" s="280" t="s">
        <v>2186</v>
      </c>
      <c r="AD4" s="280" t="str">
        <f t="shared" ref="AD4:AD50" si="3">AB4&amp;AC4</f>
        <v>EmployeeEmployee + Family</v>
      </c>
      <c r="AE4" s="280" t="s">
        <v>2890</v>
      </c>
      <c r="AF4" s="280" t="s">
        <v>2890</v>
      </c>
      <c r="AG4" s="280" t="s">
        <v>2898</v>
      </c>
      <c r="AI4" s="280" t="s">
        <v>2197</v>
      </c>
      <c r="AJ4" s="280" t="s">
        <v>2196</v>
      </c>
      <c r="AK4" s="280" t="str">
        <f t="shared" ref="AK4:AK11" si="4">AI4&amp;AJ4</f>
        <v>NY</v>
      </c>
      <c r="AL4" s="280"/>
    </row>
    <row r="5" spans="1:38" ht="30" hidden="1" customHeight="1" x14ac:dyDescent="0.25">
      <c r="A5" s="190"/>
      <c r="B5" s="190"/>
      <c r="D5" s="171" t="s">
        <v>1674</v>
      </c>
      <c r="E5" s="171" t="s">
        <v>1761</v>
      </c>
      <c r="F5" s="171" t="s">
        <v>1763</v>
      </c>
      <c r="G5" s="171" t="s">
        <v>1291</v>
      </c>
      <c r="H5" s="171" t="s">
        <v>1291</v>
      </c>
      <c r="I5" s="171" t="s">
        <v>1292</v>
      </c>
      <c r="J5" s="172" t="str">
        <f t="shared" si="2"/>
        <v>50,000 FEET, INC. - PPO</v>
      </c>
      <c r="K5" s="172" t="str">
        <f t="shared" si="0"/>
        <v/>
      </c>
      <c r="L5" s="172" t="str">
        <f t="shared" si="1"/>
        <v>Medical Plan</v>
      </c>
      <c r="N5" s="171" t="s">
        <v>1761</v>
      </c>
      <c r="O5" s="171"/>
      <c r="P5" s="171" t="s">
        <v>2111</v>
      </c>
      <c r="R5" s="270" t="s">
        <v>1292</v>
      </c>
      <c r="S5" s="270" t="s">
        <v>1761</v>
      </c>
      <c r="U5" s="220" t="s">
        <v>2114</v>
      </c>
      <c r="V5" s="220" t="s">
        <v>71</v>
      </c>
      <c r="AA5" s="177"/>
      <c r="AB5" s="280" t="s">
        <v>436</v>
      </c>
      <c r="AC5" s="280" t="s">
        <v>2183</v>
      </c>
      <c r="AD5" s="280" t="str">
        <f t="shared" si="3"/>
        <v>EmployeeEmployee + Spouse</v>
      </c>
      <c r="AE5" s="280" t="s">
        <v>2890</v>
      </c>
      <c r="AF5" s="280" t="s">
        <v>2890</v>
      </c>
      <c r="AG5" s="280"/>
      <c r="AI5" s="280" t="s">
        <v>2197</v>
      </c>
      <c r="AJ5" s="280"/>
      <c r="AK5" s="280" t="str">
        <f t="shared" si="4"/>
        <v>N</v>
      </c>
      <c r="AL5" s="280"/>
    </row>
    <row r="6" spans="1:38" ht="30" hidden="1" customHeight="1" x14ac:dyDescent="0.25">
      <c r="A6" s="190"/>
      <c r="B6" s="190"/>
      <c r="D6" s="171" t="s">
        <v>1673</v>
      </c>
      <c r="E6" s="171" t="s">
        <v>1761</v>
      </c>
      <c r="F6" s="171" t="s">
        <v>1762</v>
      </c>
      <c r="G6" s="171" t="s">
        <v>1291</v>
      </c>
      <c r="H6" s="171" t="s">
        <v>1291</v>
      </c>
      <c r="I6" s="171" t="s">
        <v>1292</v>
      </c>
      <c r="J6" s="172" t="str">
        <f t="shared" si="2"/>
        <v>50,000 FEET, INC. - PPO</v>
      </c>
      <c r="K6" s="172" t="str">
        <f t="shared" si="0"/>
        <v/>
      </c>
      <c r="L6" s="172" t="str">
        <f t="shared" si="1"/>
        <v>Medical Plan</v>
      </c>
      <c r="M6" s="167"/>
      <c r="N6" s="171" t="s">
        <v>1772</v>
      </c>
      <c r="O6" s="171" t="s">
        <v>1774</v>
      </c>
      <c r="P6" s="171" t="s">
        <v>2111</v>
      </c>
      <c r="R6" s="270" t="s">
        <v>2781</v>
      </c>
      <c r="S6" s="270" t="s">
        <v>70</v>
      </c>
      <c r="U6" s="220" t="s">
        <v>2114</v>
      </c>
      <c r="V6" s="220" t="s">
        <v>1769</v>
      </c>
      <c r="AA6" s="177"/>
      <c r="AB6" s="280" t="s">
        <v>436</v>
      </c>
      <c r="AC6" s="280" t="s">
        <v>2185</v>
      </c>
      <c r="AD6" s="280" t="str">
        <f t="shared" si="3"/>
        <v>EmployeeEmployee + Child(ren)</v>
      </c>
      <c r="AE6" s="280" t="s">
        <v>2890</v>
      </c>
      <c r="AF6" s="280" t="s">
        <v>2890</v>
      </c>
      <c r="AG6" s="280" t="s">
        <v>2898</v>
      </c>
      <c r="AI6" s="280" t="s">
        <v>2196</v>
      </c>
      <c r="AJ6" s="280" t="s">
        <v>2197</v>
      </c>
      <c r="AK6" s="280" t="str">
        <f t="shared" si="4"/>
        <v>YN</v>
      </c>
      <c r="AL6" s="280"/>
    </row>
    <row r="7" spans="1:38" ht="30" hidden="1" customHeight="1" x14ac:dyDescent="0.25">
      <c r="A7" s="190"/>
      <c r="B7" s="190"/>
      <c r="D7" s="171" t="s">
        <v>2271</v>
      </c>
      <c r="E7" s="171" t="s">
        <v>70</v>
      </c>
      <c r="F7" s="171" t="s">
        <v>1836</v>
      </c>
      <c r="G7" s="171" t="s">
        <v>2271</v>
      </c>
      <c r="H7" s="171" t="s">
        <v>2271</v>
      </c>
      <c r="I7" s="171" t="s">
        <v>2781</v>
      </c>
      <c r="J7" s="172" t="str">
        <f t="shared" si="2"/>
        <v>ABO STAFFING MIDWEST INC. - BLUE OPTIONS</v>
      </c>
      <c r="K7" s="172" t="str">
        <f t="shared" si="0"/>
        <v/>
      </c>
      <c r="L7" s="172" t="str">
        <f t="shared" si="1"/>
        <v>Medical Plan</v>
      </c>
      <c r="M7" s="167"/>
      <c r="N7" s="171" t="s">
        <v>1764</v>
      </c>
      <c r="O7" s="171" t="s">
        <v>1664</v>
      </c>
      <c r="P7" s="171" t="s">
        <v>2111</v>
      </c>
      <c r="R7" s="270" t="s">
        <v>2782</v>
      </c>
      <c r="S7" s="270" t="s">
        <v>1772</v>
      </c>
      <c r="U7" s="220" t="s">
        <v>2115</v>
      </c>
      <c r="V7" s="220" t="s">
        <v>71</v>
      </c>
      <c r="AA7" s="177"/>
      <c r="AB7" s="280" t="s">
        <v>436</v>
      </c>
      <c r="AC7" s="280" t="s">
        <v>2876</v>
      </c>
      <c r="AD7" s="280" t="str">
        <f t="shared" si="3"/>
        <v>EmployeeEmployee + Domestic Partner</v>
      </c>
      <c r="AE7" s="280" t="s">
        <v>2890</v>
      </c>
      <c r="AF7" s="280" t="s">
        <v>2890</v>
      </c>
      <c r="AG7" s="280"/>
      <c r="AI7" s="280" t="s">
        <v>2196</v>
      </c>
      <c r="AJ7" s="280" t="s">
        <v>2196</v>
      </c>
      <c r="AK7" s="280" t="str">
        <f t="shared" si="4"/>
        <v>YY</v>
      </c>
      <c r="AL7" s="280" t="s">
        <v>2891</v>
      </c>
    </row>
    <row r="8" spans="1:38" ht="30" hidden="1" customHeight="1" x14ac:dyDescent="0.25">
      <c r="A8" s="190"/>
      <c r="B8" s="190"/>
      <c r="D8" s="171" t="s">
        <v>2271</v>
      </c>
      <c r="E8" s="171" t="s">
        <v>70</v>
      </c>
      <c r="F8" s="171" t="s">
        <v>2587</v>
      </c>
      <c r="G8" s="171" t="s">
        <v>2271</v>
      </c>
      <c r="H8" s="171" t="s">
        <v>2271</v>
      </c>
      <c r="I8" s="171" t="s">
        <v>2781</v>
      </c>
      <c r="J8" s="172" t="str">
        <f t="shared" si="2"/>
        <v>ABO STAFFING MIDWEST INC. - BLUE OPTIONS</v>
      </c>
      <c r="K8" s="172" t="str">
        <f t="shared" si="0"/>
        <v/>
      </c>
      <c r="L8" s="172" t="str">
        <f t="shared" si="1"/>
        <v>Medical Plan</v>
      </c>
      <c r="M8" s="167"/>
      <c r="N8" s="171" t="s">
        <v>1775</v>
      </c>
      <c r="O8" s="171"/>
      <c r="P8" s="171" t="s">
        <v>2111</v>
      </c>
      <c r="R8" s="270" t="s">
        <v>2782</v>
      </c>
      <c r="S8" s="270" t="s">
        <v>1761</v>
      </c>
      <c r="U8" s="220" t="s">
        <v>2115</v>
      </c>
      <c r="V8" s="220" t="s">
        <v>1769</v>
      </c>
      <c r="X8" s="2"/>
      <c r="AA8" s="177"/>
      <c r="AB8" s="280" t="s">
        <v>436</v>
      </c>
      <c r="AC8" s="280" t="s">
        <v>2184</v>
      </c>
      <c r="AD8" s="280" t="str">
        <f t="shared" si="3"/>
        <v>EmployeeEmployee + Child</v>
      </c>
      <c r="AE8" s="280" t="s">
        <v>2890</v>
      </c>
      <c r="AF8" s="280" t="s">
        <v>2890</v>
      </c>
      <c r="AG8" s="280" t="s">
        <v>2898</v>
      </c>
      <c r="AI8" s="280" t="s">
        <v>2196</v>
      </c>
      <c r="AJ8" s="280"/>
      <c r="AK8" s="280" t="str">
        <f t="shared" si="4"/>
        <v>Y</v>
      </c>
      <c r="AL8" s="280"/>
    </row>
    <row r="9" spans="1:38" ht="30" hidden="1" customHeight="1" x14ac:dyDescent="0.25">
      <c r="A9" s="190"/>
      <c r="B9" s="190"/>
      <c r="D9" s="171" t="s">
        <v>2271</v>
      </c>
      <c r="E9" s="171" t="s">
        <v>70</v>
      </c>
      <c r="F9" s="171" t="s">
        <v>2589</v>
      </c>
      <c r="G9" s="171" t="s">
        <v>2271</v>
      </c>
      <c r="H9" s="171" t="s">
        <v>2271</v>
      </c>
      <c r="I9" s="171" t="s">
        <v>2781</v>
      </c>
      <c r="J9" s="172" t="str">
        <f t="shared" si="2"/>
        <v>ABO STAFFING MIDWEST INC. - BLUE OPTIONS</v>
      </c>
      <c r="K9" s="172" t="str">
        <f t="shared" si="0"/>
        <v/>
      </c>
      <c r="L9" s="172" t="str">
        <f t="shared" si="1"/>
        <v>Medical Plan</v>
      </c>
      <c r="M9" s="167"/>
      <c r="N9" s="171" t="s">
        <v>67</v>
      </c>
      <c r="O9" s="171"/>
      <c r="P9" s="171" t="s">
        <v>2111</v>
      </c>
      <c r="R9" s="270" t="s">
        <v>2783</v>
      </c>
      <c r="S9" s="270" t="s">
        <v>1764</v>
      </c>
      <c r="U9" s="220" t="s">
        <v>2247</v>
      </c>
      <c r="V9" s="220" t="s">
        <v>71</v>
      </c>
      <c r="X9" s="2"/>
      <c r="AB9" s="280" t="s">
        <v>2186</v>
      </c>
      <c r="AC9" s="280" t="s">
        <v>436</v>
      </c>
      <c r="AD9" s="280" t="str">
        <f t="shared" si="3"/>
        <v>Employee + FamilyEmployee</v>
      </c>
      <c r="AE9" s="280" t="s">
        <v>2890</v>
      </c>
      <c r="AF9" s="280" t="s">
        <v>2890</v>
      </c>
      <c r="AG9" s="280" t="s">
        <v>2898</v>
      </c>
      <c r="AI9" s="280"/>
      <c r="AJ9" s="280" t="s">
        <v>2197</v>
      </c>
      <c r="AK9" s="280" t="str">
        <f t="shared" si="4"/>
        <v>N</v>
      </c>
      <c r="AL9" s="280"/>
    </row>
    <row r="10" spans="1:38" ht="30" customHeight="1" x14ac:dyDescent="0.25">
      <c r="A10" s="190"/>
      <c r="B10" s="190"/>
      <c r="D10" s="171" t="s">
        <v>2271</v>
      </c>
      <c r="E10" s="171" t="s">
        <v>70</v>
      </c>
      <c r="F10" s="171" t="s">
        <v>2588</v>
      </c>
      <c r="G10" s="171" t="s">
        <v>2271</v>
      </c>
      <c r="H10" s="171" t="s">
        <v>2271</v>
      </c>
      <c r="I10" s="171" t="s">
        <v>2781</v>
      </c>
      <c r="J10" s="172" t="str">
        <f t="shared" si="2"/>
        <v>ABO STAFFING MIDWEST INC. - BLUE OPTIONS</v>
      </c>
      <c r="K10" s="172" t="str">
        <f t="shared" si="0"/>
        <v/>
      </c>
      <c r="L10" s="172" t="str">
        <f t="shared" si="1"/>
        <v>Medical Plan</v>
      </c>
      <c r="M10"/>
      <c r="N10" s="171" t="s">
        <v>2109</v>
      </c>
      <c r="O10" s="171" t="s">
        <v>2109</v>
      </c>
      <c r="P10" s="171" t="s">
        <v>2111</v>
      </c>
      <c r="R10" s="270" t="s">
        <v>2783</v>
      </c>
      <c r="S10" s="270" t="s">
        <v>1761</v>
      </c>
      <c r="U10" s="220" t="s">
        <v>2247</v>
      </c>
      <c r="V10" s="220" t="s">
        <v>1769</v>
      </c>
      <c r="X10" s="2"/>
      <c r="AB10" s="280" t="s">
        <v>2186</v>
      </c>
      <c r="AC10" s="280" t="s">
        <v>2186</v>
      </c>
      <c r="AD10" s="280" t="str">
        <f t="shared" si="3"/>
        <v>Employee + FamilyEmployee + Family</v>
      </c>
      <c r="AE10" s="280"/>
      <c r="AF10" s="280" t="s">
        <v>2891</v>
      </c>
      <c r="AG10" s="280" t="s">
        <v>2898</v>
      </c>
      <c r="AI10" s="280"/>
      <c r="AJ10" s="280" t="s">
        <v>2196</v>
      </c>
      <c r="AK10" s="280" t="str">
        <f t="shared" si="4"/>
        <v>Y</v>
      </c>
      <c r="AL10" s="280"/>
    </row>
    <row r="11" spans="1:38" ht="30" hidden="1" customHeight="1" x14ac:dyDescent="0.25">
      <c r="D11" s="171" t="s">
        <v>2271</v>
      </c>
      <c r="E11" s="171" t="s">
        <v>1772</v>
      </c>
      <c r="F11" s="171" t="s">
        <v>2592</v>
      </c>
      <c r="G11" s="171" t="s">
        <v>2271</v>
      </c>
      <c r="H11" s="171" t="s">
        <v>2271</v>
      </c>
      <c r="I11" s="171" t="s">
        <v>2782</v>
      </c>
      <c r="J11" s="172" t="str">
        <f t="shared" si="2"/>
        <v>ADESSO SOLUTIONS - BLUE ADV HMO</v>
      </c>
      <c r="K11" s="172" t="str">
        <f t="shared" si="0"/>
        <v>ADV</v>
      </c>
      <c r="L11" s="172" t="str">
        <f t="shared" si="1"/>
        <v>Medical Plan</v>
      </c>
      <c r="M11" s="167"/>
      <c r="N11" s="171" t="s">
        <v>2110</v>
      </c>
      <c r="O11" s="171" t="s">
        <v>2109</v>
      </c>
      <c r="P11" s="171" t="s">
        <v>2111</v>
      </c>
      <c r="R11" s="270" t="s">
        <v>2784</v>
      </c>
      <c r="S11" s="270" t="s">
        <v>1772</v>
      </c>
      <c r="U11" s="220" t="s">
        <v>2789</v>
      </c>
      <c r="V11" s="220" t="s">
        <v>71</v>
      </c>
      <c r="X11" s="2"/>
      <c r="AB11" s="280" t="s">
        <v>2186</v>
      </c>
      <c r="AC11" s="280" t="s">
        <v>2183</v>
      </c>
      <c r="AD11" s="280" t="str">
        <f t="shared" si="3"/>
        <v>Employee + FamilyEmployee + Spouse</v>
      </c>
      <c r="AE11" s="280" t="s">
        <v>2890</v>
      </c>
      <c r="AF11" s="280" t="s">
        <v>2890</v>
      </c>
      <c r="AG11" s="280" t="s">
        <v>2898</v>
      </c>
      <c r="AI11" s="280"/>
      <c r="AJ11" s="280"/>
      <c r="AK11" s="280" t="str">
        <f t="shared" si="4"/>
        <v/>
      </c>
      <c r="AL11" s="280"/>
    </row>
    <row r="12" spans="1:38" ht="30" hidden="1" customHeight="1" x14ac:dyDescent="0.25">
      <c r="D12" s="171" t="s">
        <v>2271</v>
      </c>
      <c r="E12" s="171" t="s">
        <v>1761</v>
      </c>
      <c r="F12" s="171" t="s">
        <v>2590</v>
      </c>
      <c r="G12" s="171" t="s">
        <v>2271</v>
      </c>
      <c r="H12" s="171" t="s">
        <v>2271</v>
      </c>
      <c r="I12" s="171" t="s">
        <v>2782</v>
      </c>
      <c r="J12" s="172" t="str">
        <f t="shared" si="2"/>
        <v>ADESSO SOLUTIONS - PPO</v>
      </c>
      <c r="K12" s="172" t="str">
        <f t="shared" si="0"/>
        <v/>
      </c>
      <c r="L12" s="172" t="str">
        <f t="shared" si="1"/>
        <v>Medical Plan</v>
      </c>
      <c r="M12" s="167"/>
      <c r="N12" s="280" t="s">
        <v>71</v>
      </c>
      <c r="O12" s="280"/>
      <c r="P12" s="281" t="s">
        <v>2112</v>
      </c>
      <c r="R12" s="270" t="s">
        <v>2784</v>
      </c>
      <c r="S12" s="270" t="s">
        <v>70</v>
      </c>
      <c r="U12" s="220" t="s">
        <v>2789</v>
      </c>
      <c r="V12" s="220" t="s">
        <v>1769</v>
      </c>
      <c r="X12" s="2"/>
      <c r="AB12" s="280" t="s">
        <v>2186</v>
      </c>
      <c r="AC12" s="280" t="s">
        <v>2185</v>
      </c>
      <c r="AD12" s="280" t="str">
        <f t="shared" si="3"/>
        <v>Employee + FamilyEmployee + Child(ren)</v>
      </c>
      <c r="AE12" s="280" t="s">
        <v>2890</v>
      </c>
      <c r="AF12" s="280" t="s">
        <v>2890</v>
      </c>
      <c r="AG12" s="280" t="s">
        <v>2898</v>
      </c>
    </row>
    <row r="13" spans="1:38" ht="30" hidden="1" customHeight="1" x14ac:dyDescent="0.25">
      <c r="D13" s="171" t="s">
        <v>2271</v>
      </c>
      <c r="E13" s="171" t="s">
        <v>1761</v>
      </c>
      <c r="F13" s="171" t="s">
        <v>2591</v>
      </c>
      <c r="G13" s="171" t="s">
        <v>2271</v>
      </c>
      <c r="H13" s="171" t="s">
        <v>2271</v>
      </c>
      <c r="I13" s="171" t="s">
        <v>2782</v>
      </c>
      <c r="J13" s="172" t="str">
        <f t="shared" si="2"/>
        <v>ADESSO SOLUTIONS - PPO</v>
      </c>
      <c r="K13" s="172" t="str">
        <f t="shared" si="0"/>
        <v/>
      </c>
      <c r="L13" s="172" t="str">
        <f t="shared" si="1"/>
        <v>Medical Plan</v>
      </c>
      <c r="M13" s="167"/>
      <c r="N13" s="171" t="s">
        <v>1769</v>
      </c>
      <c r="O13" s="171"/>
      <c r="P13" s="171" t="s">
        <v>2112</v>
      </c>
      <c r="R13" s="270" t="s">
        <v>2784</v>
      </c>
      <c r="S13" s="270" t="s">
        <v>1761</v>
      </c>
      <c r="U13" s="220" t="s">
        <v>2508</v>
      </c>
      <c r="V13" s="220" t="s">
        <v>71</v>
      </c>
      <c r="X13" s="2"/>
      <c r="AB13" s="280" t="s">
        <v>2186</v>
      </c>
      <c r="AC13" s="280" t="s">
        <v>2876</v>
      </c>
      <c r="AD13" s="280" t="str">
        <f t="shared" si="3"/>
        <v>Employee + FamilyEmployee + Domestic Partner</v>
      </c>
      <c r="AE13" s="280" t="s">
        <v>2890</v>
      </c>
      <c r="AF13" s="280" t="s">
        <v>2890</v>
      </c>
      <c r="AG13" s="280" t="s">
        <v>2898</v>
      </c>
    </row>
    <row r="14" spans="1:38" ht="30" hidden="1" customHeight="1" x14ac:dyDescent="0.25">
      <c r="D14" s="171" t="s">
        <v>2271</v>
      </c>
      <c r="E14" s="171" t="s">
        <v>1764</v>
      </c>
      <c r="F14" s="171" t="s">
        <v>1829</v>
      </c>
      <c r="G14" s="171" t="s">
        <v>2271</v>
      </c>
      <c r="H14" s="171" t="s">
        <v>2271</v>
      </c>
      <c r="I14" s="171" t="s">
        <v>2783</v>
      </c>
      <c r="J14" s="172" t="str">
        <f t="shared" si="2"/>
        <v>ADESSO TECHNOLOGIES - BLUE PRECISION</v>
      </c>
      <c r="K14" s="172" t="str">
        <f t="shared" si="0"/>
        <v>BAV</v>
      </c>
      <c r="L14" s="172" t="str">
        <f t="shared" si="1"/>
        <v>Medical Plan</v>
      </c>
      <c r="M14" s="167"/>
      <c r="N14" s="171" t="s">
        <v>1831</v>
      </c>
      <c r="O14" s="171" t="s">
        <v>1831</v>
      </c>
      <c r="P14" s="171" t="s">
        <v>2112</v>
      </c>
      <c r="R14" s="270" t="s">
        <v>2562</v>
      </c>
      <c r="S14" s="270" t="s">
        <v>1761</v>
      </c>
      <c r="U14" s="220" t="s">
        <v>2508</v>
      </c>
      <c r="V14" s="220" t="s">
        <v>1769</v>
      </c>
      <c r="X14" s="2"/>
      <c r="AB14" s="280" t="s">
        <v>2186</v>
      </c>
      <c r="AC14" s="280" t="s">
        <v>2184</v>
      </c>
      <c r="AD14" s="280" t="str">
        <f t="shared" si="3"/>
        <v>Employee + FamilyEmployee + Child</v>
      </c>
      <c r="AE14" s="280" t="s">
        <v>2890</v>
      </c>
      <c r="AF14" s="280" t="s">
        <v>2890</v>
      </c>
      <c r="AG14" s="280" t="s">
        <v>2898</v>
      </c>
    </row>
    <row r="15" spans="1:38" ht="30" hidden="1" customHeight="1" x14ac:dyDescent="0.25">
      <c r="D15" s="171" t="s">
        <v>2271</v>
      </c>
      <c r="E15" s="171" t="s">
        <v>1761</v>
      </c>
      <c r="F15" s="171" t="s">
        <v>2411</v>
      </c>
      <c r="G15" s="171" t="s">
        <v>2271</v>
      </c>
      <c r="H15" s="171" t="s">
        <v>2271</v>
      </c>
      <c r="I15" s="171" t="s">
        <v>2783</v>
      </c>
      <c r="J15" s="172" t="str">
        <f t="shared" si="2"/>
        <v>ADESSO TECHNOLOGIES - PPO</v>
      </c>
      <c r="K15" s="172" t="str">
        <f t="shared" si="0"/>
        <v/>
      </c>
      <c r="L15" s="172" t="str">
        <f t="shared" si="1"/>
        <v>Medical Plan</v>
      </c>
      <c r="M15" s="167"/>
      <c r="R15" s="270" t="s">
        <v>2564</v>
      </c>
      <c r="S15" s="270" t="s">
        <v>1761</v>
      </c>
      <c r="U15" s="220" t="s">
        <v>2795</v>
      </c>
      <c r="V15" s="220" t="s">
        <v>71</v>
      </c>
      <c r="X15" s="2"/>
      <c r="AB15" s="280" t="s">
        <v>2183</v>
      </c>
      <c r="AC15" s="280" t="s">
        <v>436</v>
      </c>
      <c r="AD15" s="280" t="str">
        <f t="shared" si="3"/>
        <v>Employee + SpouseEmployee</v>
      </c>
      <c r="AE15" s="280" t="s">
        <v>2890</v>
      </c>
      <c r="AF15" s="280" t="s">
        <v>2890</v>
      </c>
      <c r="AG15" s="280"/>
    </row>
    <row r="16" spans="1:38" ht="30" hidden="1" customHeight="1" x14ac:dyDescent="0.25">
      <c r="D16" s="171" t="s">
        <v>2271</v>
      </c>
      <c r="E16" s="171" t="s">
        <v>1772</v>
      </c>
      <c r="F16" s="171" t="s">
        <v>2593</v>
      </c>
      <c r="G16" s="171" t="s">
        <v>2271</v>
      </c>
      <c r="H16" s="171" t="s">
        <v>2271</v>
      </c>
      <c r="I16" s="171" t="s">
        <v>2784</v>
      </c>
      <c r="J16" s="172" t="str">
        <f t="shared" si="2"/>
        <v>AETNA BUILDING SOLUTIONS, INC. - BLUE ADV HMO</v>
      </c>
      <c r="K16" s="172" t="str">
        <f t="shared" si="0"/>
        <v>ADV</v>
      </c>
      <c r="L16" s="172" t="str">
        <f t="shared" si="1"/>
        <v>Medical Plan</v>
      </c>
      <c r="M16" s="167"/>
      <c r="R16" s="270" t="s">
        <v>2506</v>
      </c>
      <c r="S16" s="270" t="s">
        <v>71</v>
      </c>
      <c r="U16" s="220" t="s">
        <v>2795</v>
      </c>
      <c r="V16" s="220" t="s">
        <v>1769</v>
      </c>
      <c r="X16" s="2"/>
      <c r="AB16" s="280" t="s">
        <v>2183</v>
      </c>
      <c r="AC16" s="280" t="s">
        <v>2186</v>
      </c>
      <c r="AD16" s="280" t="str">
        <f t="shared" si="3"/>
        <v>Employee + SpouseEmployee + Family</v>
      </c>
      <c r="AE16" s="280" t="s">
        <v>2890</v>
      </c>
      <c r="AF16" s="280" t="s">
        <v>2890</v>
      </c>
      <c r="AG16" s="280" t="s">
        <v>2898</v>
      </c>
    </row>
    <row r="17" spans="4:33" ht="30" hidden="1" customHeight="1" x14ac:dyDescent="0.25">
      <c r="D17" s="171" t="s">
        <v>2271</v>
      </c>
      <c r="E17" s="171" t="s">
        <v>70</v>
      </c>
      <c r="F17" s="171" t="s">
        <v>2594</v>
      </c>
      <c r="G17" s="171" t="s">
        <v>2271</v>
      </c>
      <c r="H17" s="171" t="s">
        <v>2271</v>
      </c>
      <c r="I17" s="171" t="s">
        <v>2784</v>
      </c>
      <c r="J17" s="172" t="str">
        <f t="shared" si="2"/>
        <v>AETNA BUILDING SOLUTIONS, INC. - BLUE OPTIONS</v>
      </c>
      <c r="K17" s="172" t="str">
        <f t="shared" si="0"/>
        <v/>
      </c>
      <c r="L17" s="172" t="str">
        <f t="shared" si="1"/>
        <v>Medical Plan</v>
      </c>
      <c r="M17" s="167"/>
      <c r="R17" s="270" t="s">
        <v>2506</v>
      </c>
      <c r="S17" s="270" t="s">
        <v>1764</v>
      </c>
      <c r="U17" s="220" t="s">
        <v>2796</v>
      </c>
      <c r="V17" s="220" t="s">
        <v>71</v>
      </c>
      <c r="X17" s="2"/>
      <c r="AB17" s="280" t="s">
        <v>2183</v>
      </c>
      <c r="AC17" s="280" t="s">
        <v>2183</v>
      </c>
      <c r="AD17" s="280" t="str">
        <f t="shared" si="3"/>
        <v>Employee + SpouseEmployee + Spouse</v>
      </c>
      <c r="AE17" s="280"/>
      <c r="AF17" s="280"/>
      <c r="AG17" s="280"/>
    </row>
    <row r="18" spans="4:33" ht="30" hidden="1" customHeight="1" x14ac:dyDescent="0.25">
      <c r="D18" s="171" t="s">
        <v>2271</v>
      </c>
      <c r="E18" s="171" t="s">
        <v>1761</v>
      </c>
      <c r="F18" s="171" t="s">
        <v>2595</v>
      </c>
      <c r="G18" s="171" t="s">
        <v>2271</v>
      </c>
      <c r="H18" s="171" t="s">
        <v>2271</v>
      </c>
      <c r="I18" s="171" t="s">
        <v>2784</v>
      </c>
      <c r="J18" s="172" t="str">
        <f t="shared" si="2"/>
        <v>AETNA BUILDING SOLUTIONS, INC. - PPO</v>
      </c>
      <c r="K18" s="172" t="str">
        <f t="shared" si="0"/>
        <v/>
      </c>
      <c r="L18" s="172" t="str">
        <f t="shared" si="1"/>
        <v>Medical Plan</v>
      </c>
      <c r="M18" s="167"/>
      <c r="R18" s="270" t="s">
        <v>2506</v>
      </c>
      <c r="S18" s="270" t="s">
        <v>1761</v>
      </c>
      <c r="U18" s="220" t="s">
        <v>2796</v>
      </c>
      <c r="V18" s="220" t="s">
        <v>1769</v>
      </c>
      <c r="X18" s="2"/>
      <c r="AB18" s="280" t="s">
        <v>2183</v>
      </c>
      <c r="AC18" s="280" t="s">
        <v>2185</v>
      </c>
      <c r="AD18" s="280" t="str">
        <f t="shared" si="3"/>
        <v>Employee + SpouseEmployee + Child(ren)</v>
      </c>
      <c r="AE18" s="280" t="s">
        <v>2890</v>
      </c>
      <c r="AF18" s="280" t="s">
        <v>2890</v>
      </c>
      <c r="AG18" s="280" t="s">
        <v>2898</v>
      </c>
    </row>
    <row r="19" spans="4:33" ht="30" hidden="1" customHeight="1" x14ac:dyDescent="0.25">
      <c r="D19" s="171" t="s">
        <v>2271</v>
      </c>
      <c r="E19" s="171" t="s">
        <v>1761</v>
      </c>
      <c r="F19" s="171" t="s">
        <v>2596</v>
      </c>
      <c r="G19" s="171" t="s">
        <v>2271</v>
      </c>
      <c r="H19" s="171" t="s">
        <v>2271</v>
      </c>
      <c r="I19" s="171" t="s">
        <v>2784</v>
      </c>
      <c r="J19" s="172" t="str">
        <f t="shared" si="2"/>
        <v>AETNA BUILDING SOLUTIONS, INC. - PPO</v>
      </c>
      <c r="K19" s="172" t="str">
        <f t="shared" si="0"/>
        <v/>
      </c>
      <c r="L19" s="172" t="str">
        <f t="shared" si="1"/>
        <v>Medical Plan</v>
      </c>
      <c r="M19" s="167"/>
      <c r="R19" s="270" t="s">
        <v>2114</v>
      </c>
      <c r="S19" s="270" t="s">
        <v>71</v>
      </c>
      <c r="U19" s="220" t="s">
        <v>2510</v>
      </c>
      <c r="V19" s="220" t="s">
        <v>71</v>
      </c>
      <c r="X19" s="2"/>
      <c r="AB19" s="280" t="s">
        <v>2183</v>
      </c>
      <c r="AC19" s="280" t="s">
        <v>2876</v>
      </c>
      <c r="AD19" s="280" t="str">
        <f t="shared" si="3"/>
        <v>Employee + SpouseEmployee + Domestic Partner</v>
      </c>
      <c r="AE19" s="280" t="s">
        <v>2890</v>
      </c>
      <c r="AF19" s="280" t="s">
        <v>2890</v>
      </c>
      <c r="AG19" s="280"/>
    </row>
    <row r="20" spans="4:33" ht="30" hidden="1" customHeight="1" x14ac:dyDescent="0.25">
      <c r="D20" s="171" t="s">
        <v>2271</v>
      </c>
      <c r="E20" s="171" t="s">
        <v>1761</v>
      </c>
      <c r="F20" s="171" t="s">
        <v>2373</v>
      </c>
      <c r="G20" s="171" t="s">
        <v>2561</v>
      </c>
      <c r="H20" s="171" t="s">
        <v>2271</v>
      </c>
      <c r="I20" s="171" t="s">
        <v>2562</v>
      </c>
      <c r="J20" s="172" t="str">
        <f t="shared" si="2"/>
        <v>ALAN D. LASKO AND ASSOCIATES, P. C. - PPO</v>
      </c>
      <c r="K20" s="172" t="str">
        <f t="shared" si="0"/>
        <v/>
      </c>
      <c r="L20" s="172" t="str">
        <f t="shared" si="1"/>
        <v>Medical Plan</v>
      </c>
      <c r="M20" s="167"/>
      <c r="R20" s="270" t="s">
        <v>2114</v>
      </c>
      <c r="S20" s="270" t="s">
        <v>1761</v>
      </c>
      <c r="U20" s="220" t="s">
        <v>2510</v>
      </c>
      <c r="V20" s="220" t="s">
        <v>1769</v>
      </c>
      <c r="X20" s="2"/>
      <c r="AB20" s="280" t="s">
        <v>2183</v>
      </c>
      <c r="AC20" s="280" t="s">
        <v>2184</v>
      </c>
      <c r="AD20" s="280" t="str">
        <f t="shared" si="3"/>
        <v>Employee + SpouseEmployee + Child</v>
      </c>
      <c r="AE20" s="280" t="s">
        <v>2890</v>
      </c>
      <c r="AF20" s="280" t="s">
        <v>2890</v>
      </c>
      <c r="AG20" s="280" t="s">
        <v>2898</v>
      </c>
    </row>
    <row r="21" spans="4:33" ht="30" hidden="1" customHeight="1" x14ac:dyDescent="0.25">
      <c r="D21" s="171" t="s">
        <v>2271</v>
      </c>
      <c r="E21" s="171" t="s">
        <v>1761</v>
      </c>
      <c r="F21" s="171" t="s">
        <v>2374</v>
      </c>
      <c r="G21" s="171" t="s">
        <v>2563</v>
      </c>
      <c r="H21" s="171" t="s">
        <v>2271</v>
      </c>
      <c r="I21" s="171" t="s">
        <v>2564</v>
      </c>
      <c r="J21" s="172" t="str">
        <f t="shared" si="2"/>
        <v>ALLIUM PARTNERS LLC - PPO</v>
      </c>
      <c r="K21" s="172" t="str">
        <f t="shared" si="0"/>
        <v/>
      </c>
      <c r="L21" s="172" t="str">
        <f t="shared" si="1"/>
        <v>Medical Plan</v>
      </c>
      <c r="M21" s="167"/>
      <c r="R21" s="270" t="s">
        <v>2785</v>
      </c>
      <c r="S21" s="270" t="s">
        <v>1772</v>
      </c>
      <c r="U21" s="220" t="s">
        <v>2254</v>
      </c>
      <c r="V21" s="220" t="s">
        <v>71</v>
      </c>
      <c r="X21" s="2"/>
      <c r="AB21" s="280" t="s">
        <v>2185</v>
      </c>
      <c r="AC21" s="280" t="s">
        <v>436</v>
      </c>
      <c r="AD21" s="280" t="str">
        <f t="shared" si="3"/>
        <v>Employee + Child(ren)Employee</v>
      </c>
      <c r="AE21" s="280" t="s">
        <v>2890</v>
      </c>
      <c r="AF21" s="280" t="s">
        <v>2890</v>
      </c>
      <c r="AG21" s="280" t="s">
        <v>2898</v>
      </c>
    </row>
    <row r="22" spans="4:33" ht="30" hidden="1" customHeight="1" x14ac:dyDescent="0.25">
      <c r="D22" s="171" t="s">
        <v>2271</v>
      </c>
      <c r="E22" s="171" t="s">
        <v>71</v>
      </c>
      <c r="G22" s="171" t="s">
        <v>2505</v>
      </c>
      <c r="H22" s="171" t="s">
        <v>2271</v>
      </c>
      <c r="I22" s="171" t="s">
        <v>2506</v>
      </c>
      <c r="J22" s="172" t="str">
        <f t="shared" si="2"/>
        <v>AMERICAN STREET CAPITAL LLC - No Coverage</v>
      </c>
      <c r="K22" s="172" t="str">
        <f t="shared" si="0"/>
        <v/>
      </c>
      <c r="L22" s="172" t="str">
        <f t="shared" si="1"/>
        <v>Medical Plan</v>
      </c>
      <c r="M22" s="167"/>
      <c r="R22" s="270" t="s">
        <v>2785</v>
      </c>
      <c r="S22" s="270" t="s">
        <v>1761</v>
      </c>
      <c r="U22" s="220" t="s">
        <v>2254</v>
      </c>
      <c r="V22" s="220" t="s">
        <v>1769</v>
      </c>
      <c r="X22" s="2"/>
      <c r="AB22" s="280" t="s">
        <v>2185</v>
      </c>
      <c r="AC22" s="280" t="s">
        <v>2186</v>
      </c>
      <c r="AD22" s="280" t="str">
        <f t="shared" si="3"/>
        <v>Employee + Child(ren)Employee + Family</v>
      </c>
      <c r="AE22" s="280" t="s">
        <v>2890</v>
      </c>
      <c r="AF22" s="280" t="s">
        <v>2890</v>
      </c>
      <c r="AG22" s="280" t="s">
        <v>2898</v>
      </c>
    </row>
    <row r="23" spans="4:33" ht="30" hidden="1" customHeight="1" x14ac:dyDescent="0.25">
      <c r="D23" s="171" t="s">
        <v>2271</v>
      </c>
      <c r="E23" s="171" t="s">
        <v>1764</v>
      </c>
      <c r="F23" s="171" t="s">
        <v>2312</v>
      </c>
      <c r="G23" s="171" t="s">
        <v>2505</v>
      </c>
      <c r="H23" s="171" t="s">
        <v>2271</v>
      </c>
      <c r="I23" s="171" t="s">
        <v>2506</v>
      </c>
      <c r="J23" s="172" t="str">
        <f t="shared" si="2"/>
        <v>AMERICAN STREET CAPITAL LLC - BLUE PRECISION</v>
      </c>
      <c r="K23" s="172" t="str">
        <f t="shared" si="0"/>
        <v>BAV</v>
      </c>
      <c r="L23" s="172" t="str">
        <f t="shared" si="1"/>
        <v>Medical Plan</v>
      </c>
      <c r="M23" s="167"/>
      <c r="R23" s="270" t="s">
        <v>2786</v>
      </c>
      <c r="S23" s="270" t="s">
        <v>1761</v>
      </c>
      <c r="U23" s="220" t="s">
        <v>2801</v>
      </c>
      <c r="V23" s="220" t="s">
        <v>71</v>
      </c>
      <c r="X23" s="2"/>
      <c r="AB23" s="280" t="s">
        <v>2185</v>
      </c>
      <c r="AC23" s="280" t="s">
        <v>2183</v>
      </c>
      <c r="AD23" s="280" t="str">
        <f t="shared" si="3"/>
        <v>Employee + Child(ren)Employee + Spouse</v>
      </c>
      <c r="AE23" s="280" t="s">
        <v>2890</v>
      </c>
      <c r="AF23" s="280" t="s">
        <v>2890</v>
      </c>
      <c r="AG23" s="280" t="s">
        <v>2898</v>
      </c>
    </row>
    <row r="24" spans="4:33" ht="30" customHeight="1" x14ac:dyDescent="0.25">
      <c r="D24" s="171" t="s">
        <v>2271</v>
      </c>
      <c r="E24" s="171" t="s">
        <v>1769</v>
      </c>
      <c r="F24" s="171" t="s">
        <v>2345</v>
      </c>
      <c r="G24" s="171" t="s">
        <v>2505</v>
      </c>
      <c r="H24" s="171" t="s">
        <v>2271</v>
      </c>
      <c r="I24" s="171" t="s">
        <v>2506</v>
      </c>
      <c r="J24" s="172" t="str">
        <f t="shared" si="2"/>
        <v>AMERICAN STREET CAPITAL LLC - DENTAL</v>
      </c>
      <c r="K24" s="172" t="str">
        <f t="shared" si="0"/>
        <v/>
      </c>
      <c r="L24" s="172" t="str">
        <f t="shared" si="1"/>
        <v>Dental Plan</v>
      </c>
      <c r="M24" s="167"/>
      <c r="R24" s="270" t="s">
        <v>1294</v>
      </c>
      <c r="S24" s="270" t="s">
        <v>1772</v>
      </c>
      <c r="U24" s="220" t="s">
        <v>2801</v>
      </c>
      <c r="V24" s="220" t="s">
        <v>1769</v>
      </c>
      <c r="X24" s="2"/>
      <c r="AB24" s="280" t="s">
        <v>2185</v>
      </c>
      <c r="AC24" s="280" t="s">
        <v>2185</v>
      </c>
      <c r="AD24" s="280" t="str">
        <f t="shared" si="3"/>
        <v>Employee + Child(ren)Employee + Child(ren)</v>
      </c>
      <c r="AE24" s="280"/>
      <c r="AF24" s="280" t="s">
        <v>2891</v>
      </c>
      <c r="AG24" s="280" t="s">
        <v>2898</v>
      </c>
    </row>
    <row r="25" spans="4:33" ht="30" hidden="1" customHeight="1" x14ac:dyDescent="0.25">
      <c r="D25" s="171" t="s">
        <v>2271</v>
      </c>
      <c r="E25" s="171" t="s">
        <v>1761</v>
      </c>
      <c r="F25" s="171" t="s">
        <v>2375</v>
      </c>
      <c r="G25" s="171" t="s">
        <v>2505</v>
      </c>
      <c r="H25" s="171" t="s">
        <v>2271</v>
      </c>
      <c r="I25" s="171" t="s">
        <v>2506</v>
      </c>
      <c r="J25" s="172" t="str">
        <f t="shared" si="2"/>
        <v>AMERICAN STREET CAPITAL LLC - PPO</v>
      </c>
      <c r="K25" s="172" t="str">
        <f t="shared" si="0"/>
        <v/>
      </c>
      <c r="L25" s="172" t="str">
        <f t="shared" si="1"/>
        <v>Medical Plan</v>
      </c>
      <c r="M25" s="167"/>
      <c r="R25" s="270" t="s">
        <v>1294</v>
      </c>
      <c r="S25" s="270" t="s">
        <v>1775</v>
      </c>
      <c r="U25" s="220" t="s">
        <v>2802</v>
      </c>
      <c r="V25" s="220" t="s">
        <v>71</v>
      </c>
      <c r="X25" s="2"/>
      <c r="AB25" s="280" t="s">
        <v>2185</v>
      </c>
      <c r="AC25" s="280" t="s">
        <v>2876</v>
      </c>
      <c r="AD25" s="280" t="str">
        <f t="shared" si="3"/>
        <v>Employee + Child(ren)Employee + Domestic Partner</v>
      </c>
      <c r="AE25" s="280" t="s">
        <v>2890</v>
      </c>
      <c r="AF25" s="280" t="s">
        <v>2890</v>
      </c>
      <c r="AG25" s="280" t="s">
        <v>2898</v>
      </c>
    </row>
    <row r="26" spans="4:33" ht="30" hidden="1" customHeight="1" x14ac:dyDescent="0.25">
      <c r="D26" s="171" t="s">
        <v>2271</v>
      </c>
      <c r="E26" s="171" t="s">
        <v>1761</v>
      </c>
      <c r="F26" s="171" t="s">
        <v>2126</v>
      </c>
      <c r="G26" s="171" t="s">
        <v>2505</v>
      </c>
      <c r="H26" s="171" t="s">
        <v>2271</v>
      </c>
      <c r="I26" s="171" t="s">
        <v>2506</v>
      </c>
      <c r="J26" s="172" t="str">
        <f t="shared" si="2"/>
        <v>AMERICAN STREET CAPITAL LLC - PPO</v>
      </c>
      <c r="K26" s="172" t="str">
        <f t="shared" si="0"/>
        <v/>
      </c>
      <c r="L26" s="172" t="str">
        <f t="shared" si="1"/>
        <v>Medical Plan</v>
      </c>
      <c r="M26" s="167"/>
      <c r="R26" s="270" t="s">
        <v>1294</v>
      </c>
      <c r="S26" s="270" t="s">
        <v>70</v>
      </c>
      <c r="U26" s="220" t="s">
        <v>2802</v>
      </c>
      <c r="V26" s="220" t="s">
        <v>1769</v>
      </c>
      <c r="X26" s="2"/>
      <c r="AB26" s="280" t="s">
        <v>2185</v>
      </c>
      <c r="AC26" s="280" t="s">
        <v>2184</v>
      </c>
      <c r="AD26" s="280" t="str">
        <f t="shared" si="3"/>
        <v>Employee + Child(ren)Employee + Child</v>
      </c>
      <c r="AE26" s="280"/>
      <c r="AF26" s="280" t="s">
        <v>2890</v>
      </c>
      <c r="AG26" s="280" t="s">
        <v>2898</v>
      </c>
    </row>
    <row r="27" spans="4:33" ht="30" hidden="1" customHeight="1" x14ac:dyDescent="0.25">
      <c r="D27" s="171" t="s">
        <v>2271</v>
      </c>
      <c r="E27" s="171" t="s">
        <v>71</v>
      </c>
      <c r="G27" s="171" t="e">
        <v>#N/A</v>
      </c>
      <c r="H27" s="171" t="s">
        <v>1849</v>
      </c>
      <c r="I27" s="171" t="s">
        <v>2114</v>
      </c>
      <c r="J27" s="172" t="str">
        <f t="shared" si="2"/>
        <v>AVANTE HEALTH SOLUTIONS - No Coverage</v>
      </c>
      <c r="K27" s="172" t="str">
        <f t="shared" si="0"/>
        <v/>
      </c>
      <c r="L27" s="172" t="str">
        <f t="shared" si="1"/>
        <v>Medical Plan</v>
      </c>
      <c r="M27" s="167"/>
      <c r="R27" s="270" t="s">
        <v>1294</v>
      </c>
      <c r="S27" s="270" t="s">
        <v>1761</v>
      </c>
      <c r="U27" s="220" t="s">
        <v>2806</v>
      </c>
      <c r="V27" s="220" t="s">
        <v>71</v>
      </c>
      <c r="X27" s="2"/>
      <c r="AB27" s="280" t="s">
        <v>2876</v>
      </c>
      <c r="AC27" s="280" t="s">
        <v>436</v>
      </c>
      <c r="AD27" s="280" t="str">
        <f t="shared" si="3"/>
        <v>Employee + Domestic PartnerEmployee</v>
      </c>
      <c r="AE27" s="280" t="s">
        <v>2890</v>
      </c>
      <c r="AF27" s="280" t="s">
        <v>2890</v>
      </c>
      <c r="AG27" s="280"/>
    </row>
    <row r="28" spans="4:33" ht="30" hidden="1" customHeight="1" x14ac:dyDescent="0.25">
      <c r="D28" s="171" t="s">
        <v>1680</v>
      </c>
      <c r="E28" s="171" t="s">
        <v>1769</v>
      </c>
      <c r="F28" s="171" t="s">
        <v>1771</v>
      </c>
      <c r="G28" s="171" t="e">
        <v>#N/A</v>
      </c>
      <c r="H28" s="171" t="s">
        <v>1849</v>
      </c>
      <c r="I28" s="171" t="s">
        <v>2114</v>
      </c>
      <c r="J28" s="172" t="str">
        <f t="shared" si="2"/>
        <v>AVANTE HEALTH SOLUTIONS - DENTAL</v>
      </c>
      <c r="K28" s="172" t="str">
        <f t="shared" si="0"/>
        <v/>
      </c>
      <c r="L28" s="172" t="str">
        <f t="shared" si="1"/>
        <v>Dental Plan</v>
      </c>
      <c r="M28" s="167"/>
      <c r="R28" s="270" t="s">
        <v>2115</v>
      </c>
      <c r="S28" s="270" t="s">
        <v>71</v>
      </c>
      <c r="U28" s="220" t="s">
        <v>2806</v>
      </c>
      <c r="V28" s="220" t="s">
        <v>1769</v>
      </c>
      <c r="X28" s="2"/>
      <c r="AB28" s="280" t="s">
        <v>2876</v>
      </c>
      <c r="AC28" s="280" t="s">
        <v>2186</v>
      </c>
      <c r="AD28" s="280" t="str">
        <f t="shared" si="3"/>
        <v>Employee + Domestic PartnerEmployee + Family</v>
      </c>
      <c r="AE28" s="280" t="s">
        <v>2890</v>
      </c>
      <c r="AF28" s="280" t="s">
        <v>2890</v>
      </c>
      <c r="AG28" s="280" t="s">
        <v>2898</v>
      </c>
    </row>
    <row r="29" spans="4:33" ht="30" hidden="1" customHeight="1" x14ac:dyDescent="0.25">
      <c r="D29" s="171" t="s">
        <v>1679</v>
      </c>
      <c r="E29" s="171" t="s">
        <v>1769</v>
      </c>
      <c r="F29" s="171" t="s">
        <v>1770</v>
      </c>
      <c r="G29" s="171" t="e">
        <v>#N/A</v>
      </c>
      <c r="H29" s="171" t="s">
        <v>1849</v>
      </c>
      <c r="I29" s="171" t="s">
        <v>2114</v>
      </c>
      <c r="J29" s="172" t="str">
        <f t="shared" si="2"/>
        <v>AVANTE HEALTH SOLUTIONS - DENTAL</v>
      </c>
      <c r="K29" s="172" t="str">
        <f t="shared" si="0"/>
        <v/>
      </c>
      <c r="L29" s="172" t="str">
        <f t="shared" si="1"/>
        <v>Dental Plan</v>
      </c>
      <c r="M29" s="167"/>
      <c r="R29" s="270" t="s">
        <v>2115</v>
      </c>
      <c r="S29" s="270" t="s">
        <v>1775</v>
      </c>
      <c r="U29" s="220" t="s">
        <v>2486</v>
      </c>
      <c r="V29" s="220" t="s">
        <v>71</v>
      </c>
      <c r="X29" s="2"/>
      <c r="AB29" s="280" t="s">
        <v>2876</v>
      </c>
      <c r="AC29" s="280" t="s">
        <v>2183</v>
      </c>
      <c r="AD29" s="280" t="str">
        <f t="shared" si="3"/>
        <v>Employee + Domestic PartnerEmployee + Spouse</v>
      </c>
      <c r="AE29" s="280" t="s">
        <v>2890</v>
      </c>
      <c r="AF29" s="280" t="s">
        <v>2890</v>
      </c>
      <c r="AG29" s="280"/>
    </row>
    <row r="30" spans="4:33" ht="30" hidden="1" customHeight="1" x14ac:dyDescent="0.25">
      <c r="D30" s="171" t="s">
        <v>1676</v>
      </c>
      <c r="E30" s="171" t="s">
        <v>1761</v>
      </c>
      <c r="F30" s="171" t="s">
        <v>1766</v>
      </c>
      <c r="G30" s="171" t="e">
        <v>#N/A</v>
      </c>
      <c r="H30" s="171" t="s">
        <v>1849</v>
      </c>
      <c r="I30" s="171" t="s">
        <v>2114</v>
      </c>
      <c r="J30" s="172" t="str">
        <f t="shared" si="2"/>
        <v>AVANTE HEALTH SOLUTIONS - PPO</v>
      </c>
      <c r="K30" s="172" t="str">
        <f t="shared" si="0"/>
        <v/>
      </c>
      <c r="L30" s="172" t="str">
        <f t="shared" si="1"/>
        <v>Medical Plan</v>
      </c>
      <c r="R30" s="270" t="s">
        <v>2115</v>
      </c>
      <c r="S30" s="270" t="s">
        <v>70</v>
      </c>
      <c r="U30" s="220" t="s">
        <v>2486</v>
      </c>
      <c r="V30" s="220" t="s">
        <v>1769</v>
      </c>
      <c r="X30" s="2"/>
      <c r="AB30" s="280" t="s">
        <v>2876</v>
      </c>
      <c r="AC30" s="280" t="s">
        <v>2185</v>
      </c>
      <c r="AD30" s="280" t="str">
        <f t="shared" si="3"/>
        <v>Employee + Domestic PartnerEmployee + Child(ren)</v>
      </c>
      <c r="AE30" s="280" t="s">
        <v>2890</v>
      </c>
      <c r="AF30" s="280" t="s">
        <v>2890</v>
      </c>
      <c r="AG30" s="280" t="s">
        <v>2898</v>
      </c>
    </row>
    <row r="31" spans="4:33" ht="30" hidden="1" customHeight="1" x14ac:dyDescent="0.25">
      <c r="D31" s="171" t="s">
        <v>1677</v>
      </c>
      <c r="E31" s="171" t="s">
        <v>1761</v>
      </c>
      <c r="F31" s="171" t="s">
        <v>1767</v>
      </c>
      <c r="G31" s="171" t="e">
        <v>#N/A</v>
      </c>
      <c r="H31" s="171" t="s">
        <v>1849</v>
      </c>
      <c r="I31" s="171" t="s">
        <v>2114</v>
      </c>
      <c r="J31" s="172" t="str">
        <f t="shared" si="2"/>
        <v>AVANTE HEALTH SOLUTIONS - PPO</v>
      </c>
      <c r="K31" s="172" t="str">
        <f t="shared" si="0"/>
        <v/>
      </c>
      <c r="L31" s="172" t="str">
        <f t="shared" si="1"/>
        <v>Medical Plan</v>
      </c>
      <c r="R31" s="270" t="s">
        <v>2247</v>
      </c>
      <c r="S31" s="270" t="s">
        <v>71</v>
      </c>
      <c r="U31" s="220" t="s">
        <v>2486</v>
      </c>
      <c r="V31" s="220" t="s">
        <v>1831</v>
      </c>
      <c r="X31" s="2"/>
      <c r="AB31" s="280" t="s">
        <v>2876</v>
      </c>
      <c r="AC31" s="280" t="s">
        <v>2876</v>
      </c>
      <c r="AD31" s="280" t="str">
        <f t="shared" si="3"/>
        <v>Employee + Domestic PartnerEmployee + Domestic Partner</v>
      </c>
      <c r="AE31" s="280"/>
      <c r="AF31" s="280"/>
      <c r="AG31" s="280"/>
    </row>
    <row r="32" spans="4:33" ht="30" hidden="1" customHeight="1" x14ac:dyDescent="0.25">
      <c r="D32" s="171" t="s">
        <v>1678</v>
      </c>
      <c r="E32" s="171" t="s">
        <v>1761</v>
      </c>
      <c r="F32" s="171" t="s">
        <v>1768</v>
      </c>
      <c r="G32" s="171" t="e">
        <v>#N/A</v>
      </c>
      <c r="H32" s="171" t="s">
        <v>1849</v>
      </c>
      <c r="I32" s="171" t="s">
        <v>2114</v>
      </c>
      <c r="J32" s="172" t="str">
        <f t="shared" si="2"/>
        <v>AVANTE HEALTH SOLUTIONS - PPO</v>
      </c>
      <c r="K32" s="172" t="str">
        <f t="shared" si="0"/>
        <v/>
      </c>
      <c r="L32" s="172" t="str">
        <f t="shared" si="1"/>
        <v>Medical Plan</v>
      </c>
      <c r="R32" s="270" t="s">
        <v>2247</v>
      </c>
      <c r="S32" s="270" t="s">
        <v>1772</v>
      </c>
      <c r="U32" s="220" t="s">
        <v>2548</v>
      </c>
      <c r="V32" s="220" t="s">
        <v>71</v>
      </c>
      <c r="X32" s="2"/>
      <c r="AB32" s="280" t="s">
        <v>2876</v>
      </c>
      <c r="AC32" s="280" t="s">
        <v>2184</v>
      </c>
      <c r="AD32" s="280" t="str">
        <f t="shared" si="3"/>
        <v>Employee + Domestic PartnerEmployee + Child</v>
      </c>
      <c r="AE32" s="280" t="s">
        <v>2890</v>
      </c>
      <c r="AF32" s="280" t="s">
        <v>2890</v>
      </c>
      <c r="AG32" s="280" t="s">
        <v>2898</v>
      </c>
    </row>
    <row r="33" spans="4:33" ht="30" hidden="1" customHeight="1" x14ac:dyDescent="0.25">
      <c r="D33" s="171" t="s">
        <v>2271</v>
      </c>
      <c r="E33" s="171" t="s">
        <v>1772</v>
      </c>
      <c r="F33" s="171" t="s">
        <v>2597</v>
      </c>
      <c r="G33" s="171" t="s">
        <v>2271</v>
      </c>
      <c r="H33" s="171" t="s">
        <v>2271</v>
      </c>
      <c r="I33" s="171" t="s">
        <v>2785</v>
      </c>
      <c r="J33" s="172" t="str">
        <f t="shared" si="2"/>
        <v>BARRY R RABOVSKY - BLUE ADV HMO</v>
      </c>
      <c r="K33" s="172" t="str">
        <f t="shared" si="0"/>
        <v>ADV</v>
      </c>
      <c r="L33" s="172" t="str">
        <f t="shared" si="1"/>
        <v>Medical Plan</v>
      </c>
      <c r="R33" s="270" t="s">
        <v>2247</v>
      </c>
      <c r="S33" s="270" t="s">
        <v>1775</v>
      </c>
      <c r="U33" s="220" t="s">
        <v>2548</v>
      </c>
      <c r="V33" s="220" t="s">
        <v>1769</v>
      </c>
      <c r="X33" s="2"/>
      <c r="AB33" s="280" t="s">
        <v>2184</v>
      </c>
      <c r="AC33" s="280" t="s">
        <v>436</v>
      </c>
      <c r="AD33" s="280" t="str">
        <f t="shared" si="3"/>
        <v>Employee + ChildEmployee</v>
      </c>
      <c r="AE33" s="280" t="s">
        <v>2890</v>
      </c>
      <c r="AF33" s="280" t="s">
        <v>2890</v>
      </c>
      <c r="AG33" s="280" t="s">
        <v>2898</v>
      </c>
    </row>
    <row r="34" spans="4:33" ht="30" hidden="1" customHeight="1" x14ac:dyDescent="0.25">
      <c r="D34" s="171" t="s">
        <v>2271</v>
      </c>
      <c r="E34" s="171" t="s">
        <v>1761</v>
      </c>
      <c r="F34" s="171" t="s">
        <v>2599</v>
      </c>
      <c r="G34" s="171" t="s">
        <v>2271</v>
      </c>
      <c r="H34" s="171" t="s">
        <v>2271</v>
      </c>
      <c r="I34" s="171" t="s">
        <v>2785</v>
      </c>
      <c r="J34" s="172" t="str">
        <f t="shared" si="2"/>
        <v>BARRY R RABOVSKY - PPO</v>
      </c>
      <c r="K34" s="172" t="str">
        <f t="shared" si="0"/>
        <v/>
      </c>
      <c r="L34" s="172" t="str">
        <f t="shared" si="1"/>
        <v>Medical Plan</v>
      </c>
      <c r="R34" s="270" t="s">
        <v>2247</v>
      </c>
      <c r="S34" s="270" t="s">
        <v>70</v>
      </c>
      <c r="U34" s="220" t="s">
        <v>2488</v>
      </c>
      <c r="V34" s="220" t="s">
        <v>71</v>
      </c>
      <c r="X34" s="2"/>
      <c r="AB34" s="280" t="s">
        <v>2184</v>
      </c>
      <c r="AC34" s="280" t="s">
        <v>2186</v>
      </c>
      <c r="AD34" s="280" t="str">
        <f t="shared" si="3"/>
        <v>Employee + ChildEmployee + Family</v>
      </c>
      <c r="AE34" s="280" t="s">
        <v>2890</v>
      </c>
      <c r="AF34" s="280" t="s">
        <v>2890</v>
      </c>
      <c r="AG34" s="280" t="s">
        <v>2898</v>
      </c>
    </row>
    <row r="35" spans="4:33" ht="30" hidden="1" customHeight="1" x14ac:dyDescent="0.25">
      <c r="D35" s="171" t="s">
        <v>2271</v>
      </c>
      <c r="E35" s="171" t="s">
        <v>1761</v>
      </c>
      <c r="F35" s="171" t="s">
        <v>2598</v>
      </c>
      <c r="G35" s="171" t="s">
        <v>2271</v>
      </c>
      <c r="H35" s="171" t="s">
        <v>2271</v>
      </c>
      <c r="I35" s="171" t="s">
        <v>2785</v>
      </c>
      <c r="J35" s="172" t="str">
        <f t="shared" si="2"/>
        <v>BARRY R RABOVSKY - PPO</v>
      </c>
      <c r="K35" s="172" t="str">
        <f t="shared" si="0"/>
        <v/>
      </c>
      <c r="L35" s="172" t="str">
        <f t="shared" si="1"/>
        <v>Medical Plan</v>
      </c>
      <c r="R35" s="270" t="s">
        <v>2787</v>
      </c>
      <c r="S35" s="270" t="s">
        <v>1761</v>
      </c>
      <c r="U35" s="220" t="s">
        <v>2488</v>
      </c>
      <c r="V35" s="220" t="s">
        <v>1769</v>
      </c>
      <c r="X35" s="2"/>
      <c r="AB35" s="280" t="s">
        <v>2184</v>
      </c>
      <c r="AC35" s="280" t="s">
        <v>2183</v>
      </c>
      <c r="AD35" s="280" t="str">
        <f t="shared" si="3"/>
        <v>Employee + ChildEmployee + Spouse</v>
      </c>
      <c r="AE35" s="280" t="s">
        <v>2890</v>
      </c>
      <c r="AF35" s="280" t="s">
        <v>2890</v>
      </c>
      <c r="AG35" s="280" t="s">
        <v>2898</v>
      </c>
    </row>
    <row r="36" spans="4:33" ht="30" hidden="1" customHeight="1" x14ac:dyDescent="0.25">
      <c r="D36" s="171" t="s">
        <v>2271</v>
      </c>
      <c r="E36" s="171" t="s">
        <v>1761</v>
      </c>
      <c r="F36" s="171" t="s">
        <v>2600</v>
      </c>
      <c r="G36" s="171" t="s">
        <v>2271</v>
      </c>
      <c r="H36" s="171" t="s">
        <v>2271</v>
      </c>
      <c r="I36" s="171" t="s">
        <v>2786</v>
      </c>
      <c r="J36" s="172" t="str">
        <f t="shared" si="2"/>
        <v>BC RECOVERY, LLC - PPO</v>
      </c>
      <c r="K36" s="172" t="str">
        <f t="shared" si="0"/>
        <v/>
      </c>
      <c r="L36" s="172" t="str">
        <f t="shared" si="1"/>
        <v>Medical Plan</v>
      </c>
      <c r="R36" s="270" t="s">
        <v>2788</v>
      </c>
      <c r="S36" s="270" t="s">
        <v>1764</v>
      </c>
      <c r="U36" s="220" t="s">
        <v>2256</v>
      </c>
      <c r="V36" s="220" t="s">
        <v>71</v>
      </c>
      <c r="X36" s="2"/>
      <c r="AB36" s="280" t="s">
        <v>2184</v>
      </c>
      <c r="AC36" s="280" t="s">
        <v>2185</v>
      </c>
      <c r="AD36" s="280" t="str">
        <f t="shared" si="3"/>
        <v>Employee + ChildEmployee + Child(ren)</v>
      </c>
      <c r="AE36" s="280"/>
      <c r="AF36" s="280" t="s">
        <v>2890</v>
      </c>
      <c r="AG36" s="280" t="s">
        <v>2898</v>
      </c>
    </row>
    <row r="37" spans="4:33" ht="30" hidden="1" customHeight="1" x14ac:dyDescent="0.25">
      <c r="D37" s="171" t="s">
        <v>1681</v>
      </c>
      <c r="E37" s="171" t="s">
        <v>1772</v>
      </c>
      <c r="F37" s="171" t="s">
        <v>1773</v>
      </c>
      <c r="G37" s="171" t="s">
        <v>1293</v>
      </c>
      <c r="H37" s="171" t="s">
        <v>1293</v>
      </c>
      <c r="I37" s="171" t="s">
        <v>1294</v>
      </c>
      <c r="J37" s="172" t="str">
        <f t="shared" si="2"/>
        <v>BENNETT DAY SCHOOL, INC. - BLUE ADV HMO</v>
      </c>
      <c r="K37" s="172" t="str">
        <f t="shared" si="0"/>
        <v>ADV</v>
      </c>
      <c r="L37" s="172" t="str">
        <f t="shared" si="1"/>
        <v>Medical Plan</v>
      </c>
      <c r="R37" s="270" t="s">
        <v>2788</v>
      </c>
      <c r="S37" s="270" t="s">
        <v>67</v>
      </c>
      <c r="U37" s="220" t="s">
        <v>2256</v>
      </c>
      <c r="V37" s="220" t="s">
        <v>1769</v>
      </c>
      <c r="X37" s="2"/>
      <c r="AB37" s="280" t="s">
        <v>2184</v>
      </c>
      <c r="AC37" s="280" t="s">
        <v>2876</v>
      </c>
      <c r="AD37" s="280" t="str">
        <f t="shared" si="3"/>
        <v>Employee + ChildEmployee + Domestic Partner</v>
      </c>
      <c r="AE37" s="280" t="s">
        <v>2890</v>
      </c>
      <c r="AF37" s="280" t="s">
        <v>2890</v>
      </c>
      <c r="AG37" s="280" t="s">
        <v>2898</v>
      </c>
    </row>
    <row r="38" spans="4:33" ht="30" customHeight="1" x14ac:dyDescent="0.25">
      <c r="D38" s="171" t="s">
        <v>1682</v>
      </c>
      <c r="E38" s="171" t="s">
        <v>1775</v>
      </c>
      <c r="F38" s="171" t="s">
        <v>1776</v>
      </c>
      <c r="G38" s="171" t="s">
        <v>1293</v>
      </c>
      <c r="H38" s="171" t="s">
        <v>1293</v>
      </c>
      <c r="I38" s="171" t="s">
        <v>1294</v>
      </c>
      <c r="J38" s="172" t="str">
        <f t="shared" si="2"/>
        <v>BENNETT DAY SCHOOL, INC. - BLUE CHOICE SELECT</v>
      </c>
      <c r="K38" s="172" t="str">
        <f t="shared" si="0"/>
        <v/>
      </c>
      <c r="L38" s="172" t="str">
        <f t="shared" si="1"/>
        <v>Medical Plan</v>
      </c>
      <c r="R38" s="270" t="s">
        <v>2788</v>
      </c>
      <c r="S38" s="270" t="s">
        <v>1761</v>
      </c>
      <c r="U38" s="220" t="s">
        <v>2808</v>
      </c>
      <c r="V38" s="220" t="s">
        <v>71</v>
      </c>
      <c r="X38" s="2"/>
      <c r="AB38" s="280" t="s">
        <v>2184</v>
      </c>
      <c r="AC38" s="280" t="s">
        <v>2184</v>
      </c>
      <c r="AD38" s="280" t="str">
        <f t="shared" si="3"/>
        <v>Employee + ChildEmployee + Child</v>
      </c>
      <c r="AE38" s="280"/>
      <c r="AF38" s="280" t="s">
        <v>2891</v>
      </c>
      <c r="AG38" s="280" t="s">
        <v>2898</v>
      </c>
    </row>
    <row r="39" spans="4:33" ht="30" hidden="1" customHeight="1" x14ac:dyDescent="0.25">
      <c r="D39" s="171" t="s">
        <v>1684</v>
      </c>
      <c r="E39" s="171" t="s">
        <v>70</v>
      </c>
      <c r="F39" s="171" t="s">
        <v>1778</v>
      </c>
      <c r="G39" s="171" t="s">
        <v>1293</v>
      </c>
      <c r="H39" s="171" t="s">
        <v>1293</v>
      </c>
      <c r="I39" s="171" t="s">
        <v>1294</v>
      </c>
      <c r="J39" s="172" t="str">
        <f t="shared" si="2"/>
        <v>BENNETT DAY SCHOOL, INC. - BLUE OPTIONS</v>
      </c>
      <c r="K39" s="172" t="str">
        <f t="shared" si="0"/>
        <v/>
      </c>
      <c r="L39" s="172" t="str">
        <f t="shared" si="1"/>
        <v>Medical Plan</v>
      </c>
      <c r="R39" s="270" t="s">
        <v>1297</v>
      </c>
      <c r="S39" s="270" t="s">
        <v>1772</v>
      </c>
      <c r="U39" s="220" t="s">
        <v>2808</v>
      </c>
      <c r="V39" s="220" t="s">
        <v>1769</v>
      </c>
      <c r="X39" s="2"/>
      <c r="AB39" s="280" t="s">
        <v>436</v>
      </c>
      <c r="AC39" s="280"/>
      <c r="AD39" s="280" t="str">
        <f t="shared" si="3"/>
        <v>Employee</v>
      </c>
      <c r="AE39" s="280"/>
      <c r="AF39" s="280"/>
      <c r="AG39" s="280"/>
    </row>
    <row r="40" spans="4:33" ht="30" hidden="1" customHeight="1" x14ac:dyDescent="0.25">
      <c r="D40" s="171" t="s">
        <v>1683</v>
      </c>
      <c r="E40" s="171" t="s">
        <v>1761</v>
      </c>
      <c r="F40" s="171" t="s">
        <v>1777</v>
      </c>
      <c r="G40" s="171" t="s">
        <v>1293</v>
      </c>
      <c r="H40" s="171" t="s">
        <v>1293</v>
      </c>
      <c r="I40" s="171" t="s">
        <v>1294</v>
      </c>
      <c r="J40" s="172" t="str">
        <f t="shared" si="2"/>
        <v>BENNETT DAY SCHOOL, INC. - PPO</v>
      </c>
      <c r="K40" s="172" t="str">
        <f t="shared" si="0"/>
        <v/>
      </c>
      <c r="L40" s="172" t="str">
        <f t="shared" si="1"/>
        <v>Medical Plan</v>
      </c>
      <c r="R40" s="270" t="s">
        <v>1297</v>
      </c>
      <c r="S40" s="270" t="s">
        <v>1775</v>
      </c>
      <c r="U40" s="220" t="s">
        <v>2809</v>
      </c>
      <c r="V40" s="220" t="s">
        <v>71</v>
      </c>
      <c r="X40" s="2"/>
      <c r="AB40" s="280" t="s">
        <v>2186</v>
      </c>
      <c r="AC40" s="280"/>
      <c r="AD40" s="280" t="str">
        <f t="shared" si="3"/>
        <v>Employee + Family</v>
      </c>
      <c r="AE40" s="280"/>
      <c r="AF40" s="280"/>
      <c r="AG40" s="280" t="s">
        <v>2898</v>
      </c>
    </row>
    <row r="41" spans="4:33" ht="30" hidden="1" customHeight="1" x14ac:dyDescent="0.25">
      <c r="D41" s="171" t="s">
        <v>2271</v>
      </c>
      <c r="E41" s="171" t="s">
        <v>71</v>
      </c>
      <c r="G41" s="171" t="e">
        <v>#N/A</v>
      </c>
      <c r="H41" s="171" t="s">
        <v>1850</v>
      </c>
      <c r="I41" s="171" t="s">
        <v>2115</v>
      </c>
      <c r="J41" s="172" t="str">
        <f t="shared" si="2"/>
        <v>BETTENHAUSEN MOTOR SALES - No Coverage</v>
      </c>
      <c r="K41" s="172" t="str">
        <f t="shared" si="0"/>
        <v/>
      </c>
      <c r="L41" s="172" t="str">
        <f t="shared" si="1"/>
        <v>Medical Plan</v>
      </c>
      <c r="R41" s="270" t="s">
        <v>1297</v>
      </c>
      <c r="S41" s="270" t="s">
        <v>70</v>
      </c>
      <c r="U41" s="220" t="s">
        <v>2809</v>
      </c>
      <c r="V41" s="220" t="s">
        <v>1769</v>
      </c>
      <c r="X41" s="2"/>
      <c r="AB41" s="280" t="s">
        <v>2183</v>
      </c>
      <c r="AC41" s="280"/>
      <c r="AD41" s="280" t="str">
        <f t="shared" si="3"/>
        <v>Employee + Spouse</v>
      </c>
      <c r="AE41" s="280"/>
      <c r="AF41" s="280"/>
      <c r="AG41" s="280"/>
    </row>
    <row r="42" spans="4:33" ht="30" hidden="1" customHeight="1" x14ac:dyDescent="0.25">
      <c r="D42" s="171" t="s">
        <v>1687</v>
      </c>
      <c r="E42" s="171" t="s">
        <v>1775</v>
      </c>
      <c r="F42" s="171" t="s">
        <v>1781</v>
      </c>
      <c r="G42" s="171" t="e">
        <v>#N/A</v>
      </c>
      <c r="H42" s="171" t="s">
        <v>1850</v>
      </c>
      <c r="I42" s="171" t="s">
        <v>2115</v>
      </c>
      <c r="J42" s="172" t="str">
        <f t="shared" si="2"/>
        <v>BETTENHAUSEN MOTOR SALES - BLUE CHOICE SELECT</v>
      </c>
      <c r="K42" s="172" t="str">
        <f t="shared" si="0"/>
        <v/>
      </c>
      <c r="L42" s="172" t="str">
        <f t="shared" si="1"/>
        <v>Medical Plan</v>
      </c>
      <c r="R42" s="270" t="s">
        <v>1297</v>
      </c>
      <c r="S42" s="270" t="s">
        <v>1761</v>
      </c>
      <c r="U42" s="220" t="s">
        <v>2810</v>
      </c>
      <c r="V42" s="220" t="s">
        <v>71</v>
      </c>
      <c r="X42" s="2"/>
      <c r="AB42" s="280" t="s">
        <v>2185</v>
      </c>
      <c r="AC42" s="280"/>
      <c r="AD42" s="280" t="str">
        <f t="shared" si="3"/>
        <v>Employee + Child(ren)</v>
      </c>
      <c r="AE42" s="280"/>
      <c r="AF42" s="280"/>
      <c r="AG42" s="280" t="s">
        <v>2898</v>
      </c>
    </row>
    <row r="43" spans="4:33" ht="30" hidden="1" customHeight="1" x14ac:dyDescent="0.25">
      <c r="D43" s="171" t="s">
        <v>1689</v>
      </c>
      <c r="E43" s="171" t="s">
        <v>1775</v>
      </c>
      <c r="F43" s="171" t="s">
        <v>1783</v>
      </c>
      <c r="G43" s="171" t="e">
        <v>#N/A</v>
      </c>
      <c r="H43" s="171" t="s">
        <v>1850</v>
      </c>
      <c r="I43" s="171" t="s">
        <v>2115</v>
      </c>
      <c r="J43" s="172" t="str">
        <f t="shared" si="2"/>
        <v>BETTENHAUSEN MOTOR SALES - BLUE CHOICE SELECT</v>
      </c>
      <c r="K43" s="172" t="str">
        <f t="shared" si="0"/>
        <v/>
      </c>
      <c r="L43" s="172" t="str">
        <f t="shared" si="1"/>
        <v>Medical Plan</v>
      </c>
      <c r="R43" s="270" t="s">
        <v>2789</v>
      </c>
      <c r="S43" s="270" t="s">
        <v>71</v>
      </c>
      <c r="U43" s="220" t="s">
        <v>2810</v>
      </c>
      <c r="V43" s="220" t="s">
        <v>1769</v>
      </c>
      <c r="X43" s="2"/>
      <c r="AB43" s="280" t="s">
        <v>2876</v>
      </c>
      <c r="AC43" s="280"/>
      <c r="AD43" s="280" t="str">
        <f t="shared" si="3"/>
        <v>Employee + Domestic Partner</v>
      </c>
      <c r="AE43" s="280"/>
      <c r="AF43" s="280"/>
      <c r="AG43" s="280"/>
    </row>
    <row r="44" spans="4:33" ht="30" hidden="1" customHeight="1" x14ac:dyDescent="0.25">
      <c r="D44" s="171" t="s">
        <v>1686</v>
      </c>
      <c r="E44" s="171" t="s">
        <v>70</v>
      </c>
      <c r="F44" s="171" t="s">
        <v>1780</v>
      </c>
      <c r="G44" s="171" t="e">
        <v>#N/A</v>
      </c>
      <c r="H44" s="171" t="s">
        <v>1850</v>
      </c>
      <c r="I44" s="171" t="s">
        <v>2115</v>
      </c>
      <c r="J44" s="172" t="str">
        <f t="shared" si="2"/>
        <v>BETTENHAUSEN MOTOR SALES - BLUE OPTIONS</v>
      </c>
      <c r="K44" s="172" t="str">
        <f t="shared" si="0"/>
        <v/>
      </c>
      <c r="L44" s="172" t="str">
        <f t="shared" si="1"/>
        <v>Medical Plan</v>
      </c>
      <c r="R44" s="270" t="s">
        <v>2789</v>
      </c>
      <c r="S44" s="270" t="s">
        <v>1761</v>
      </c>
      <c r="U44" s="220" t="s">
        <v>2812</v>
      </c>
      <c r="V44" s="220" t="s">
        <v>71</v>
      </c>
      <c r="X44" s="2"/>
      <c r="AB44" s="280" t="s">
        <v>2184</v>
      </c>
      <c r="AC44" s="280"/>
      <c r="AD44" s="280" t="str">
        <f t="shared" si="3"/>
        <v>Employee + Child</v>
      </c>
      <c r="AE44" s="280"/>
      <c r="AF44" s="280"/>
      <c r="AG44" s="280" t="s">
        <v>2898</v>
      </c>
    </row>
    <row r="45" spans="4:33" ht="30" hidden="1" customHeight="1" x14ac:dyDescent="0.25">
      <c r="D45" s="171" t="s">
        <v>1688</v>
      </c>
      <c r="E45" s="171" t="s">
        <v>70</v>
      </c>
      <c r="F45" s="171" t="s">
        <v>1782</v>
      </c>
      <c r="G45" s="171" t="e">
        <v>#N/A</v>
      </c>
      <c r="H45" s="171" t="s">
        <v>1850</v>
      </c>
      <c r="I45" s="171" t="s">
        <v>2115</v>
      </c>
      <c r="J45" s="172" t="str">
        <f t="shared" si="2"/>
        <v>BETTENHAUSEN MOTOR SALES - BLUE OPTIONS</v>
      </c>
      <c r="K45" s="172" t="str">
        <f t="shared" si="0"/>
        <v/>
      </c>
      <c r="L45" s="172" t="str">
        <f t="shared" si="1"/>
        <v>Medical Plan</v>
      </c>
      <c r="R45" s="270" t="s">
        <v>2790</v>
      </c>
      <c r="S45" s="270" t="s">
        <v>70</v>
      </c>
      <c r="U45" s="220" t="s">
        <v>2812</v>
      </c>
      <c r="V45" s="220" t="s">
        <v>1769</v>
      </c>
      <c r="X45" s="2"/>
      <c r="AB45" s="280"/>
      <c r="AC45" s="280" t="s">
        <v>436</v>
      </c>
      <c r="AD45" s="280" t="str">
        <f t="shared" si="3"/>
        <v>Employee</v>
      </c>
      <c r="AE45" s="280"/>
      <c r="AF45" s="280"/>
      <c r="AG45" s="280"/>
    </row>
    <row r="46" spans="4:33" ht="30" hidden="1" customHeight="1" x14ac:dyDescent="0.25">
      <c r="D46" s="171" t="s">
        <v>1685</v>
      </c>
      <c r="E46" s="171" t="s">
        <v>1769</v>
      </c>
      <c r="F46" s="171" t="s">
        <v>1779</v>
      </c>
      <c r="G46" s="171" t="e">
        <v>#N/A</v>
      </c>
      <c r="H46" s="171" t="s">
        <v>1850</v>
      </c>
      <c r="I46" s="171" t="s">
        <v>2115</v>
      </c>
      <c r="J46" s="172" t="str">
        <f t="shared" si="2"/>
        <v>BETTENHAUSEN MOTOR SALES - DENTAL</v>
      </c>
      <c r="K46" s="172" t="str">
        <f t="shared" si="0"/>
        <v/>
      </c>
      <c r="L46" s="172" t="str">
        <f t="shared" si="1"/>
        <v>Dental Plan</v>
      </c>
      <c r="R46" s="270" t="s">
        <v>2790</v>
      </c>
      <c r="S46" s="270" t="s">
        <v>1764</v>
      </c>
      <c r="U46" s="220" t="s">
        <v>2550</v>
      </c>
      <c r="V46" s="220" t="s">
        <v>71</v>
      </c>
      <c r="X46" s="2"/>
      <c r="AB46" s="280"/>
      <c r="AC46" s="280" t="s">
        <v>2186</v>
      </c>
      <c r="AD46" s="280" t="str">
        <f t="shared" si="3"/>
        <v>Employee + Family</v>
      </c>
      <c r="AE46" s="280"/>
      <c r="AF46" s="280"/>
      <c r="AG46" s="280" t="s">
        <v>2898</v>
      </c>
    </row>
    <row r="47" spans="4:33" ht="30" hidden="1" customHeight="1" x14ac:dyDescent="0.25">
      <c r="D47" s="171" t="s">
        <v>2271</v>
      </c>
      <c r="E47" s="171" t="s">
        <v>71</v>
      </c>
      <c r="G47" s="171" t="s">
        <v>2470</v>
      </c>
      <c r="H47" s="171" t="s">
        <v>2271</v>
      </c>
      <c r="I47" s="171" t="s">
        <v>2247</v>
      </c>
      <c r="J47" s="172" t="str">
        <f t="shared" si="2"/>
        <v>BFC FORMS SERVICE, INC. - No Coverage</v>
      </c>
      <c r="K47" s="172" t="str">
        <f t="shared" si="0"/>
        <v/>
      </c>
      <c r="L47" s="172" t="str">
        <f t="shared" si="1"/>
        <v>Medical Plan</v>
      </c>
      <c r="R47" s="270" t="s">
        <v>1299</v>
      </c>
      <c r="S47" s="270" t="s">
        <v>70</v>
      </c>
      <c r="U47" s="220" t="s">
        <v>2550</v>
      </c>
      <c r="V47" s="220" t="s">
        <v>1769</v>
      </c>
      <c r="X47" s="2"/>
      <c r="AB47" s="280"/>
      <c r="AC47" s="280" t="s">
        <v>2183</v>
      </c>
      <c r="AD47" s="280" t="str">
        <f t="shared" si="3"/>
        <v>Employee + Spouse</v>
      </c>
      <c r="AE47" s="280"/>
      <c r="AF47" s="280"/>
      <c r="AG47" s="280"/>
    </row>
    <row r="48" spans="4:33" ht="30" hidden="1" customHeight="1" x14ac:dyDescent="0.25">
      <c r="D48" s="171" t="s">
        <v>2271</v>
      </c>
      <c r="E48" s="171" t="s">
        <v>1772</v>
      </c>
      <c r="F48" s="171" t="s">
        <v>2248</v>
      </c>
      <c r="G48" s="171" t="s">
        <v>2470</v>
      </c>
      <c r="H48" s="171" t="s">
        <v>2271</v>
      </c>
      <c r="I48" s="171" t="s">
        <v>2247</v>
      </c>
      <c r="J48" s="172" t="str">
        <f t="shared" si="2"/>
        <v>BFC FORMS SERVICE, INC. - BLUE ADV HMO</v>
      </c>
      <c r="K48" s="172" t="str">
        <f t="shared" si="0"/>
        <v>ADV</v>
      </c>
      <c r="L48" s="172" t="str">
        <f t="shared" si="1"/>
        <v>Medical Plan</v>
      </c>
      <c r="R48" s="270" t="s">
        <v>1299</v>
      </c>
      <c r="S48" s="270" t="s">
        <v>1764</v>
      </c>
      <c r="U48" s="220" t="s">
        <v>2818</v>
      </c>
      <c r="V48" s="220" t="s">
        <v>71</v>
      </c>
      <c r="X48" s="2"/>
      <c r="AB48" s="280"/>
      <c r="AC48" s="280" t="s">
        <v>2185</v>
      </c>
      <c r="AD48" s="280" t="str">
        <f t="shared" si="3"/>
        <v>Employee + Child(ren)</v>
      </c>
      <c r="AE48" s="280"/>
      <c r="AF48" s="280"/>
      <c r="AG48" s="280" t="s">
        <v>2898</v>
      </c>
    </row>
    <row r="49" spans="4:33" ht="30" hidden="1" customHeight="1" x14ac:dyDescent="0.25">
      <c r="D49" s="171" t="s">
        <v>2271</v>
      </c>
      <c r="E49" s="171" t="s">
        <v>1775</v>
      </c>
      <c r="F49" s="171" t="s">
        <v>2276</v>
      </c>
      <c r="G49" s="171" t="s">
        <v>2470</v>
      </c>
      <c r="H49" s="171" t="s">
        <v>2271</v>
      </c>
      <c r="I49" s="171" t="s">
        <v>2247</v>
      </c>
      <c r="J49" s="172" t="str">
        <f t="shared" si="2"/>
        <v>BFC FORMS SERVICE, INC. - BLUE CHOICE SELECT</v>
      </c>
      <c r="K49" s="172" t="str">
        <f t="shared" si="0"/>
        <v/>
      </c>
      <c r="L49" s="172" t="str">
        <f t="shared" si="1"/>
        <v>Medical Plan</v>
      </c>
      <c r="R49" s="270" t="s">
        <v>1299</v>
      </c>
      <c r="S49" s="270" t="s">
        <v>1761</v>
      </c>
      <c r="U49" s="220" t="s">
        <v>2818</v>
      </c>
      <c r="V49" s="220" t="s">
        <v>1769</v>
      </c>
      <c r="X49" s="2"/>
      <c r="AB49" s="280"/>
      <c r="AC49" s="280" t="s">
        <v>2876</v>
      </c>
      <c r="AD49" s="280" t="str">
        <f t="shared" si="3"/>
        <v>Employee + Domestic Partner</v>
      </c>
      <c r="AE49" s="280"/>
      <c r="AF49" s="280"/>
      <c r="AG49" s="280"/>
    </row>
    <row r="50" spans="4:33" ht="30" hidden="1" customHeight="1" x14ac:dyDescent="0.25">
      <c r="D50" s="171" t="s">
        <v>2271</v>
      </c>
      <c r="E50" s="171" t="s">
        <v>1775</v>
      </c>
      <c r="F50" s="171" t="s">
        <v>2277</v>
      </c>
      <c r="G50" s="171" t="s">
        <v>2470</v>
      </c>
      <c r="H50" s="171" t="s">
        <v>2271</v>
      </c>
      <c r="I50" s="171" t="s">
        <v>2247</v>
      </c>
      <c r="J50" s="172" t="str">
        <f t="shared" si="2"/>
        <v>BFC FORMS SERVICE, INC. - BLUE CHOICE SELECT</v>
      </c>
      <c r="K50" s="172" t="str">
        <f t="shared" si="0"/>
        <v/>
      </c>
      <c r="L50" s="172" t="str">
        <f t="shared" si="1"/>
        <v>Medical Plan</v>
      </c>
      <c r="R50" s="270" t="s">
        <v>2566</v>
      </c>
      <c r="S50" s="270" t="s">
        <v>1761</v>
      </c>
      <c r="U50" s="220" t="s">
        <v>2819</v>
      </c>
      <c r="V50" s="220" t="s">
        <v>71</v>
      </c>
      <c r="X50" s="2"/>
      <c r="AB50" s="280"/>
      <c r="AC50" s="280" t="s">
        <v>2184</v>
      </c>
      <c r="AD50" s="280" t="str">
        <f t="shared" si="3"/>
        <v>Employee + Child</v>
      </c>
      <c r="AE50" s="280"/>
      <c r="AF50" s="280"/>
      <c r="AG50" s="280" t="s">
        <v>2898</v>
      </c>
    </row>
    <row r="51" spans="4:33" ht="30" customHeight="1" x14ac:dyDescent="0.25">
      <c r="D51" s="171" t="s">
        <v>2271</v>
      </c>
      <c r="E51" s="171" t="s">
        <v>1775</v>
      </c>
      <c r="F51" s="171" t="s">
        <v>2275</v>
      </c>
      <c r="G51" s="171" t="s">
        <v>2470</v>
      </c>
      <c r="H51" s="171" t="s">
        <v>2271</v>
      </c>
      <c r="I51" s="171" t="s">
        <v>2247</v>
      </c>
      <c r="J51" s="172" t="str">
        <f t="shared" si="2"/>
        <v>BFC FORMS SERVICE, INC. - BLUE CHOICE SELECT</v>
      </c>
      <c r="K51" s="172" t="str">
        <f t="shared" si="0"/>
        <v/>
      </c>
      <c r="L51" s="172" t="str">
        <f t="shared" si="1"/>
        <v>Medical Plan</v>
      </c>
      <c r="R51" s="270" t="s">
        <v>2508</v>
      </c>
      <c r="S51" s="270" t="s">
        <v>71</v>
      </c>
      <c r="U51" s="220" t="s">
        <v>2819</v>
      </c>
      <c r="V51" s="220" t="s">
        <v>1769</v>
      </c>
    </row>
    <row r="52" spans="4:33" ht="30" customHeight="1" x14ac:dyDescent="0.25">
      <c r="D52" s="171" t="s">
        <v>2271</v>
      </c>
      <c r="E52" s="171" t="s">
        <v>1775</v>
      </c>
      <c r="F52" s="171" t="s">
        <v>2274</v>
      </c>
      <c r="G52" s="171" t="s">
        <v>2470</v>
      </c>
      <c r="H52" s="171" t="s">
        <v>2271</v>
      </c>
      <c r="I52" s="171" t="s">
        <v>2247</v>
      </c>
      <c r="J52" s="172" t="str">
        <f t="shared" si="2"/>
        <v>BFC FORMS SERVICE, INC. - BLUE CHOICE SELECT</v>
      </c>
      <c r="K52" s="172" t="str">
        <f t="shared" si="0"/>
        <v/>
      </c>
      <c r="L52" s="172" t="str">
        <f t="shared" si="1"/>
        <v>Medical Plan</v>
      </c>
      <c r="R52" s="270" t="s">
        <v>2508</v>
      </c>
      <c r="S52" s="270" t="s">
        <v>1764</v>
      </c>
      <c r="U52" s="220" t="s">
        <v>2820</v>
      </c>
      <c r="V52" s="220" t="s">
        <v>71</v>
      </c>
    </row>
    <row r="53" spans="4:33" ht="30" customHeight="1" x14ac:dyDescent="0.25">
      <c r="D53" s="171" t="s">
        <v>2271</v>
      </c>
      <c r="E53" s="171" t="s">
        <v>1775</v>
      </c>
      <c r="F53" s="171" t="s">
        <v>2272</v>
      </c>
      <c r="G53" s="171" t="s">
        <v>2470</v>
      </c>
      <c r="H53" s="171" t="s">
        <v>2271</v>
      </c>
      <c r="I53" s="171" t="s">
        <v>2247</v>
      </c>
      <c r="J53" s="172" t="str">
        <f t="shared" si="2"/>
        <v>BFC FORMS SERVICE, INC. - BLUE CHOICE SELECT</v>
      </c>
      <c r="K53" s="172" t="str">
        <f t="shared" si="0"/>
        <v/>
      </c>
      <c r="L53" s="172" t="str">
        <f t="shared" si="1"/>
        <v>Medical Plan</v>
      </c>
      <c r="R53" s="270" t="s">
        <v>2508</v>
      </c>
      <c r="S53" s="270" t="s">
        <v>67</v>
      </c>
      <c r="U53" s="220" t="s">
        <v>2820</v>
      </c>
      <c r="V53" s="220" t="s">
        <v>1769</v>
      </c>
    </row>
    <row r="54" spans="4:33" ht="30" customHeight="1" x14ac:dyDescent="0.25">
      <c r="D54" s="171" t="s">
        <v>2271</v>
      </c>
      <c r="E54" s="171" t="s">
        <v>1775</v>
      </c>
      <c r="F54" s="171" t="s">
        <v>2273</v>
      </c>
      <c r="G54" s="171" t="s">
        <v>2470</v>
      </c>
      <c r="H54" s="171" t="s">
        <v>2271</v>
      </c>
      <c r="I54" s="171" t="s">
        <v>2247</v>
      </c>
      <c r="J54" s="172" t="str">
        <f t="shared" si="2"/>
        <v>BFC FORMS SERVICE, INC. - BLUE CHOICE SELECT</v>
      </c>
      <c r="K54" s="172" t="str">
        <f t="shared" si="0"/>
        <v/>
      </c>
      <c r="L54" s="172" t="str">
        <f t="shared" si="1"/>
        <v>Medical Plan</v>
      </c>
      <c r="R54" s="270" t="s">
        <v>2508</v>
      </c>
      <c r="S54" s="270" t="s">
        <v>1761</v>
      </c>
      <c r="U54" s="220" t="s">
        <v>2133</v>
      </c>
      <c r="V54" s="220" t="s">
        <v>71</v>
      </c>
    </row>
    <row r="55" spans="4:33" ht="30" customHeight="1" x14ac:dyDescent="0.25">
      <c r="D55" s="171" t="s">
        <v>2271</v>
      </c>
      <c r="E55" s="171" t="s">
        <v>70</v>
      </c>
      <c r="F55" s="171" t="s">
        <v>2289</v>
      </c>
      <c r="G55" s="171" t="s">
        <v>2470</v>
      </c>
      <c r="H55" s="171" t="s">
        <v>2271</v>
      </c>
      <c r="I55" s="171" t="s">
        <v>2247</v>
      </c>
      <c r="J55" s="172" t="str">
        <f t="shared" si="2"/>
        <v>BFC FORMS SERVICE, INC. - BLUE OPTIONS</v>
      </c>
      <c r="K55" s="172" t="str">
        <f t="shared" si="0"/>
        <v/>
      </c>
      <c r="L55" s="172" t="str">
        <f t="shared" si="1"/>
        <v>Medical Plan</v>
      </c>
      <c r="R55" s="270" t="s">
        <v>2249</v>
      </c>
      <c r="S55" s="270" t="s">
        <v>1772</v>
      </c>
      <c r="U55" s="220" t="s">
        <v>2133</v>
      </c>
      <c r="V55" s="220" t="s">
        <v>1769</v>
      </c>
    </row>
    <row r="56" spans="4:33" ht="30" customHeight="1" x14ac:dyDescent="0.25">
      <c r="D56" s="171" t="s">
        <v>2271</v>
      </c>
      <c r="E56" s="171" t="s">
        <v>70</v>
      </c>
      <c r="F56" s="171" t="s">
        <v>2288</v>
      </c>
      <c r="G56" s="171" t="s">
        <v>2470</v>
      </c>
      <c r="H56" s="171" t="s">
        <v>2271</v>
      </c>
      <c r="I56" s="171" t="s">
        <v>2247</v>
      </c>
      <c r="J56" s="172" t="str">
        <f t="shared" si="2"/>
        <v>BFC FORMS SERVICE, INC. - BLUE OPTIONS</v>
      </c>
      <c r="K56" s="172" t="str">
        <f t="shared" si="0"/>
        <v/>
      </c>
      <c r="L56" s="172" t="str">
        <f t="shared" si="1"/>
        <v>Medical Plan</v>
      </c>
      <c r="R56" s="270" t="s">
        <v>2249</v>
      </c>
      <c r="S56" s="270" t="s">
        <v>1761</v>
      </c>
      <c r="U56" s="220" t="s">
        <v>2821</v>
      </c>
      <c r="V56" s="220" t="s">
        <v>71</v>
      </c>
    </row>
    <row r="57" spans="4:33" ht="30" customHeight="1" x14ac:dyDescent="0.25">
      <c r="D57" s="171" t="s">
        <v>2271</v>
      </c>
      <c r="E57" s="171" t="s">
        <v>1769</v>
      </c>
      <c r="F57" s="171" t="s">
        <v>2346</v>
      </c>
      <c r="G57" s="171" t="s">
        <v>2470</v>
      </c>
      <c r="H57" s="171" t="s">
        <v>2271</v>
      </c>
      <c r="I57" s="171" t="s">
        <v>2247</v>
      </c>
      <c r="J57" s="172" t="str">
        <f t="shared" si="2"/>
        <v>BFC FORMS SERVICE, INC. - DENTAL</v>
      </c>
      <c r="K57" s="172" t="str">
        <f t="shared" si="0"/>
        <v/>
      </c>
      <c r="L57" s="172" t="str">
        <f t="shared" si="1"/>
        <v>Dental Plan</v>
      </c>
      <c r="R57" s="270" t="s">
        <v>2791</v>
      </c>
      <c r="S57" s="270" t="s">
        <v>1764</v>
      </c>
      <c r="U57" s="220" t="s">
        <v>2821</v>
      </c>
      <c r="V57" s="220" t="s">
        <v>1769</v>
      </c>
    </row>
    <row r="58" spans="4:33" ht="30" customHeight="1" x14ac:dyDescent="0.25">
      <c r="D58" s="171" t="s">
        <v>2271</v>
      </c>
      <c r="E58" s="171" t="s">
        <v>1769</v>
      </c>
      <c r="F58" s="171" t="s">
        <v>2347</v>
      </c>
      <c r="G58" s="171" t="s">
        <v>2470</v>
      </c>
      <c r="H58" s="171" t="s">
        <v>2271</v>
      </c>
      <c r="I58" s="171" t="s">
        <v>2247</v>
      </c>
      <c r="J58" s="172" t="str">
        <f t="shared" si="2"/>
        <v>BFC FORMS SERVICE, INC. - DENTAL</v>
      </c>
      <c r="K58" s="172" t="str">
        <f t="shared" si="0"/>
        <v/>
      </c>
      <c r="L58" s="172" t="str">
        <f t="shared" si="1"/>
        <v>Dental Plan</v>
      </c>
      <c r="R58" s="270" t="s">
        <v>2791</v>
      </c>
      <c r="S58" s="270" t="s">
        <v>1761</v>
      </c>
      <c r="U58" s="220" t="s">
        <v>2514</v>
      </c>
      <c r="V58" s="220" t="s">
        <v>71</v>
      </c>
    </row>
    <row r="59" spans="4:33" ht="30" customHeight="1" x14ac:dyDescent="0.25">
      <c r="D59" s="171" t="s">
        <v>2271</v>
      </c>
      <c r="E59" s="171" t="s">
        <v>1761</v>
      </c>
      <c r="F59" s="171" t="s">
        <v>2601</v>
      </c>
      <c r="G59" s="171" t="s">
        <v>2271</v>
      </c>
      <c r="H59" s="171" t="s">
        <v>2271</v>
      </c>
      <c r="I59" s="171" t="s">
        <v>2787</v>
      </c>
      <c r="J59" s="172" t="str">
        <f t="shared" si="2"/>
        <v>BLOOMFIELD DEVELOPMENT COMPANY LLC - PPO</v>
      </c>
      <c r="K59" s="172" t="str">
        <f t="shared" si="0"/>
        <v/>
      </c>
      <c r="L59" s="172" t="str">
        <f t="shared" si="1"/>
        <v>Medical Plan</v>
      </c>
      <c r="R59" s="270" t="s">
        <v>2792</v>
      </c>
      <c r="S59" s="270" t="s">
        <v>1764</v>
      </c>
      <c r="U59" s="220" t="s">
        <v>2514</v>
      </c>
      <c r="V59" s="220" t="s">
        <v>1769</v>
      </c>
    </row>
    <row r="60" spans="4:33" ht="30" customHeight="1" x14ac:dyDescent="0.25">
      <c r="D60" s="171" t="s">
        <v>2271</v>
      </c>
      <c r="E60" s="171" t="s">
        <v>1764</v>
      </c>
      <c r="F60" s="171" t="s">
        <v>2328</v>
      </c>
      <c r="G60" s="171" t="s">
        <v>2271</v>
      </c>
      <c r="H60" s="171" t="s">
        <v>2271</v>
      </c>
      <c r="I60" s="171" t="s">
        <v>2788</v>
      </c>
      <c r="J60" s="172" t="str">
        <f t="shared" si="2"/>
        <v>BLOOMING COLOR INC. - BLUE PRECISION</v>
      </c>
      <c r="K60" s="172" t="str">
        <f t="shared" si="0"/>
        <v>BAV</v>
      </c>
      <c r="L60" s="172" t="str">
        <f t="shared" si="1"/>
        <v>Medical Plan</v>
      </c>
      <c r="R60" s="270" t="s">
        <v>2792</v>
      </c>
      <c r="S60" s="270" t="s">
        <v>1761</v>
      </c>
      <c r="U60" s="220" t="s">
        <v>2822</v>
      </c>
      <c r="V60" s="220" t="s">
        <v>71</v>
      </c>
    </row>
    <row r="61" spans="4:33" ht="30" customHeight="1" x14ac:dyDescent="0.25">
      <c r="D61" s="171" t="s">
        <v>2271</v>
      </c>
      <c r="E61" s="171" t="s">
        <v>67</v>
      </c>
      <c r="F61" s="171" t="s">
        <v>2603</v>
      </c>
      <c r="G61" s="171" t="s">
        <v>2271</v>
      </c>
      <c r="H61" s="171" t="s">
        <v>2271</v>
      </c>
      <c r="I61" s="171" t="s">
        <v>2788</v>
      </c>
      <c r="J61" s="172" t="str">
        <f t="shared" si="2"/>
        <v>BLOOMING COLOR INC. - BLUECP</v>
      </c>
      <c r="K61" s="172" t="str">
        <f t="shared" si="0"/>
        <v/>
      </c>
      <c r="L61" s="172" t="str">
        <f t="shared" si="1"/>
        <v>Medical Plan</v>
      </c>
      <c r="R61" s="270" t="s">
        <v>2251</v>
      </c>
      <c r="S61" s="270" t="s">
        <v>1772</v>
      </c>
      <c r="U61" s="220" t="s">
        <v>2822</v>
      </c>
      <c r="V61" s="220" t="s">
        <v>1769</v>
      </c>
    </row>
    <row r="62" spans="4:33" ht="30" customHeight="1" x14ac:dyDescent="0.25">
      <c r="D62" s="171" t="s">
        <v>2271</v>
      </c>
      <c r="E62" s="171" t="s">
        <v>67</v>
      </c>
      <c r="F62" s="171" t="s">
        <v>2602</v>
      </c>
      <c r="G62" s="171" t="s">
        <v>2271</v>
      </c>
      <c r="H62" s="171" t="s">
        <v>2271</v>
      </c>
      <c r="I62" s="171" t="s">
        <v>2788</v>
      </c>
      <c r="J62" s="172" t="str">
        <f t="shared" si="2"/>
        <v>BLOOMING COLOR INC. - BLUECP</v>
      </c>
      <c r="K62" s="172" t="str">
        <f t="shared" si="0"/>
        <v/>
      </c>
      <c r="L62" s="172" t="str">
        <f t="shared" si="1"/>
        <v>Medical Plan</v>
      </c>
      <c r="R62" s="270" t="s">
        <v>2251</v>
      </c>
      <c r="S62" s="270" t="s">
        <v>1761</v>
      </c>
      <c r="U62" s="220" t="s">
        <v>2552</v>
      </c>
      <c r="V62" s="220" t="s">
        <v>71</v>
      </c>
    </row>
    <row r="63" spans="4:33" ht="30" customHeight="1" x14ac:dyDescent="0.25">
      <c r="D63" s="171" t="s">
        <v>2271</v>
      </c>
      <c r="E63" s="171" t="s">
        <v>1761</v>
      </c>
      <c r="F63" s="171" t="s">
        <v>2605</v>
      </c>
      <c r="G63" s="171" t="s">
        <v>2271</v>
      </c>
      <c r="H63" s="171" t="s">
        <v>2271</v>
      </c>
      <c r="I63" s="171" t="s">
        <v>2788</v>
      </c>
      <c r="J63" s="172" t="str">
        <f t="shared" si="2"/>
        <v>BLOOMING COLOR INC. - PPO</v>
      </c>
      <c r="K63" s="172" t="str">
        <f t="shared" si="0"/>
        <v/>
      </c>
      <c r="L63" s="172" t="str">
        <f t="shared" si="1"/>
        <v>Medical Plan</v>
      </c>
      <c r="R63" s="270" t="s">
        <v>2568</v>
      </c>
      <c r="S63" s="270" t="s">
        <v>1761</v>
      </c>
      <c r="U63" s="220" t="s">
        <v>2552</v>
      </c>
      <c r="V63" s="220" t="s">
        <v>1769</v>
      </c>
    </row>
    <row r="64" spans="4:33" ht="30" customHeight="1" x14ac:dyDescent="0.25">
      <c r="D64" s="171" t="s">
        <v>2271</v>
      </c>
      <c r="E64" s="171" t="s">
        <v>1761</v>
      </c>
      <c r="F64" s="171" t="s">
        <v>2604</v>
      </c>
      <c r="G64" s="171" t="s">
        <v>2271</v>
      </c>
      <c r="H64" s="171" t="s">
        <v>2271</v>
      </c>
      <c r="I64" s="171" t="s">
        <v>2788</v>
      </c>
      <c r="J64" s="172" t="str">
        <f t="shared" si="2"/>
        <v>BLOOMING COLOR INC. - PPO</v>
      </c>
      <c r="K64" s="172" t="str">
        <f t="shared" si="0"/>
        <v/>
      </c>
      <c r="L64" s="172" t="str">
        <f t="shared" si="1"/>
        <v>Medical Plan</v>
      </c>
      <c r="R64" s="270" t="s">
        <v>2570</v>
      </c>
      <c r="S64" s="270" t="s">
        <v>1761</v>
      </c>
      <c r="U64" s="220" t="s">
        <v>2827</v>
      </c>
      <c r="V64" s="220" t="s">
        <v>71</v>
      </c>
    </row>
    <row r="65" spans="4:22" ht="30" customHeight="1" x14ac:dyDescent="0.25">
      <c r="D65" s="171" t="s">
        <v>1690</v>
      </c>
      <c r="E65" s="171" t="s">
        <v>1772</v>
      </c>
      <c r="F65" s="171" t="s">
        <v>1784</v>
      </c>
      <c r="G65" s="171" t="s">
        <v>1295</v>
      </c>
      <c r="H65" s="171" t="s">
        <v>1296</v>
      </c>
      <c r="I65" s="171" t="s">
        <v>1297</v>
      </c>
      <c r="J65" s="172" t="str">
        <f t="shared" si="2"/>
        <v>BRIGHT LIGHT RADIOLOGY S.C - BLUE ADV HMO</v>
      </c>
      <c r="K65" s="172" t="str">
        <f t="shared" si="0"/>
        <v>ADV</v>
      </c>
      <c r="L65" s="172" t="str">
        <f t="shared" si="1"/>
        <v>Medical Plan</v>
      </c>
      <c r="R65" s="270" t="s">
        <v>2793</v>
      </c>
      <c r="S65" s="270" t="s">
        <v>1761</v>
      </c>
      <c r="U65" s="220" t="s">
        <v>2827</v>
      </c>
      <c r="V65" s="220" t="s">
        <v>1769</v>
      </c>
    </row>
    <row r="66" spans="4:22" ht="30" customHeight="1" x14ac:dyDescent="0.25">
      <c r="D66" s="171" t="s">
        <v>1693</v>
      </c>
      <c r="E66" s="171" t="s">
        <v>1775</v>
      </c>
      <c r="F66" s="171" t="s">
        <v>1787</v>
      </c>
      <c r="G66" s="171" t="s">
        <v>1295</v>
      </c>
      <c r="H66" s="171" t="s">
        <v>1296</v>
      </c>
      <c r="I66" s="171" t="s">
        <v>1297</v>
      </c>
      <c r="J66" s="172" t="str">
        <f t="shared" si="2"/>
        <v>BRIGHT LIGHT RADIOLOGY S.C - BLUE CHOICE SELECT</v>
      </c>
      <c r="K66" s="172" t="str">
        <f t="shared" si="0"/>
        <v/>
      </c>
      <c r="L66" s="172" t="str">
        <f t="shared" si="1"/>
        <v>Medical Plan</v>
      </c>
      <c r="R66" s="270" t="s">
        <v>2794</v>
      </c>
      <c r="S66" s="270" t="s">
        <v>1761</v>
      </c>
      <c r="U66" s="220" t="s">
        <v>2520</v>
      </c>
      <c r="V66" s="220" t="s">
        <v>71</v>
      </c>
    </row>
    <row r="67" spans="4:22" ht="30" customHeight="1" x14ac:dyDescent="0.25">
      <c r="D67" s="171" t="s">
        <v>1694</v>
      </c>
      <c r="E67" s="171" t="s">
        <v>1775</v>
      </c>
      <c r="F67" s="171" t="s">
        <v>1788</v>
      </c>
      <c r="G67" s="171" t="s">
        <v>1295</v>
      </c>
      <c r="H67" s="171" t="s">
        <v>1296</v>
      </c>
      <c r="I67" s="171" t="s">
        <v>1297</v>
      </c>
      <c r="J67" s="172" t="str">
        <f t="shared" si="2"/>
        <v>BRIGHT LIGHT RADIOLOGY S.C - BLUE CHOICE SELECT</v>
      </c>
      <c r="K67" s="172" t="str">
        <f t="shared" ref="K67:K130" si="5">IFERROR(IF(VLOOKUP(E:E,N:O,2,0)="","",VLOOKUP(E:E,N:O,2,0)),"#N/A")</f>
        <v/>
      </c>
      <c r="L67" s="172" t="str">
        <f t="shared" ref="L67:L130" si="6">IFERROR(IF(VLOOKUP(E:E,N:P,3,0)="","#N/A",VLOOKUP(E:E,N:P,3,0)),"#N/A")</f>
        <v>Medical Plan</v>
      </c>
      <c r="R67" s="270" t="s">
        <v>1302</v>
      </c>
      <c r="S67" s="270" t="s">
        <v>1772</v>
      </c>
      <c r="U67" s="220" t="s">
        <v>2520</v>
      </c>
      <c r="V67" s="220" t="s">
        <v>1769</v>
      </c>
    </row>
    <row r="68" spans="4:22" ht="30" customHeight="1" x14ac:dyDescent="0.25">
      <c r="D68" s="171" t="s">
        <v>1691</v>
      </c>
      <c r="E68" s="171" t="s">
        <v>70</v>
      </c>
      <c r="F68" s="171" t="s">
        <v>1785</v>
      </c>
      <c r="G68" s="171" t="s">
        <v>1295</v>
      </c>
      <c r="H68" s="171" t="s">
        <v>1296</v>
      </c>
      <c r="I68" s="171" t="s">
        <v>1297</v>
      </c>
      <c r="J68" s="172" t="str">
        <f t="shared" ref="J68:J131" si="7">I68&amp;" - "&amp;E68</f>
        <v>BRIGHT LIGHT RADIOLOGY S.C - BLUE OPTIONS</v>
      </c>
      <c r="K68" s="172" t="str">
        <f t="shared" si="5"/>
        <v/>
      </c>
      <c r="L68" s="172" t="str">
        <f t="shared" si="6"/>
        <v>Medical Plan</v>
      </c>
      <c r="R68" s="270" t="s">
        <v>1302</v>
      </c>
      <c r="S68" s="270" t="s">
        <v>1775</v>
      </c>
      <c r="U68" s="220" t="s">
        <v>2830</v>
      </c>
      <c r="V68" s="220" t="s">
        <v>71</v>
      </c>
    </row>
    <row r="69" spans="4:22" ht="30" customHeight="1" x14ac:dyDescent="0.25">
      <c r="D69" s="171" t="s">
        <v>1692</v>
      </c>
      <c r="E69" s="171" t="s">
        <v>70</v>
      </c>
      <c r="F69" s="171" t="s">
        <v>1786</v>
      </c>
      <c r="G69" s="171" t="s">
        <v>1295</v>
      </c>
      <c r="H69" s="171" t="s">
        <v>1296</v>
      </c>
      <c r="I69" s="171" t="s">
        <v>1297</v>
      </c>
      <c r="J69" s="172" t="str">
        <f t="shared" si="7"/>
        <v>BRIGHT LIGHT RADIOLOGY S.C - BLUE OPTIONS</v>
      </c>
      <c r="K69" s="172" t="str">
        <f t="shared" si="5"/>
        <v/>
      </c>
      <c r="L69" s="172" t="str">
        <f t="shared" si="6"/>
        <v>Medical Plan</v>
      </c>
      <c r="R69" s="270" t="s">
        <v>1302</v>
      </c>
      <c r="S69" s="270" t="s">
        <v>1761</v>
      </c>
      <c r="U69" s="220" t="s">
        <v>2830</v>
      </c>
      <c r="V69" s="220" t="s">
        <v>1769</v>
      </c>
    </row>
    <row r="70" spans="4:22" ht="30" customHeight="1" x14ac:dyDescent="0.25">
      <c r="D70" s="171" t="s">
        <v>1695</v>
      </c>
      <c r="E70" s="171" t="s">
        <v>1761</v>
      </c>
      <c r="F70" s="171" t="s">
        <v>1789</v>
      </c>
      <c r="G70" s="171" t="s">
        <v>1295</v>
      </c>
      <c r="H70" s="171" t="s">
        <v>1296</v>
      </c>
      <c r="I70" s="171" t="s">
        <v>1297</v>
      </c>
      <c r="J70" s="172" t="str">
        <f t="shared" si="7"/>
        <v>BRIGHT LIGHT RADIOLOGY S.C - PPO</v>
      </c>
      <c r="K70" s="172" t="str">
        <f t="shared" si="5"/>
        <v/>
      </c>
      <c r="L70" s="172" t="str">
        <f t="shared" si="6"/>
        <v>Medical Plan</v>
      </c>
      <c r="R70" s="270" t="s">
        <v>2795</v>
      </c>
      <c r="S70" s="270" t="s">
        <v>71</v>
      </c>
      <c r="U70" s="220" t="s">
        <v>2831</v>
      </c>
      <c r="V70" s="220" t="s">
        <v>71</v>
      </c>
    </row>
    <row r="71" spans="4:22" ht="30" customHeight="1" x14ac:dyDescent="0.25">
      <c r="D71" s="171" t="s">
        <v>2271</v>
      </c>
      <c r="E71" s="171" t="s">
        <v>71</v>
      </c>
      <c r="G71" s="171" t="s">
        <v>2271</v>
      </c>
      <c r="H71" s="171" t="s">
        <v>2271</v>
      </c>
      <c r="I71" s="171" t="s">
        <v>2789</v>
      </c>
      <c r="J71" s="172" t="str">
        <f t="shared" si="7"/>
        <v>BURCORP P.C. - No Coverage</v>
      </c>
      <c r="K71" s="172" t="str">
        <f t="shared" si="5"/>
        <v/>
      </c>
      <c r="L71" s="172" t="str">
        <f t="shared" si="6"/>
        <v>Medical Plan</v>
      </c>
      <c r="R71" s="270" t="s">
        <v>2795</v>
      </c>
      <c r="S71" s="270" t="s">
        <v>1761</v>
      </c>
      <c r="U71" s="220" t="s">
        <v>2831</v>
      </c>
      <c r="V71" s="220" t="s">
        <v>1769</v>
      </c>
    </row>
    <row r="72" spans="4:22" ht="30" customHeight="1" x14ac:dyDescent="0.25">
      <c r="D72" s="171" t="s">
        <v>2271</v>
      </c>
      <c r="E72" s="171" t="s">
        <v>1769</v>
      </c>
      <c r="F72" s="171" t="s">
        <v>2607</v>
      </c>
      <c r="G72" s="171" t="s">
        <v>2271</v>
      </c>
      <c r="H72" s="171" t="s">
        <v>2271</v>
      </c>
      <c r="I72" s="171" t="s">
        <v>2789</v>
      </c>
      <c r="J72" s="172" t="str">
        <f t="shared" si="7"/>
        <v>BURCORP P.C. - DENTAL</v>
      </c>
      <c r="K72" s="172" t="str">
        <f t="shared" si="5"/>
        <v/>
      </c>
      <c r="L72" s="172" t="str">
        <f t="shared" si="6"/>
        <v>Dental Plan</v>
      </c>
      <c r="R72" s="270" t="s">
        <v>2796</v>
      </c>
      <c r="S72" s="270" t="s">
        <v>71</v>
      </c>
      <c r="U72" s="220" t="s">
        <v>2833</v>
      </c>
      <c r="V72" s="220" t="s">
        <v>71</v>
      </c>
    </row>
    <row r="73" spans="4:22" ht="30" customHeight="1" x14ac:dyDescent="0.25">
      <c r="D73" s="171" t="s">
        <v>2271</v>
      </c>
      <c r="E73" s="171" t="s">
        <v>1769</v>
      </c>
      <c r="F73" s="171" t="s">
        <v>2606</v>
      </c>
      <c r="G73" s="171" t="s">
        <v>2271</v>
      </c>
      <c r="H73" s="171" t="s">
        <v>2271</v>
      </c>
      <c r="I73" s="171" t="s">
        <v>2789</v>
      </c>
      <c r="J73" s="172" t="str">
        <f t="shared" si="7"/>
        <v>BURCORP P.C. - DENTAL</v>
      </c>
      <c r="K73" s="172" t="str">
        <f t="shared" si="5"/>
        <v/>
      </c>
      <c r="L73" s="172" t="str">
        <f t="shared" si="6"/>
        <v>Dental Plan</v>
      </c>
      <c r="R73" s="270" t="s">
        <v>2796</v>
      </c>
      <c r="S73" s="270" t="s">
        <v>1764</v>
      </c>
      <c r="U73" s="220" t="s">
        <v>2833</v>
      </c>
      <c r="V73" s="220" t="s">
        <v>1769</v>
      </c>
    </row>
    <row r="74" spans="4:22" ht="30" customHeight="1" x14ac:dyDescent="0.25">
      <c r="D74" s="171" t="s">
        <v>2271</v>
      </c>
      <c r="E74" s="171" t="s">
        <v>1761</v>
      </c>
      <c r="F74" s="171" t="s">
        <v>2608</v>
      </c>
      <c r="G74" s="171" t="s">
        <v>2271</v>
      </c>
      <c r="H74" s="171" t="s">
        <v>2271</v>
      </c>
      <c r="I74" s="171" t="s">
        <v>2789</v>
      </c>
      <c r="J74" s="172" t="str">
        <f t="shared" si="7"/>
        <v>BURCORP P.C. - PPO</v>
      </c>
      <c r="K74" s="172" t="str">
        <f t="shared" si="5"/>
        <v/>
      </c>
      <c r="L74" s="172" t="str">
        <f t="shared" si="6"/>
        <v>Medical Plan</v>
      </c>
      <c r="R74" s="270" t="s">
        <v>2796</v>
      </c>
      <c r="S74" s="270" t="s">
        <v>1761</v>
      </c>
      <c r="U74" s="220" t="s">
        <v>2522</v>
      </c>
      <c r="V74" s="220" t="s">
        <v>71</v>
      </c>
    </row>
    <row r="75" spans="4:22" ht="30" customHeight="1" x14ac:dyDescent="0.25">
      <c r="D75" s="171" t="s">
        <v>2271</v>
      </c>
      <c r="E75" s="171" t="s">
        <v>1761</v>
      </c>
      <c r="F75" s="171" t="s">
        <v>2460</v>
      </c>
      <c r="G75" s="171" t="s">
        <v>2271</v>
      </c>
      <c r="H75" s="171" t="s">
        <v>2271</v>
      </c>
      <c r="I75" s="171" t="s">
        <v>2789</v>
      </c>
      <c r="J75" s="172" t="str">
        <f t="shared" si="7"/>
        <v>BURCORP P.C. - PPO</v>
      </c>
      <c r="K75" s="172" t="str">
        <f t="shared" si="5"/>
        <v/>
      </c>
      <c r="L75" s="172" t="str">
        <f t="shared" si="6"/>
        <v>Medical Plan</v>
      </c>
      <c r="R75" s="270" t="s">
        <v>2484</v>
      </c>
      <c r="S75" s="270" t="s">
        <v>70</v>
      </c>
      <c r="U75" s="220" t="s">
        <v>2522</v>
      </c>
      <c r="V75" s="220" t="s">
        <v>1769</v>
      </c>
    </row>
    <row r="76" spans="4:22" ht="30" customHeight="1" x14ac:dyDescent="0.25">
      <c r="D76" s="171" t="s">
        <v>2271</v>
      </c>
      <c r="E76" s="171" t="s">
        <v>70</v>
      </c>
      <c r="F76" s="171" t="s">
        <v>2609</v>
      </c>
      <c r="G76" s="171" t="s">
        <v>2271</v>
      </c>
      <c r="H76" s="171" t="s">
        <v>2271</v>
      </c>
      <c r="I76" s="171" t="s">
        <v>2790</v>
      </c>
      <c r="J76" s="172" t="str">
        <f t="shared" si="7"/>
        <v>CFC WIREFORMS - BLUE OPTIONS</v>
      </c>
      <c r="K76" s="172" t="str">
        <f t="shared" si="5"/>
        <v/>
      </c>
      <c r="L76" s="172" t="str">
        <f t="shared" si="6"/>
        <v>Medical Plan</v>
      </c>
      <c r="R76" s="270" t="s">
        <v>2484</v>
      </c>
      <c r="S76" s="270" t="s">
        <v>1764</v>
      </c>
      <c r="U76" s="220" t="s">
        <v>2840</v>
      </c>
      <c r="V76" s="220" t="s">
        <v>71</v>
      </c>
    </row>
    <row r="77" spans="4:22" ht="30" customHeight="1" x14ac:dyDescent="0.25">
      <c r="D77" s="171" t="s">
        <v>2271</v>
      </c>
      <c r="E77" s="171" t="s">
        <v>1764</v>
      </c>
      <c r="F77" s="171" t="s">
        <v>2611</v>
      </c>
      <c r="G77" s="171" t="s">
        <v>2271</v>
      </c>
      <c r="H77" s="171" t="s">
        <v>2271</v>
      </c>
      <c r="I77" s="171" t="s">
        <v>2790</v>
      </c>
      <c r="J77" s="172" t="str">
        <f t="shared" si="7"/>
        <v>CFC WIREFORMS - BLUE PRECISION</v>
      </c>
      <c r="K77" s="172" t="str">
        <f t="shared" si="5"/>
        <v>BAV</v>
      </c>
      <c r="L77" s="172" t="str">
        <f t="shared" si="6"/>
        <v>Medical Plan</v>
      </c>
      <c r="R77" s="270" t="s">
        <v>2484</v>
      </c>
      <c r="S77" s="270" t="s">
        <v>1761</v>
      </c>
      <c r="U77" s="220" t="s">
        <v>2840</v>
      </c>
      <c r="V77" s="220" t="s">
        <v>1769</v>
      </c>
    </row>
    <row r="78" spans="4:22" ht="30" customHeight="1" x14ac:dyDescent="0.25">
      <c r="D78" s="171" t="s">
        <v>2271</v>
      </c>
      <c r="E78" s="171" t="s">
        <v>1764</v>
      </c>
      <c r="F78" s="171" t="s">
        <v>2610</v>
      </c>
      <c r="G78" s="171" t="s">
        <v>2271</v>
      </c>
      <c r="H78" s="171" t="s">
        <v>2271</v>
      </c>
      <c r="I78" s="171" t="s">
        <v>2790</v>
      </c>
      <c r="J78" s="172" t="str">
        <f t="shared" si="7"/>
        <v>CFC WIREFORMS - BLUE PRECISION</v>
      </c>
      <c r="K78" s="172" t="str">
        <f t="shared" si="5"/>
        <v>BAV</v>
      </c>
      <c r="L78" s="172" t="str">
        <f t="shared" si="6"/>
        <v>Medical Plan</v>
      </c>
      <c r="R78" s="270" t="s">
        <v>2510</v>
      </c>
      <c r="S78" s="270" t="s">
        <v>71</v>
      </c>
      <c r="U78" s="220" t="s">
        <v>2554</v>
      </c>
      <c r="V78" s="220" t="s">
        <v>71</v>
      </c>
    </row>
    <row r="79" spans="4:22" ht="30" customHeight="1" x14ac:dyDescent="0.25">
      <c r="D79" s="171" t="s">
        <v>1696</v>
      </c>
      <c r="E79" s="171" t="s">
        <v>70</v>
      </c>
      <c r="F79" s="171" t="s">
        <v>1790</v>
      </c>
      <c r="G79" s="171" t="s">
        <v>1298</v>
      </c>
      <c r="H79" s="171" t="s">
        <v>1298</v>
      </c>
      <c r="I79" s="171" t="s">
        <v>1299</v>
      </c>
      <c r="J79" s="172" t="str">
        <f t="shared" si="7"/>
        <v>CHARLIE GREENE STUDIO - BLUE OPTIONS</v>
      </c>
      <c r="K79" s="172" t="str">
        <f t="shared" si="5"/>
        <v/>
      </c>
      <c r="L79" s="172" t="str">
        <f t="shared" si="6"/>
        <v>Medical Plan</v>
      </c>
      <c r="R79" s="270" t="s">
        <v>2510</v>
      </c>
      <c r="S79" s="270" t="s">
        <v>1764</v>
      </c>
      <c r="U79" s="220" t="s">
        <v>2554</v>
      </c>
      <c r="V79" s="220" t="s">
        <v>1769</v>
      </c>
    </row>
    <row r="80" spans="4:22" ht="30" customHeight="1" x14ac:dyDescent="0.25">
      <c r="D80" s="171" t="s">
        <v>1697</v>
      </c>
      <c r="E80" s="171" t="s">
        <v>1764</v>
      </c>
      <c r="F80" s="171" t="s">
        <v>1791</v>
      </c>
      <c r="G80" s="171" t="s">
        <v>1298</v>
      </c>
      <c r="H80" s="171" t="s">
        <v>1298</v>
      </c>
      <c r="I80" s="171" t="s">
        <v>1299</v>
      </c>
      <c r="J80" s="172" t="str">
        <f t="shared" si="7"/>
        <v>CHARLIE GREENE STUDIO - BLUE PRECISION</v>
      </c>
      <c r="K80" s="172" t="str">
        <f t="shared" si="5"/>
        <v>BAV</v>
      </c>
      <c r="L80" s="172" t="str">
        <f t="shared" si="6"/>
        <v>Medical Plan</v>
      </c>
      <c r="R80" s="270" t="s">
        <v>2510</v>
      </c>
      <c r="S80" s="270" t="s">
        <v>1761</v>
      </c>
      <c r="U80" s="220" t="s">
        <v>2556</v>
      </c>
      <c r="V80" s="220" t="s">
        <v>71</v>
      </c>
    </row>
    <row r="81" spans="4:22" ht="30" customHeight="1" x14ac:dyDescent="0.25">
      <c r="D81" s="171" t="s">
        <v>1698</v>
      </c>
      <c r="E81" s="171" t="s">
        <v>1761</v>
      </c>
      <c r="F81" s="171" t="s">
        <v>1792</v>
      </c>
      <c r="G81" s="171" t="s">
        <v>1298</v>
      </c>
      <c r="H81" s="171" t="s">
        <v>1298</v>
      </c>
      <c r="I81" s="171" t="s">
        <v>1299</v>
      </c>
      <c r="J81" s="172" t="str">
        <f t="shared" si="7"/>
        <v>CHARLIE GREENE STUDIO - PPO</v>
      </c>
      <c r="K81" s="172" t="str">
        <f t="shared" si="5"/>
        <v/>
      </c>
      <c r="L81" s="172" t="str">
        <f t="shared" si="6"/>
        <v>Medical Plan</v>
      </c>
      <c r="R81" s="270" t="s">
        <v>2797</v>
      </c>
      <c r="S81" s="270" t="s">
        <v>1761</v>
      </c>
      <c r="U81" s="220" t="s">
        <v>2556</v>
      </c>
      <c r="V81" s="220" t="s">
        <v>1769</v>
      </c>
    </row>
    <row r="82" spans="4:22" ht="30" customHeight="1" x14ac:dyDescent="0.25">
      <c r="D82" s="171" t="s">
        <v>2271</v>
      </c>
      <c r="E82" s="171" t="s">
        <v>1761</v>
      </c>
      <c r="F82" s="171" t="s">
        <v>2377</v>
      </c>
      <c r="G82" s="171" t="s">
        <v>2565</v>
      </c>
      <c r="H82" s="171" t="s">
        <v>2271</v>
      </c>
      <c r="I82" s="171" t="s">
        <v>2566</v>
      </c>
      <c r="J82" s="172" t="str">
        <f t="shared" si="7"/>
        <v>CHESLEY TAFT &amp; ASSOCIATES LLC - PPO</v>
      </c>
      <c r="K82" s="172" t="str">
        <f t="shared" si="5"/>
        <v/>
      </c>
      <c r="L82" s="172" t="str">
        <f t="shared" si="6"/>
        <v>Medical Plan</v>
      </c>
      <c r="R82" s="270" t="s">
        <v>2798</v>
      </c>
      <c r="S82" s="270" t="s">
        <v>70</v>
      </c>
      <c r="U82" s="220" t="s">
        <v>2265</v>
      </c>
      <c r="V82" s="220" t="s">
        <v>71</v>
      </c>
    </row>
    <row r="83" spans="4:22" ht="30" customHeight="1" x14ac:dyDescent="0.25">
      <c r="D83" s="171" t="s">
        <v>2271</v>
      </c>
      <c r="E83" s="171" t="s">
        <v>1761</v>
      </c>
      <c r="F83" s="171" t="s">
        <v>2376</v>
      </c>
      <c r="G83" s="171" t="s">
        <v>2565</v>
      </c>
      <c r="H83" s="171" t="s">
        <v>2271</v>
      </c>
      <c r="I83" s="171" t="s">
        <v>2566</v>
      </c>
      <c r="J83" s="172" t="str">
        <f t="shared" si="7"/>
        <v>CHESLEY TAFT &amp; ASSOCIATES LLC - PPO</v>
      </c>
      <c r="K83" s="172" t="str">
        <f t="shared" si="5"/>
        <v/>
      </c>
      <c r="L83" s="172" t="str">
        <f t="shared" si="6"/>
        <v>Medical Plan</v>
      </c>
      <c r="R83" s="270" t="s">
        <v>2798</v>
      </c>
      <c r="S83" s="270" t="s">
        <v>67</v>
      </c>
      <c r="U83" s="220" t="s">
        <v>2265</v>
      </c>
      <c r="V83" s="220" t="s">
        <v>1769</v>
      </c>
    </row>
    <row r="84" spans="4:22" ht="30" customHeight="1" x14ac:dyDescent="0.25">
      <c r="D84" s="171" t="s">
        <v>2271</v>
      </c>
      <c r="E84" s="171" t="s">
        <v>71</v>
      </c>
      <c r="G84" s="171" t="s">
        <v>2507</v>
      </c>
      <c r="H84" s="171" t="s">
        <v>2271</v>
      </c>
      <c r="I84" s="171" t="s">
        <v>2508</v>
      </c>
      <c r="J84" s="172" t="str">
        <f t="shared" si="7"/>
        <v>CHICAGO NASAL &amp; SINUS CENTER - No Coverage</v>
      </c>
      <c r="K84" s="172" t="str">
        <f t="shared" si="5"/>
        <v/>
      </c>
      <c r="L84" s="172" t="str">
        <f t="shared" si="6"/>
        <v>Medical Plan</v>
      </c>
      <c r="R84" s="270" t="s">
        <v>1304</v>
      </c>
      <c r="S84" s="270" t="s">
        <v>70</v>
      </c>
      <c r="U84" s="220" t="s">
        <v>2530</v>
      </c>
      <c r="V84" s="220" t="s">
        <v>71</v>
      </c>
    </row>
    <row r="85" spans="4:22" ht="30" customHeight="1" x14ac:dyDescent="0.25">
      <c r="D85" s="171" t="s">
        <v>2271</v>
      </c>
      <c r="E85" s="171" t="s">
        <v>1764</v>
      </c>
      <c r="F85" s="171" t="s">
        <v>2313</v>
      </c>
      <c r="G85" s="171" t="s">
        <v>2507</v>
      </c>
      <c r="H85" s="171" t="s">
        <v>2271</v>
      </c>
      <c r="I85" s="171" t="s">
        <v>2508</v>
      </c>
      <c r="J85" s="172" t="str">
        <f t="shared" si="7"/>
        <v>CHICAGO NASAL &amp; SINUS CENTER - BLUE PRECISION</v>
      </c>
      <c r="K85" s="172" t="str">
        <f t="shared" si="5"/>
        <v>BAV</v>
      </c>
      <c r="L85" s="172" t="str">
        <f t="shared" si="6"/>
        <v>Medical Plan</v>
      </c>
      <c r="R85" s="270" t="s">
        <v>1304</v>
      </c>
      <c r="S85" s="270" t="s">
        <v>1761</v>
      </c>
      <c r="U85" s="220" t="s">
        <v>2530</v>
      </c>
      <c r="V85" s="220" t="s">
        <v>1769</v>
      </c>
    </row>
    <row r="86" spans="4:22" ht="30" customHeight="1" x14ac:dyDescent="0.25">
      <c r="D86" s="171" t="s">
        <v>2271</v>
      </c>
      <c r="E86" s="171" t="s">
        <v>67</v>
      </c>
      <c r="F86" s="171" t="s">
        <v>2330</v>
      </c>
      <c r="G86" s="171" t="s">
        <v>2507</v>
      </c>
      <c r="H86" s="171" t="s">
        <v>2271</v>
      </c>
      <c r="I86" s="171" t="s">
        <v>2508</v>
      </c>
      <c r="J86" s="172" t="str">
        <f t="shared" si="7"/>
        <v>CHICAGO NASAL &amp; SINUS CENTER - BLUECP</v>
      </c>
      <c r="K86" s="172" t="str">
        <f t="shared" si="5"/>
        <v/>
      </c>
      <c r="L86" s="172" t="str">
        <f t="shared" si="6"/>
        <v>Medical Plan</v>
      </c>
      <c r="R86" s="270" t="s">
        <v>2512</v>
      </c>
      <c r="S86" s="270" t="s">
        <v>1764</v>
      </c>
      <c r="U86" s="220" t="s">
        <v>2848</v>
      </c>
      <c r="V86" s="220" t="s">
        <v>71</v>
      </c>
    </row>
    <row r="87" spans="4:22" ht="30" customHeight="1" x14ac:dyDescent="0.25">
      <c r="D87" s="171" t="s">
        <v>2271</v>
      </c>
      <c r="E87" s="171" t="s">
        <v>1769</v>
      </c>
      <c r="F87" s="171" t="s">
        <v>2348</v>
      </c>
      <c r="G87" s="171" t="s">
        <v>2507</v>
      </c>
      <c r="H87" s="171" t="s">
        <v>2271</v>
      </c>
      <c r="I87" s="171" t="s">
        <v>2508</v>
      </c>
      <c r="J87" s="172" t="str">
        <f t="shared" si="7"/>
        <v>CHICAGO NASAL &amp; SINUS CENTER - DENTAL</v>
      </c>
      <c r="K87" s="172" t="str">
        <f t="shared" si="5"/>
        <v/>
      </c>
      <c r="L87" s="172" t="str">
        <f t="shared" si="6"/>
        <v>Dental Plan</v>
      </c>
      <c r="R87" s="270" t="s">
        <v>2512</v>
      </c>
      <c r="S87" s="270" t="s">
        <v>1761</v>
      </c>
      <c r="U87" s="220" t="s">
        <v>2848</v>
      </c>
      <c r="V87" s="220" t="s">
        <v>1769</v>
      </c>
    </row>
    <row r="88" spans="4:22" ht="30" customHeight="1" x14ac:dyDescent="0.25">
      <c r="D88" s="171" t="s">
        <v>2271</v>
      </c>
      <c r="E88" s="171" t="s">
        <v>1761</v>
      </c>
      <c r="F88" s="171" t="s">
        <v>2378</v>
      </c>
      <c r="G88" s="171" t="s">
        <v>2507</v>
      </c>
      <c r="H88" s="171" t="s">
        <v>2271</v>
      </c>
      <c r="I88" s="171" t="s">
        <v>2508</v>
      </c>
      <c r="J88" s="172" t="str">
        <f t="shared" si="7"/>
        <v>CHICAGO NASAL &amp; SINUS CENTER - PPO</v>
      </c>
      <c r="K88" s="172" t="str">
        <f t="shared" si="5"/>
        <v/>
      </c>
      <c r="L88" s="172" t="str">
        <f t="shared" si="6"/>
        <v>Medical Plan</v>
      </c>
      <c r="R88" s="270" t="s">
        <v>2254</v>
      </c>
      <c r="S88" s="270" t="s">
        <v>71</v>
      </c>
      <c r="U88" s="220" t="s">
        <v>1327</v>
      </c>
      <c r="V88" s="220" t="s">
        <v>71</v>
      </c>
    </row>
    <row r="89" spans="4:22" ht="30" customHeight="1" x14ac:dyDescent="0.25">
      <c r="D89" s="171" t="s">
        <v>2271</v>
      </c>
      <c r="E89" s="171" t="s">
        <v>1761</v>
      </c>
      <c r="F89" s="171" t="s">
        <v>1763</v>
      </c>
      <c r="G89" s="171" t="s">
        <v>2507</v>
      </c>
      <c r="H89" s="171" t="s">
        <v>2271</v>
      </c>
      <c r="I89" s="171" t="s">
        <v>2508</v>
      </c>
      <c r="J89" s="172" t="str">
        <f t="shared" si="7"/>
        <v>CHICAGO NASAL &amp; SINUS CENTER - PPO</v>
      </c>
      <c r="K89" s="172" t="str">
        <f t="shared" si="5"/>
        <v/>
      </c>
      <c r="L89" s="172" t="str">
        <f t="shared" si="6"/>
        <v>Medical Plan</v>
      </c>
      <c r="R89" s="270" t="s">
        <v>2254</v>
      </c>
      <c r="S89" s="270" t="s">
        <v>1772</v>
      </c>
      <c r="U89" s="220" t="s">
        <v>1327</v>
      </c>
      <c r="V89" s="220" t="s">
        <v>1769</v>
      </c>
    </row>
    <row r="90" spans="4:22" ht="30" customHeight="1" x14ac:dyDescent="0.25">
      <c r="D90" s="171" t="s">
        <v>2271</v>
      </c>
      <c r="E90" s="171" t="s">
        <v>1772</v>
      </c>
      <c r="F90" s="171" t="s">
        <v>2250</v>
      </c>
      <c r="G90" s="171" t="s">
        <v>2471</v>
      </c>
      <c r="H90" s="171" t="s">
        <v>2271</v>
      </c>
      <c r="I90" s="171" t="s">
        <v>2249</v>
      </c>
      <c r="J90" s="172" t="str">
        <f t="shared" si="7"/>
        <v>CHILD CARE RESOURCE &amp; REFERRAL - BLUE ADV HMO</v>
      </c>
      <c r="K90" s="172" t="str">
        <f t="shared" si="5"/>
        <v>ADV</v>
      </c>
      <c r="L90" s="172" t="str">
        <f t="shared" si="6"/>
        <v>Medical Plan</v>
      </c>
      <c r="R90" s="270" t="s">
        <v>2254</v>
      </c>
      <c r="S90" s="270" t="s">
        <v>1761</v>
      </c>
      <c r="U90" s="220" t="s">
        <v>1327</v>
      </c>
      <c r="V90" s="220" t="s">
        <v>1831</v>
      </c>
    </row>
    <row r="91" spans="4:22" ht="30" customHeight="1" x14ac:dyDescent="0.25">
      <c r="D91" s="171" t="s">
        <v>2271</v>
      </c>
      <c r="E91" s="171" t="s">
        <v>1761</v>
      </c>
      <c r="F91" s="171" t="s">
        <v>2382</v>
      </c>
      <c r="G91" s="171" t="s">
        <v>2471</v>
      </c>
      <c r="H91" s="171" t="s">
        <v>2271</v>
      </c>
      <c r="I91" s="171" t="s">
        <v>2249</v>
      </c>
      <c r="J91" s="172" t="str">
        <f t="shared" si="7"/>
        <v>CHILD CARE RESOURCE &amp; REFERRAL - PPO</v>
      </c>
      <c r="K91" s="172" t="str">
        <f t="shared" si="5"/>
        <v/>
      </c>
      <c r="L91" s="172" t="str">
        <f t="shared" si="6"/>
        <v>Medical Plan</v>
      </c>
      <c r="R91" s="270" t="s">
        <v>2799</v>
      </c>
      <c r="S91" s="270" t="s">
        <v>1761</v>
      </c>
      <c r="U91" s="220" t="s">
        <v>2835</v>
      </c>
      <c r="V91" s="220" t="s">
        <v>71</v>
      </c>
    </row>
    <row r="92" spans="4:22" ht="30" customHeight="1" x14ac:dyDescent="0.25">
      <c r="D92" s="171" t="s">
        <v>2271</v>
      </c>
      <c r="E92" s="171" t="s">
        <v>1761</v>
      </c>
      <c r="F92" s="171" t="s">
        <v>2381</v>
      </c>
      <c r="G92" s="171" t="s">
        <v>2471</v>
      </c>
      <c r="H92" s="171" t="s">
        <v>2271</v>
      </c>
      <c r="I92" s="171" t="s">
        <v>2249</v>
      </c>
      <c r="J92" s="172" t="str">
        <f t="shared" si="7"/>
        <v>CHILD CARE RESOURCE &amp; REFERRAL - PPO</v>
      </c>
      <c r="K92" s="172" t="str">
        <f t="shared" si="5"/>
        <v/>
      </c>
      <c r="L92" s="172" t="str">
        <f t="shared" si="6"/>
        <v>Medical Plan</v>
      </c>
      <c r="R92" s="270" t="s">
        <v>2800</v>
      </c>
      <c r="S92" s="270" t="s">
        <v>1772</v>
      </c>
      <c r="U92" s="220" t="s">
        <v>2835</v>
      </c>
      <c r="V92" s="220" t="s">
        <v>1769</v>
      </c>
    </row>
    <row r="93" spans="4:22" ht="30" customHeight="1" x14ac:dyDescent="0.25">
      <c r="D93" s="171" t="s">
        <v>2271</v>
      </c>
      <c r="E93" s="171" t="s">
        <v>1761</v>
      </c>
      <c r="F93" s="171" t="s">
        <v>2380</v>
      </c>
      <c r="G93" s="171" t="s">
        <v>2471</v>
      </c>
      <c r="H93" s="171" t="s">
        <v>2271</v>
      </c>
      <c r="I93" s="171" t="s">
        <v>2249</v>
      </c>
      <c r="J93" s="172" t="str">
        <f t="shared" si="7"/>
        <v>CHILD CARE RESOURCE &amp; REFERRAL - PPO</v>
      </c>
      <c r="K93" s="172" t="str">
        <f t="shared" si="5"/>
        <v/>
      </c>
      <c r="L93" s="172" t="str">
        <f t="shared" si="6"/>
        <v>Medical Plan</v>
      </c>
      <c r="R93" s="270" t="s">
        <v>2800</v>
      </c>
      <c r="S93" s="270" t="s">
        <v>70</v>
      </c>
      <c r="U93" s="220" t="s">
        <v>2558</v>
      </c>
      <c r="V93" s="220" t="s">
        <v>71</v>
      </c>
    </row>
    <row r="94" spans="4:22" ht="30" customHeight="1" x14ac:dyDescent="0.25">
      <c r="D94" s="171" t="s">
        <v>2271</v>
      </c>
      <c r="E94" s="171" t="s">
        <v>1761</v>
      </c>
      <c r="F94" s="171" t="s">
        <v>2379</v>
      </c>
      <c r="G94" s="171" t="s">
        <v>2471</v>
      </c>
      <c r="H94" s="171" t="s">
        <v>2271</v>
      </c>
      <c r="I94" s="171" t="s">
        <v>2249</v>
      </c>
      <c r="J94" s="172" t="str">
        <f t="shared" si="7"/>
        <v>CHILD CARE RESOURCE &amp; REFERRAL - PPO</v>
      </c>
      <c r="K94" s="172" t="str">
        <f t="shared" si="5"/>
        <v/>
      </c>
      <c r="L94" s="172" t="str">
        <f t="shared" si="6"/>
        <v>Medical Plan</v>
      </c>
      <c r="R94" s="270" t="s">
        <v>2800</v>
      </c>
      <c r="S94" s="270" t="s">
        <v>1761</v>
      </c>
      <c r="U94" s="220" t="s">
        <v>2558</v>
      </c>
      <c r="V94" s="220" t="s">
        <v>1769</v>
      </c>
    </row>
    <row r="95" spans="4:22" ht="30" customHeight="1" x14ac:dyDescent="0.25">
      <c r="D95" s="171" t="s">
        <v>2271</v>
      </c>
      <c r="E95" s="171" t="s">
        <v>1764</v>
      </c>
      <c r="F95" s="171" t="s">
        <v>2612</v>
      </c>
      <c r="G95" s="171" t="s">
        <v>2271</v>
      </c>
      <c r="H95" s="171" t="s">
        <v>2271</v>
      </c>
      <c r="I95" s="171" t="s">
        <v>2791</v>
      </c>
      <c r="J95" s="172" t="str">
        <f t="shared" si="7"/>
        <v>CHRISTINA I COLLINS - BLUE PRECISION</v>
      </c>
      <c r="K95" s="172" t="str">
        <f t="shared" si="5"/>
        <v>BAV</v>
      </c>
      <c r="L95" s="172" t="str">
        <f t="shared" si="6"/>
        <v>Medical Plan</v>
      </c>
      <c r="R95" s="270" t="s">
        <v>2801</v>
      </c>
      <c r="S95" s="270" t="s">
        <v>71</v>
      </c>
      <c r="U95" s="220" t="s">
        <v>2534</v>
      </c>
      <c r="V95" s="220" t="s">
        <v>71</v>
      </c>
    </row>
    <row r="96" spans="4:22" ht="30" customHeight="1" x14ac:dyDescent="0.25">
      <c r="D96" s="171" t="s">
        <v>2271</v>
      </c>
      <c r="E96" s="171" t="s">
        <v>1761</v>
      </c>
      <c r="F96" s="171" t="s">
        <v>2613</v>
      </c>
      <c r="G96" s="171" t="s">
        <v>2271</v>
      </c>
      <c r="H96" s="171" t="s">
        <v>2271</v>
      </c>
      <c r="I96" s="171" t="s">
        <v>2791</v>
      </c>
      <c r="J96" s="172" t="str">
        <f t="shared" si="7"/>
        <v>CHRISTINA I COLLINS - PPO</v>
      </c>
      <c r="K96" s="172" t="str">
        <f t="shared" si="5"/>
        <v/>
      </c>
      <c r="L96" s="172" t="str">
        <f t="shared" si="6"/>
        <v>Medical Plan</v>
      </c>
      <c r="R96" s="270" t="s">
        <v>2801</v>
      </c>
      <c r="S96" s="270" t="s">
        <v>70</v>
      </c>
      <c r="U96" s="220" t="s">
        <v>2534</v>
      </c>
      <c r="V96" s="220" t="s">
        <v>1769</v>
      </c>
    </row>
    <row r="97" spans="4:22" ht="30" customHeight="1" x14ac:dyDescent="0.25">
      <c r="D97" s="171" t="s">
        <v>2271</v>
      </c>
      <c r="E97" s="171" t="s">
        <v>1761</v>
      </c>
      <c r="F97" s="171" t="s">
        <v>2463</v>
      </c>
      <c r="G97" s="171" t="s">
        <v>2271</v>
      </c>
      <c r="H97" s="171" t="s">
        <v>2271</v>
      </c>
      <c r="I97" s="171" t="s">
        <v>2791</v>
      </c>
      <c r="J97" s="172" t="str">
        <f t="shared" si="7"/>
        <v>CHRISTINA I COLLINS - PPO</v>
      </c>
      <c r="K97" s="172" t="str">
        <f t="shared" si="5"/>
        <v/>
      </c>
      <c r="L97" s="172" t="str">
        <f t="shared" si="6"/>
        <v>Medical Plan</v>
      </c>
      <c r="R97" s="270" t="s">
        <v>2801</v>
      </c>
      <c r="S97" s="270" t="s">
        <v>1764</v>
      </c>
      <c r="U97" s="220" t="s">
        <v>2560</v>
      </c>
      <c r="V97" s="220" t="s">
        <v>71</v>
      </c>
    </row>
    <row r="98" spans="4:22" ht="30" customHeight="1" x14ac:dyDescent="0.25">
      <c r="D98" s="171" t="s">
        <v>2271</v>
      </c>
      <c r="E98" s="171" t="s">
        <v>1764</v>
      </c>
      <c r="F98" s="171" t="s">
        <v>1791</v>
      </c>
      <c r="G98" s="171" t="s">
        <v>2271</v>
      </c>
      <c r="H98" s="171" t="s">
        <v>2271</v>
      </c>
      <c r="I98" s="171" t="s">
        <v>2792</v>
      </c>
      <c r="J98" s="172" t="str">
        <f t="shared" si="7"/>
        <v>CITY CLUB GYMNASTICS ACADEMY, LLC - BLUE PRECISION</v>
      </c>
      <c r="K98" s="172" t="str">
        <f t="shared" si="5"/>
        <v>BAV</v>
      </c>
      <c r="L98" s="172" t="str">
        <f t="shared" si="6"/>
        <v>Medical Plan</v>
      </c>
      <c r="R98" s="270" t="s">
        <v>2801</v>
      </c>
      <c r="S98" s="270" t="s">
        <v>67</v>
      </c>
      <c r="U98" s="220" t="s">
        <v>2560</v>
      </c>
      <c r="V98" s="220" t="s">
        <v>1769</v>
      </c>
    </row>
    <row r="99" spans="4:22" ht="30" customHeight="1" x14ac:dyDescent="0.25">
      <c r="D99" s="171" t="s">
        <v>2271</v>
      </c>
      <c r="E99" s="171" t="s">
        <v>1761</v>
      </c>
      <c r="F99" s="171" t="s">
        <v>2614</v>
      </c>
      <c r="G99" s="171" t="s">
        <v>2271</v>
      </c>
      <c r="H99" s="171" t="s">
        <v>2271</v>
      </c>
      <c r="I99" s="171" t="s">
        <v>2792</v>
      </c>
      <c r="J99" s="172" t="str">
        <f t="shared" si="7"/>
        <v>CITY CLUB GYMNASTICS ACADEMY, LLC - PPO</v>
      </c>
      <c r="K99" s="172" t="str">
        <f t="shared" si="5"/>
        <v/>
      </c>
      <c r="L99" s="172" t="str">
        <f t="shared" si="6"/>
        <v>Medical Plan</v>
      </c>
      <c r="R99" s="270" t="s">
        <v>1307</v>
      </c>
      <c r="S99" s="270" t="s">
        <v>1764</v>
      </c>
      <c r="U99" s="220" t="s">
        <v>2867</v>
      </c>
      <c r="V99" s="220" t="s">
        <v>71</v>
      </c>
    </row>
    <row r="100" spans="4:22" ht="30" customHeight="1" x14ac:dyDescent="0.25">
      <c r="D100" s="171" t="s">
        <v>2271</v>
      </c>
      <c r="E100" s="171" t="s">
        <v>1761</v>
      </c>
      <c r="F100" s="171" t="s">
        <v>2615</v>
      </c>
      <c r="G100" s="171" t="s">
        <v>2271</v>
      </c>
      <c r="H100" s="171" t="s">
        <v>2271</v>
      </c>
      <c r="I100" s="171" t="s">
        <v>2792</v>
      </c>
      <c r="J100" s="172" t="str">
        <f t="shared" si="7"/>
        <v>CITY CLUB GYMNASTICS ACADEMY, LLC - PPO</v>
      </c>
      <c r="K100" s="172" t="str">
        <f t="shared" si="5"/>
        <v/>
      </c>
      <c r="L100" s="172" t="str">
        <f t="shared" si="6"/>
        <v>Medical Plan</v>
      </c>
      <c r="R100" s="270" t="s">
        <v>1307</v>
      </c>
      <c r="S100" s="270" t="s">
        <v>1761</v>
      </c>
      <c r="U100" s="220" t="s">
        <v>2867</v>
      </c>
      <c r="V100" s="220" t="s">
        <v>1769</v>
      </c>
    </row>
    <row r="101" spans="4:22" ht="30" customHeight="1" x14ac:dyDescent="0.25">
      <c r="D101" s="171" t="s">
        <v>2271</v>
      </c>
      <c r="E101" s="171" t="s">
        <v>1772</v>
      </c>
      <c r="F101" s="171" t="s">
        <v>2252</v>
      </c>
      <c r="G101" s="171" t="s">
        <v>2472</v>
      </c>
      <c r="H101" s="171" t="s">
        <v>2271</v>
      </c>
      <c r="I101" s="171" t="s">
        <v>2251</v>
      </c>
      <c r="J101" s="172" t="str">
        <f t="shared" si="7"/>
        <v>CITY OF HOMETOWN - BLUE ADV HMO</v>
      </c>
      <c r="K101" s="172" t="str">
        <f t="shared" si="5"/>
        <v>ADV</v>
      </c>
      <c r="L101" s="172" t="str">
        <f t="shared" si="6"/>
        <v>Medical Plan</v>
      </c>
      <c r="R101" s="270" t="s">
        <v>2802</v>
      </c>
      <c r="S101" s="270" t="s">
        <v>71</v>
      </c>
    </row>
    <row r="102" spans="4:22" ht="30" customHeight="1" x14ac:dyDescent="0.25">
      <c r="D102" s="171" t="s">
        <v>2271</v>
      </c>
      <c r="E102" s="171" t="s">
        <v>1772</v>
      </c>
      <c r="F102" s="171" t="s">
        <v>2253</v>
      </c>
      <c r="G102" s="171" t="s">
        <v>2472</v>
      </c>
      <c r="H102" s="171" t="s">
        <v>2271</v>
      </c>
      <c r="I102" s="171" t="s">
        <v>2251</v>
      </c>
      <c r="J102" s="172" t="str">
        <f t="shared" si="7"/>
        <v>CITY OF HOMETOWN - BLUE ADV HMO</v>
      </c>
      <c r="K102" s="172" t="str">
        <f t="shared" si="5"/>
        <v>ADV</v>
      </c>
      <c r="L102" s="172" t="str">
        <f t="shared" si="6"/>
        <v>Medical Plan</v>
      </c>
      <c r="R102" s="270" t="s">
        <v>2802</v>
      </c>
      <c r="S102" s="270" t="s">
        <v>1761</v>
      </c>
    </row>
    <row r="103" spans="4:22" ht="30" customHeight="1" x14ac:dyDescent="0.25">
      <c r="D103" s="171" t="s">
        <v>2271</v>
      </c>
      <c r="E103" s="171" t="s">
        <v>1761</v>
      </c>
      <c r="F103" s="171" t="s">
        <v>2385</v>
      </c>
      <c r="G103" s="171" t="s">
        <v>2472</v>
      </c>
      <c r="H103" s="171" t="s">
        <v>2271</v>
      </c>
      <c r="I103" s="171" t="s">
        <v>2251</v>
      </c>
      <c r="J103" s="172" t="str">
        <f t="shared" si="7"/>
        <v>CITY OF HOMETOWN - PPO</v>
      </c>
      <c r="K103" s="172" t="str">
        <f t="shared" si="5"/>
        <v/>
      </c>
      <c r="L103" s="172" t="str">
        <f t="shared" si="6"/>
        <v>Medical Plan</v>
      </c>
      <c r="R103" s="270" t="s">
        <v>2804</v>
      </c>
      <c r="S103" s="270" t="s">
        <v>1775</v>
      </c>
    </row>
    <row r="104" spans="4:22" ht="30" customHeight="1" x14ac:dyDescent="0.25">
      <c r="D104" s="171" t="s">
        <v>2271</v>
      </c>
      <c r="E104" s="171" t="s">
        <v>1761</v>
      </c>
      <c r="F104" s="171" t="s">
        <v>2383</v>
      </c>
      <c r="G104" s="171" t="s">
        <v>2472</v>
      </c>
      <c r="H104" s="171" t="s">
        <v>2271</v>
      </c>
      <c r="I104" s="171" t="s">
        <v>2251</v>
      </c>
      <c r="J104" s="172" t="str">
        <f t="shared" si="7"/>
        <v>CITY OF HOMETOWN - PPO</v>
      </c>
      <c r="K104" s="172" t="str">
        <f t="shared" si="5"/>
        <v/>
      </c>
      <c r="L104" s="172" t="str">
        <f t="shared" si="6"/>
        <v>Medical Plan</v>
      </c>
      <c r="R104" s="270" t="s">
        <v>2804</v>
      </c>
      <c r="S104" s="270" t="s">
        <v>1761</v>
      </c>
    </row>
    <row r="105" spans="4:22" ht="30" customHeight="1" x14ac:dyDescent="0.25">
      <c r="D105" s="171" t="s">
        <v>2271</v>
      </c>
      <c r="E105" s="171" t="s">
        <v>1761</v>
      </c>
      <c r="F105" s="171" t="s">
        <v>2384</v>
      </c>
      <c r="G105" s="171" t="s">
        <v>2472</v>
      </c>
      <c r="H105" s="171" t="s">
        <v>2271</v>
      </c>
      <c r="I105" s="171" t="s">
        <v>2251</v>
      </c>
      <c r="J105" s="172" t="str">
        <f t="shared" si="7"/>
        <v>CITY OF HOMETOWN - PPO</v>
      </c>
      <c r="K105" s="172" t="str">
        <f t="shared" si="5"/>
        <v/>
      </c>
      <c r="L105" s="172" t="str">
        <f t="shared" si="6"/>
        <v>Medical Plan</v>
      </c>
      <c r="R105" s="270" t="s">
        <v>2572</v>
      </c>
      <c r="S105" s="270" t="s">
        <v>1761</v>
      </c>
    </row>
    <row r="106" spans="4:22" ht="30" customHeight="1" x14ac:dyDescent="0.25">
      <c r="D106" s="171" t="s">
        <v>2271</v>
      </c>
      <c r="E106" s="171" t="s">
        <v>1761</v>
      </c>
      <c r="F106" s="171" t="s">
        <v>2386</v>
      </c>
      <c r="G106" s="171" t="s">
        <v>2567</v>
      </c>
      <c r="H106" s="171" t="s">
        <v>2271</v>
      </c>
      <c r="I106" s="171" t="s">
        <v>2568</v>
      </c>
      <c r="J106" s="172" t="str">
        <f t="shared" si="7"/>
        <v>CITY OF MARSHALL - PPO</v>
      </c>
      <c r="K106" s="172" t="str">
        <f t="shared" si="5"/>
        <v/>
      </c>
      <c r="L106" s="172" t="str">
        <f t="shared" si="6"/>
        <v>Medical Plan</v>
      </c>
      <c r="R106" s="270" t="s">
        <v>2805</v>
      </c>
      <c r="S106" s="270" t="s">
        <v>1764</v>
      </c>
    </row>
    <row r="107" spans="4:22" ht="30" customHeight="1" x14ac:dyDescent="0.25">
      <c r="D107" s="171" t="s">
        <v>2271</v>
      </c>
      <c r="E107" s="171" t="s">
        <v>1761</v>
      </c>
      <c r="F107" s="171" t="s">
        <v>2389</v>
      </c>
      <c r="G107" s="171" t="s">
        <v>2569</v>
      </c>
      <c r="H107" s="171" t="s">
        <v>2271</v>
      </c>
      <c r="I107" s="171" t="s">
        <v>2570</v>
      </c>
      <c r="J107" s="172" t="str">
        <f t="shared" si="7"/>
        <v>CITY OF STAUNTON - PPO</v>
      </c>
      <c r="K107" s="172" t="str">
        <f t="shared" si="5"/>
        <v/>
      </c>
      <c r="L107" s="172" t="str">
        <f t="shared" si="6"/>
        <v>Medical Plan</v>
      </c>
      <c r="R107" s="270" t="s">
        <v>2805</v>
      </c>
      <c r="S107" s="270" t="s">
        <v>67</v>
      </c>
    </row>
    <row r="108" spans="4:22" ht="30" customHeight="1" x14ac:dyDescent="0.25">
      <c r="D108" s="171" t="s">
        <v>2271</v>
      </c>
      <c r="E108" s="171" t="s">
        <v>1761</v>
      </c>
      <c r="F108" s="171" t="s">
        <v>2387</v>
      </c>
      <c r="G108" s="171" t="s">
        <v>2569</v>
      </c>
      <c r="H108" s="171" t="s">
        <v>2271</v>
      </c>
      <c r="I108" s="171" t="s">
        <v>2570</v>
      </c>
      <c r="J108" s="172" t="str">
        <f t="shared" si="7"/>
        <v>CITY OF STAUNTON - PPO</v>
      </c>
      <c r="K108" s="172" t="str">
        <f t="shared" si="5"/>
        <v/>
      </c>
      <c r="L108" s="172" t="str">
        <f t="shared" si="6"/>
        <v>Medical Plan</v>
      </c>
      <c r="R108" s="270" t="s">
        <v>2806</v>
      </c>
      <c r="S108" s="270" t="s">
        <v>71</v>
      </c>
    </row>
    <row r="109" spans="4:22" ht="30" customHeight="1" x14ac:dyDescent="0.25">
      <c r="D109" s="171" t="s">
        <v>2271</v>
      </c>
      <c r="E109" s="171" t="s">
        <v>1761</v>
      </c>
      <c r="F109" s="171" t="s">
        <v>2390</v>
      </c>
      <c r="G109" s="171" t="s">
        <v>2569</v>
      </c>
      <c r="H109" s="171" t="s">
        <v>2271</v>
      </c>
      <c r="I109" s="171" t="s">
        <v>2570</v>
      </c>
      <c r="J109" s="172" t="str">
        <f t="shared" si="7"/>
        <v>CITY OF STAUNTON - PPO</v>
      </c>
      <c r="K109" s="172" t="str">
        <f t="shared" si="5"/>
        <v/>
      </c>
      <c r="L109" s="172" t="str">
        <f t="shared" si="6"/>
        <v>Medical Plan</v>
      </c>
      <c r="R109" s="270" t="s">
        <v>2806</v>
      </c>
      <c r="S109" s="270" t="s">
        <v>1761</v>
      </c>
    </row>
    <row r="110" spans="4:22" ht="30" customHeight="1" x14ac:dyDescent="0.25">
      <c r="D110" s="171" t="s">
        <v>2271</v>
      </c>
      <c r="E110" s="171" t="s">
        <v>1761</v>
      </c>
      <c r="F110" s="171" t="s">
        <v>2388</v>
      </c>
      <c r="G110" s="171" t="s">
        <v>2569</v>
      </c>
      <c r="H110" s="171" t="s">
        <v>2271</v>
      </c>
      <c r="I110" s="171" t="s">
        <v>2570</v>
      </c>
      <c r="J110" s="172" t="str">
        <f t="shared" si="7"/>
        <v>CITY OF STAUNTON - PPO</v>
      </c>
      <c r="K110" s="172" t="str">
        <f t="shared" si="5"/>
        <v/>
      </c>
      <c r="L110" s="172" t="str">
        <f t="shared" si="6"/>
        <v>Medical Plan</v>
      </c>
      <c r="R110" s="270" t="s">
        <v>2486</v>
      </c>
      <c r="S110" s="270" t="s">
        <v>71</v>
      </c>
    </row>
    <row r="111" spans="4:22" ht="30" customHeight="1" x14ac:dyDescent="0.25">
      <c r="D111" s="171" t="s">
        <v>2271</v>
      </c>
      <c r="E111" s="171" t="s">
        <v>1761</v>
      </c>
      <c r="F111" s="171" t="s">
        <v>2391</v>
      </c>
      <c r="G111" s="171" t="s">
        <v>2569</v>
      </c>
      <c r="H111" s="171" t="s">
        <v>2271</v>
      </c>
      <c r="I111" s="171" t="s">
        <v>2570</v>
      </c>
      <c r="J111" s="172" t="str">
        <f t="shared" si="7"/>
        <v>CITY OF STAUNTON - PPO</v>
      </c>
      <c r="K111" s="172" t="str">
        <f t="shared" si="5"/>
        <v/>
      </c>
      <c r="L111" s="172" t="str">
        <f t="shared" si="6"/>
        <v>Medical Plan</v>
      </c>
      <c r="R111" s="270" t="s">
        <v>2486</v>
      </c>
      <c r="S111" s="270" t="s">
        <v>70</v>
      </c>
    </row>
    <row r="112" spans="4:22" ht="30" customHeight="1" x14ac:dyDescent="0.25">
      <c r="D112" s="171" t="s">
        <v>2271</v>
      </c>
      <c r="E112" s="171" t="s">
        <v>1761</v>
      </c>
      <c r="F112" s="171" t="s">
        <v>2392</v>
      </c>
      <c r="G112" s="171" t="s">
        <v>2569</v>
      </c>
      <c r="H112" s="171" t="s">
        <v>2271</v>
      </c>
      <c r="I112" s="171" t="s">
        <v>2570</v>
      </c>
      <c r="J112" s="172" t="str">
        <f t="shared" si="7"/>
        <v>CITY OF STAUNTON - PPO</v>
      </c>
      <c r="K112" s="172" t="str">
        <f t="shared" si="5"/>
        <v/>
      </c>
      <c r="L112" s="172" t="str">
        <f t="shared" si="6"/>
        <v>Medical Plan</v>
      </c>
      <c r="R112" s="270" t="s">
        <v>2548</v>
      </c>
      <c r="S112" s="270" t="s">
        <v>71</v>
      </c>
    </row>
    <row r="113" spans="4:19" ht="30" customHeight="1" x14ac:dyDescent="0.25">
      <c r="D113" s="171" t="s">
        <v>2271</v>
      </c>
      <c r="E113" s="171" t="s">
        <v>1761</v>
      </c>
      <c r="F113" s="171" t="s">
        <v>2618</v>
      </c>
      <c r="G113" s="171" t="s">
        <v>2271</v>
      </c>
      <c r="H113" s="171" t="s">
        <v>2271</v>
      </c>
      <c r="I113" s="171" t="s">
        <v>2793</v>
      </c>
      <c r="J113" s="172" t="str">
        <f t="shared" si="7"/>
        <v>CITY OF WATERLOO - PPO</v>
      </c>
      <c r="K113" s="172" t="str">
        <f t="shared" si="5"/>
        <v/>
      </c>
      <c r="L113" s="172" t="str">
        <f t="shared" si="6"/>
        <v>Medical Plan</v>
      </c>
      <c r="R113" s="270" t="s">
        <v>2548</v>
      </c>
      <c r="S113" s="270" t="s">
        <v>1761</v>
      </c>
    </row>
    <row r="114" spans="4:19" ht="30" customHeight="1" x14ac:dyDescent="0.25">
      <c r="D114" s="171" t="s">
        <v>2271</v>
      </c>
      <c r="E114" s="171" t="s">
        <v>1761</v>
      </c>
      <c r="F114" s="171" t="s">
        <v>2616</v>
      </c>
      <c r="G114" s="171" t="s">
        <v>2271</v>
      </c>
      <c r="H114" s="171" t="s">
        <v>2271</v>
      </c>
      <c r="I114" s="171" t="s">
        <v>2793</v>
      </c>
      <c r="J114" s="172" t="str">
        <f t="shared" si="7"/>
        <v>CITY OF WATERLOO - PPO</v>
      </c>
      <c r="K114" s="172" t="str">
        <f t="shared" si="5"/>
        <v/>
      </c>
      <c r="L114" s="172" t="str">
        <f t="shared" si="6"/>
        <v>Medical Plan</v>
      </c>
      <c r="R114" s="270" t="s">
        <v>2807</v>
      </c>
      <c r="S114" s="270" t="s">
        <v>1761</v>
      </c>
    </row>
    <row r="115" spans="4:19" ht="30" customHeight="1" x14ac:dyDescent="0.25">
      <c r="D115" s="171" t="s">
        <v>2271</v>
      </c>
      <c r="E115" s="171" t="s">
        <v>1761</v>
      </c>
      <c r="F115" s="171" t="s">
        <v>2617</v>
      </c>
      <c r="G115" s="171" t="s">
        <v>2271</v>
      </c>
      <c r="H115" s="171" t="s">
        <v>2271</v>
      </c>
      <c r="I115" s="171" t="s">
        <v>2793</v>
      </c>
      <c r="J115" s="172" t="str">
        <f t="shared" si="7"/>
        <v>CITY OF WATERLOO - PPO</v>
      </c>
      <c r="K115" s="172" t="str">
        <f t="shared" si="5"/>
        <v/>
      </c>
      <c r="L115" s="172" t="str">
        <f t="shared" si="6"/>
        <v>Medical Plan</v>
      </c>
      <c r="R115" s="270" t="s">
        <v>2116</v>
      </c>
      <c r="S115" s="270" t="s">
        <v>70</v>
      </c>
    </row>
    <row r="116" spans="4:19" ht="30" customHeight="1" x14ac:dyDescent="0.25">
      <c r="D116" s="171" t="s">
        <v>2271</v>
      </c>
      <c r="E116" s="171" t="s">
        <v>1761</v>
      </c>
      <c r="F116" s="171" t="s">
        <v>2619</v>
      </c>
      <c r="G116" s="171" t="s">
        <v>2271</v>
      </c>
      <c r="H116" s="171" t="s">
        <v>2271</v>
      </c>
      <c r="I116" s="171" t="s">
        <v>2794</v>
      </c>
      <c r="J116" s="172" t="str">
        <f t="shared" si="7"/>
        <v>CONSTELLATION WEALTH CAPITAL, LLC - PPO</v>
      </c>
      <c r="K116" s="172" t="str">
        <f t="shared" si="5"/>
        <v/>
      </c>
      <c r="L116" s="172" t="str">
        <f t="shared" si="6"/>
        <v>Medical Plan</v>
      </c>
      <c r="R116" s="270" t="s">
        <v>2116</v>
      </c>
      <c r="S116" s="270" t="s">
        <v>1764</v>
      </c>
    </row>
    <row r="117" spans="4:19" ht="30" customHeight="1" x14ac:dyDescent="0.25">
      <c r="D117" s="171" t="s">
        <v>2271</v>
      </c>
      <c r="E117" s="171" t="s">
        <v>1761</v>
      </c>
      <c r="F117" s="171" t="s">
        <v>2620</v>
      </c>
      <c r="G117" s="171" t="s">
        <v>2271</v>
      </c>
      <c r="H117" s="171" t="s">
        <v>2271</v>
      </c>
      <c r="I117" s="171" t="s">
        <v>2794</v>
      </c>
      <c r="J117" s="172" t="str">
        <f t="shared" si="7"/>
        <v>CONSTELLATION WEALTH CAPITAL, LLC - PPO</v>
      </c>
      <c r="K117" s="172" t="str">
        <f t="shared" si="5"/>
        <v/>
      </c>
      <c r="L117" s="172" t="str">
        <f t="shared" si="6"/>
        <v>Medical Plan</v>
      </c>
      <c r="R117" s="270" t="s">
        <v>2488</v>
      </c>
      <c r="S117" s="270" t="s">
        <v>71</v>
      </c>
    </row>
    <row r="118" spans="4:19" ht="30" customHeight="1" x14ac:dyDescent="0.25">
      <c r="D118" s="171" t="s">
        <v>1701</v>
      </c>
      <c r="E118" s="171" t="s">
        <v>1772</v>
      </c>
      <c r="F118" s="171" t="s">
        <v>1795</v>
      </c>
      <c r="G118" s="171" t="s">
        <v>1300</v>
      </c>
      <c r="H118" s="171" t="s">
        <v>1301</v>
      </c>
      <c r="I118" s="171" t="s">
        <v>1302</v>
      </c>
      <c r="J118" s="172" t="str">
        <f t="shared" si="7"/>
        <v>CREATA - BLUE ADV HMO</v>
      </c>
      <c r="K118" s="172" t="str">
        <f t="shared" si="5"/>
        <v>ADV</v>
      </c>
      <c r="L118" s="172" t="str">
        <f t="shared" si="6"/>
        <v>Medical Plan</v>
      </c>
      <c r="R118" s="270" t="s">
        <v>2488</v>
      </c>
      <c r="S118" s="270" t="s">
        <v>70</v>
      </c>
    </row>
    <row r="119" spans="4:19" ht="30" customHeight="1" x14ac:dyDescent="0.25">
      <c r="D119" s="171" t="s">
        <v>1700</v>
      </c>
      <c r="E119" s="171" t="s">
        <v>1775</v>
      </c>
      <c r="F119" s="171" t="s">
        <v>1794</v>
      </c>
      <c r="G119" s="171" t="s">
        <v>1300</v>
      </c>
      <c r="H119" s="171" t="s">
        <v>1301</v>
      </c>
      <c r="I119" s="171" t="s">
        <v>1302</v>
      </c>
      <c r="J119" s="172" t="str">
        <f t="shared" si="7"/>
        <v>CREATA - BLUE CHOICE SELECT</v>
      </c>
      <c r="K119" s="172" t="str">
        <f t="shared" si="5"/>
        <v/>
      </c>
      <c r="L119" s="172" t="str">
        <f t="shared" si="6"/>
        <v>Medical Plan</v>
      </c>
      <c r="R119" s="270" t="s">
        <v>2488</v>
      </c>
      <c r="S119" s="270" t="s">
        <v>1764</v>
      </c>
    </row>
    <row r="120" spans="4:19" ht="30" customHeight="1" x14ac:dyDescent="0.25">
      <c r="D120" s="171" t="s">
        <v>1702</v>
      </c>
      <c r="E120" s="171" t="s">
        <v>1761</v>
      </c>
      <c r="F120" s="171" t="s">
        <v>1796</v>
      </c>
      <c r="G120" s="171" t="s">
        <v>1300</v>
      </c>
      <c r="H120" s="171" t="s">
        <v>1301</v>
      </c>
      <c r="I120" s="171" t="s">
        <v>1302</v>
      </c>
      <c r="J120" s="172" t="str">
        <f t="shared" si="7"/>
        <v>CREATA - PPO</v>
      </c>
      <c r="K120" s="172" t="str">
        <f t="shared" si="5"/>
        <v/>
      </c>
      <c r="L120" s="172" t="str">
        <f t="shared" si="6"/>
        <v>Medical Plan</v>
      </c>
      <c r="R120" s="270" t="s">
        <v>2488</v>
      </c>
      <c r="S120" s="270" t="s">
        <v>67</v>
      </c>
    </row>
    <row r="121" spans="4:19" ht="30" customHeight="1" x14ac:dyDescent="0.25">
      <c r="D121" s="171" t="s">
        <v>1699</v>
      </c>
      <c r="E121" s="171" t="s">
        <v>1761</v>
      </c>
      <c r="F121" s="171" t="s">
        <v>1793</v>
      </c>
      <c r="G121" s="171" t="s">
        <v>1300</v>
      </c>
      <c r="H121" s="171" t="s">
        <v>1301</v>
      </c>
      <c r="I121" s="171" t="s">
        <v>1302</v>
      </c>
      <c r="J121" s="172" t="str">
        <f t="shared" si="7"/>
        <v>CREATA - PPO</v>
      </c>
      <c r="K121" s="172" t="str">
        <f t="shared" si="5"/>
        <v/>
      </c>
      <c r="L121" s="172" t="str">
        <f t="shared" si="6"/>
        <v>Medical Plan</v>
      </c>
      <c r="R121" s="270" t="s">
        <v>2256</v>
      </c>
      <c r="S121" s="270" t="s">
        <v>71</v>
      </c>
    </row>
    <row r="122" spans="4:19" ht="30" customHeight="1" x14ac:dyDescent="0.25">
      <c r="D122" s="171" t="s">
        <v>2271</v>
      </c>
      <c r="E122" s="171" t="s">
        <v>71</v>
      </c>
      <c r="G122" s="171" t="s">
        <v>2271</v>
      </c>
      <c r="H122" s="171" t="s">
        <v>2271</v>
      </c>
      <c r="I122" s="171" t="s">
        <v>2795</v>
      </c>
      <c r="J122" s="172" t="str">
        <f t="shared" si="7"/>
        <v>CSG HOSPITALITY, LLC - No Coverage</v>
      </c>
      <c r="K122" s="172" t="str">
        <f t="shared" si="5"/>
        <v/>
      </c>
      <c r="L122" s="172" t="str">
        <f t="shared" si="6"/>
        <v>Medical Plan</v>
      </c>
      <c r="R122" s="270" t="s">
        <v>2256</v>
      </c>
      <c r="S122" s="270" t="s">
        <v>1772</v>
      </c>
    </row>
    <row r="123" spans="4:19" ht="30" customHeight="1" x14ac:dyDescent="0.25">
      <c r="D123" s="171" t="s">
        <v>2271</v>
      </c>
      <c r="E123" s="171" t="s">
        <v>1769</v>
      </c>
      <c r="F123" s="171" t="s">
        <v>2621</v>
      </c>
      <c r="G123" s="171" t="s">
        <v>2271</v>
      </c>
      <c r="H123" s="171" t="s">
        <v>2271</v>
      </c>
      <c r="I123" s="171" t="s">
        <v>2795</v>
      </c>
      <c r="J123" s="172" t="str">
        <f t="shared" si="7"/>
        <v>CSG HOSPITALITY, LLC - DENTAL</v>
      </c>
      <c r="K123" s="172" t="str">
        <f t="shared" si="5"/>
        <v/>
      </c>
      <c r="L123" s="172" t="str">
        <f t="shared" si="6"/>
        <v>Dental Plan</v>
      </c>
      <c r="R123" s="270" t="s">
        <v>2256</v>
      </c>
      <c r="S123" s="270" t="s">
        <v>70</v>
      </c>
    </row>
    <row r="124" spans="4:19" ht="30" customHeight="1" x14ac:dyDescent="0.25">
      <c r="D124" s="171" t="s">
        <v>2271</v>
      </c>
      <c r="E124" s="171" t="s">
        <v>1761</v>
      </c>
      <c r="F124" s="171" t="s">
        <v>2622</v>
      </c>
      <c r="G124" s="171" t="s">
        <v>2271</v>
      </c>
      <c r="H124" s="171" t="s">
        <v>2271</v>
      </c>
      <c r="I124" s="171" t="s">
        <v>2795</v>
      </c>
      <c r="J124" s="172" t="str">
        <f t="shared" si="7"/>
        <v>CSG HOSPITALITY, LLC - PPO</v>
      </c>
      <c r="K124" s="172" t="str">
        <f t="shared" si="5"/>
        <v/>
      </c>
      <c r="L124" s="172" t="str">
        <f t="shared" si="6"/>
        <v>Medical Plan</v>
      </c>
      <c r="R124" s="270" t="s">
        <v>2256</v>
      </c>
      <c r="S124" s="270" t="s">
        <v>1764</v>
      </c>
    </row>
    <row r="125" spans="4:19" ht="30" customHeight="1" x14ac:dyDescent="0.25">
      <c r="D125" s="171" t="s">
        <v>2271</v>
      </c>
      <c r="E125" s="171" t="s">
        <v>71</v>
      </c>
      <c r="G125" s="171" t="s">
        <v>2271</v>
      </c>
      <c r="H125" s="171" t="s">
        <v>2271</v>
      </c>
      <c r="I125" s="171" t="s">
        <v>2796</v>
      </c>
      <c r="J125" s="172" t="str">
        <f t="shared" si="7"/>
        <v>CU/AMERICA FINANCIAL SERVICES - No Coverage</v>
      </c>
      <c r="K125" s="172" t="str">
        <f t="shared" si="5"/>
        <v/>
      </c>
      <c r="L125" s="172" t="str">
        <f t="shared" si="6"/>
        <v>Medical Plan</v>
      </c>
      <c r="R125" s="270" t="s">
        <v>2256</v>
      </c>
      <c r="S125" s="270" t="s">
        <v>1761</v>
      </c>
    </row>
    <row r="126" spans="4:19" ht="30" customHeight="1" x14ac:dyDescent="0.25">
      <c r="D126" s="171" t="s">
        <v>2271</v>
      </c>
      <c r="E126" s="171" t="s">
        <v>1764</v>
      </c>
      <c r="F126" s="171" t="s">
        <v>2328</v>
      </c>
      <c r="G126" s="171" t="s">
        <v>2271</v>
      </c>
      <c r="H126" s="171" t="s">
        <v>2271</v>
      </c>
      <c r="I126" s="171" t="s">
        <v>2796</v>
      </c>
      <c r="J126" s="172" t="str">
        <f t="shared" si="7"/>
        <v>CU/AMERICA FINANCIAL SERVICES - BLUE PRECISION</v>
      </c>
      <c r="K126" s="172" t="str">
        <f t="shared" si="5"/>
        <v>BAV</v>
      </c>
      <c r="L126" s="172" t="str">
        <f t="shared" si="6"/>
        <v>Medical Plan</v>
      </c>
      <c r="R126" s="270" t="s">
        <v>2540</v>
      </c>
      <c r="S126" s="270" t="s">
        <v>67</v>
      </c>
    </row>
    <row r="127" spans="4:19" ht="30" customHeight="1" x14ac:dyDescent="0.25">
      <c r="D127" s="171" t="s">
        <v>2271</v>
      </c>
      <c r="E127" s="171" t="s">
        <v>1769</v>
      </c>
      <c r="F127" s="171" t="s">
        <v>2623</v>
      </c>
      <c r="G127" s="171" t="s">
        <v>2271</v>
      </c>
      <c r="H127" s="171" t="s">
        <v>2271</v>
      </c>
      <c r="I127" s="171" t="s">
        <v>2796</v>
      </c>
      <c r="J127" s="172" t="str">
        <f t="shared" si="7"/>
        <v>CU/AMERICA FINANCIAL SERVICES - DENTAL</v>
      </c>
      <c r="K127" s="172" t="str">
        <f t="shared" si="5"/>
        <v/>
      </c>
      <c r="L127" s="172" t="str">
        <f t="shared" si="6"/>
        <v>Dental Plan</v>
      </c>
      <c r="R127" s="270" t="s">
        <v>2540</v>
      </c>
      <c r="S127" s="270" t="s">
        <v>1761</v>
      </c>
    </row>
    <row r="128" spans="4:19" ht="30" customHeight="1" x14ac:dyDescent="0.25">
      <c r="D128" s="171" t="s">
        <v>2271</v>
      </c>
      <c r="E128" s="171" t="s">
        <v>1761</v>
      </c>
      <c r="F128" s="171" t="s">
        <v>2408</v>
      </c>
      <c r="G128" s="171" t="s">
        <v>2271</v>
      </c>
      <c r="H128" s="171" t="s">
        <v>2271</v>
      </c>
      <c r="I128" s="171" t="s">
        <v>2796</v>
      </c>
      <c r="J128" s="172" t="str">
        <f t="shared" si="7"/>
        <v>CU/AMERICA FINANCIAL SERVICES - PPO</v>
      </c>
      <c r="K128" s="172" t="str">
        <f t="shared" si="5"/>
        <v/>
      </c>
      <c r="L128" s="172" t="str">
        <f t="shared" si="6"/>
        <v>Medical Plan</v>
      </c>
      <c r="R128" s="270" t="s">
        <v>2258</v>
      </c>
      <c r="S128" s="270" t="s">
        <v>1772</v>
      </c>
    </row>
    <row r="129" spans="4:19" ht="30" customHeight="1" x14ac:dyDescent="0.25">
      <c r="D129" s="171" t="s">
        <v>2271</v>
      </c>
      <c r="E129" s="171" t="s">
        <v>70</v>
      </c>
      <c r="F129" s="171" t="s">
        <v>2292</v>
      </c>
      <c r="G129" s="171" t="s">
        <v>2483</v>
      </c>
      <c r="H129" s="171" t="s">
        <v>2271</v>
      </c>
      <c r="I129" s="171" t="s">
        <v>2484</v>
      </c>
      <c r="J129" s="172" t="str">
        <f t="shared" si="7"/>
        <v>CURRENT TECHNOLOGIES CORPORATION - BLUE OPTIONS</v>
      </c>
      <c r="K129" s="172" t="str">
        <f t="shared" si="5"/>
        <v/>
      </c>
      <c r="L129" s="172" t="str">
        <f t="shared" si="6"/>
        <v>Medical Plan</v>
      </c>
      <c r="R129" s="270" t="s">
        <v>2258</v>
      </c>
      <c r="S129" s="270" t="s">
        <v>1761</v>
      </c>
    </row>
    <row r="130" spans="4:19" ht="30" customHeight="1" x14ac:dyDescent="0.25">
      <c r="D130" s="171" t="s">
        <v>2271</v>
      </c>
      <c r="E130" s="171" t="s">
        <v>70</v>
      </c>
      <c r="F130" s="171" t="s">
        <v>2293</v>
      </c>
      <c r="G130" s="171" t="s">
        <v>2483</v>
      </c>
      <c r="H130" s="171" t="s">
        <v>2271</v>
      </c>
      <c r="I130" s="171" t="s">
        <v>2484</v>
      </c>
      <c r="J130" s="172" t="str">
        <f t="shared" si="7"/>
        <v>CURRENT TECHNOLOGIES CORPORATION - BLUE OPTIONS</v>
      </c>
      <c r="K130" s="172" t="str">
        <f t="shared" si="5"/>
        <v/>
      </c>
      <c r="L130" s="172" t="str">
        <f t="shared" si="6"/>
        <v>Medical Plan</v>
      </c>
      <c r="R130" s="270" t="s">
        <v>2808</v>
      </c>
      <c r="S130" s="270" t="s">
        <v>71</v>
      </c>
    </row>
    <row r="131" spans="4:19" ht="30" customHeight="1" x14ac:dyDescent="0.25">
      <c r="D131" s="171" t="s">
        <v>2271</v>
      </c>
      <c r="E131" s="171" t="s">
        <v>70</v>
      </c>
      <c r="F131" s="171" t="s">
        <v>2290</v>
      </c>
      <c r="G131" s="171" t="s">
        <v>2483</v>
      </c>
      <c r="H131" s="171" t="s">
        <v>2271</v>
      </c>
      <c r="I131" s="171" t="s">
        <v>2484</v>
      </c>
      <c r="J131" s="172" t="str">
        <f t="shared" si="7"/>
        <v>CURRENT TECHNOLOGIES CORPORATION - BLUE OPTIONS</v>
      </c>
      <c r="K131" s="172" t="str">
        <f t="shared" ref="K131:K194" si="8">IFERROR(IF(VLOOKUP(E:E,N:O,2,0)="","",VLOOKUP(E:E,N:O,2,0)),"#N/A")</f>
        <v/>
      </c>
      <c r="L131" s="172" t="str">
        <f t="shared" ref="L131:L194" si="9">IFERROR(IF(VLOOKUP(E:E,N:P,3,0)="","#N/A",VLOOKUP(E:E,N:P,3,0)),"#N/A")</f>
        <v>Medical Plan</v>
      </c>
      <c r="R131" s="270" t="s">
        <v>2808</v>
      </c>
      <c r="S131" s="270" t="s">
        <v>1764</v>
      </c>
    </row>
    <row r="132" spans="4:19" ht="30" customHeight="1" x14ac:dyDescent="0.25">
      <c r="D132" s="171" t="s">
        <v>2271</v>
      </c>
      <c r="E132" s="171" t="s">
        <v>70</v>
      </c>
      <c r="F132" s="171" t="s">
        <v>2291</v>
      </c>
      <c r="G132" s="171" t="s">
        <v>2483</v>
      </c>
      <c r="H132" s="171" t="s">
        <v>2271</v>
      </c>
      <c r="I132" s="171" t="s">
        <v>2484</v>
      </c>
      <c r="J132" s="172" t="str">
        <f t="shared" ref="J132:J195" si="10">I132&amp;" - "&amp;E132</f>
        <v>CURRENT TECHNOLOGIES CORPORATION - BLUE OPTIONS</v>
      </c>
      <c r="K132" s="172" t="str">
        <f t="shared" si="8"/>
        <v/>
      </c>
      <c r="L132" s="172" t="str">
        <f t="shared" si="9"/>
        <v>Medical Plan</v>
      </c>
      <c r="R132" s="270" t="s">
        <v>2809</v>
      </c>
      <c r="S132" s="270" t="s">
        <v>71</v>
      </c>
    </row>
    <row r="133" spans="4:19" ht="30" customHeight="1" x14ac:dyDescent="0.25">
      <c r="D133" s="171" t="s">
        <v>2271</v>
      </c>
      <c r="E133" s="171" t="s">
        <v>1764</v>
      </c>
      <c r="F133" s="171" t="s">
        <v>2315</v>
      </c>
      <c r="G133" s="171" t="s">
        <v>2483</v>
      </c>
      <c r="H133" s="171" t="s">
        <v>2271</v>
      </c>
      <c r="I133" s="171" t="s">
        <v>2484</v>
      </c>
      <c r="J133" s="172" t="str">
        <f t="shared" si="10"/>
        <v>CURRENT TECHNOLOGIES CORPORATION - BLUE PRECISION</v>
      </c>
      <c r="K133" s="172" t="str">
        <f t="shared" si="8"/>
        <v>BAV</v>
      </c>
      <c r="L133" s="172" t="str">
        <f t="shared" si="9"/>
        <v>Medical Plan</v>
      </c>
      <c r="R133" s="270" t="s">
        <v>2809</v>
      </c>
      <c r="S133" s="270" t="s">
        <v>70</v>
      </c>
    </row>
    <row r="134" spans="4:19" ht="30" customHeight="1" x14ac:dyDescent="0.25">
      <c r="D134" s="171" t="s">
        <v>2271</v>
      </c>
      <c r="E134" s="171" t="s">
        <v>1764</v>
      </c>
      <c r="F134" s="171" t="s">
        <v>2314</v>
      </c>
      <c r="G134" s="171" t="s">
        <v>2483</v>
      </c>
      <c r="H134" s="171" t="s">
        <v>2271</v>
      </c>
      <c r="I134" s="171" t="s">
        <v>2484</v>
      </c>
      <c r="J134" s="172" t="str">
        <f t="shared" si="10"/>
        <v>CURRENT TECHNOLOGIES CORPORATION - BLUE PRECISION</v>
      </c>
      <c r="K134" s="172" t="str">
        <f t="shared" si="8"/>
        <v>BAV</v>
      </c>
      <c r="L134" s="172" t="str">
        <f t="shared" si="9"/>
        <v>Medical Plan</v>
      </c>
      <c r="R134" s="270" t="s">
        <v>2809</v>
      </c>
      <c r="S134" s="270" t="s">
        <v>1761</v>
      </c>
    </row>
    <row r="135" spans="4:19" ht="30" customHeight="1" x14ac:dyDescent="0.25">
      <c r="D135" s="171" t="s">
        <v>2271</v>
      </c>
      <c r="E135" s="171" t="s">
        <v>1761</v>
      </c>
      <c r="F135" s="171" t="s">
        <v>2395</v>
      </c>
      <c r="G135" s="171" t="s">
        <v>2483</v>
      </c>
      <c r="H135" s="171" t="s">
        <v>2271</v>
      </c>
      <c r="I135" s="171" t="s">
        <v>2484</v>
      </c>
      <c r="J135" s="172" t="str">
        <f t="shared" si="10"/>
        <v>CURRENT TECHNOLOGIES CORPORATION - PPO</v>
      </c>
      <c r="K135" s="172" t="str">
        <f t="shared" si="8"/>
        <v/>
      </c>
      <c r="L135" s="172" t="str">
        <f t="shared" si="9"/>
        <v>Medical Plan</v>
      </c>
      <c r="R135" s="270" t="s">
        <v>2576</v>
      </c>
      <c r="S135" s="270" t="s">
        <v>1761</v>
      </c>
    </row>
    <row r="136" spans="4:19" ht="30" customHeight="1" x14ac:dyDescent="0.25">
      <c r="D136" s="171" t="s">
        <v>2271</v>
      </c>
      <c r="E136" s="171" t="s">
        <v>1761</v>
      </c>
      <c r="F136" s="171" t="s">
        <v>2396</v>
      </c>
      <c r="G136" s="171" t="s">
        <v>2483</v>
      </c>
      <c r="H136" s="171" t="s">
        <v>2271</v>
      </c>
      <c r="I136" s="171" t="s">
        <v>2484</v>
      </c>
      <c r="J136" s="172" t="str">
        <f t="shared" si="10"/>
        <v>CURRENT TECHNOLOGIES CORPORATION - PPO</v>
      </c>
      <c r="K136" s="172" t="str">
        <f t="shared" si="8"/>
        <v/>
      </c>
      <c r="L136" s="172" t="str">
        <f t="shared" si="9"/>
        <v>Medical Plan</v>
      </c>
      <c r="R136" s="270" t="s">
        <v>2574</v>
      </c>
      <c r="S136" s="270" t="s">
        <v>1761</v>
      </c>
    </row>
    <row r="137" spans="4:19" ht="30" customHeight="1" x14ac:dyDescent="0.25">
      <c r="D137" s="171" t="s">
        <v>2271</v>
      </c>
      <c r="E137" s="171" t="s">
        <v>1761</v>
      </c>
      <c r="F137" s="171" t="s">
        <v>2394</v>
      </c>
      <c r="G137" s="171" t="s">
        <v>2483</v>
      </c>
      <c r="H137" s="171" t="s">
        <v>2271</v>
      </c>
      <c r="I137" s="171" t="s">
        <v>2484</v>
      </c>
      <c r="J137" s="172" t="str">
        <f t="shared" si="10"/>
        <v>CURRENT TECHNOLOGIES CORPORATION - PPO</v>
      </c>
      <c r="K137" s="172" t="str">
        <f t="shared" si="8"/>
        <v/>
      </c>
      <c r="L137" s="172" t="str">
        <f t="shared" si="9"/>
        <v>Medical Plan</v>
      </c>
      <c r="R137" s="270" t="s">
        <v>2578</v>
      </c>
      <c r="S137" s="270" t="s">
        <v>1761</v>
      </c>
    </row>
    <row r="138" spans="4:19" ht="30" customHeight="1" x14ac:dyDescent="0.25">
      <c r="D138" s="171" t="s">
        <v>2271</v>
      </c>
      <c r="E138" s="171" t="s">
        <v>1761</v>
      </c>
      <c r="F138" s="171" t="s">
        <v>2393</v>
      </c>
      <c r="G138" s="171" t="s">
        <v>2483</v>
      </c>
      <c r="H138" s="171" t="s">
        <v>2271</v>
      </c>
      <c r="I138" s="171" t="s">
        <v>2484</v>
      </c>
      <c r="J138" s="172" t="str">
        <f t="shared" si="10"/>
        <v>CURRENT TECHNOLOGIES CORPORATION - PPO</v>
      </c>
      <c r="K138" s="172" t="str">
        <f t="shared" si="8"/>
        <v/>
      </c>
      <c r="L138" s="172" t="str">
        <f t="shared" si="9"/>
        <v>Medical Plan</v>
      </c>
      <c r="R138" s="270" t="s">
        <v>2260</v>
      </c>
      <c r="S138" s="270" t="s">
        <v>1772</v>
      </c>
    </row>
    <row r="139" spans="4:19" ht="30" customHeight="1" x14ac:dyDescent="0.25">
      <c r="D139" s="171" t="s">
        <v>2271</v>
      </c>
      <c r="E139" s="171" t="s">
        <v>71</v>
      </c>
      <c r="G139" s="171" t="s">
        <v>2509</v>
      </c>
      <c r="H139" s="171" t="s">
        <v>2271</v>
      </c>
      <c r="I139" s="171" t="s">
        <v>2510</v>
      </c>
      <c r="J139" s="172" t="str">
        <f t="shared" si="10"/>
        <v>CYCLONE GROUP P.C. - No Coverage</v>
      </c>
      <c r="K139" s="172" t="str">
        <f t="shared" si="8"/>
        <v/>
      </c>
      <c r="L139" s="172" t="str">
        <f t="shared" si="9"/>
        <v>Medical Plan</v>
      </c>
      <c r="R139" s="270" t="s">
        <v>2260</v>
      </c>
      <c r="S139" s="270" t="s">
        <v>1775</v>
      </c>
    </row>
    <row r="140" spans="4:19" ht="30" customHeight="1" x14ac:dyDescent="0.25">
      <c r="D140" s="171" t="s">
        <v>2271</v>
      </c>
      <c r="E140" s="171" t="s">
        <v>1764</v>
      </c>
      <c r="F140" s="171" t="s">
        <v>2316</v>
      </c>
      <c r="G140" s="171" t="s">
        <v>2509</v>
      </c>
      <c r="H140" s="171" t="s">
        <v>2271</v>
      </c>
      <c r="I140" s="171" t="s">
        <v>2510</v>
      </c>
      <c r="J140" s="172" t="str">
        <f t="shared" si="10"/>
        <v>CYCLONE GROUP P.C. - BLUE PRECISION</v>
      </c>
      <c r="K140" s="172" t="str">
        <f t="shared" si="8"/>
        <v>BAV</v>
      </c>
      <c r="L140" s="172" t="str">
        <f t="shared" si="9"/>
        <v>Medical Plan</v>
      </c>
      <c r="R140" s="270" t="s">
        <v>2260</v>
      </c>
      <c r="S140" s="270" t="s">
        <v>1761</v>
      </c>
    </row>
    <row r="141" spans="4:19" ht="30" customHeight="1" x14ac:dyDescent="0.25">
      <c r="D141" s="171" t="s">
        <v>2271</v>
      </c>
      <c r="E141" s="171" t="s">
        <v>1769</v>
      </c>
      <c r="F141" s="171" t="s">
        <v>2349</v>
      </c>
      <c r="G141" s="171" t="s">
        <v>2509</v>
      </c>
      <c r="H141" s="171" t="s">
        <v>2271</v>
      </c>
      <c r="I141" s="171" t="s">
        <v>2510</v>
      </c>
      <c r="J141" s="172" t="str">
        <f t="shared" si="10"/>
        <v>CYCLONE GROUP P.C. - DENTAL</v>
      </c>
      <c r="K141" s="172" t="str">
        <f t="shared" si="8"/>
        <v/>
      </c>
      <c r="L141" s="172" t="str">
        <f t="shared" si="9"/>
        <v>Dental Plan</v>
      </c>
      <c r="R141" s="270" t="s">
        <v>2810</v>
      </c>
      <c r="S141" s="270" t="s">
        <v>71</v>
      </c>
    </row>
    <row r="142" spans="4:19" ht="30" customHeight="1" x14ac:dyDescent="0.25">
      <c r="D142" s="171" t="s">
        <v>2271</v>
      </c>
      <c r="E142" s="171" t="s">
        <v>1761</v>
      </c>
      <c r="F142" s="171" t="s">
        <v>2624</v>
      </c>
      <c r="G142" s="171" t="s">
        <v>2509</v>
      </c>
      <c r="H142" s="171" t="s">
        <v>2271</v>
      </c>
      <c r="I142" s="171" t="s">
        <v>2510</v>
      </c>
      <c r="J142" s="172" t="str">
        <f t="shared" si="10"/>
        <v>CYCLONE GROUP P.C. - PPO</v>
      </c>
      <c r="K142" s="172" t="str">
        <f t="shared" si="8"/>
        <v/>
      </c>
      <c r="L142" s="172" t="str">
        <f t="shared" si="9"/>
        <v>Medical Plan</v>
      </c>
      <c r="R142" s="270" t="s">
        <v>2810</v>
      </c>
      <c r="S142" s="270" t="s">
        <v>1764</v>
      </c>
    </row>
    <row r="143" spans="4:19" ht="30" customHeight="1" x14ac:dyDescent="0.25">
      <c r="D143" s="171" t="s">
        <v>2271</v>
      </c>
      <c r="E143" s="171" t="s">
        <v>1761</v>
      </c>
      <c r="F143" s="171" t="s">
        <v>2625</v>
      </c>
      <c r="G143" s="171" t="s">
        <v>2509</v>
      </c>
      <c r="H143" s="171" t="s">
        <v>2271</v>
      </c>
      <c r="I143" s="171" t="s">
        <v>2510</v>
      </c>
      <c r="J143" s="172" t="str">
        <f t="shared" si="10"/>
        <v>CYCLONE GROUP P.C. - PPO</v>
      </c>
      <c r="K143" s="172" t="str">
        <f t="shared" si="8"/>
        <v/>
      </c>
      <c r="L143" s="172" t="str">
        <f t="shared" si="9"/>
        <v>Medical Plan</v>
      </c>
      <c r="R143" s="270" t="s">
        <v>2810</v>
      </c>
      <c r="S143" s="270" t="s">
        <v>2657</v>
      </c>
    </row>
    <row r="144" spans="4:19" ht="30" customHeight="1" x14ac:dyDescent="0.25">
      <c r="D144" s="171" t="s">
        <v>2271</v>
      </c>
      <c r="E144" s="171" t="s">
        <v>1761</v>
      </c>
      <c r="F144" s="171" t="s">
        <v>2626</v>
      </c>
      <c r="G144" s="171" t="s">
        <v>2271</v>
      </c>
      <c r="H144" s="171" t="s">
        <v>2271</v>
      </c>
      <c r="I144" s="171" t="s">
        <v>2797</v>
      </c>
      <c r="J144" s="172" t="str">
        <f t="shared" si="10"/>
        <v>DANDY TECHNOLOGY LLC - PPO</v>
      </c>
      <c r="K144" s="172" t="str">
        <f t="shared" si="8"/>
        <v/>
      </c>
      <c r="L144" s="172" t="str">
        <f t="shared" si="9"/>
        <v>Medical Plan</v>
      </c>
      <c r="R144" s="270" t="s">
        <v>2811</v>
      </c>
      <c r="S144" s="270" t="s">
        <v>1761</v>
      </c>
    </row>
    <row r="145" spans="4:19" ht="30" customHeight="1" x14ac:dyDescent="0.25">
      <c r="D145" s="171" t="s">
        <v>2271</v>
      </c>
      <c r="E145" s="171" t="s">
        <v>70</v>
      </c>
      <c r="F145" s="171" t="s">
        <v>1819</v>
      </c>
      <c r="G145" s="171" t="s">
        <v>2271</v>
      </c>
      <c r="H145" s="171" t="s">
        <v>2271</v>
      </c>
      <c r="I145" s="171" t="s">
        <v>2798</v>
      </c>
      <c r="J145" s="172" t="str">
        <f t="shared" si="10"/>
        <v>DASPIN &amp; AUMENT LLP - BLUE OPTIONS</v>
      </c>
      <c r="K145" s="172" t="str">
        <f t="shared" si="8"/>
        <v/>
      </c>
      <c r="L145" s="172" t="str">
        <f t="shared" si="9"/>
        <v>Medical Plan</v>
      </c>
      <c r="R145" s="270" t="s">
        <v>2490</v>
      </c>
      <c r="S145" s="270" t="s">
        <v>70</v>
      </c>
    </row>
    <row r="146" spans="4:19" ht="30" customHeight="1" x14ac:dyDescent="0.25">
      <c r="D146" s="171" t="s">
        <v>2271</v>
      </c>
      <c r="E146" s="171" t="s">
        <v>70</v>
      </c>
      <c r="F146" s="171" t="s">
        <v>2628</v>
      </c>
      <c r="G146" s="171" t="s">
        <v>2271</v>
      </c>
      <c r="H146" s="171" t="s">
        <v>2271</v>
      </c>
      <c r="I146" s="171" t="s">
        <v>2798</v>
      </c>
      <c r="J146" s="172" t="str">
        <f t="shared" si="10"/>
        <v>DASPIN &amp; AUMENT LLP - BLUE OPTIONS</v>
      </c>
      <c r="K146" s="172" t="str">
        <f t="shared" si="8"/>
        <v/>
      </c>
      <c r="L146" s="172" t="str">
        <f t="shared" si="9"/>
        <v>Medical Plan</v>
      </c>
      <c r="R146" s="270" t="s">
        <v>2490</v>
      </c>
      <c r="S146" s="270" t="s">
        <v>1761</v>
      </c>
    </row>
    <row r="147" spans="4:19" ht="30" customHeight="1" x14ac:dyDescent="0.25">
      <c r="D147" s="171" t="s">
        <v>2271</v>
      </c>
      <c r="E147" s="171" t="s">
        <v>70</v>
      </c>
      <c r="F147" s="171" t="s">
        <v>2627</v>
      </c>
      <c r="G147" s="171" t="s">
        <v>2271</v>
      </c>
      <c r="H147" s="171" t="s">
        <v>2271</v>
      </c>
      <c r="I147" s="171" t="s">
        <v>2798</v>
      </c>
      <c r="J147" s="172" t="str">
        <f t="shared" si="10"/>
        <v>DASPIN &amp; AUMENT LLP - BLUE OPTIONS</v>
      </c>
      <c r="K147" s="172" t="str">
        <f t="shared" si="8"/>
        <v/>
      </c>
      <c r="L147" s="172" t="str">
        <f t="shared" si="9"/>
        <v>Medical Plan</v>
      </c>
      <c r="R147" s="270" t="s">
        <v>2812</v>
      </c>
      <c r="S147" s="270" t="s">
        <v>71</v>
      </c>
    </row>
    <row r="148" spans="4:19" ht="30" customHeight="1" x14ac:dyDescent="0.25">
      <c r="D148" s="171" t="s">
        <v>2271</v>
      </c>
      <c r="E148" s="171" t="s">
        <v>67</v>
      </c>
      <c r="F148" s="171" t="s">
        <v>1847</v>
      </c>
      <c r="G148" s="171" t="s">
        <v>2271</v>
      </c>
      <c r="H148" s="171" t="s">
        <v>2271</v>
      </c>
      <c r="I148" s="171" t="s">
        <v>2798</v>
      </c>
      <c r="J148" s="172" t="str">
        <f t="shared" si="10"/>
        <v>DASPIN &amp; AUMENT LLP - BLUECP</v>
      </c>
      <c r="K148" s="172" t="str">
        <f t="shared" si="8"/>
        <v/>
      </c>
      <c r="L148" s="172" t="str">
        <f t="shared" si="9"/>
        <v>Medical Plan</v>
      </c>
      <c r="R148" s="270" t="s">
        <v>2812</v>
      </c>
      <c r="S148" s="270" t="s">
        <v>1764</v>
      </c>
    </row>
    <row r="149" spans="4:19" ht="30" customHeight="1" x14ac:dyDescent="0.25">
      <c r="D149" s="171" t="s">
        <v>1703</v>
      </c>
      <c r="E149" s="171" t="s">
        <v>70</v>
      </c>
      <c r="F149" s="171" t="s">
        <v>1797</v>
      </c>
      <c r="G149" s="171" t="s">
        <v>1303</v>
      </c>
      <c r="H149" s="171" t="s">
        <v>1303</v>
      </c>
      <c r="I149" s="171" t="s">
        <v>1304</v>
      </c>
      <c r="J149" s="172" t="str">
        <f t="shared" si="10"/>
        <v>DCS MECHANICAL INC - BLUE OPTIONS</v>
      </c>
      <c r="K149" s="172" t="str">
        <f t="shared" si="8"/>
        <v/>
      </c>
      <c r="L149" s="172" t="str">
        <f t="shared" si="9"/>
        <v>Medical Plan</v>
      </c>
      <c r="R149" s="270" t="s">
        <v>2812</v>
      </c>
      <c r="S149" s="270" t="s">
        <v>1761</v>
      </c>
    </row>
    <row r="150" spans="4:19" ht="30" customHeight="1" x14ac:dyDescent="0.25">
      <c r="D150" s="171" t="s">
        <v>1704</v>
      </c>
      <c r="E150" s="171" t="s">
        <v>1761</v>
      </c>
      <c r="F150" s="171" t="s">
        <v>1798</v>
      </c>
      <c r="G150" s="171" t="s">
        <v>1303</v>
      </c>
      <c r="H150" s="171" t="s">
        <v>1303</v>
      </c>
      <c r="I150" s="171" t="s">
        <v>1304</v>
      </c>
      <c r="J150" s="172" t="str">
        <f t="shared" si="10"/>
        <v>DCS MECHANICAL INC - PPO</v>
      </c>
      <c r="K150" s="172" t="str">
        <f t="shared" si="8"/>
        <v/>
      </c>
      <c r="L150" s="172" t="str">
        <f t="shared" si="9"/>
        <v>Medical Plan</v>
      </c>
      <c r="R150" s="270" t="s">
        <v>2813</v>
      </c>
      <c r="S150" s="270" t="s">
        <v>67</v>
      </c>
    </row>
    <row r="151" spans="4:19" ht="30" customHeight="1" x14ac:dyDescent="0.25">
      <c r="D151" s="171" t="s">
        <v>2271</v>
      </c>
      <c r="E151" s="171" t="s">
        <v>1764</v>
      </c>
      <c r="F151" s="171" t="s">
        <v>2317</v>
      </c>
      <c r="G151" s="171" t="s">
        <v>2511</v>
      </c>
      <c r="H151" s="171" t="s">
        <v>2271</v>
      </c>
      <c r="I151" s="171" t="s">
        <v>2512</v>
      </c>
      <c r="J151" s="172" t="str">
        <f t="shared" si="10"/>
        <v>DEKANE EQUIPMENT CORPORATION - BLUE PRECISION</v>
      </c>
      <c r="K151" s="172" t="str">
        <f t="shared" si="8"/>
        <v>BAV</v>
      </c>
      <c r="L151" s="172" t="str">
        <f t="shared" si="9"/>
        <v>Medical Plan</v>
      </c>
      <c r="R151" s="270" t="s">
        <v>2814</v>
      </c>
      <c r="S151" s="270" t="s">
        <v>67</v>
      </c>
    </row>
    <row r="152" spans="4:19" ht="30" customHeight="1" x14ac:dyDescent="0.25">
      <c r="D152" s="171" t="s">
        <v>2271</v>
      </c>
      <c r="E152" s="171" t="s">
        <v>1761</v>
      </c>
      <c r="F152" s="171" t="s">
        <v>2397</v>
      </c>
      <c r="G152" s="171" t="s">
        <v>2511</v>
      </c>
      <c r="H152" s="171" t="s">
        <v>2271</v>
      </c>
      <c r="I152" s="171" t="s">
        <v>2512</v>
      </c>
      <c r="J152" s="172" t="str">
        <f t="shared" si="10"/>
        <v>DEKANE EQUIPMENT CORPORATION - PPO</v>
      </c>
      <c r="K152" s="172" t="str">
        <f t="shared" si="8"/>
        <v/>
      </c>
      <c r="L152" s="172" t="str">
        <f t="shared" si="9"/>
        <v>Medical Plan</v>
      </c>
      <c r="R152" s="270" t="s">
        <v>2542</v>
      </c>
      <c r="S152" s="270" t="s">
        <v>67</v>
      </c>
    </row>
    <row r="153" spans="4:19" ht="30" customHeight="1" x14ac:dyDescent="0.25">
      <c r="D153" s="171" t="s">
        <v>2271</v>
      </c>
      <c r="E153" s="171" t="s">
        <v>71</v>
      </c>
      <c r="G153" s="171" t="s">
        <v>2473</v>
      </c>
      <c r="H153" s="171" t="s">
        <v>2473</v>
      </c>
      <c r="I153" s="171" t="s">
        <v>2254</v>
      </c>
      <c r="J153" s="172" t="str">
        <f t="shared" si="10"/>
        <v>DIMERCO EXPRESS USA CORP - No Coverage</v>
      </c>
      <c r="K153" s="172" t="str">
        <f t="shared" si="8"/>
        <v/>
      </c>
      <c r="L153" s="172" t="str">
        <f t="shared" si="9"/>
        <v>Medical Plan</v>
      </c>
      <c r="R153" s="270" t="s">
        <v>2542</v>
      </c>
      <c r="S153" s="270" t="s">
        <v>1761</v>
      </c>
    </row>
    <row r="154" spans="4:19" ht="30" customHeight="1" x14ac:dyDescent="0.25">
      <c r="D154" s="171" t="s">
        <v>2271</v>
      </c>
      <c r="E154" s="171" t="s">
        <v>1772</v>
      </c>
      <c r="F154" s="171" t="s">
        <v>2255</v>
      </c>
      <c r="G154" s="171" t="s">
        <v>2473</v>
      </c>
      <c r="H154" s="171" t="s">
        <v>2473</v>
      </c>
      <c r="I154" s="171" t="s">
        <v>2254</v>
      </c>
      <c r="J154" s="172" t="str">
        <f t="shared" si="10"/>
        <v>DIMERCO EXPRESS USA CORP - BLUE ADV HMO</v>
      </c>
      <c r="K154" s="172" t="str">
        <f t="shared" si="8"/>
        <v>ADV</v>
      </c>
      <c r="L154" s="172" t="str">
        <f t="shared" si="9"/>
        <v>Medical Plan</v>
      </c>
      <c r="R154" s="270" t="s">
        <v>2815</v>
      </c>
      <c r="S154" s="270" t="s">
        <v>1772</v>
      </c>
    </row>
    <row r="155" spans="4:19" ht="30" customHeight="1" x14ac:dyDescent="0.25">
      <c r="D155" s="171" t="s">
        <v>2271</v>
      </c>
      <c r="E155" s="171" t="s">
        <v>1769</v>
      </c>
      <c r="F155" s="171" t="s">
        <v>2350</v>
      </c>
      <c r="G155" s="171" t="s">
        <v>2473</v>
      </c>
      <c r="H155" s="171" t="s">
        <v>2473</v>
      </c>
      <c r="I155" s="171" t="s">
        <v>2254</v>
      </c>
      <c r="J155" s="172" t="str">
        <f t="shared" si="10"/>
        <v>DIMERCO EXPRESS USA CORP - DENTAL</v>
      </c>
      <c r="K155" s="172" t="str">
        <f t="shared" si="8"/>
        <v/>
      </c>
      <c r="L155" s="172" t="str">
        <f t="shared" si="9"/>
        <v>Dental Plan</v>
      </c>
      <c r="R155" s="270" t="s">
        <v>2815</v>
      </c>
      <c r="S155" s="270" t="s">
        <v>1761</v>
      </c>
    </row>
    <row r="156" spans="4:19" ht="30" customHeight="1" x14ac:dyDescent="0.25">
      <c r="D156" s="171" t="s">
        <v>2271</v>
      </c>
      <c r="E156" s="171" t="s">
        <v>1769</v>
      </c>
      <c r="F156" s="171" t="s">
        <v>2351</v>
      </c>
      <c r="G156" s="171" t="s">
        <v>2473</v>
      </c>
      <c r="H156" s="171" t="s">
        <v>2473</v>
      </c>
      <c r="I156" s="171" t="s">
        <v>2254</v>
      </c>
      <c r="J156" s="172" t="str">
        <f t="shared" si="10"/>
        <v>DIMERCO EXPRESS USA CORP - DENTAL</v>
      </c>
      <c r="K156" s="172" t="str">
        <f t="shared" si="8"/>
        <v/>
      </c>
      <c r="L156" s="172" t="str">
        <f t="shared" si="9"/>
        <v>Dental Plan</v>
      </c>
      <c r="R156" s="270" t="s">
        <v>2550</v>
      </c>
      <c r="S156" s="270" t="s">
        <v>71</v>
      </c>
    </row>
    <row r="157" spans="4:19" ht="30" customHeight="1" x14ac:dyDescent="0.25">
      <c r="D157" s="171" t="s">
        <v>2271</v>
      </c>
      <c r="E157" s="171" t="s">
        <v>1761</v>
      </c>
      <c r="F157" s="171" t="s">
        <v>2398</v>
      </c>
      <c r="G157" s="171" t="s">
        <v>2473</v>
      </c>
      <c r="H157" s="171" t="s">
        <v>2473</v>
      </c>
      <c r="I157" s="171" t="s">
        <v>2254</v>
      </c>
      <c r="J157" s="172" t="str">
        <f t="shared" si="10"/>
        <v>DIMERCO EXPRESS USA CORP - PPO</v>
      </c>
      <c r="K157" s="172" t="str">
        <f t="shared" si="8"/>
        <v/>
      </c>
      <c r="L157" s="172" t="str">
        <f t="shared" si="9"/>
        <v>Medical Plan</v>
      </c>
      <c r="R157" s="270" t="s">
        <v>2550</v>
      </c>
      <c r="S157" s="270" t="s">
        <v>1761</v>
      </c>
    </row>
    <row r="158" spans="4:19" ht="30" customHeight="1" x14ac:dyDescent="0.25">
      <c r="D158" s="171" t="s">
        <v>2271</v>
      </c>
      <c r="E158" s="171" t="s">
        <v>1761</v>
      </c>
      <c r="F158" s="171" t="s">
        <v>2399</v>
      </c>
      <c r="G158" s="171" t="s">
        <v>2473</v>
      </c>
      <c r="H158" s="171" t="s">
        <v>2473</v>
      </c>
      <c r="I158" s="171" t="s">
        <v>2254</v>
      </c>
      <c r="J158" s="172" t="str">
        <f t="shared" si="10"/>
        <v>DIMERCO EXPRESS USA CORP - PPO</v>
      </c>
      <c r="K158" s="172" t="str">
        <f t="shared" si="8"/>
        <v/>
      </c>
      <c r="L158" s="172" t="str">
        <f t="shared" si="9"/>
        <v>Medical Plan</v>
      </c>
      <c r="R158" s="270" t="s">
        <v>2816</v>
      </c>
      <c r="S158" s="270" t="s">
        <v>1772</v>
      </c>
    </row>
    <row r="159" spans="4:19" ht="30" customHeight="1" x14ac:dyDescent="0.25">
      <c r="D159" s="171" t="s">
        <v>2271</v>
      </c>
      <c r="E159" s="171" t="s">
        <v>1761</v>
      </c>
      <c r="F159" s="171" t="s">
        <v>2400</v>
      </c>
      <c r="G159" s="171" t="s">
        <v>2473</v>
      </c>
      <c r="H159" s="171" t="s">
        <v>2473</v>
      </c>
      <c r="I159" s="171" t="s">
        <v>2254</v>
      </c>
      <c r="J159" s="172" t="str">
        <f t="shared" si="10"/>
        <v>DIMERCO EXPRESS USA CORP - PPO</v>
      </c>
      <c r="K159" s="172" t="str">
        <f t="shared" si="8"/>
        <v/>
      </c>
      <c r="L159" s="172" t="str">
        <f t="shared" si="9"/>
        <v>Medical Plan</v>
      </c>
      <c r="R159" s="270" t="s">
        <v>2816</v>
      </c>
      <c r="S159" s="270" t="s">
        <v>2109</v>
      </c>
    </row>
    <row r="160" spans="4:19" ht="30" customHeight="1" x14ac:dyDescent="0.25">
      <c r="D160" s="171" t="s">
        <v>2271</v>
      </c>
      <c r="E160" s="171" t="s">
        <v>1761</v>
      </c>
      <c r="F160" s="171" t="s">
        <v>2629</v>
      </c>
      <c r="G160" s="171" t="s">
        <v>2271</v>
      </c>
      <c r="H160" s="171" t="s">
        <v>2271</v>
      </c>
      <c r="I160" s="171" t="s">
        <v>2799</v>
      </c>
      <c r="J160" s="172" t="str">
        <f t="shared" si="10"/>
        <v>DISCOVERY GROUP HOLDING COMPANY, LLC - PPO</v>
      </c>
      <c r="K160" s="172" t="str">
        <f t="shared" si="8"/>
        <v/>
      </c>
      <c r="L160" s="172" t="str">
        <f t="shared" si="9"/>
        <v>Medical Plan</v>
      </c>
      <c r="R160" s="270" t="s">
        <v>2816</v>
      </c>
      <c r="S160" s="270" t="s">
        <v>1761</v>
      </c>
    </row>
    <row r="161" spans="4:19" ht="30" customHeight="1" x14ac:dyDescent="0.25">
      <c r="D161" s="171" t="s">
        <v>2271</v>
      </c>
      <c r="E161" s="171" t="s">
        <v>1772</v>
      </c>
      <c r="F161" s="171" t="s">
        <v>2630</v>
      </c>
      <c r="G161" s="171" t="s">
        <v>2271</v>
      </c>
      <c r="H161" s="171" t="s">
        <v>2271</v>
      </c>
      <c r="I161" s="171" t="s">
        <v>2800</v>
      </c>
      <c r="J161" s="172" t="str">
        <f t="shared" si="10"/>
        <v>DOMINICAN UNIVERSITY - BLUE ADV HMO</v>
      </c>
      <c r="K161" s="172" t="str">
        <f t="shared" si="8"/>
        <v>ADV</v>
      </c>
      <c r="L161" s="172" t="str">
        <f t="shared" si="9"/>
        <v>Medical Plan</v>
      </c>
      <c r="R161" s="270" t="s">
        <v>2817</v>
      </c>
      <c r="S161" s="270" t="s">
        <v>1761</v>
      </c>
    </row>
    <row r="162" spans="4:19" ht="30" customHeight="1" x14ac:dyDescent="0.25">
      <c r="D162" s="171" t="s">
        <v>2271</v>
      </c>
      <c r="E162" s="171" t="s">
        <v>70</v>
      </c>
      <c r="F162" s="171" t="s">
        <v>2631</v>
      </c>
      <c r="G162" s="171" t="s">
        <v>2271</v>
      </c>
      <c r="H162" s="171" t="s">
        <v>2271</v>
      </c>
      <c r="I162" s="171" t="s">
        <v>2800</v>
      </c>
      <c r="J162" s="172" t="str">
        <f t="shared" si="10"/>
        <v>DOMINICAN UNIVERSITY - BLUE OPTIONS</v>
      </c>
      <c r="K162" s="172" t="str">
        <f t="shared" si="8"/>
        <v/>
      </c>
      <c r="L162" s="172" t="str">
        <f t="shared" si="9"/>
        <v>Medical Plan</v>
      </c>
      <c r="R162" s="270" t="s">
        <v>2818</v>
      </c>
      <c r="S162" s="270" t="s">
        <v>71</v>
      </c>
    </row>
    <row r="163" spans="4:19" ht="30" customHeight="1" x14ac:dyDescent="0.25">
      <c r="D163" s="171" t="s">
        <v>2271</v>
      </c>
      <c r="E163" s="171" t="s">
        <v>1761</v>
      </c>
      <c r="F163" s="171" t="s">
        <v>2633</v>
      </c>
      <c r="G163" s="171" t="s">
        <v>2271</v>
      </c>
      <c r="H163" s="171" t="s">
        <v>2271</v>
      </c>
      <c r="I163" s="171" t="s">
        <v>2800</v>
      </c>
      <c r="J163" s="172" t="str">
        <f t="shared" si="10"/>
        <v>DOMINICAN UNIVERSITY - PPO</v>
      </c>
      <c r="K163" s="172" t="str">
        <f t="shared" si="8"/>
        <v/>
      </c>
      <c r="L163" s="172" t="str">
        <f t="shared" si="9"/>
        <v>Medical Plan</v>
      </c>
      <c r="R163" s="270" t="s">
        <v>2818</v>
      </c>
      <c r="S163" s="270" t="s">
        <v>1772</v>
      </c>
    </row>
    <row r="164" spans="4:19" ht="30" customHeight="1" x14ac:dyDescent="0.25">
      <c r="D164" s="171" t="s">
        <v>2271</v>
      </c>
      <c r="E164" s="171" t="s">
        <v>1761</v>
      </c>
      <c r="F164" s="171" t="s">
        <v>2632</v>
      </c>
      <c r="G164" s="171" t="s">
        <v>2271</v>
      </c>
      <c r="H164" s="171" t="s">
        <v>2271</v>
      </c>
      <c r="I164" s="171" t="s">
        <v>2800</v>
      </c>
      <c r="J164" s="172" t="str">
        <f t="shared" si="10"/>
        <v>DOMINICAN UNIVERSITY - PPO</v>
      </c>
      <c r="K164" s="172" t="str">
        <f t="shared" si="8"/>
        <v/>
      </c>
      <c r="L164" s="172" t="str">
        <f t="shared" si="9"/>
        <v>Medical Plan</v>
      </c>
      <c r="R164" s="270" t="s">
        <v>2819</v>
      </c>
      <c r="S164" s="270" t="s">
        <v>71</v>
      </c>
    </row>
    <row r="165" spans="4:19" ht="30" customHeight="1" x14ac:dyDescent="0.25">
      <c r="D165" s="171" t="s">
        <v>2271</v>
      </c>
      <c r="E165" s="171" t="s">
        <v>71</v>
      </c>
      <c r="G165" s="171" t="s">
        <v>2271</v>
      </c>
      <c r="H165" s="171" t="s">
        <v>2271</v>
      </c>
      <c r="I165" s="171" t="s">
        <v>2801</v>
      </c>
      <c r="J165" s="172" t="str">
        <f t="shared" si="10"/>
        <v>DONATELLO ELECTRIC, INC. - No Coverage</v>
      </c>
      <c r="K165" s="172" t="str">
        <f t="shared" si="8"/>
        <v/>
      </c>
      <c r="L165" s="172" t="str">
        <f t="shared" si="9"/>
        <v>Medical Plan</v>
      </c>
      <c r="R165" s="270" t="s">
        <v>2819</v>
      </c>
      <c r="S165" s="270" t="s">
        <v>70</v>
      </c>
    </row>
    <row r="166" spans="4:19" ht="30" customHeight="1" x14ac:dyDescent="0.25">
      <c r="D166" s="171" t="s">
        <v>2271</v>
      </c>
      <c r="E166" s="171" t="s">
        <v>70</v>
      </c>
      <c r="F166" s="171" t="s">
        <v>2635</v>
      </c>
      <c r="G166" s="171" t="s">
        <v>2271</v>
      </c>
      <c r="H166" s="171" t="s">
        <v>2271</v>
      </c>
      <c r="I166" s="171" t="s">
        <v>2801</v>
      </c>
      <c r="J166" s="172" t="str">
        <f t="shared" si="10"/>
        <v>DONATELLO ELECTRIC, INC. - BLUE OPTIONS</v>
      </c>
      <c r="K166" s="172" t="str">
        <f t="shared" si="8"/>
        <v/>
      </c>
      <c r="L166" s="172" t="str">
        <f t="shared" si="9"/>
        <v>Medical Plan</v>
      </c>
      <c r="R166" s="270" t="s">
        <v>2820</v>
      </c>
      <c r="S166" s="270" t="s">
        <v>71</v>
      </c>
    </row>
    <row r="167" spans="4:19" ht="30" customHeight="1" x14ac:dyDescent="0.25">
      <c r="D167" s="171" t="s">
        <v>2271</v>
      </c>
      <c r="E167" s="171" t="s">
        <v>70</v>
      </c>
      <c r="F167" s="171" t="s">
        <v>1830</v>
      </c>
      <c r="G167" s="171" t="s">
        <v>2271</v>
      </c>
      <c r="H167" s="171" t="s">
        <v>2271</v>
      </c>
      <c r="I167" s="171" t="s">
        <v>2801</v>
      </c>
      <c r="J167" s="172" t="str">
        <f t="shared" si="10"/>
        <v>DONATELLO ELECTRIC, INC. - BLUE OPTIONS</v>
      </c>
      <c r="K167" s="172" t="str">
        <f t="shared" si="8"/>
        <v/>
      </c>
      <c r="L167" s="172" t="str">
        <f t="shared" si="9"/>
        <v>Medical Plan</v>
      </c>
      <c r="R167" s="270" t="s">
        <v>2820</v>
      </c>
      <c r="S167" s="270" t="s">
        <v>70</v>
      </c>
    </row>
    <row r="168" spans="4:19" ht="30" customHeight="1" x14ac:dyDescent="0.25">
      <c r="D168" s="171" t="s">
        <v>2271</v>
      </c>
      <c r="E168" s="171" t="s">
        <v>1764</v>
      </c>
      <c r="F168" s="171" t="s">
        <v>2636</v>
      </c>
      <c r="G168" s="171" t="s">
        <v>2271</v>
      </c>
      <c r="H168" s="171" t="s">
        <v>2271</v>
      </c>
      <c r="I168" s="171" t="s">
        <v>2801</v>
      </c>
      <c r="J168" s="172" t="str">
        <f t="shared" si="10"/>
        <v>DONATELLO ELECTRIC, INC. - BLUE PRECISION</v>
      </c>
      <c r="K168" s="172" t="str">
        <f t="shared" si="8"/>
        <v>BAV</v>
      </c>
      <c r="L168" s="172" t="str">
        <f t="shared" si="9"/>
        <v>Medical Plan</v>
      </c>
      <c r="R168" s="270" t="s">
        <v>2820</v>
      </c>
      <c r="S168" s="270" t="s">
        <v>1761</v>
      </c>
    </row>
    <row r="169" spans="4:19" ht="30" customHeight="1" x14ac:dyDescent="0.25">
      <c r="D169" s="171" t="s">
        <v>2271</v>
      </c>
      <c r="E169" s="171" t="s">
        <v>1764</v>
      </c>
      <c r="F169" s="171" t="s">
        <v>2638</v>
      </c>
      <c r="G169" s="171" t="s">
        <v>2271</v>
      </c>
      <c r="H169" s="171" t="s">
        <v>2271</v>
      </c>
      <c r="I169" s="171" t="s">
        <v>2801</v>
      </c>
      <c r="J169" s="172" t="str">
        <f t="shared" si="10"/>
        <v>DONATELLO ELECTRIC, INC. - BLUE PRECISION</v>
      </c>
      <c r="K169" s="172" t="str">
        <f t="shared" si="8"/>
        <v>BAV</v>
      </c>
      <c r="L169" s="172" t="str">
        <f t="shared" si="9"/>
        <v>Medical Plan</v>
      </c>
      <c r="R169" s="270" t="s">
        <v>2580</v>
      </c>
      <c r="S169" s="270" t="s">
        <v>1761</v>
      </c>
    </row>
    <row r="170" spans="4:19" ht="30" customHeight="1" x14ac:dyDescent="0.25">
      <c r="D170" s="171" t="s">
        <v>2271</v>
      </c>
      <c r="E170" s="171" t="s">
        <v>1764</v>
      </c>
      <c r="F170" s="171" t="s">
        <v>2637</v>
      </c>
      <c r="G170" s="171" t="s">
        <v>2271</v>
      </c>
      <c r="H170" s="171" t="s">
        <v>2271</v>
      </c>
      <c r="I170" s="171" t="s">
        <v>2801</v>
      </c>
      <c r="J170" s="172" t="str">
        <f t="shared" si="10"/>
        <v>DONATELLO ELECTRIC, INC. - BLUE PRECISION</v>
      </c>
      <c r="K170" s="172" t="str">
        <f t="shared" si="8"/>
        <v>BAV</v>
      </c>
      <c r="L170" s="172" t="str">
        <f t="shared" si="9"/>
        <v>Medical Plan</v>
      </c>
      <c r="R170" s="270" t="s">
        <v>2133</v>
      </c>
      <c r="S170" s="270" t="s">
        <v>71</v>
      </c>
    </row>
    <row r="171" spans="4:19" ht="30" customHeight="1" x14ac:dyDescent="0.25">
      <c r="D171" s="171" t="s">
        <v>2271</v>
      </c>
      <c r="E171" s="171" t="s">
        <v>67</v>
      </c>
      <c r="F171" s="171" t="s">
        <v>2634</v>
      </c>
      <c r="G171" s="171" t="s">
        <v>2271</v>
      </c>
      <c r="H171" s="171" t="s">
        <v>2271</v>
      </c>
      <c r="I171" s="171" t="s">
        <v>2801</v>
      </c>
      <c r="J171" s="172" t="str">
        <f t="shared" si="10"/>
        <v>DONATELLO ELECTRIC, INC. - BLUECP</v>
      </c>
      <c r="K171" s="172" t="str">
        <f t="shared" si="8"/>
        <v/>
      </c>
      <c r="L171" s="172" t="str">
        <f t="shared" si="9"/>
        <v>Medical Plan</v>
      </c>
      <c r="R171" s="270" t="s">
        <v>2133</v>
      </c>
      <c r="S171" s="270" t="s">
        <v>70</v>
      </c>
    </row>
    <row r="172" spans="4:19" ht="30" customHeight="1" x14ac:dyDescent="0.25">
      <c r="D172" s="171" t="s">
        <v>2271</v>
      </c>
      <c r="E172" s="171" t="s">
        <v>1769</v>
      </c>
      <c r="F172" s="171" t="s">
        <v>2639</v>
      </c>
      <c r="G172" s="171" t="s">
        <v>2271</v>
      </c>
      <c r="H172" s="171" t="s">
        <v>2271</v>
      </c>
      <c r="I172" s="171" t="s">
        <v>2801</v>
      </c>
      <c r="J172" s="172" t="str">
        <f t="shared" si="10"/>
        <v>DONATELLO ELECTRIC, INC. - DENTAL</v>
      </c>
      <c r="K172" s="172" t="str">
        <f t="shared" si="8"/>
        <v/>
      </c>
      <c r="L172" s="172" t="str">
        <f t="shared" si="9"/>
        <v>Dental Plan</v>
      </c>
      <c r="R172" s="270" t="s">
        <v>2133</v>
      </c>
      <c r="S172" s="270" t="s">
        <v>1764</v>
      </c>
    </row>
    <row r="173" spans="4:19" ht="30" customHeight="1" x14ac:dyDescent="0.25">
      <c r="D173" s="171" t="s">
        <v>1706</v>
      </c>
      <c r="E173" s="171" t="s">
        <v>1764</v>
      </c>
      <c r="F173" s="171" t="s">
        <v>1800</v>
      </c>
      <c r="G173" s="171" t="s">
        <v>1305</v>
      </c>
      <c r="H173" s="171" t="s">
        <v>1306</v>
      </c>
      <c r="I173" s="171" t="s">
        <v>1307</v>
      </c>
      <c r="J173" s="172" t="str">
        <f t="shared" si="10"/>
        <v>DUPAGE HOUSING AUTHORITY - BLUE PRECISION</v>
      </c>
      <c r="K173" s="172" t="str">
        <f t="shared" si="8"/>
        <v>BAV</v>
      </c>
      <c r="L173" s="172" t="str">
        <f t="shared" si="9"/>
        <v>Medical Plan</v>
      </c>
      <c r="R173" s="270" t="s">
        <v>2133</v>
      </c>
      <c r="S173" s="270" t="s">
        <v>1761</v>
      </c>
    </row>
    <row r="174" spans="4:19" ht="30" customHeight="1" x14ac:dyDescent="0.25">
      <c r="D174" s="171" t="s">
        <v>1705</v>
      </c>
      <c r="E174" s="171" t="s">
        <v>1761</v>
      </c>
      <c r="F174" s="171" t="s">
        <v>1799</v>
      </c>
      <c r="G174" s="171" t="s">
        <v>1305</v>
      </c>
      <c r="H174" s="171" t="s">
        <v>1306</v>
      </c>
      <c r="I174" s="171" t="s">
        <v>1307</v>
      </c>
      <c r="J174" s="172" t="str">
        <f t="shared" si="10"/>
        <v>DUPAGE HOUSING AUTHORITY - PPO</v>
      </c>
      <c r="K174" s="172" t="str">
        <f t="shared" si="8"/>
        <v/>
      </c>
      <c r="L174" s="172" t="str">
        <f t="shared" si="9"/>
        <v>Medical Plan</v>
      </c>
      <c r="R174" s="270" t="s">
        <v>2821</v>
      </c>
      <c r="S174" s="270" t="s">
        <v>71</v>
      </c>
    </row>
    <row r="175" spans="4:19" ht="30" customHeight="1" x14ac:dyDescent="0.25">
      <c r="D175" s="171" t="s">
        <v>2271</v>
      </c>
      <c r="E175" s="171" t="s">
        <v>71</v>
      </c>
      <c r="G175" s="171" t="s">
        <v>2271</v>
      </c>
      <c r="H175" s="171" t="s">
        <v>2271</v>
      </c>
      <c r="I175" s="171" t="s">
        <v>2802</v>
      </c>
      <c r="J175" s="172" t="str">
        <f t="shared" si="10"/>
        <v>DUPAGEBIZ NFP DBA CHOOSE DUPAGE - No Coverage</v>
      </c>
      <c r="K175" s="172" t="str">
        <f t="shared" si="8"/>
        <v/>
      </c>
      <c r="L175" s="172" t="str">
        <f t="shared" si="9"/>
        <v>Medical Plan</v>
      </c>
      <c r="R175" s="270" t="s">
        <v>2821</v>
      </c>
      <c r="S175" s="270" t="s">
        <v>1761</v>
      </c>
    </row>
    <row r="176" spans="4:19" ht="30" customHeight="1" x14ac:dyDescent="0.25">
      <c r="D176" s="171" t="s">
        <v>2271</v>
      </c>
      <c r="E176" s="171" t="s">
        <v>1769</v>
      </c>
      <c r="F176" s="171" t="s">
        <v>2640</v>
      </c>
      <c r="G176" s="171" t="s">
        <v>2271</v>
      </c>
      <c r="H176" s="171" t="s">
        <v>2271</v>
      </c>
      <c r="I176" s="171" t="s">
        <v>2802</v>
      </c>
      <c r="J176" s="172" t="str">
        <f t="shared" si="10"/>
        <v>DUPAGEBIZ NFP DBA CHOOSE DUPAGE - DENTAL</v>
      </c>
      <c r="K176" s="172" t="str">
        <f t="shared" si="8"/>
        <v/>
      </c>
      <c r="L176" s="172" t="str">
        <f t="shared" si="9"/>
        <v>Dental Plan</v>
      </c>
      <c r="R176" s="270" t="s">
        <v>1309</v>
      </c>
      <c r="S176" s="270" t="s">
        <v>1775</v>
      </c>
    </row>
    <row r="177" spans="4:19" ht="30" customHeight="1" x14ac:dyDescent="0.25">
      <c r="D177" s="171" t="s">
        <v>2271</v>
      </c>
      <c r="E177" s="171" t="s">
        <v>1761</v>
      </c>
      <c r="F177" s="171" t="s">
        <v>2464</v>
      </c>
      <c r="G177" s="171" t="s">
        <v>2271</v>
      </c>
      <c r="H177" s="171" t="s">
        <v>2271</v>
      </c>
      <c r="I177" s="171" t="s">
        <v>2802</v>
      </c>
      <c r="J177" s="172" t="str">
        <f t="shared" si="10"/>
        <v>DUPAGEBIZ NFP DBA CHOOSE DUPAGE - PPO</v>
      </c>
      <c r="K177" s="172" t="str">
        <f t="shared" si="8"/>
        <v/>
      </c>
      <c r="L177" s="172" t="str">
        <f t="shared" si="9"/>
        <v>Medical Plan</v>
      </c>
      <c r="R177" s="270" t="s">
        <v>1309</v>
      </c>
      <c r="S177" s="270" t="s">
        <v>70</v>
      </c>
    </row>
    <row r="178" spans="4:19" ht="30" customHeight="1" x14ac:dyDescent="0.25">
      <c r="D178" s="171" t="s">
        <v>2271</v>
      </c>
      <c r="E178" s="171" t="s">
        <v>1775</v>
      </c>
      <c r="F178" s="171" t="s">
        <v>2648</v>
      </c>
      <c r="G178" s="171" t="s">
        <v>2271</v>
      </c>
      <c r="H178" s="171" t="s">
        <v>2271</v>
      </c>
      <c r="I178" s="171" t="s">
        <v>2804</v>
      </c>
      <c r="J178" s="172" t="str">
        <f t="shared" si="10"/>
        <v>EDELSON, LLC. - BLUE CHOICE SELECT</v>
      </c>
      <c r="K178" s="172" t="str">
        <f t="shared" si="8"/>
        <v/>
      </c>
      <c r="L178" s="172" t="str">
        <f t="shared" si="9"/>
        <v>Medical Plan</v>
      </c>
      <c r="R178" s="270" t="s">
        <v>1309</v>
      </c>
      <c r="S178" s="270" t="s">
        <v>1761</v>
      </c>
    </row>
    <row r="179" spans="4:19" ht="30" customHeight="1" x14ac:dyDescent="0.25">
      <c r="D179" s="171" t="s">
        <v>2271</v>
      </c>
      <c r="E179" s="171" t="s">
        <v>1761</v>
      </c>
      <c r="F179" s="171" t="s">
        <v>2647</v>
      </c>
      <c r="G179" s="171" t="s">
        <v>2271</v>
      </c>
      <c r="H179" s="171" t="s">
        <v>2271</v>
      </c>
      <c r="I179" s="171" t="s">
        <v>2804</v>
      </c>
      <c r="J179" s="172" t="str">
        <f t="shared" si="10"/>
        <v>EDELSON, LLC. - PPO</v>
      </c>
      <c r="K179" s="172" t="str">
        <f t="shared" si="8"/>
        <v/>
      </c>
      <c r="L179" s="172" t="str">
        <f t="shared" si="9"/>
        <v>Medical Plan</v>
      </c>
      <c r="R179" s="270" t="s">
        <v>2514</v>
      </c>
      <c r="S179" s="270" t="s">
        <v>71</v>
      </c>
    </row>
    <row r="180" spans="4:19" ht="30" customHeight="1" x14ac:dyDescent="0.25">
      <c r="D180" s="171" t="s">
        <v>2271</v>
      </c>
      <c r="E180" s="171" t="s">
        <v>1761</v>
      </c>
      <c r="F180" s="171" t="s">
        <v>2645</v>
      </c>
      <c r="G180" s="171" t="s">
        <v>2271</v>
      </c>
      <c r="H180" s="171" t="s">
        <v>2271</v>
      </c>
      <c r="I180" s="171" t="s">
        <v>2804</v>
      </c>
      <c r="J180" s="172" t="str">
        <f t="shared" si="10"/>
        <v>EDELSON, LLC. - PPO</v>
      </c>
      <c r="K180" s="172" t="str">
        <f t="shared" si="8"/>
        <v/>
      </c>
      <c r="L180" s="172" t="str">
        <f t="shared" si="9"/>
        <v>Medical Plan</v>
      </c>
      <c r="R180" s="270" t="s">
        <v>2514</v>
      </c>
      <c r="S180" s="270" t="s">
        <v>1764</v>
      </c>
    </row>
    <row r="181" spans="4:19" ht="30" customHeight="1" x14ac:dyDescent="0.25">
      <c r="D181" s="171" t="s">
        <v>2271</v>
      </c>
      <c r="E181" s="171" t="s">
        <v>1761</v>
      </c>
      <c r="F181" s="171" t="s">
        <v>2646</v>
      </c>
      <c r="G181" s="171" t="s">
        <v>2271</v>
      </c>
      <c r="H181" s="171" t="s">
        <v>2271</v>
      </c>
      <c r="I181" s="171" t="s">
        <v>2804</v>
      </c>
      <c r="J181" s="172" t="str">
        <f t="shared" si="10"/>
        <v>EDELSON, LLC. - PPO</v>
      </c>
      <c r="K181" s="172" t="str">
        <f t="shared" si="8"/>
        <v/>
      </c>
      <c r="L181" s="172" t="str">
        <f t="shared" si="9"/>
        <v>Medical Plan</v>
      </c>
      <c r="R181" s="270" t="s">
        <v>2514</v>
      </c>
      <c r="S181" s="270" t="s">
        <v>1761</v>
      </c>
    </row>
    <row r="182" spans="4:19" ht="30" customHeight="1" x14ac:dyDescent="0.25">
      <c r="D182" s="171" t="s">
        <v>2271</v>
      </c>
      <c r="E182" s="171" t="s">
        <v>1761</v>
      </c>
      <c r="F182" s="171" t="s">
        <v>2644</v>
      </c>
      <c r="G182" s="171" t="s">
        <v>2271</v>
      </c>
      <c r="H182" s="171" t="s">
        <v>2271</v>
      </c>
      <c r="I182" s="171" t="s">
        <v>2804</v>
      </c>
      <c r="J182" s="172" t="str">
        <f t="shared" si="10"/>
        <v>EDELSON, LLC. - PPO</v>
      </c>
      <c r="K182" s="172" t="str">
        <f t="shared" si="8"/>
        <v/>
      </c>
      <c r="L182" s="172" t="str">
        <f t="shared" si="9"/>
        <v>Medical Plan</v>
      </c>
      <c r="R182" s="270" t="s">
        <v>1311</v>
      </c>
      <c r="S182" s="270" t="s">
        <v>70</v>
      </c>
    </row>
    <row r="183" spans="4:19" ht="30" customHeight="1" x14ac:dyDescent="0.25">
      <c r="D183" s="171" t="s">
        <v>2271</v>
      </c>
      <c r="E183" s="171" t="s">
        <v>1761</v>
      </c>
      <c r="F183" s="171" t="s">
        <v>2643</v>
      </c>
      <c r="G183" s="171" t="s">
        <v>2271</v>
      </c>
      <c r="H183" s="171" t="s">
        <v>2271</v>
      </c>
      <c r="I183" s="171" t="s">
        <v>2804</v>
      </c>
      <c r="J183" s="172" t="str">
        <f t="shared" si="10"/>
        <v>EDELSON, LLC. - PPO</v>
      </c>
      <c r="K183" s="172" t="str">
        <f t="shared" si="8"/>
        <v/>
      </c>
      <c r="L183" s="172" t="str">
        <f t="shared" si="9"/>
        <v>Medical Plan</v>
      </c>
      <c r="R183" s="270" t="s">
        <v>1311</v>
      </c>
      <c r="S183" s="270" t="s">
        <v>1764</v>
      </c>
    </row>
    <row r="184" spans="4:19" ht="30" customHeight="1" x14ac:dyDescent="0.25">
      <c r="D184" s="171" t="s">
        <v>2271</v>
      </c>
      <c r="E184" s="171" t="s">
        <v>1761</v>
      </c>
      <c r="F184" s="171" t="s">
        <v>2402</v>
      </c>
      <c r="G184" s="171" t="s">
        <v>2571</v>
      </c>
      <c r="H184" s="171" t="s">
        <v>2271</v>
      </c>
      <c r="I184" s="171" t="s">
        <v>2572</v>
      </c>
      <c r="J184" s="172" t="str">
        <f t="shared" si="10"/>
        <v>EUGENE L. GRIFFIN AND ASSOCIATES LTD. - PPO</v>
      </c>
      <c r="K184" s="172" t="str">
        <f t="shared" si="8"/>
        <v/>
      </c>
      <c r="L184" s="172" t="str">
        <f t="shared" si="9"/>
        <v>Medical Plan</v>
      </c>
      <c r="R184" s="270" t="s">
        <v>2822</v>
      </c>
      <c r="S184" s="270" t="s">
        <v>71</v>
      </c>
    </row>
    <row r="185" spans="4:19" ht="30" customHeight="1" x14ac:dyDescent="0.25">
      <c r="D185" s="171" t="s">
        <v>2271</v>
      </c>
      <c r="E185" s="171" t="s">
        <v>1761</v>
      </c>
      <c r="F185" s="171" t="s">
        <v>2401</v>
      </c>
      <c r="G185" s="171" t="s">
        <v>2571</v>
      </c>
      <c r="H185" s="171" t="s">
        <v>2271</v>
      </c>
      <c r="I185" s="171" t="s">
        <v>2572</v>
      </c>
      <c r="J185" s="172" t="str">
        <f t="shared" si="10"/>
        <v>EUGENE L. GRIFFIN AND ASSOCIATES LTD. - PPO</v>
      </c>
      <c r="K185" s="172" t="str">
        <f t="shared" si="8"/>
        <v/>
      </c>
      <c r="L185" s="172" t="str">
        <f t="shared" si="9"/>
        <v>Medical Plan</v>
      </c>
      <c r="R185" s="270" t="s">
        <v>2822</v>
      </c>
      <c r="S185" s="270" t="s">
        <v>1761</v>
      </c>
    </row>
    <row r="186" spans="4:19" ht="30" customHeight="1" x14ac:dyDescent="0.25">
      <c r="D186" s="171" t="s">
        <v>2271</v>
      </c>
      <c r="E186" s="171" t="s">
        <v>1764</v>
      </c>
      <c r="F186" s="171" t="s">
        <v>2650</v>
      </c>
      <c r="G186" s="171" t="s">
        <v>2271</v>
      </c>
      <c r="H186" s="171" t="s">
        <v>2271</v>
      </c>
      <c r="I186" s="171" t="s">
        <v>2805</v>
      </c>
      <c r="J186" s="172" t="str">
        <f t="shared" si="10"/>
        <v>EVOLVE PHYSICAL THERAPY - BLUE PRECISION</v>
      </c>
      <c r="K186" s="172" t="str">
        <f t="shared" si="8"/>
        <v>BAV</v>
      </c>
      <c r="L186" s="172" t="str">
        <f t="shared" si="9"/>
        <v>Medical Plan</v>
      </c>
      <c r="R186" s="270" t="s">
        <v>2544</v>
      </c>
      <c r="S186" s="270" t="s">
        <v>67</v>
      </c>
    </row>
    <row r="187" spans="4:19" ht="30" customHeight="1" x14ac:dyDescent="0.25">
      <c r="D187" s="171" t="s">
        <v>2271</v>
      </c>
      <c r="E187" s="171" t="s">
        <v>67</v>
      </c>
      <c r="F187" s="171" t="s">
        <v>2334</v>
      </c>
      <c r="G187" s="171" t="s">
        <v>2271</v>
      </c>
      <c r="H187" s="171" t="s">
        <v>2271</v>
      </c>
      <c r="I187" s="171" t="s">
        <v>2805</v>
      </c>
      <c r="J187" s="172" t="str">
        <f t="shared" si="10"/>
        <v>EVOLVE PHYSICAL THERAPY - BLUECP</v>
      </c>
      <c r="K187" s="172" t="str">
        <f t="shared" si="8"/>
        <v/>
      </c>
      <c r="L187" s="172" t="str">
        <f t="shared" si="9"/>
        <v>Medical Plan</v>
      </c>
      <c r="R187" s="270" t="s">
        <v>2823</v>
      </c>
      <c r="S187" s="270" t="s">
        <v>1761</v>
      </c>
    </row>
    <row r="188" spans="4:19" ht="30" customHeight="1" x14ac:dyDescent="0.25">
      <c r="D188" s="171" t="s">
        <v>2271</v>
      </c>
      <c r="E188" s="171" t="s">
        <v>67</v>
      </c>
      <c r="F188" s="171" t="s">
        <v>2649</v>
      </c>
      <c r="G188" s="171" t="s">
        <v>2271</v>
      </c>
      <c r="H188" s="171" t="s">
        <v>2271</v>
      </c>
      <c r="I188" s="171" t="s">
        <v>2805</v>
      </c>
      <c r="J188" s="172" t="str">
        <f t="shared" si="10"/>
        <v>EVOLVE PHYSICAL THERAPY - BLUECP</v>
      </c>
      <c r="K188" s="172" t="str">
        <f t="shared" si="8"/>
        <v/>
      </c>
      <c r="L188" s="172" t="str">
        <f t="shared" si="9"/>
        <v>Medical Plan</v>
      </c>
      <c r="R188" s="270" t="s">
        <v>2516</v>
      </c>
      <c r="S188" s="270" t="s">
        <v>1764</v>
      </c>
    </row>
    <row r="189" spans="4:19" ht="30" customHeight="1" x14ac:dyDescent="0.25">
      <c r="D189" s="171" t="s">
        <v>2271</v>
      </c>
      <c r="E189" s="171" t="s">
        <v>67</v>
      </c>
      <c r="F189" s="171" t="s">
        <v>2331</v>
      </c>
      <c r="G189" s="171" t="s">
        <v>2271</v>
      </c>
      <c r="H189" s="171" t="s">
        <v>2271</v>
      </c>
      <c r="I189" s="171" t="s">
        <v>2805</v>
      </c>
      <c r="J189" s="172" t="str">
        <f t="shared" si="10"/>
        <v>EVOLVE PHYSICAL THERAPY - BLUECP</v>
      </c>
      <c r="K189" s="172" t="str">
        <f t="shared" si="8"/>
        <v/>
      </c>
      <c r="L189" s="172" t="str">
        <f t="shared" si="9"/>
        <v>Medical Plan</v>
      </c>
      <c r="R189" s="270" t="s">
        <v>2516</v>
      </c>
      <c r="S189" s="270" t="s">
        <v>67</v>
      </c>
    </row>
    <row r="190" spans="4:19" ht="30" customHeight="1" x14ac:dyDescent="0.25">
      <c r="D190" s="171" t="s">
        <v>2271</v>
      </c>
      <c r="E190" s="171" t="s">
        <v>71</v>
      </c>
      <c r="G190" s="171" t="s">
        <v>2271</v>
      </c>
      <c r="H190" s="171" t="s">
        <v>2271</v>
      </c>
      <c r="I190" s="171" t="s">
        <v>2806</v>
      </c>
      <c r="J190" s="172" t="str">
        <f t="shared" si="10"/>
        <v>EXCEL RAILCAR CORPORATION - No Coverage</v>
      </c>
      <c r="K190" s="172" t="str">
        <f t="shared" si="8"/>
        <v/>
      </c>
      <c r="L190" s="172" t="str">
        <f t="shared" si="9"/>
        <v>Medical Plan</v>
      </c>
      <c r="R190" s="270" t="s">
        <v>2516</v>
      </c>
      <c r="S190" s="270" t="s">
        <v>1761</v>
      </c>
    </row>
    <row r="191" spans="4:19" ht="30" customHeight="1" x14ac:dyDescent="0.25">
      <c r="D191" s="171" t="s">
        <v>2271</v>
      </c>
      <c r="E191" s="171" t="s">
        <v>1769</v>
      </c>
      <c r="F191" s="171" t="s">
        <v>2651</v>
      </c>
      <c r="G191" s="171" t="s">
        <v>2271</v>
      </c>
      <c r="H191" s="171" t="s">
        <v>2271</v>
      </c>
      <c r="I191" s="171" t="s">
        <v>2806</v>
      </c>
      <c r="J191" s="172" t="str">
        <f t="shared" si="10"/>
        <v>EXCEL RAILCAR CORPORATION - DENTAL</v>
      </c>
      <c r="K191" s="172" t="str">
        <f t="shared" si="8"/>
        <v/>
      </c>
      <c r="L191" s="172" t="str">
        <f t="shared" si="9"/>
        <v>Dental Plan</v>
      </c>
      <c r="R191" s="270" t="s">
        <v>2824</v>
      </c>
      <c r="S191" s="270" t="s">
        <v>67</v>
      </c>
    </row>
    <row r="192" spans="4:19" ht="30" customHeight="1" x14ac:dyDescent="0.25">
      <c r="D192" s="171" t="s">
        <v>2271</v>
      </c>
      <c r="E192" s="171" t="s">
        <v>1761</v>
      </c>
      <c r="F192" s="171" t="s">
        <v>2652</v>
      </c>
      <c r="G192" s="171" t="s">
        <v>2271</v>
      </c>
      <c r="H192" s="171" t="s">
        <v>2271</v>
      </c>
      <c r="I192" s="171" t="s">
        <v>2806</v>
      </c>
      <c r="J192" s="172" t="str">
        <f t="shared" si="10"/>
        <v>EXCEL RAILCAR CORPORATION - PPO</v>
      </c>
      <c r="K192" s="172" t="str">
        <f t="shared" si="8"/>
        <v/>
      </c>
      <c r="L192" s="172" t="str">
        <f t="shared" si="9"/>
        <v>Medical Plan</v>
      </c>
      <c r="R192" s="270" t="s">
        <v>2824</v>
      </c>
      <c r="S192" s="270" t="s">
        <v>1761</v>
      </c>
    </row>
    <row r="193" spans="4:19" ht="30" customHeight="1" x14ac:dyDescent="0.25">
      <c r="D193" s="171" t="s">
        <v>2271</v>
      </c>
      <c r="E193" s="171" t="s">
        <v>71</v>
      </c>
      <c r="G193" s="171" t="s">
        <v>2485</v>
      </c>
      <c r="H193" s="171" t="s">
        <v>2271</v>
      </c>
      <c r="I193" s="171" t="s">
        <v>2486</v>
      </c>
      <c r="J193" s="172" t="str">
        <f t="shared" si="10"/>
        <v>EXEGISTICS EMPLOYEE HOLDINGS - No Coverage</v>
      </c>
      <c r="K193" s="172" t="str">
        <f t="shared" si="8"/>
        <v/>
      </c>
      <c r="L193" s="172" t="str">
        <f t="shared" si="9"/>
        <v>Medical Plan</v>
      </c>
      <c r="R193" s="270" t="s">
        <v>2518</v>
      </c>
      <c r="S193" s="270" t="s">
        <v>1764</v>
      </c>
    </row>
    <row r="194" spans="4:19" ht="30" customHeight="1" x14ac:dyDescent="0.25">
      <c r="D194" s="171" t="s">
        <v>2271</v>
      </c>
      <c r="E194" s="171" t="s">
        <v>70</v>
      </c>
      <c r="F194" s="171" t="s">
        <v>2296</v>
      </c>
      <c r="G194" s="171" t="s">
        <v>2485</v>
      </c>
      <c r="H194" s="171" t="s">
        <v>2271</v>
      </c>
      <c r="I194" s="171" t="s">
        <v>2486</v>
      </c>
      <c r="J194" s="172" t="str">
        <f t="shared" si="10"/>
        <v>EXEGISTICS EMPLOYEE HOLDINGS - BLUE OPTIONS</v>
      </c>
      <c r="K194" s="172" t="str">
        <f t="shared" si="8"/>
        <v/>
      </c>
      <c r="L194" s="172" t="str">
        <f t="shared" si="9"/>
        <v>Medical Plan</v>
      </c>
      <c r="R194" s="270" t="s">
        <v>2518</v>
      </c>
      <c r="S194" s="270" t="s">
        <v>1761</v>
      </c>
    </row>
    <row r="195" spans="4:19" ht="30" customHeight="1" x14ac:dyDescent="0.25">
      <c r="D195" s="171" t="s">
        <v>2271</v>
      </c>
      <c r="E195" s="171" t="s">
        <v>70</v>
      </c>
      <c r="F195" s="171" t="s">
        <v>2294</v>
      </c>
      <c r="G195" s="171" t="s">
        <v>2485</v>
      </c>
      <c r="H195" s="171" t="s">
        <v>2271</v>
      </c>
      <c r="I195" s="171" t="s">
        <v>2486</v>
      </c>
      <c r="J195" s="172" t="str">
        <f t="shared" si="10"/>
        <v>EXEGISTICS EMPLOYEE HOLDINGS - BLUE OPTIONS</v>
      </c>
      <c r="K195" s="172" t="str">
        <f t="shared" ref="K195:K258" si="11">IFERROR(IF(VLOOKUP(E:E,N:O,2,0)="","",VLOOKUP(E:E,N:O,2,0)),"#N/A")</f>
        <v/>
      </c>
      <c r="L195" s="172" t="str">
        <f t="shared" ref="L195:L258" si="12">IFERROR(IF(VLOOKUP(E:E,N:P,3,0)="","#N/A",VLOOKUP(E:E,N:P,3,0)),"#N/A")</f>
        <v>Medical Plan</v>
      </c>
      <c r="R195" s="270" t="s">
        <v>2552</v>
      </c>
      <c r="S195" s="270" t="s">
        <v>71</v>
      </c>
    </row>
    <row r="196" spans="4:19" ht="30" customHeight="1" x14ac:dyDescent="0.25">
      <c r="D196" s="171" t="s">
        <v>2271</v>
      </c>
      <c r="E196" s="171" t="s">
        <v>70</v>
      </c>
      <c r="F196" s="171" t="s">
        <v>2295</v>
      </c>
      <c r="G196" s="171" t="s">
        <v>2485</v>
      </c>
      <c r="H196" s="171" t="s">
        <v>2271</v>
      </c>
      <c r="I196" s="171" t="s">
        <v>2486</v>
      </c>
      <c r="J196" s="172" t="str">
        <f t="shared" ref="J196:J259" si="13">I196&amp;" - "&amp;E196</f>
        <v>EXEGISTICS EMPLOYEE HOLDINGS - BLUE OPTIONS</v>
      </c>
      <c r="K196" s="172" t="str">
        <f t="shared" si="11"/>
        <v/>
      </c>
      <c r="L196" s="172" t="str">
        <f t="shared" si="12"/>
        <v>Medical Plan</v>
      </c>
      <c r="R196" s="270" t="s">
        <v>2552</v>
      </c>
      <c r="S196" s="270" t="s">
        <v>1761</v>
      </c>
    </row>
    <row r="197" spans="4:19" ht="30" customHeight="1" x14ac:dyDescent="0.25">
      <c r="D197" s="171" t="s">
        <v>2271</v>
      </c>
      <c r="E197" s="171" t="s">
        <v>1769</v>
      </c>
      <c r="F197" s="171" t="s">
        <v>2352</v>
      </c>
      <c r="G197" s="171" t="s">
        <v>2485</v>
      </c>
      <c r="H197" s="171" t="s">
        <v>2271</v>
      </c>
      <c r="I197" s="171" t="s">
        <v>2486</v>
      </c>
      <c r="J197" s="172" t="str">
        <f t="shared" si="13"/>
        <v>EXEGISTICS EMPLOYEE HOLDINGS - DENTAL</v>
      </c>
      <c r="K197" s="172" t="str">
        <f t="shared" si="11"/>
        <v/>
      </c>
      <c r="L197" s="172" t="str">
        <f t="shared" si="12"/>
        <v>Dental Plan</v>
      </c>
      <c r="R197" s="270" t="s">
        <v>2492</v>
      </c>
      <c r="S197" s="270" t="s">
        <v>70</v>
      </c>
    </row>
    <row r="198" spans="4:19" ht="30" customHeight="1" x14ac:dyDescent="0.25">
      <c r="D198" s="171" t="s">
        <v>2271</v>
      </c>
      <c r="E198" s="171" t="s">
        <v>1831</v>
      </c>
      <c r="F198" s="171" t="s">
        <v>2372</v>
      </c>
      <c r="G198" s="171" t="s">
        <v>2485</v>
      </c>
      <c r="H198" s="171" t="s">
        <v>2271</v>
      </c>
      <c r="I198" s="171" t="s">
        <v>2486</v>
      </c>
      <c r="J198" s="172" t="str">
        <f t="shared" si="13"/>
        <v>EXEGISTICS EMPLOYEE HOLDINGS - DENTAL HMO</v>
      </c>
      <c r="K198" s="172" t="str">
        <f t="shared" si="11"/>
        <v>DENTAL HMO</v>
      </c>
      <c r="L198" s="172" t="str">
        <f t="shared" si="12"/>
        <v>Dental Plan</v>
      </c>
      <c r="R198" s="270" t="s">
        <v>2492</v>
      </c>
      <c r="S198" s="270" t="s">
        <v>67</v>
      </c>
    </row>
    <row r="199" spans="4:19" ht="30" customHeight="1" x14ac:dyDescent="0.25">
      <c r="D199" s="171" t="s">
        <v>2271</v>
      </c>
      <c r="E199" s="171" t="s">
        <v>71</v>
      </c>
      <c r="G199" s="171" t="s">
        <v>2547</v>
      </c>
      <c r="H199" s="171" t="s">
        <v>2271</v>
      </c>
      <c r="I199" s="171" t="s">
        <v>2548</v>
      </c>
      <c r="J199" s="172" t="str">
        <f t="shared" si="13"/>
        <v>FINANCIAL REPORTING ADVISORS, LLC - No Coverage</v>
      </c>
      <c r="K199" s="172" t="str">
        <f t="shared" si="11"/>
        <v/>
      </c>
      <c r="L199" s="172" t="str">
        <f t="shared" si="12"/>
        <v>Medical Plan</v>
      </c>
      <c r="R199" s="270" t="s">
        <v>2492</v>
      </c>
      <c r="S199" s="270" t="s">
        <v>1761</v>
      </c>
    </row>
    <row r="200" spans="4:19" ht="30" customHeight="1" x14ac:dyDescent="0.25">
      <c r="D200" s="171" t="s">
        <v>2271</v>
      </c>
      <c r="E200" s="171" t="s">
        <v>1769</v>
      </c>
      <c r="F200" s="171" t="s">
        <v>2353</v>
      </c>
      <c r="G200" s="171" t="s">
        <v>2547</v>
      </c>
      <c r="H200" s="171" t="s">
        <v>2271</v>
      </c>
      <c r="I200" s="171" t="s">
        <v>2548</v>
      </c>
      <c r="J200" s="172" t="str">
        <f t="shared" si="13"/>
        <v>FINANCIAL REPORTING ADVISORS, LLC - DENTAL</v>
      </c>
      <c r="K200" s="172" t="str">
        <f t="shared" si="11"/>
        <v/>
      </c>
      <c r="L200" s="172" t="str">
        <f t="shared" si="12"/>
        <v>Dental Plan</v>
      </c>
      <c r="R200" s="270" t="s">
        <v>2825</v>
      </c>
      <c r="S200" s="270" t="s">
        <v>1764</v>
      </c>
    </row>
    <row r="201" spans="4:19" ht="30" customHeight="1" x14ac:dyDescent="0.25">
      <c r="D201" s="171" t="s">
        <v>2271</v>
      </c>
      <c r="E201" s="171" t="s">
        <v>1761</v>
      </c>
      <c r="F201" s="171" t="s">
        <v>2403</v>
      </c>
      <c r="G201" s="171" t="s">
        <v>2547</v>
      </c>
      <c r="H201" s="171" t="s">
        <v>2271</v>
      </c>
      <c r="I201" s="171" t="s">
        <v>2548</v>
      </c>
      <c r="J201" s="172" t="str">
        <f t="shared" si="13"/>
        <v>FINANCIAL REPORTING ADVISORS, LLC - PPO</v>
      </c>
      <c r="K201" s="172" t="str">
        <f t="shared" si="11"/>
        <v/>
      </c>
      <c r="L201" s="172" t="str">
        <f t="shared" si="12"/>
        <v>Medical Plan</v>
      </c>
      <c r="R201" s="270" t="s">
        <v>2825</v>
      </c>
      <c r="S201" s="270" t="s">
        <v>1761</v>
      </c>
    </row>
    <row r="202" spans="4:19" ht="30" customHeight="1" x14ac:dyDescent="0.25">
      <c r="D202" s="171" t="s">
        <v>2271</v>
      </c>
      <c r="E202" s="171" t="s">
        <v>1761</v>
      </c>
      <c r="F202" s="171" t="s">
        <v>2404</v>
      </c>
      <c r="G202" s="171" t="s">
        <v>2547</v>
      </c>
      <c r="H202" s="171" t="s">
        <v>2271</v>
      </c>
      <c r="I202" s="171" t="s">
        <v>2548</v>
      </c>
      <c r="J202" s="172" t="str">
        <f t="shared" si="13"/>
        <v>FINANCIAL REPORTING ADVISORS, LLC - PPO</v>
      </c>
      <c r="K202" s="172" t="str">
        <f t="shared" si="11"/>
        <v/>
      </c>
      <c r="L202" s="172" t="str">
        <f t="shared" si="12"/>
        <v>Medical Plan</v>
      </c>
      <c r="R202" s="270" t="s">
        <v>2826</v>
      </c>
      <c r="S202" s="270" t="s">
        <v>67</v>
      </c>
    </row>
    <row r="203" spans="4:19" ht="30" customHeight="1" x14ac:dyDescent="0.25">
      <c r="D203" s="171" t="s">
        <v>2271</v>
      </c>
      <c r="E203" s="171" t="s">
        <v>1761</v>
      </c>
      <c r="F203" s="171" t="s">
        <v>2653</v>
      </c>
      <c r="G203" s="171" t="s">
        <v>2271</v>
      </c>
      <c r="H203" s="171" t="s">
        <v>2271</v>
      </c>
      <c r="I203" s="171" t="s">
        <v>2807</v>
      </c>
      <c r="J203" s="172" t="str">
        <f t="shared" si="13"/>
        <v>FORTECEO SERVICES, INC. - PPO</v>
      </c>
      <c r="K203" s="172" t="str">
        <f t="shared" si="11"/>
        <v/>
      </c>
      <c r="L203" s="172" t="str">
        <f t="shared" si="12"/>
        <v>Medical Plan</v>
      </c>
      <c r="R203" s="270" t="s">
        <v>1314</v>
      </c>
      <c r="S203" s="270" t="s">
        <v>70</v>
      </c>
    </row>
    <row r="204" spans="4:19" ht="30" customHeight="1" x14ac:dyDescent="0.25">
      <c r="D204" s="171" t="s">
        <v>1757</v>
      </c>
      <c r="E204" s="171" t="s">
        <v>70</v>
      </c>
      <c r="F204" s="171" t="s">
        <v>2102</v>
      </c>
      <c r="G204" s="171" t="s">
        <v>1336</v>
      </c>
      <c r="H204" s="171" t="s">
        <v>1336</v>
      </c>
      <c r="I204" s="171" t="s">
        <v>2116</v>
      </c>
      <c r="J204" s="172" t="str">
        <f t="shared" si="13"/>
        <v>FOTI CHRONOPOULOS, MD DBA WOMEN''S CARE GROUP - BLUE OPTIONS</v>
      </c>
      <c r="K204" s="172" t="str">
        <f t="shared" si="11"/>
        <v/>
      </c>
      <c r="L204" s="172" t="str">
        <f t="shared" si="12"/>
        <v>Medical Plan</v>
      </c>
      <c r="R204" s="270" t="s">
        <v>1314</v>
      </c>
      <c r="S204" s="270" t="s">
        <v>1764</v>
      </c>
    </row>
    <row r="205" spans="4:19" ht="30" customHeight="1" x14ac:dyDescent="0.25">
      <c r="D205" s="171" t="s">
        <v>1758</v>
      </c>
      <c r="E205" s="171" t="s">
        <v>70</v>
      </c>
      <c r="F205" s="171" t="s">
        <v>2103</v>
      </c>
      <c r="G205" s="171" t="s">
        <v>1336</v>
      </c>
      <c r="H205" s="171" t="s">
        <v>1336</v>
      </c>
      <c r="I205" s="171" t="s">
        <v>2116</v>
      </c>
      <c r="J205" s="172" t="str">
        <f t="shared" si="13"/>
        <v>FOTI CHRONOPOULOS, MD DBA WOMEN''S CARE GROUP - BLUE OPTIONS</v>
      </c>
      <c r="K205" s="172" t="str">
        <f t="shared" si="11"/>
        <v/>
      </c>
      <c r="L205" s="172" t="str">
        <f t="shared" si="12"/>
        <v>Medical Plan</v>
      </c>
      <c r="R205" s="270" t="s">
        <v>1314</v>
      </c>
      <c r="S205" s="270" t="s">
        <v>67</v>
      </c>
    </row>
    <row r="206" spans="4:19" ht="30" customHeight="1" x14ac:dyDescent="0.25">
      <c r="D206" s="171" t="s">
        <v>1759</v>
      </c>
      <c r="E206" s="171" t="s">
        <v>1764</v>
      </c>
      <c r="F206" s="171" t="s">
        <v>2104</v>
      </c>
      <c r="G206" s="171" t="s">
        <v>1336</v>
      </c>
      <c r="H206" s="171" t="s">
        <v>1336</v>
      </c>
      <c r="I206" s="171" t="s">
        <v>2116</v>
      </c>
      <c r="J206" s="172" t="str">
        <f t="shared" si="13"/>
        <v>FOTI CHRONOPOULOS, MD DBA WOMEN''S CARE GROUP - BLUE PRECISION</v>
      </c>
      <c r="K206" s="172" t="str">
        <f t="shared" si="11"/>
        <v>BAV</v>
      </c>
      <c r="L206" s="172" t="str">
        <f t="shared" si="12"/>
        <v>Medical Plan</v>
      </c>
      <c r="R206" s="270" t="s">
        <v>2827</v>
      </c>
      <c r="S206" s="270" t="s">
        <v>71</v>
      </c>
    </row>
    <row r="207" spans="4:19" ht="30" customHeight="1" x14ac:dyDescent="0.25">
      <c r="D207" s="171" t="s">
        <v>2271</v>
      </c>
      <c r="E207" s="171" t="s">
        <v>71</v>
      </c>
      <c r="G207" s="171" t="s">
        <v>2487</v>
      </c>
      <c r="H207" s="171" t="s">
        <v>2271</v>
      </c>
      <c r="I207" s="171" t="s">
        <v>2488</v>
      </c>
      <c r="J207" s="172" t="str">
        <f t="shared" si="13"/>
        <v>FOUR FOUR DESIGN LLC - No Coverage</v>
      </c>
      <c r="K207" s="172" t="str">
        <f t="shared" si="11"/>
        <v/>
      </c>
      <c r="L207" s="172" t="str">
        <f t="shared" si="12"/>
        <v>Medical Plan</v>
      </c>
      <c r="R207" s="270" t="s">
        <v>2827</v>
      </c>
      <c r="S207" s="270" t="s">
        <v>1772</v>
      </c>
    </row>
    <row r="208" spans="4:19" ht="30" customHeight="1" x14ac:dyDescent="0.25">
      <c r="D208" s="171" t="s">
        <v>2271</v>
      </c>
      <c r="E208" s="171" t="s">
        <v>70</v>
      </c>
      <c r="F208" s="171" t="s">
        <v>2298</v>
      </c>
      <c r="G208" s="171" t="s">
        <v>2487</v>
      </c>
      <c r="H208" s="171" t="s">
        <v>2271</v>
      </c>
      <c r="I208" s="171" t="s">
        <v>2488</v>
      </c>
      <c r="J208" s="172" t="str">
        <f t="shared" si="13"/>
        <v>FOUR FOUR DESIGN LLC - BLUE OPTIONS</v>
      </c>
      <c r="K208" s="172" t="str">
        <f t="shared" si="11"/>
        <v/>
      </c>
      <c r="L208" s="172" t="str">
        <f t="shared" si="12"/>
        <v>Medical Plan</v>
      </c>
      <c r="R208" s="270" t="s">
        <v>2827</v>
      </c>
      <c r="S208" s="270" t="s">
        <v>70</v>
      </c>
    </row>
    <row r="209" spans="4:19" ht="30" customHeight="1" x14ac:dyDescent="0.25">
      <c r="D209" s="171" t="s">
        <v>2271</v>
      </c>
      <c r="E209" s="171" t="s">
        <v>70</v>
      </c>
      <c r="F209" s="171" t="s">
        <v>2299</v>
      </c>
      <c r="G209" s="171" t="s">
        <v>2487</v>
      </c>
      <c r="H209" s="171" t="s">
        <v>2271</v>
      </c>
      <c r="I209" s="171" t="s">
        <v>2488</v>
      </c>
      <c r="J209" s="172" t="str">
        <f t="shared" si="13"/>
        <v>FOUR FOUR DESIGN LLC - BLUE OPTIONS</v>
      </c>
      <c r="K209" s="172" t="str">
        <f t="shared" si="11"/>
        <v/>
      </c>
      <c r="L209" s="172" t="str">
        <f t="shared" si="12"/>
        <v>Medical Plan</v>
      </c>
      <c r="R209" s="270" t="s">
        <v>2828</v>
      </c>
      <c r="S209" s="270" t="s">
        <v>1764</v>
      </c>
    </row>
    <row r="210" spans="4:19" ht="30" customHeight="1" x14ac:dyDescent="0.25">
      <c r="D210" s="171" t="s">
        <v>2271</v>
      </c>
      <c r="E210" s="171" t="s">
        <v>70</v>
      </c>
      <c r="F210" s="171" t="s">
        <v>2297</v>
      </c>
      <c r="G210" s="171" t="s">
        <v>2487</v>
      </c>
      <c r="H210" s="171" t="s">
        <v>2271</v>
      </c>
      <c r="I210" s="171" t="s">
        <v>2488</v>
      </c>
      <c r="J210" s="172" t="str">
        <f t="shared" si="13"/>
        <v>FOUR FOUR DESIGN LLC - BLUE OPTIONS</v>
      </c>
      <c r="K210" s="172" t="str">
        <f t="shared" si="11"/>
        <v/>
      </c>
      <c r="L210" s="172" t="str">
        <f t="shared" si="12"/>
        <v>Medical Plan</v>
      </c>
      <c r="R210" s="270" t="s">
        <v>2520</v>
      </c>
      <c r="S210" s="270" t="s">
        <v>71</v>
      </c>
    </row>
    <row r="211" spans="4:19" ht="30" customHeight="1" x14ac:dyDescent="0.25">
      <c r="D211" s="171" t="s">
        <v>2271</v>
      </c>
      <c r="E211" s="171" t="s">
        <v>1764</v>
      </c>
      <c r="F211" s="171" t="s">
        <v>2318</v>
      </c>
      <c r="G211" s="171" t="s">
        <v>2487</v>
      </c>
      <c r="H211" s="171" t="s">
        <v>2271</v>
      </c>
      <c r="I211" s="171" t="s">
        <v>2488</v>
      </c>
      <c r="J211" s="172" t="str">
        <f t="shared" si="13"/>
        <v>FOUR FOUR DESIGN LLC - BLUE PRECISION</v>
      </c>
      <c r="K211" s="172" t="str">
        <f t="shared" si="11"/>
        <v>BAV</v>
      </c>
      <c r="L211" s="172" t="str">
        <f t="shared" si="12"/>
        <v>Medical Plan</v>
      </c>
      <c r="R211" s="270" t="s">
        <v>2520</v>
      </c>
      <c r="S211" s="270" t="s">
        <v>1764</v>
      </c>
    </row>
    <row r="212" spans="4:19" ht="30" customHeight="1" x14ac:dyDescent="0.25">
      <c r="D212" s="171" t="s">
        <v>2271</v>
      </c>
      <c r="E212" s="171" t="s">
        <v>67</v>
      </c>
      <c r="F212" s="171" t="s">
        <v>2331</v>
      </c>
      <c r="G212" s="171" t="s">
        <v>2487</v>
      </c>
      <c r="H212" s="171" t="s">
        <v>2271</v>
      </c>
      <c r="I212" s="171" t="s">
        <v>2488</v>
      </c>
      <c r="J212" s="172" t="str">
        <f t="shared" si="13"/>
        <v>FOUR FOUR DESIGN LLC - BLUECP</v>
      </c>
      <c r="K212" s="172" t="str">
        <f t="shared" si="11"/>
        <v/>
      </c>
      <c r="L212" s="172" t="str">
        <f t="shared" si="12"/>
        <v>Medical Plan</v>
      </c>
      <c r="R212" s="270" t="s">
        <v>2520</v>
      </c>
      <c r="S212" s="270" t="s">
        <v>67</v>
      </c>
    </row>
    <row r="213" spans="4:19" ht="30" customHeight="1" x14ac:dyDescent="0.25">
      <c r="D213" s="171" t="s">
        <v>2271</v>
      </c>
      <c r="E213" s="171" t="s">
        <v>1769</v>
      </c>
      <c r="F213" s="171" t="s">
        <v>2354</v>
      </c>
      <c r="G213" s="171" t="s">
        <v>2487</v>
      </c>
      <c r="H213" s="171" t="s">
        <v>2271</v>
      </c>
      <c r="I213" s="171" t="s">
        <v>2488</v>
      </c>
      <c r="J213" s="172" t="str">
        <f t="shared" si="13"/>
        <v>FOUR FOUR DESIGN LLC - DENTAL</v>
      </c>
      <c r="K213" s="172" t="str">
        <f t="shared" si="11"/>
        <v/>
      </c>
      <c r="L213" s="172" t="str">
        <f t="shared" si="12"/>
        <v>Dental Plan</v>
      </c>
      <c r="R213" s="270" t="s">
        <v>2520</v>
      </c>
      <c r="S213" s="270" t="s">
        <v>1761</v>
      </c>
    </row>
    <row r="214" spans="4:19" ht="30" customHeight="1" x14ac:dyDescent="0.25">
      <c r="D214" s="171" t="s">
        <v>2271</v>
      </c>
      <c r="E214" s="171" t="s">
        <v>71</v>
      </c>
      <c r="G214" s="171" t="s">
        <v>2474</v>
      </c>
      <c r="H214" s="171" t="s">
        <v>2271</v>
      </c>
      <c r="I214" s="171" t="s">
        <v>2256</v>
      </c>
      <c r="J214" s="172" t="str">
        <f t="shared" si="13"/>
        <v>FRANK LLOYD WRIGHT TRUST - No Coverage</v>
      </c>
      <c r="K214" s="172" t="str">
        <f t="shared" si="11"/>
        <v/>
      </c>
      <c r="L214" s="172" t="str">
        <f t="shared" si="12"/>
        <v>Medical Plan</v>
      </c>
      <c r="R214" s="270" t="s">
        <v>2829</v>
      </c>
      <c r="S214" s="270" t="s">
        <v>1772</v>
      </c>
    </row>
    <row r="215" spans="4:19" ht="30" customHeight="1" x14ac:dyDescent="0.25">
      <c r="D215" s="171" t="s">
        <v>2271</v>
      </c>
      <c r="E215" s="171" t="s">
        <v>1772</v>
      </c>
      <c r="F215" s="171" t="s">
        <v>2257</v>
      </c>
      <c r="G215" s="171" t="s">
        <v>2474</v>
      </c>
      <c r="H215" s="171" t="s">
        <v>2271</v>
      </c>
      <c r="I215" s="171" t="s">
        <v>2256</v>
      </c>
      <c r="J215" s="172" t="str">
        <f t="shared" si="13"/>
        <v>FRANK LLOYD WRIGHT TRUST - BLUE ADV HMO</v>
      </c>
      <c r="K215" s="172" t="str">
        <f t="shared" si="11"/>
        <v>ADV</v>
      </c>
      <c r="L215" s="172" t="str">
        <f t="shared" si="12"/>
        <v>Medical Plan</v>
      </c>
      <c r="R215" s="270" t="s">
        <v>2829</v>
      </c>
      <c r="S215" s="270" t="s">
        <v>1764</v>
      </c>
    </row>
    <row r="216" spans="4:19" ht="30" customHeight="1" x14ac:dyDescent="0.25">
      <c r="D216" s="171" t="s">
        <v>2271</v>
      </c>
      <c r="E216" s="171" t="s">
        <v>70</v>
      </c>
      <c r="F216" s="171" t="s">
        <v>2122</v>
      </c>
      <c r="G216" s="171" t="s">
        <v>2474</v>
      </c>
      <c r="H216" s="171" t="s">
        <v>2271</v>
      </c>
      <c r="I216" s="171" t="s">
        <v>2256</v>
      </c>
      <c r="J216" s="172" t="str">
        <f t="shared" si="13"/>
        <v>FRANK LLOYD WRIGHT TRUST - BLUE OPTIONS</v>
      </c>
      <c r="K216" s="172" t="str">
        <f t="shared" si="11"/>
        <v/>
      </c>
      <c r="L216" s="172" t="str">
        <f t="shared" si="12"/>
        <v>Medical Plan</v>
      </c>
      <c r="R216" s="270" t="s">
        <v>2829</v>
      </c>
      <c r="S216" s="270" t="s">
        <v>1761</v>
      </c>
    </row>
    <row r="217" spans="4:19" ht="30" customHeight="1" x14ac:dyDescent="0.25">
      <c r="D217" s="171" t="s">
        <v>2271</v>
      </c>
      <c r="E217" s="171" t="s">
        <v>70</v>
      </c>
      <c r="F217" s="171" t="s">
        <v>2300</v>
      </c>
      <c r="G217" s="171" t="s">
        <v>2474</v>
      </c>
      <c r="H217" s="171" t="s">
        <v>2271</v>
      </c>
      <c r="I217" s="171" t="s">
        <v>2256</v>
      </c>
      <c r="J217" s="172" t="str">
        <f t="shared" si="13"/>
        <v>FRANK LLOYD WRIGHT TRUST - BLUE OPTIONS</v>
      </c>
      <c r="K217" s="172" t="str">
        <f t="shared" si="11"/>
        <v/>
      </c>
      <c r="L217" s="172" t="str">
        <f t="shared" si="12"/>
        <v>Medical Plan</v>
      </c>
      <c r="R217" s="270" t="s">
        <v>2830</v>
      </c>
      <c r="S217" s="270" t="s">
        <v>71</v>
      </c>
    </row>
    <row r="218" spans="4:19" ht="30" customHeight="1" x14ac:dyDescent="0.25">
      <c r="D218" s="171" t="s">
        <v>2271</v>
      </c>
      <c r="E218" s="171" t="s">
        <v>1764</v>
      </c>
      <c r="F218" s="171" t="s">
        <v>1800</v>
      </c>
      <c r="G218" s="171" t="s">
        <v>2474</v>
      </c>
      <c r="H218" s="171" t="s">
        <v>2271</v>
      </c>
      <c r="I218" s="171" t="s">
        <v>2256</v>
      </c>
      <c r="J218" s="172" t="str">
        <f t="shared" si="13"/>
        <v>FRANK LLOYD WRIGHT TRUST - BLUE PRECISION</v>
      </c>
      <c r="K218" s="172" t="str">
        <f t="shared" si="11"/>
        <v>BAV</v>
      </c>
      <c r="L218" s="172" t="str">
        <f t="shared" si="12"/>
        <v>Medical Plan</v>
      </c>
      <c r="R218" s="270" t="s">
        <v>2830</v>
      </c>
      <c r="S218" s="270" t="s">
        <v>1761</v>
      </c>
    </row>
    <row r="219" spans="4:19" ht="30" customHeight="1" x14ac:dyDescent="0.25">
      <c r="D219" s="171" t="s">
        <v>2271</v>
      </c>
      <c r="E219" s="171" t="s">
        <v>1769</v>
      </c>
      <c r="F219" s="171" t="s">
        <v>2356</v>
      </c>
      <c r="G219" s="171" t="s">
        <v>2474</v>
      </c>
      <c r="H219" s="171" t="s">
        <v>2271</v>
      </c>
      <c r="I219" s="171" t="s">
        <v>2256</v>
      </c>
      <c r="J219" s="172" t="str">
        <f t="shared" si="13"/>
        <v>FRANK LLOYD WRIGHT TRUST - DENTAL</v>
      </c>
      <c r="K219" s="172" t="str">
        <f t="shared" si="11"/>
        <v/>
      </c>
      <c r="L219" s="172" t="str">
        <f t="shared" si="12"/>
        <v>Dental Plan</v>
      </c>
      <c r="R219" s="270" t="s">
        <v>2831</v>
      </c>
      <c r="S219" s="270" t="s">
        <v>71</v>
      </c>
    </row>
    <row r="220" spans="4:19" ht="30" customHeight="1" x14ac:dyDescent="0.25">
      <c r="D220" s="171" t="s">
        <v>2271</v>
      </c>
      <c r="E220" s="171" t="s">
        <v>1769</v>
      </c>
      <c r="F220" s="171" t="s">
        <v>2355</v>
      </c>
      <c r="G220" s="171" t="s">
        <v>2474</v>
      </c>
      <c r="H220" s="171" t="s">
        <v>2271</v>
      </c>
      <c r="I220" s="171" t="s">
        <v>2256</v>
      </c>
      <c r="J220" s="172" t="str">
        <f t="shared" si="13"/>
        <v>FRANK LLOYD WRIGHT TRUST - DENTAL</v>
      </c>
      <c r="K220" s="172" t="str">
        <f t="shared" si="11"/>
        <v/>
      </c>
      <c r="L220" s="172" t="str">
        <f t="shared" si="12"/>
        <v>Dental Plan</v>
      </c>
      <c r="R220" s="270" t="s">
        <v>2831</v>
      </c>
      <c r="S220" s="270" t="s">
        <v>1761</v>
      </c>
    </row>
    <row r="221" spans="4:19" ht="30" customHeight="1" x14ac:dyDescent="0.25">
      <c r="D221" s="171" t="s">
        <v>2271</v>
      </c>
      <c r="E221" s="171" t="s">
        <v>1761</v>
      </c>
      <c r="F221" s="171" t="s">
        <v>2405</v>
      </c>
      <c r="G221" s="171" t="s">
        <v>2474</v>
      </c>
      <c r="H221" s="171" t="s">
        <v>2271</v>
      </c>
      <c r="I221" s="171" t="s">
        <v>2256</v>
      </c>
      <c r="J221" s="172" t="str">
        <f t="shared" si="13"/>
        <v>FRANK LLOYD WRIGHT TRUST - PPO</v>
      </c>
      <c r="K221" s="172" t="str">
        <f t="shared" si="11"/>
        <v/>
      </c>
      <c r="L221" s="172" t="str">
        <f t="shared" si="12"/>
        <v>Medical Plan</v>
      </c>
      <c r="R221" s="270" t="s">
        <v>2131</v>
      </c>
      <c r="S221" s="270" t="s">
        <v>1772</v>
      </c>
    </row>
    <row r="222" spans="4:19" ht="30" customHeight="1" x14ac:dyDescent="0.25">
      <c r="D222" s="171" t="s">
        <v>2271</v>
      </c>
      <c r="E222" s="171" t="s">
        <v>1761</v>
      </c>
      <c r="F222" s="171" t="s">
        <v>2406</v>
      </c>
      <c r="G222" s="171" t="s">
        <v>2474</v>
      </c>
      <c r="H222" s="171" t="s">
        <v>2271</v>
      </c>
      <c r="I222" s="171" t="s">
        <v>2256</v>
      </c>
      <c r="J222" s="172" t="str">
        <f t="shared" si="13"/>
        <v>FRANK LLOYD WRIGHT TRUST - PPO</v>
      </c>
      <c r="K222" s="172" t="str">
        <f t="shared" si="11"/>
        <v/>
      </c>
      <c r="L222" s="172" t="str">
        <f t="shared" si="12"/>
        <v>Medical Plan</v>
      </c>
      <c r="R222" s="270" t="s">
        <v>2131</v>
      </c>
      <c r="S222" s="270" t="s">
        <v>1761</v>
      </c>
    </row>
    <row r="223" spans="4:19" ht="30" customHeight="1" x14ac:dyDescent="0.25">
      <c r="D223" s="171" t="s">
        <v>2271</v>
      </c>
      <c r="E223" s="171" t="s">
        <v>67</v>
      </c>
      <c r="F223" s="171" t="s">
        <v>2332</v>
      </c>
      <c r="G223" s="171" t="s">
        <v>2539</v>
      </c>
      <c r="H223" s="171" t="s">
        <v>2271</v>
      </c>
      <c r="I223" s="171" t="s">
        <v>2540</v>
      </c>
      <c r="J223" s="172" t="str">
        <f t="shared" si="13"/>
        <v>FTDGD, INC D/B/A MACLYN GROUP - BLUECP</v>
      </c>
      <c r="K223" s="172" t="str">
        <f t="shared" si="11"/>
        <v/>
      </c>
      <c r="L223" s="172" t="str">
        <f t="shared" si="12"/>
        <v>Medical Plan</v>
      </c>
      <c r="R223" s="270" t="s">
        <v>2832</v>
      </c>
      <c r="S223" s="270" t="s">
        <v>70</v>
      </c>
    </row>
    <row r="224" spans="4:19" ht="30" customHeight="1" x14ac:dyDescent="0.25">
      <c r="D224" s="171" t="s">
        <v>2271</v>
      </c>
      <c r="E224" s="171" t="s">
        <v>1761</v>
      </c>
      <c r="F224" s="171" t="s">
        <v>2407</v>
      </c>
      <c r="G224" s="171" t="s">
        <v>2539</v>
      </c>
      <c r="H224" s="171" t="s">
        <v>2271</v>
      </c>
      <c r="I224" s="171" t="s">
        <v>2540</v>
      </c>
      <c r="J224" s="172" t="str">
        <f t="shared" si="13"/>
        <v>FTDGD, INC D/B/A MACLYN GROUP - PPO</v>
      </c>
      <c r="K224" s="172" t="str">
        <f t="shared" si="11"/>
        <v/>
      </c>
      <c r="L224" s="172" t="str">
        <f t="shared" si="12"/>
        <v>Medical Plan</v>
      </c>
      <c r="R224" s="270" t="s">
        <v>2833</v>
      </c>
      <c r="S224" s="270" t="s">
        <v>71</v>
      </c>
    </row>
    <row r="225" spans="4:19" ht="30" customHeight="1" x14ac:dyDescent="0.25">
      <c r="D225" s="171" t="s">
        <v>2271</v>
      </c>
      <c r="E225" s="171" t="s">
        <v>1761</v>
      </c>
      <c r="F225" s="171" t="s">
        <v>2408</v>
      </c>
      <c r="G225" s="171" t="s">
        <v>2539</v>
      </c>
      <c r="H225" s="171" t="s">
        <v>2271</v>
      </c>
      <c r="I225" s="171" t="s">
        <v>2540</v>
      </c>
      <c r="J225" s="172" t="str">
        <f t="shared" si="13"/>
        <v>FTDGD, INC D/B/A MACLYN GROUP - PPO</v>
      </c>
      <c r="K225" s="172" t="str">
        <f t="shared" si="11"/>
        <v/>
      </c>
      <c r="L225" s="172" t="str">
        <f t="shared" si="12"/>
        <v>Medical Plan</v>
      </c>
      <c r="R225" s="270" t="s">
        <v>2833</v>
      </c>
      <c r="S225" s="270" t="s">
        <v>1761</v>
      </c>
    </row>
    <row r="226" spans="4:19" ht="30" customHeight="1" x14ac:dyDescent="0.25">
      <c r="D226" s="171" t="s">
        <v>2271</v>
      </c>
      <c r="E226" s="171" t="s">
        <v>1772</v>
      </c>
      <c r="F226" s="171" t="s">
        <v>2259</v>
      </c>
      <c r="G226" s="171" t="s">
        <v>2475</v>
      </c>
      <c r="H226" s="171" t="s">
        <v>2271</v>
      </c>
      <c r="I226" s="171" t="s">
        <v>2258</v>
      </c>
      <c r="J226" s="172" t="str">
        <f t="shared" si="13"/>
        <v>GLOBAL CONTRACT MANUFACTURING - BLUE ADV HMO</v>
      </c>
      <c r="K226" s="172" t="str">
        <f t="shared" si="11"/>
        <v>ADV</v>
      </c>
      <c r="L226" s="172" t="str">
        <f t="shared" si="12"/>
        <v>Medical Plan</v>
      </c>
      <c r="R226" s="270" t="s">
        <v>1317</v>
      </c>
      <c r="S226" s="270" t="s">
        <v>70</v>
      </c>
    </row>
    <row r="227" spans="4:19" ht="30" customHeight="1" x14ac:dyDescent="0.25">
      <c r="D227" s="171" t="s">
        <v>2271</v>
      </c>
      <c r="E227" s="171" t="s">
        <v>1761</v>
      </c>
      <c r="F227" s="171" t="s">
        <v>2409</v>
      </c>
      <c r="G227" s="171" t="s">
        <v>2475</v>
      </c>
      <c r="H227" s="171" t="s">
        <v>2271</v>
      </c>
      <c r="I227" s="171" t="s">
        <v>2258</v>
      </c>
      <c r="J227" s="172" t="str">
        <f t="shared" si="13"/>
        <v>GLOBAL CONTRACT MANUFACTURING - PPO</v>
      </c>
      <c r="K227" s="172" t="str">
        <f t="shared" si="11"/>
        <v/>
      </c>
      <c r="L227" s="172" t="str">
        <f t="shared" si="12"/>
        <v>Medical Plan</v>
      </c>
      <c r="R227" s="270" t="s">
        <v>1317</v>
      </c>
      <c r="S227" s="270" t="s">
        <v>1764</v>
      </c>
    </row>
    <row r="228" spans="4:19" ht="30" customHeight="1" x14ac:dyDescent="0.25">
      <c r="D228" s="171" t="s">
        <v>2271</v>
      </c>
      <c r="E228" s="171" t="s">
        <v>1761</v>
      </c>
      <c r="F228" s="171" t="s">
        <v>2410</v>
      </c>
      <c r="G228" s="171" t="s">
        <v>2475</v>
      </c>
      <c r="H228" s="171" t="s">
        <v>2271</v>
      </c>
      <c r="I228" s="171" t="s">
        <v>2258</v>
      </c>
      <c r="J228" s="172" t="str">
        <f t="shared" si="13"/>
        <v>GLOBAL CONTRACT MANUFACTURING - PPO</v>
      </c>
      <c r="K228" s="172" t="str">
        <f t="shared" si="11"/>
        <v/>
      </c>
      <c r="L228" s="172" t="str">
        <f t="shared" si="12"/>
        <v>Medical Plan</v>
      </c>
      <c r="R228" s="270" t="s">
        <v>2834</v>
      </c>
      <c r="S228" s="270" t="s">
        <v>1772</v>
      </c>
    </row>
    <row r="229" spans="4:19" ht="30" customHeight="1" x14ac:dyDescent="0.25">
      <c r="D229" s="171" t="s">
        <v>2271</v>
      </c>
      <c r="E229" s="171" t="s">
        <v>71</v>
      </c>
      <c r="G229" s="171" t="s">
        <v>2271</v>
      </c>
      <c r="H229" s="171" t="s">
        <v>2271</v>
      </c>
      <c r="I229" s="171" t="s">
        <v>2808</v>
      </c>
      <c r="J229" s="172" t="str">
        <f t="shared" si="13"/>
        <v>GNAIL ENTERPRISES - No Coverage</v>
      </c>
      <c r="K229" s="172" t="str">
        <f t="shared" si="11"/>
        <v/>
      </c>
      <c r="L229" s="172" t="str">
        <f t="shared" si="12"/>
        <v>Medical Plan</v>
      </c>
      <c r="R229" s="270" t="s">
        <v>2834</v>
      </c>
      <c r="S229" s="270" t="s">
        <v>70</v>
      </c>
    </row>
    <row r="230" spans="4:19" ht="30" customHeight="1" x14ac:dyDescent="0.25">
      <c r="D230" s="171" t="s">
        <v>2271</v>
      </c>
      <c r="E230" s="171" t="s">
        <v>1764</v>
      </c>
      <c r="F230" s="171" t="s">
        <v>2317</v>
      </c>
      <c r="G230" s="171" t="s">
        <v>2271</v>
      </c>
      <c r="H230" s="171" t="s">
        <v>2271</v>
      </c>
      <c r="I230" s="171" t="s">
        <v>2808</v>
      </c>
      <c r="J230" s="172" t="str">
        <f t="shared" si="13"/>
        <v>GNAIL ENTERPRISES - BLUE PRECISION</v>
      </c>
      <c r="K230" s="172" t="str">
        <f t="shared" si="11"/>
        <v>BAV</v>
      </c>
      <c r="L230" s="172" t="str">
        <f t="shared" si="12"/>
        <v>Medical Plan</v>
      </c>
      <c r="R230" s="270" t="s">
        <v>2834</v>
      </c>
      <c r="S230" s="270" t="s">
        <v>1761</v>
      </c>
    </row>
    <row r="231" spans="4:19" ht="30" customHeight="1" x14ac:dyDescent="0.25">
      <c r="D231" s="171" t="s">
        <v>2271</v>
      </c>
      <c r="E231" s="171" t="s">
        <v>1769</v>
      </c>
      <c r="F231" s="171" t="s">
        <v>2654</v>
      </c>
      <c r="G231" s="171" t="s">
        <v>2271</v>
      </c>
      <c r="H231" s="171" t="s">
        <v>2271</v>
      </c>
      <c r="I231" s="171" t="s">
        <v>2808</v>
      </c>
      <c r="J231" s="172" t="str">
        <f t="shared" si="13"/>
        <v>GNAIL ENTERPRISES - DENTAL</v>
      </c>
      <c r="K231" s="172" t="str">
        <f t="shared" si="11"/>
        <v/>
      </c>
      <c r="L231" s="172" t="str">
        <f t="shared" si="12"/>
        <v>Dental Plan</v>
      </c>
      <c r="R231" s="270" t="s">
        <v>2482</v>
      </c>
      <c r="S231" s="270" t="s">
        <v>1775</v>
      </c>
    </row>
    <row r="232" spans="4:19" ht="30" customHeight="1" x14ac:dyDescent="0.25">
      <c r="D232" s="171" t="s">
        <v>2271</v>
      </c>
      <c r="E232" s="171" t="s">
        <v>71</v>
      </c>
      <c r="G232" s="171" t="s">
        <v>2271</v>
      </c>
      <c r="H232" s="171" t="s">
        <v>2271</v>
      </c>
      <c r="I232" s="171" t="s">
        <v>2809</v>
      </c>
      <c r="J232" s="172" t="str">
        <f t="shared" si="13"/>
        <v>GRASSLAND SPECIALTY BRANDS LLC - No Coverage</v>
      </c>
      <c r="K232" s="172" t="str">
        <f t="shared" si="11"/>
        <v/>
      </c>
      <c r="L232" s="172" t="str">
        <f t="shared" si="12"/>
        <v>Medical Plan</v>
      </c>
      <c r="R232" s="270" t="s">
        <v>2482</v>
      </c>
      <c r="S232" s="270" t="s">
        <v>1761</v>
      </c>
    </row>
    <row r="233" spans="4:19" ht="30" customHeight="1" x14ac:dyDescent="0.25">
      <c r="D233" s="171" t="s">
        <v>2271</v>
      </c>
      <c r="E233" s="171" t="s">
        <v>70</v>
      </c>
      <c r="F233" s="171" t="s">
        <v>1827</v>
      </c>
      <c r="G233" s="171" t="s">
        <v>2271</v>
      </c>
      <c r="H233" s="171" t="s">
        <v>2271</v>
      </c>
      <c r="I233" s="171" t="s">
        <v>2809</v>
      </c>
      <c r="J233" s="172" t="str">
        <f t="shared" si="13"/>
        <v>GRASSLAND SPECIALTY BRANDS LLC - BLUE OPTIONS</v>
      </c>
      <c r="K233" s="172" t="str">
        <f t="shared" si="11"/>
        <v/>
      </c>
      <c r="L233" s="172" t="str">
        <f t="shared" si="12"/>
        <v>Medical Plan</v>
      </c>
      <c r="R233" s="270" t="s">
        <v>2494</v>
      </c>
      <c r="S233" s="270" t="s">
        <v>70</v>
      </c>
    </row>
    <row r="234" spans="4:19" ht="30" customHeight="1" x14ac:dyDescent="0.25">
      <c r="D234" s="171" t="s">
        <v>2271</v>
      </c>
      <c r="E234" s="171" t="s">
        <v>1769</v>
      </c>
      <c r="F234" s="171" t="s">
        <v>2655</v>
      </c>
      <c r="G234" s="171" t="s">
        <v>2271</v>
      </c>
      <c r="H234" s="171" t="s">
        <v>2271</v>
      </c>
      <c r="I234" s="171" t="s">
        <v>2809</v>
      </c>
      <c r="J234" s="172" t="str">
        <f t="shared" si="13"/>
        <v>GRASSLAND SPECIALTY BRANDS LLC - DENTAL</v>
      </c>
      <c r="K234" s="172" t="str">
        <f t="shared" si="11"/>
        <v/>
      </c>
      <c r="L234" s="172" t="str">
        <f t="shared" si="12"/>
        <v>Dental Plan</v>
      </c>
      <c r="R234" s="270" t="s">
        <v>2494</v>
      </c>
      <c r="S234" s="270" t="s">
        <v>67</v>
      </c>
    </row>
    <row r="235" spans="4:19" ht="30" customHeight="1" x14ac:dyDescent="0.25">
      <c r="D235" s="171" t="s">
        <v>2271</v>
      </c>
      <c r="E235" s="171" t="s">
        <v>1761</v>
      </c>
      <c r="F235" s="171" t="s">
        <v>2642</v>
      </c>
      <c r="G235" s="171" t="s">
        <v>2271</v>
      </c>
      <c r="H235" s="171" t="s">
        <v>2271</v>
      </c>
      <c r="I235" s="171" t="s">
        <v>2809</v>
      </c>
      <c r="J235" s="172" t="str">
        <f t="shared" si="13"/>
        <v>GRASSLAND SPECIALTY BRANDS LLC - PPO</v>
      </c>
      <c r="K235" s="172" t="str">
        <f t="shared" si="11"/>
        <v/>
      </c>
      <c r="L235" s="172" t="str">
        <f t="shared" si="12"/>
        <v>Medical Plan</v>
      </c>
      <c r="R235" s="270" t="s">
        <v>2494</v>
      </c>
      <c r="S235" s="270" t="s">
        <v>1761</v>
      </c>
    </row>
    <row r="236" spans="4:19" ht="30" customHeight="1" x14ac:dyDescent="0.25">
      <c r="D236" s="171" t="s">
        <v>2271</v>
      </c>
      <c r="E236" s="171" t="s">
        <v>1761</v>
      </c>
      <c r="F236" s="171" t="s">
        <v>2412</v>
      </c>
      <c r="G236" s="171" t="s">
        <v>2575</v>
      </c>
      <c r="H236" s="171" t="s">
        <v>2271</v>
      </c>
      <c r="I236" s="171" t="s">
        <v>2576</v>
      </c>
      <c r="J236" s="172" t="str">
        <f t="shared" si="13"/>
        <v>GREAT NORTHERN INSTORE - PPO</v>
      </c>
      <c r="K236" s="172" t="str">
        <f t="shared" si="11"/>
        <v/>
      </c>
      <c r="L236" s="172" t="str">
        <f t="shared" si="12"/>
        <v>Medical Plan</v>
      </c>
      <c r="R236" s="270" t="s">
        <v>1319</v>
      </c>
      <c r="S236" s="270" t="s">
        <v>1772</v>
      </c>
    </row>
    <row r="237" spans="4:19" ht="30" customHeight="1" x14ac:dyDescent="0.25">
      <c r="D237" s="171" t="s">
        <v>2271</v>
      </c>
      <c r="E237" s="171" t="s">
        <v>1761</v>
      </c>
      <c r="F237" s="171" t="s">
        <v>2413</v>
      </c>
      <c r="G237" s="171" t="s">
        <v>2575</v>
      </c>
      <c r="H237" s="171" t="s">
        <v>2271</v>
      </c>
      <c r="I237" s="171" t="s">
        <v>2576</v>
      </c>
      <c r="J237" s="172" t="str">
        <f t="shared" si="13"/>
        <v>GREAT NORTHERN INSTORE - PPO</v>
      </c>
      <c r="K237" s="172" t="str">
        <f t="shared" si="11"/>
        <v/>
      </c>
      <c r="L237" s="172" t="str">
        <f t="shared" si="12"/>
        <v>Medical Plan</v>
      </c>
      <c r="R237" s="270" t="s">
        <v>1319</v>
      </c>
      <c r="S237" s="270" t="s">
        <v>1775</v>
      </c>
    </row>
    <row r="238" spans="4:19" ht="30" customHeight="1" x14ac:dyDescent="0.25">
      <c r="D238" s="171" t="s">
        <v>2271</v>
      </c>
      <c r="E238" s="171" t="s">
        <v>1761</v>
      </c>
      <c r="F238" s="171" t="s">
        <v>2411</v>
      </c>
      <c r="G238" s="171" t="s">
        <v>2573</v>
      </c>
      <c r="H238" s="171" t="s">
        <v>2271</v>
      </c>
      <c r="I238" s="171" t="s">
        <v>2574</v>
      </c>
      <c r="J238" s="172" t="str">
        <f t="shared" si="13"/>
        <v>GREATER METRO AREA HOUSING AUTHORITY - PPO</v>
      </c>
      <c r="K238" s="172" t="str">
        <f t="shared" si="11"/>
        <v/>
      </c>
      <c r="L238" s="172" t="str">
        <f t="shared" si="12"/>
        <v>Medical Plan</v>
      </c>
      <c r="R238" s="270" t="s">
        <v>1319</v>
      </c>
      <c r="S238" s="270" t="s">
        <v>70</v>
      </c>
    </row>
    <row r="239" spans="4:19" ht="30" customHeight="1" x14ac:dyDescent="0.25">
      <c r="D239" s="171" t="s">
        <v>2271</v>
      </c>
      <c r="E239" s="171" t="s">
        <v>1761</v>
      </c>
      <c r="F239" s="171" t="s">
        <v>2414</v>
      </c>
      <c r="G239" s="171" t="s">
        <v>2577</v>
      </c>
      <c r="H239" s="171" t="s">
        <v>2271</v>
      </c>
      <c r="I239" s="171" t="s">
        <v>2578</v>
      </c>
      <c r="J239" s="172" t="str">
        <f t="shared" si="13"/>
        <v>GRUNDY COUNTY HOUSING AUTHORITY - PPO</v>
      </c>
      <c r="K239" s="172" t="str">
        <f t="shared" si="11"/>
        <v/>
      </c>
      <c r="L239" s="172" t="str">
        <f t="shared" si="12"/>
        <v>Medical Plan</v>
      </c>
      <c r="R239" s="270" t="s">
        <v>1319</v>
      </c>
      <c r="S239" s="270" t="s">
        <v>1761</v>
      </c>
    </row>
    <row r="240" spans="4:19" ht="30" customHeight="1" x14ac:dyDescent="0.25">
      <c r="D240" s="171" t="s">
        <v>2271</v>
      </c>
      <c r="E240" s="171" t="s">
        <v>1772</v>
      </c>
      <c r="F240" s="171" t="s">
        <v>2262</v>
      </c>
      <c r="G240" s="171" t="s">
        <v>2476</v>
      </c>
      <c r="H240" s="171" t="s">
        <v>2271</v>
      </c>
      <c r="I240" s="171" t="s">
        <v>2260</v>
      </c>
      <c r="J240" s="172" t="str">
        <f t="shared" si="13"/>
        <v>HCP FINANCIAL &amp; MANAGEMENT SERVICES, LLC - BLUE ADV HMO</v>
      </c>
      <c r="K240" s="172" t="str">
        <f t="shared" si="11"/>
        <v>ADV</v>
      </c>
      <c r="L240" s="172" t="str">
        <f t="shared" si="12"/>
        <v>Medical Plan</v>
      </c>
      <c r="R240" s="270" t="s">
        <v>2836</v>
      </c>
      <c r="S240" s="270" t="s">
        <v>1764</v>
      </c>
    </row>
    <row r="241" spans="4:19" ht="30" customHeight="1" x14ac:dyDescent="0.25">
      <c r="D241" s="171" t="s">
        <v>2271</v>
      </c>
      <c r="E241" s="171" t="s">
        <v>1772</v>
      </c>
      <c r="F241" s="171" t="s">
        <v>2261</v>
      </c>
      <c r="G241" s="171" t="s">
        <v>2476</v>
      </c>
      <c r="H241" s="171" t="s">
        <v>2271</v>
      </c>
      <c r="I241" s="171" t="s">
        <v>2260</v>
      </c>
      <c r="J241" s="172" t="str">
        <f t="shared" si="13"/>
        <v>HCP FINANCIAL &amp; MANAGEMENT SERVICES, LLC - BLUE ADV HMO</v>
      </c>
      <c r="K241" s="172" t="str">
        <f t="shared" si="11"/>
        <v>ADV</v>
      </c>
      <c r="L241" s="172" t="str">
        <f t="shared" si="12"/>
        <v>Medical Plan</v>
      </c>
      <c r="R241" s="270" t="s">
        <v>2836</v>
      </c>
      <c r="S241" s="270" t="s">
        <v>1761</v>
      </c>
    </row>
    <row r="242" spans="4:19" ht="30" customHeight="1" x14ac:dyDescent="0.25">
      <c r="D242" s="171" t="s">
        <v>2271</v>
      </c>
      <c r="E242" s="171" t="s">
        <v>1775</v>
      </c>
      <c r="F242" s="171" t="s">
        <v>2279</v>
      </c>
      <c r="G242" s="171" t="s">
        <v>2476</v>
      </c>
      <c r="H242" s="171" t="s">
        <v>2271</v>
      </c>
      <c r="I242" s="171" t="s">
        <v>2260</v>
      </c>
      <c r="J242" s="172" t="str">
        <f t="shared" si="13"/>
        <v>HCP FINANCIAL &amp; MANAGEMENT SERVICES, LLC - BLUE CHOICE SELECT</v>
      </c>
      <c r="K242" s="172" t="str">
        <f t="shared" si="11"/>
        <v/>
      </c>
      <c r="L242" s="172" t="str">
        <f t="shared" si="12"/>
        <v>Medical Plan</v>
      </c>
      <c r="R242" s="270" t="s">
        <v>2837</v>
      </c>
      <c r="S242" s="270" t="s">
        <v>1764</v>
      </c>
    </row>
    <row r="243" spans="4:19" ht="30" customHeight="1" x14ac:dyDescent="0.25">
      <c r="D243" s="171" t="s">
        <v>2271</v>
      </c>
      <c r="E243" s="171" t="s">
        <v>1775</v>
      </c>
      <c r="F243" s="171" t="s">
        <v>2281</v>
      </c>
      <c r="G243" s="171" t="s">
        <v>2476</v>
      </c>
      <c r="H243" s="171" t="s">
        <v>2271</v>
      </c>
      <c r="I243" s="171" t="s">
        <v>2260</v>
      </c>
      <c r="J243" s="172" t="str">
        <f t="shared" si="13"/>
        <v>HCP FINANCIAL &amp; MANAGEMENT SERVICES, LLC - BLUE CHOICE SELECT</v>
      </c>
      <c r="K243" s="172" t="str">
        <f t="shared" si="11"/>
        <v/>
      </c>
      <c r="L243" s="172" t="str">
        <f t="shared" si="12"/>
        <v>Medical Plan</v>
      </c>
      <c r="R243" s="270" t="s">
        <v>2837</v>
      </c>
      <c r="S243" s="270" t="s">
        <v>67</v>
      </c>
    </row>
    <row r="244" spans="4:19" ht="30" customHeight="1" x14ac:dyDescent="0.25">
      <c r="D244" s="171" t="s">
        <v>2271</v>
      </c>
      <c r="E244" s="171" t="s">
        <v>1775</v>
      </c>
      <c r="F244" s="171" t="s">
        <v>2280</v>
      </c>
      <c r="G244" s="171" t="s">
        <v>2476</v>
      </c>
      <c r="H244" s="171" t="s">
        <v>2271</v>
      </c>
      <c r="I244" s="171" t="s">
        <v>2260</v>
      </c>
      <c r="J244" s="172" t="str">
        <f t="shared" si="13"/>
        <v>HCP FINANCIAL &amp; MANAGEMENT SERVICES, LLC - BLUE CHOICE SELECT</v>
      </c>
      <c r="K244" s="172" t="str">
        <f t="shared" si="11"/>
        <v/>
      </c>
      <c r="L244" s="172" t="str">
        <f t="shared" si="12"/>
        <v>Medical Plan</v>
      </c>
      <c r="R244" s="270" t="s">
        <v>2837</v>
      </c>
      <c r="S244" s="270" t="s">
        <v>1761</v>
      </c>
    </row>
    <row r="245" spans="4:19" ht="30" customHeight="1" x14ac:dyDescent="0.25">
      <c r="D245" s="171" t="s">
        <v>2271</v>
      </c>
      <c r="E245" s="171" t="s">
        <v>1775</v>
      </c>
      <c r="F245" s="171" t="s">
        <v>2282</v>
      </c>
      <c r="G245" s="171" t="s">
        <v>2476</v>
      </c>
      <c r="H245" s="171" t="s">
        <v>2271</v>
      </c>
      <c r="I245" s="171" t="s">
        <v>2260</v>
      </c>
      <c r="J245" s="172" t="str">
        <f t="shared" si="13"/>
        <v>HCP FINANCIAL &amp; MANAGEMENT SERVICES, LLC - BLUE CHOICE SELECT</v>
      </c>
      <c r="K245" s="172" t="str">
        <f t="shared" si="11"/>
        <v/>
      </c>
      <c r="L245" s="172" t="str">
        <f t="shared" si="12"/>
        <v>Medical Plan</v>
      </c>
      <c r="R245" s="270" t="s">
        <v>2838</v>
      </c>
      <c r="S245" s="270" t="s">
        <v>1761</v>
      </c>
    </row>
    <row r="246" spans="4:19" ht="30" customHeight="1" x14ac:dyDescent="0.25">
      <c r="D246" s="171" t="s">
        <v>2271</v>
      </c>
      <c r="E246" s="171" t="s">
        <v>1775</v>
      </c>
      <c r="F246" s="171" t="s">
        <v>2278</v>
      </c>
      <c r="G246" s="171" t="s">
        <v>2476</v>
      </c>
      <c r="H246" s="171" t="s">
        <v>2271</v>
      </c>
      <c r="I246" s="171" t="s">
        <v>2260</v>
      </c>
      <c r="J246" s="172" t="str">
        <f t="shared" si="13"/>
        <v>HCP FINANCIAL &amp; MANAGEMENT SERVICES, LLC - BLUE CHOICE SELECT</v>
      </c>
      <c r="K246" s="172" t="str">
        <f t="shared" si="11"/>
        <v/>
      </c>
      <c r="L246" s="172" t="str">
        <f t="shared" si="12"/>
        <v>Medical Plan</v>
      </c>
      <c r="R246" s="270" t="s">
        <v>2522</v>
      </c>
      <c r="S246" s="270" t="s">
        <v>71</v>
      </c>
    </row>
    <row r="247" spans="4:19" ht="30" customHeight="1" x14ac:dyDescent="0.25">
      <c r="D247" s="171" t="s">
        <v>2271</v>
      </c>
      <c r="E247" s="171" t="s">
        <v>1761</v>
      </c>
      <c r="F247" s="171" t="s">
        <v>2415</v>
      </c>
      <c r="G247" s="171" t="s">
        <v>2476</v>
      </c>
      <c r="H247" s="171" t="s">
        <v>2271</v>
      </c>
      <c r="I247" s="171" t="s">
        <v>2260</v>
      </c>
      <c r="J247" s="172" t="str">
        <f t="shared" si="13"/>
        <v>HCP FINANCIAL &amp; MANAGEMENT SERVICES, LLC - PPO</v>
      </c>
      <c r="K247" s="172" t="str">
        <f t="shared" si="11"/>
        <v/>
      </c>
      <c r="L247" s="172" t="str">
        <f t="shared" si="12"/>
        <v>Medical Plan</v>
      </c>
      <c r="R247" s="270" t="s">
        <v>2522</v>
      </c>
      <c r="S247" s="270" t="s">
        <v>1764</v>
      </c>
    </row>
    <row r="248" spans="4:19" ht="30" customHeight="1" x14ac:dyDescent="0.25">
      <c r="D248" s="171" t="s">
        <v>2271</v>
      </c>
      <c r="E248" s="171" t="s">
        <v>1761</v>
      </c>
      <c r="F248" s="171" t="s">
        <v>2417</v>
      </c>
      <c r="G248" s="171" t="s">
        <v>2476</v>
      </c>
      <c r="H248" s="171" t="s">
        <v>2271</v>
      </c>
      <c r="I248" s="171" t="s">
        <v>2260</v>
      </c>
      <c r="J248" s="172" t="str">
        <f t="shared" si="13"/>
        <v>HCP FINANCIAL &amp; MANAGEMENT SERVICES, LLC - PPO</v>
      </c>
      <c r="K248" s="172" t="str">
        <f t="shared" si="11"/>
        <v/>
      </c>
      <c r="L248" s="172" t="str">
        <f t="shared" si="12"/>
        <v>Medical Plan</v>
      </c>
      <c r="R248" s="270" t="s">
        <v>2522</v>
      </c>
      <c r="S248" s="270" t="s">
        <v>1761</v>
      </c>
    </row>
    <row r="249" spans="4:19" ht="30" customHeight="1" x14ac:dyDescent="0.25">
      <c r="D249" s="171" t="s">
        <v>2271</v>
      </c>
      <c r="E249" s="171" t="s">
        <v>1761</v>
      </c>
      <c r="F249" s="171" t="s">
        <v>2416</v>
      </c>
      <c r="G249" s="171" t="s">
        <v>2476</v>
      </c>
      <c r="H249" s="171" t="s">
        <v>2271</v>
      </c>
      <c r="I249" s="171" t="s">
        <v>2260</v>
      </c>
      <c r="J249" s="172" t="str">
        <f t="shared" si="13"/>
        <v>HCP FINANCIAL &amp; MANAGEMENT SERVICES, LLC - PPO</v>
      </c>
      <c r="K249" s="172" t="str">
        <f t="shared" si="11"/>
        <v/>
      </c>
      <c r="L249" s="172" t="str">
        <f t="shared" si="12"/>
        <v>Medical Plan</v>
      </c>
      <c r="R249" s="270" t="s">
        <v>2839</v>
      </c>
      <c r="S249" s="270" t="s">
        <v>1772</v>
      </c>
    </row>
    <row r="250" spans="4:19" ht="30" customHeight="1" x14ac:dyDescent="0.25">
      <c r="D250" s="171" t="s">
        <v>2271</v>
      </c>
      <c r="E250" s="171" t="s">
        <v>71</v>
      </c>
      <c r="G250" s="171" t="s">
        <v>2271</v>
      </c>
      <c r="H250" s="171" t="s">
        <v>2271</v>
      </c>
      <c r="I250" s="171" t="s">
        <v>2810</v>
      </c>
      <c r="J250" s="172" t="str">
        <f t="shared" si="13"/>
        <v>HEGRE, MCMAHON &amp; SCHIMMEL, LLC - No Coverage</v>
      </c>
      <c r="K250" s="172" t="str">
        <f t="shared" si="11"/>
        <v/>
      </c>
      <c r="L250" s="172" t="str">
        <f t="shared" si="12"/>
        <v>Medical Plan</v>
      </c>
      <c r="R250" s="270" t="s">
        <v>2839</v>
      </c>
      <c r="S250" s="270" t="s">
        <v>1761</v>
      </c>
    </row>
    <row r="251" spans="4:19" ht="30" customHeight="1" x14ac:dyDescent="0.25">
      <c r="D251" s="171" t="s">
        <v>2271</v>
      </c>
      <c r="E251" s="171" t="s">
        <v>1764</v>
      </c>
      <c r="F251" s="171" t="s">
        <v>2612</v>
      </c>
      <c r="G251" s="171" t="s">
        <v>2271</v>
      </c>
      <c r="H251" s="171" t="s">
        <v>2271</v>
      </c>
      <c r="I251" s="171" t="s">
        <v>2810</v>
      </c>
      <c r="J251" s="172" t="str">
        <f t="shared" si="13"/>
        <v>HEGRE, MCMAHON &amp; SCHIMMEL, LLC - BLUE PRECISION</v>
      </c>
      <c r="K251" s="172" t="str">
        <f t="shared" si="11"/>
        <v>BAV</v>
      </c>
      <c r="L251" s="172" t="str">
        <f t="shared" si="12"/>
        <v>Medical Plan</v>
      </c>
      <c r="R251" s="270" t="s">
        <v>2840</v>
      </c>
      <c r="S251" s="270" t="s">
        <v>71</v>
      </c>
    </row>
    <row r="252" spans="4:19" ht="30" customHeight="1" x14ac:dyDescent="0.25">
      <c r="D252" s="171" t="s">
        <v>2271</v>
      </c>
      <c r="E252" s="171" t="s">
        <v>2657</v>
      </c>
      <c r="F252" s="171" t="s">
        <v>2658</v>
      </c>
      <c r="G252" s="171" t="s">
        <v>2271</v>
      </c>
      <c r="H252" s="171" t="s">
        <v>2271</v>
      </c>
      <c r="I252" s="171" t="s">
        <v>2810</v>
      </c>
      <c r="J252" s="172" t="str">
        <f t="shared" si="13"/>
        <v>HEGRE, MCMAHON &amp; SCHIMMEL, LLC - BLUECARE DIRECT</v>
      </c>
      <c r="K252" s="172" t="str">
        <f t="shared" si="11"/>
        <v>#N/A</v>
      </c>
      <c r="L252" s="172" t="str">
        <f t="shared" si="12"/>
        <v>#N/A</v>
      </c>
      <c r="R252" s="270" t="s">
        <v>2840</v>
      </c>
      <c r="S252" s="270" t="s">
        <v>1764</v>
      </c>
    </row>
    <row r="253" spans="4:19" ht="30" customHeight="1" x14ac:dyDescent="0.25">
      <c r="D253" s="171" t="s">
        <v>2271</v>
      </c>
      <c r="E253" s="171" t="s">
        <v>1769</v>
      </c>
      <c r="F253" s="171" t="s">
        <v>2656</v>
      </c>
      <c r="G253" s="171" t="s">
        <v>2271</v>
      </c>
      <c r="H253" s="171" t="s">
        <v>2271</v>
      </c>
      <c r="I253" s="171" t="s">
        <v>2810</v>
      </c>
      <c r="J253" s="172" t="str">
        <f t="shared" si="13"/>
        <v>HEGRE, MCMAHON &amp; SCHIMMEL, LLC - DENTAL</v>
      </c>
      <c r="K253" s="172" t="str">
        <f t="shared" si="11"/>
        <v/>
      </c>
      <c r="L253" s="172" t="str">
        <f t="shared" si="12"/>
        <v>Dental Plan</v>
      </c>
      <c r="R253" s="270" t="s">
        <v>2840</v>
      </c>
      <c r="S253" s="270" t="s">
        <v>67</v>
      </c>
    </row>
    <row r="254" spans="4:19" ht="30" customHeight="1" x14ac:dyDescent="0.25">
      <c r="D254" s="171" t="s">
        <v>2271</v>
      </c>
      <c r="E254" s="171" t="s">
        <v>1761</v>
      </c>
      <c r="F254" s="171" t="s">
        <v>2661</v>
      </c>
      <c r="G254" s="171" t="s">
        <v>2271</v>
      </c>
      <c r="H254" s="171" t="s">
        <v>2271</v>
      </c>
      <c r="I254" s="171" t="s">
        <v>2811</v>
      </c>
      <c r="J254" s="172" t="str">
        <f t="shared" si="13"/>
        <v>HITCHCOCK / TYLKA INC - PPO</v>
      </c>
      <c r="K254" s="172" t="str">
        <f t="shared" si="11"/>
        <v/>
      </c>
      <c r="L254" s="172" t="str">
        <f t="shared" si="12"/>
        <v>Medical Plan</v>
      </c>
      <c r="R254" s="270" t="s">
        <v>2841</v>
      </c>
      <c r="S254" s="270" t="s">
        <v>1764</v>
      </c>
    </row>
    <row r="255" spans="4:19" ht="30" customHeight="1" x14ac:dyDescent="0.25">
      <c r="D255" s="171" t="s">
        <v>2271</v>
      </c>
      <c r="E255" s="171" t="s">
        <v>1761</v>
      </c>
      <c r="F255" s="171" t="s">
        <v>2660</v>
      </c>
      <c r="G255" s="171" t="s">
        <v>2271</v>
      </c>
      <c r="H255" s="171" t="s">
        <v>2271</v>
      </c>
      <c r="I255" s="171" t="s">
        <v>2811</v>
      </c>
      <c r="J255" s="172" t="str">
        <f t="shared" si="13"/>
        <v>HITCHCOCK / TYLKA INC - PPO</v>
      </c>
      <c r="K255" s="172" t="str">
        <f t="shared" si="11"/>
        <v/>
      </c>
      <c r="L255" s="172" t="str">
        <f t="shared" si="12"/>
        <v>Medical Plan</v>
      </c>
      <c r="R255" s="270" t="s">
        <v>2841</v>
      </c>
      <c r="S255" s="270" t="s">
        <v>67</v>
      </c>
    </row>
    <row r="256" spans="4:19" ht="30" customHeight="1" x14ac:dyDescent="0.25">
      <c r="D256" s="171" t="s">
        <v>2271</v>
      </c>
      <c r="E256" s="171" t="s">
        <v>70</v>
      </c>
      <c r="F256" s="171" t="s">
        <v>2303</v>
      </c>
      <c r="G256" s="171" t="s">
        <v>2489</v>
      </c>
      <c r="H256" s="171" t="s">
        <v>2271</v>
      </c>
      <c r="I256" s="171" t="s">
        <v>2490</v>
      </c>
      <c r="J256" s="172" t="str">
        <f t="shared" si="13"/>
        <v>HITCHCOCK DESIGN INC - BLUE OPTIONS</v>
      </c>
      <c r="K256" s="172" t="str">
        <f t="shared" si="11"/>
        <v/>
      </c>
      <c r="L256" s="172" t="str">
        <f t="shared" si="12"/>
        <v>Medical Plan</v>
      </c>
      <c r="R256" s="270" t="s">
        <v>2841</v>
      </c>
      <c r="S256" s="270" t="s">
        <v>1761</v>
      </c>
    </row>
    <row r="257" spans="4:19" ht="30" customHeight="1" x14ac:dyDescent="0.25">
      <c r="D257" s="171" t="s">
        <v>2271</v>
      </c>
      <c r="E257" s="171" t="s">
        <v>70</v>
      </c>
      <c r="F257" s="171" t="s">
        <v>2302</v>
      </c>
      <c r="G257" s="171" t="s">
        <v>2489</v>
      </c>
      <c r="H257" s="171" t="s">
        <v>2271</v>
      </c>
      <c r="I257" s="171" t="s">
        <v>2490</v>
      </c>
      <c r="J257" s="172" t="str">
        <f t="shared" si="13"/>
        <v>HITCHCOCK DESIGN INC - BLUE OPTIONS</v>
      </c>
      <c r="K257" s="172" t="str">
        <f t="shared" si="11"/>
        <v/>
      </c>
      <c r="L257" s="172" t="str">
        <f t="shared" si="12"/>
        <v>Medical Plan</v>
      </c>
      <c r="R257" s="270" t="s">
        <v>2842</v>
      </c>
      <c r="S257" s="270" t="s">
        <v>70</v>
      </c>
    </row>
    <row r="258" spans="4:19" ht="30" customHeight="1" x14ac:dyDescent="0.25">
      <c r="D258" s="171" t="s">
        <v>2271</v>
      </c>
      <c r="E258" s="171" t="s">
        <v>70</v>
      </c>
      <c r="F258" s="171" t="s">
        <v>2301</v>
      </c>
      <c r="G258" s="171" t="s">
        <v>2489</v>
      </c>
      <c r="H258" s="171" t="s">
        <v>2271</v>
      </c>
      <c r="I258" s="171" t="s">
        <v>2490</v>
      </c>
      <c r="J258" s="172" t="str">
        <f t="shared" si="13"/>
        <v>HITCHCOCK DESIGN INC - BLUE OPTIONS</v>
      </c>
      <c r="K258" s="172" t="str">
        <f t="shared" si="11"/>
        <v/>
      </c>
      <c r="L258" s="172" t="str">
        <f t="shared" si="12"/>
        <v>Medical Plan</v>
      </c>
      <c r="R258" s="270" t="s">
        <v>2582</v>
      </c>
      <c r="S258" s="270" t="s">
        <v>1761</v>
      </c>
    </row>
    <row r="259" spans="4:19" ht="30" customHeight="1" x14ac:dyDescent="0.25">
      <c r="D259" s="171" t="s">
        <v>2271</v>
      </c>
      <c r="E259" s="171" t="s">
        <v>1761</v>
      </c>
      <c r="F259" s="171" t="s">
        <v>2659</v>
      </c>
      <c r="G259" s="171" t="s">
        <v>2489</v>
      </c>
      <c r="H259" s="171" t="s">
        <v>2271</v>
      </c>
      <c r="I259" s="171" t="s">
        <v>2490</v>
      </c>
      <c r="J259" s="172" t="str">
        <f t="shared" si="13"/>
        <v>HITCHCOCK DESIGN INC - PPO</v>
      </c>
      <c r="K259" s="172" t="str">
        <f t="shared" ref="K259:K322" si="14">IFERROR(IF(VLOOKUP(E:E,N:O,2,0)="","",VLOOKUP(E:E,N:O,2,0)),"#N/A")</f>
        <v/>
      </c>
      <c r="L259" s="172" t="str">
        <f t="shared" ref="L259:L322" si="15">IFERROR(IF(VLOOKUP(E:E,N:P,3,0)="","#N/A",VLOOKUP(E:E,N:P,3,0)),"#N/A")</f>
        <v>Medical Plan</v>
      </c>
      <c r="R259" s="270" t="s">
        <v>2843</v>
      </c>
      <c r="S259" s="270" t="s">
        <v>1761</v>
      </c>
    </row>
    <row r="260" spans="4:19" ht="30" customHeight="1" x14ac:dyDescent="0.25">
      <c r="D260" s="171" t="s">
        <v>2271</v>
      </c>
      <c r="E260" s="171" t="s">
        <v>71</v>
      </c>
      <c r="G260" s="171" t="s">
        <v>2271</v>
      </c>
      <c r="H260" s="171" t="s">
        <v>2271</v>
      </c>
      <c r="I260" s="171" t="s">
        <v>2812</v>
      </c>
      <c r="J260" s="172" t="str">
        <f t="shared" ref="J260:J323" si="16">I260&amp;" - "&amp;E260</f>
        <v>HOEY &amp; FARINA PC - No Coverage</v>
      </c>
      <c r="K260" s="172" t="str">
        <f t="shared" si="14"/>
        <v/>
      </c>
      <c r="L260" s="172" t="str">
        <f t="shared" si="15"/>
        <v>Medical Plan</v>
      </c>
      <c r="R260" s="270" t="s">
        <v>2263</v>
      </c>
      <c r="S260" s="270" t="s">
        <v>1772</v>
      </c>
    </row>
    <row r="261" spans="4:19" ht="30" customHeight="1" x14ac:dyDescent="0.25">
      <c r="D261" s="171" t="s">
        <v>2271</v>
      </c>
      <c r="E261" s="171" t="s">
        <v>1764</v>
      </c>
      <c r="F261" s="171" t="s">
        <v>2662</v>
      </c>
      <c r="G261" s="171" t="s">
        <v>2271</v>
      </c>
      <c r="H261" s="171" t="s">
        <v>2271</v>
      </c>
      <c r="I261" s="171" t="s">
        <v>2812</v>
      </c>
      <c r="J261" s="172" t="str">
        <f t="shared" si="16"/>
        <v>HOEY &amp; FARINA PC - BLUE PRECISION</v>
      </c>
      <c r="K261" s="172" t="str">
        <f t="shared" si="14"/>
        <v>BAV</v>
      </c>
      <c r="L261" s="172" t="str">
        <f t="shared" si="15"/>
        <v>Medical Plan</v>
      </c>
      <c r="R261" s="270" t="s">
        <v>2263</v>
      </c>
      <c r="S261" s="270" t="s">
        <v>1775</v>
      </c>
    </row>
    <row r="262" spans="4:19" ht="30" customHeight="1" x14ac:dyDescent="0.25">
      <c r="D262" s="171" t="s">
        <v>2271</v>
      </c>
      <c r="E262" s="171" t="s">
        <v>1769</v>
      </c>
      <c r="F262" s="171" t="s">
        <v>2663</v>
      </c>
      <c r="G262" s="171" t="s">
        <v>2271</v>
      </c>
      <c r="H262" s="171" t="s">
        <v>2271</v>
      </c>
      <c r="I262" s="171" t="s">
        <v>2812</v>
      </c>
      <c r="J262" s="172" t="str">
        <f t="shared" si="16"/>
        <v>HOEY &amp; FARINA PC - DENTAL</v>
      </c>
      <c r="K262" s="172" t="str">
        <f t="shared" si="14"/>
        <v/>
      </c>
      <c r="L262" s="172" t="str">
        <f t="shared" si="15"/>
        <v>Dental Plan</v>
      </c>
      <c r="R262" s="270" t="s">
        <v>2263</v>
      </c>
      <c r="S262" s="270" t="s">
        <v>70</v>
      </c>
    </row>
    <row r="263" spans="4:19" ht="30" customHeight="1" x14ac:dyDescent="0.25">
      <c r="D263" s="171" t="s">
        <v>2271</v>
      </c>
      <c r="E263" s="171" t="s">
        <v>1761</v>
      </c>
      <c r="F263" s="171" t="s">
        <v>2664</v>
      </c>
      <c r="G263" s="171" t="s">
        <v>2271</v>
      </c>
      <c r="H263" s="171" t="s">
        <v>2271</v>
      </c>
      <c r="I263" s="171" t="s">
        <v>2812</v>
      </c>
      <c r="J263" s="172" t="str">
        <f t="shared" si="16"/>
        <v>HOEY &amp; FARINA PC - PPO</v>
      </c>
      <c r="K263" s="172" t="str">
        <f t="shared" si="14"/>
        <v/>
      </c>
      <c r="L263" s="172" t="str">
        <f t="shared" si="15"/>
        <v>Medical Plan</v>
      </c>
      <c r="R263" s="270" t="s">
        <v>2263</v>
      </c>
      <c r="S263" s="270" t="s">
        <v>1764</v>
      </c>
    </row>
    <row r="264" spans="4:19" ht="30" customHeight="1" x14ac:dyDescent="0.25">
      <c r="D264" s="171" t="s">
        <v>2271</v>
      </c>
      <c r="E264" s="171" t="s">
        <v>1761</v>
      </c>
      <c r="F264" s="171" t="s">
        <v>2665</v>
      </c>
      <c r="G264" s="171" t="s">
        <v>2271</v>
      </c>
      <c r="H264" s="171" t="s">
        <v>2271</v>
      </c>
      <c r="I264" s="171" t="s">
        <v>2812</v>
      </c>
      <c r="J264" s="172" t="str">
        <f t="shared" si="16"/>
        <v>HOEY &amp; FARINA PC - PPO</v>
      </c>
      <c r="K264" s="172" t="str">
        <f t="shared" si="14"/>
        <v/>
      </c>
      <c r="L264" s="172" t="str">
        <f t="shared" si="15"/>
        <v>Medical Plan</v>
      </c>
      <c r="R264" s="270" t="s">
        <v>2263</v>
      </c>
      <c r="S264" s="270" t="s">
        <v>67</v>
      </c>
    </row>
    <row r="265" spans="4:19" ht="30" customHeight="1" x14ac:dyDescent="0.25">
      <c r="D265" s="171" t="s">
        <v>2271</v>
      </c>
      <c r="E265" s="171" t="s">
        <v>67</v>
      </c>
      <c r="F265" s="171" t="s">
        <v>2334</v>
      </c>
      <c r="G265" s="171" t="s">
        <v>2271</v>
      </c>
      <c r="H265" s="171" t="s">
        <v>2271</v>
      </c>
      <c r="I265" s="171" t="s">
        <v>2813</v>
      </c>
      <c r="J265" s="172" t="str">
        <f t="shared" si="16"/>
        <v>HOUSING AUTHORITY FOR LASALLE COUNTY - BLUECP</v>
      </c>
      <c r="K265" s="172" t="str">
        <f t="shared" si="14"/>
        <v/>
      </c>
      <c r="L265" s="172" t="str">
        <f t="shared" si="15"/>
        <v>Medical Plan</v>
      </c>
      <c r="R265" s="270" t="s">
        <v>2263</v>
      </c>
      <c r="S265" s="270" t="s">
        <v>1761</v>
      </c>
    </row>
    <row r="266" spans="4:19" ht="30" customHeight="1" x14ac:dyDescent="0.25">
      <c r="D266" s="171" t="s">
        <v>2271</v>
      </c>
      <c r="E266" s="171" t="s">
        <v>67</v>
      </c>
      <c r="F266" s="171" t="s">
        <v>2666</v>
      </c>
      <c r="G266" s="171" t="s">
        <v>2271</v>
      </c>
      <c r="H266" s="171" t="s">
        <v>2271</v>
      </c>
      <c r="I266" s="171" t="s">
        <v>2814</v>
      </c>
      <c r="J266" s="172" t="str">
        <f t="shared" si="16"/>
        <v>HOUSING AUTHORITY OF HENRY COUNTY - BLUECP</v>
      </c>
      <c r="K266" s="172" t="str">
        <f t="shared" si="14"/>
        <v/>
      </c>
      <c r="L266" s="172" t="str">
        <f t="shared" si="15"/>
        <v>Medical Plan</v>
      </c>
      <c r="R266" s="270" t="s">
        <v>2524</v>
      </c>
      <c r="S266" s="270" t="s">
        <v>1764</v>
      </c>
    </row>
    <row r="267" spans="4:19" ht="30" customHeight="1" x14ac:dyDescent="0.25">
      <c r="D267" s="171" t="s">
        <v>2271</v>
      </c>
      <c r="E267" s="171" t="s">
        <v>67</v>
      </c>
      <c r="F267" s="171" t="s">
        <v>2333</v>
      </c>
      <c r="G267" s="171" t="s">
        <v>2541</v>
      </c>
      <c r="H267" s="171" t="s">
        <v>2271</v>
      </c>
      <c r="I267" s="171" t="s">
        <v>2542</v>
      </c>
      <c r="J267" s="172" t="str">
        <f t="shared" si="16"/>
        <v>HUSTON AND MAY, LLC - BLUECP</v>
      </c>
      <c r="K267" s="172" t="str">
        <f t="shared" si="14"/>
        <v/>
      </c>
      <c r="L267" s="172" t="str">
        <f t="shared" si="15"/>
        <v>Medical Plan</v>
      </c>
      <c r="R267" s="270" t="s">
        <v>2524</v>
      </c>
      <c r="S267" s="270" t="s">
        <v>1761</v>
      </c>
    </row>
    <row r="268" spans="4:19" ht="30" customHeight="1" x14ac:dyDescent="0.25">
      <c r="D268" s="171" t="s">
        <v>2271</v>
      </c>
      <c r="E268" s="171" t="s">
        <v>1761</v>
      </c>
      <c r="F268" s="171" t="s">
        <v>2418</v>
      </c>
      <c r="G268" s="171" t="s">
        <v>2541</v>
      </c>
      <c r="H268" s="171" t="s">
        <v>2271</v>
      </c>
      <c r="I268" s="171" t="s">
        <v>2542</v>
      </c>
      <c r="J268" s="172" t="str">
        <f t="shared" si="16"/>
        <v>HUSTON AND MAY, LLC - PPO</v>
      </c>
      <c r="K268" s="172" t="str">
        <f t="shared" si="14"/>
        <v/>
      </c>
      <c r="L268" s="172" t="str">
        <f t="shared" si="15"/>
        <v>Medical Plan</v>
      </c>
      <c r="R268" s="270" t="s">
        <v>2554</v>
      </c>
      <c r="S268" s="270" t="s">
        <v>71</v>
      </c>
    </row>
    <row r="269" spans="4:19" ht="30" customHeight="1" x14ac:dyDescent="0.25">
      <c r="D269" s="171" t="s">
        <v>2271</v>
      </c>
      <c r="E269" s="171" t="s">
        <v>1772</v>
      </c>
      <c r="F269" s="171" t="s">
        <v>2667</v>
      </c>
      <c r="G269" s="171" t="s">
        <v>2271</v>
      </c>
      <c r="H269" s="171" t="s">
        <v>2271</v>
      </c>
      <c r="I269" s="171" t="s">
        <v>2815</v>
      </c>
      <c r="J269" s="172" t="str">
        <f t="shared" si="16"/>
        <v>HYDZIK-SCHADE ASSOCIATES, LTD - BLUE ADV HMO</v>
      </c>
      <c r="K269" s="172" t="str">
        <f t="shared" si="14"/>
        <v>ADV</v>
      </c>
      <c r="L269" s="172" t="str">
        <f t="shared" si="15"/>
        <v>Medical Plan</v>
      </c>
      <c r="R269" s="270" t="s">
        <v>2554</v>
      </c>
      <c r="S269" s="270" t="s">
        <v>1761</v>
      </c>
    </row>
    <row r="270" spans="4:19" ht="30" customHeight="1" x14ac:dyDescent="0.25">
      <c r="D270" s="171" t="s">
        <v>2271</v>
      </c>
      <c r="E270" s="171" t="s">
        <v>1761</v>
      </c>
      <c r="F270" s="171" t="s">
        <v>2669</v>
      </c>
      <c r="G270" s="171" t="s">
        <v>2271</v>
      </c>
      <c r="H270" s="171" t="s">
        <v>2271</v>
      </c>
      <c r="I270" s="171" t="s">
        <v>2815</v>
      </c>
      <c r="J270" s="172" t="str">
        <f t="shared" si="16"/>
        <v>HYDZIK-SCHADE ASSOCIATES, LTD - PPO</v>
      </c>
      <c r="K270" s="172" t="str">
        <f t="shared" si="14"/>
        <v/>
      </c>
      <c r="L270" s="172" t="str">
        <f t="shared" si="15"/>
        <v>Medical Plan</v>
      </c>
      <c r="R270" s="270" t="s">
        <v>2496</v>
      </c>
      <c r="S270" s="270" t="s">
        <v>70</v>
      </c>
    </row>
    <row r="271" spans="4:19" ht="30" customHeight="1" x14ac:dyDescent="0.25">
      <c r="D271" s="171" t="s">
        <v>2271</v>
      </c>
      <c r="E271" s="171" t="s">
        <v>1761</v>
      </c>
      <c r="F271" s="171" t="s">
        <v>2668</v>
      </c>
      <c r="G271" s="171" t="s">
        <v>2271</v>
      </c>
      <c r="H271" s="171" t="s">
        <v>2271</v>
      </c>
      <c r="I271" s="171" t="s">
        <v>2815</v>
      </c>
      <c r="J271" s="172" t="str">
        <f t="shared" si="16"/>
        <v>HYDZIK-SCHADE ASSOCIATES, LTD - PPO</v>
      </c>
      <c r="K271" s="172" t="str">
        <f t="shared" si="14"/>
        <v/>
      </c>
      <c r="L271" s="172" t="str">
        <f t="shared" si="15"/>
        <v>Medical Plan</v>
      </c>
      <c r="R271" s="270" t="s">
        <v>2496</v>
      </c>
      <c r="S271" s="270" t="s">
        <v>1764</v>
      </c>
    </row>
    <row r="272" spans="4:19" ht="30" customHeight="1" x14ac:dyDescent="0.25">
      <c r="D272" s="171" t="s">
        <v>2271</v>
      </c>
      <c r="E272" s="171" t="s">
        <v>71</v>
      </c>
      <c r="G272" s="171" t="s">
        <v>2549</v>
      </c>
      <c r="H272" s="171" t="s">
        <v>2271</v>
      </c>
      <c r="I272" s="171" t="s">
        <v>2550</v>
      </c>
      <c r="J272" s="172" t="str">
        <f t="shared" si="16"/>
        <v>ICE ADVISORS - No Coverage</v>
      </c>
      <c r="K272" s="172" t="str">
        <f t="shared" si="14"/>
        <v/>
      </c>
      <c r="L272" s="172" t="str">
        <f t="shared" si="15"/>
        <v>Medical Plan</v>
      </c>
      <c r="R272" s="270" t="s">
        <v>2496</v>
      </c>
      <c r="S272" s="270" t="s">
        <v>67</v>
      </c>
    </row>
    <row r="273" spans="4:19" ht="30" customHeight="1" x14ac:dyDescent="0.25">
      <c r="D273" s="171" t="s">
        <v>2271</v>
      </c>
      <c r="E273" s="171" t="s">
        <v>1769</v>
      </c>
      <c r="F273" s="171" t="s">
        <v>2357</v>
      </c>
      <c r="G273" s="171" t="s">
        <v>2549</v>
      </c>
      <c r="H273" s="171" t="s">
        <v>2271</v>
      </c>
      <c r="I273" s="171" t="s">
        <v>2550</v>
      </c>
      <c r="J273" s="172" t="str">
        <f t="shared" si="16"/>
        <v>ICE ADVISORS - DENTAL</v>
      </c>
      <c r="K273" s="172" t="str">
        <f t="shared" si="14"/>
        <v/>
      </c>
      <c r="L273" s="172" t="str">
        <f t="shared" si="15"/>
        <v>Dental Plan</v>
      </c>
      <c r="R273" s="270" t="s">
        <v>2496</v>
      </c>
      <c r="S273" s="270" t="s">
        <v>1761</v>
      </c>
    </row>
    <row r="274" spans="4:19" ht="30" customHeight="1" x14ac:dyDescent="0.25">
      <c r="D274" s="171" t="s">
        <v>2271</v>
      </c>
      <c r="E274" s="171" t="s">
        <v>1761</v>
      </c>
      <c r="F274" s="171" t="s">
        <v>2419</v>
      </c>
      <c r="G274" s="171" t="s">
        <v>2549</v>
      </c>
      <c r="H274" s="171" t="s">
        <v>2271</v>
      </c>
      <c r="I274" s="171" t="s">
        <v>2550</v>
      </c>
      <c r="J274" s="172" t="str">
        <f t="shared" si="16"/>
        <v>ICE ADVISORS - PPO</v>
      </c>
      <c r="K274" s="172" t="str">
        <f t="shared" si="14"/>
        <v/>
      </c>
      <c r="L274" s="172" t="str">
        <f t="shared" si="15"/>
        <v>Medical Plan</v>
      </c>
      <c r="R274" s="270" t="s">
        <v>2556</v>
      </c>
      <c r="S274" s="270" t="s">
        <v>71</v>
      </c>
    </row>
    <row r="275" spans="4:19" ht="30" customHeight="1" x14ac:dyDescent="0.25">
      <c r="D275" s="171" t="s">
        <v>2271</v>
      </c>
      <c r="E275" s="171" t="s">
        <v>1772</v>
      </c>
      <c r="F275" s="171" t="s">
        <v>2670</v>
      </c>
      <c r="G275" s="171" t="s">
        <v>2271</v>
      </c>
      <c r="H275" s="171" t="s">
        <v>2271</v>
      </c>
      <c r="I275" s="171" t="s">
        <v>2816</v>
      </c>
      <c r="J275" s="172" t="str">
        <f t="shared" si="16"/>
        <v>ILLINOIS MUNICIPAL RETIREMENT FUND - BLUE ADV HMO</v>
      </c>
      <c r="K275" s="172" t="str">
        <f t="shared" si="14"/>
        <v>ADV</v>
      </c>
      <c r="L275" s="172" t="str">
        <f t="shared" si="15"/>
        <v>Medical Plan</v>
      </c>
      <c r="R275" s="270" t="s">
        <v>2556</v>
      </c>
      <c r="S275" s="270" t="s">
        <v>1761</v>
      </c>
    </row>
    <row r="276" spans="4:19" ht="30" customHeight="1" x14ac:dyDescent="0.25">
      <c r="D276" s="171" t="s">
        <v>2271</v>
      </c>
      <c r="E276" s="171" t="s">
        <v>2109</v>
      </c>
      <c r="F276" s="171" t="s">
        <v>2671</v>
      </c>
      <c r="G276" s="171" t="s">
        <v>2271</v>
      </c>
      <c r="H276" s="171" t="s">
        <v>2271</v>
      </c>
      <c r="I276" s="171" t="s">
        <v>2816</v>
      </c>
      <c r="J276" s="172" t="str">
        <f t="shared" si="16"/>
        <v>ILLINOIS MUNICIPAL RETIREMENT FUND - HMO</v>
      </c>
      <c r="K276" s="172" t="str">
        <f t="shared" si="14"/>
        <v>HMO</v>
      </c>
      <c r="L276" s="172" t="str">
        <f t="shared" si="15"/>
        <v>Medical Plan</v>
      </c>
      <c r="R276" s="270" t="s">
        <v>2526</v>
      </c>
      <c r="S276" s="270" t="s">
        <v>1764</v>
      </c>
    </row>
    <row r="277" spans="4:19" ht="30" customHeight="1" x14ac:dyDescent="0.25">
      <c r="D277" s="171" t="s">
        <v>2271</v>
      </c>
      <c r="E277" s="171" t="s">
        <v>1761</v>
      </c>
      <c r="F277" s="171" t="s">
        <v>2672</v>
      </c>
      <c r="G277" s="171" t="s">
        <v>2271</v>
      </c>
      <c r="H277" s="171" t="s">
        <v>2271</v>
      </c>
      <c r="I277" s="171" t="s">
        <v>2816</v>
      </c>
      <c r="J277" s="172" t="str">
        <f t="shared" si="16"/>
        <v>ILLINOIS MUNICIPAL RETIREMENT FUND - PPO</v>
      </c>
      <c r="K277" s="172" t="str">
        <f t="shared" si="14"/>
        <v/>
      </c>
      <c r="L277" s="172" t="str">
        <f t="shared" si="15"/>
        <v>Medical Plan</v>
      </c>
      <c r="R277" s="270" t="s">
        <v>2526</v>
      </c>
      <c r="S277" s="270" t="s">
        <v>67</v>
      </c>
    </row>
    <row r="278" spans="4:19" ht="30" customHeight="1" x14ac:dyDescent="0.25">
      <c r="D278" s="171" t="s">
        <v>2271</v>
      </c>
      <c r="E278" s="171" t="s">
        <v>1761</v>
      </c>
      <c r="F278" s="171" t="s">
        <v>2674</v>
      </c>
      <c r="G278" s="171" t="s">
        <v>2271</v>
      </c>
      <c r="H278" s="171" t="s">
        <v>2271</v>
      </c>
      <c r="I278" s="171" t="s">
        <v>2816</v>
      </c>
      <c r="J278" s="172" t="str">
        <f t="shared" si="16"/>
        <v>ILLINOIS MUNICIPAL RETIREMENT FUND - PPO</v>
      </c>
      <c r="K278" s="172" t="str">
        <f t="shared" si="14"/>
        <v/>
      </c>
      <c r="L278" s="172" t="str">
        <f t="shared" si="15"/>
        <v>Medical Plan</v>
      </c>
      <c r="R278" s="270" t="s">
        <v>2526</v>
      </c>
      <c r="S278" s="270" t="s">
        <v>1761</v>
      </c>
    </row>
    <row r="279" spans="4:19" ht="30" customHeight="1" x14ac:dyDescent="0.25">
      <c r="D279" s="171" t="s">
        <v>2271</v>
      </c>
      <c r="E279" s="171" t="s">
        <v>1761</v>
      </c>
      <c r="F279" s="171" t="s">
        <v>2673</v>
      </c>
      <c r="G279" s="171" t="s">
        <v>2271</v>
      </c>
      <c r="H279" s="171" t="s">
        <v>2271</v>
      </c>
      <c r="I279" s="171" t="s">
        <v>2816</v>
      </c>
      <c r="J279" s="172" t="str">
        <f t="shared" si="16"/>
        <v>ILLINOIS MUNICIPAL RETIREMENT FUND - PPO</v>
      </c>
      <c r="K279" s="172" t="str">
        <f t="shared" si="14"/>
        <v/>
      </c>
      <c r="L279" s="172" t="str">
        <f t="shared" si="15"/>
        <v>Medical Plan</v>
      </c>
      <c r="R279" s="270" t="s">
        <v>2528</v>
      </c>
      <c r="S279" s="270" t="s">
        <v>1764</v>
      </c>
    </row>
    <row r="280" spans="4:19" ht="30" customHeight="1" x14ac:dyDescent="0.25">
      <c r="D280" s="171" t="s">
        <v>2271</v>
      </c>
      <c r="E280" s="171" t="s">
        <v>1761</v>
      </c>
      <c r="F280" s="171" t="s">
        <v>2675</v>
      </c>
      <c r="G280" s="171" t="s">
        <v>2271</v>
      </c>
      <c r="H280" s="171" t="s">
        <v>2271</v>
      </c>
      <c r="I280" s="171" t="s">
        <v>2817</v>
      </c>
      <c r="J280" s="172" t="str">
        <f t="shared" si="16"/>
        <v>ILLINOIS RURAL WATER ASSOCIATION - PPO</v>
      </c>
      <c r="K280" s="172" t="str">
        <f t="shared" si="14"/>
        <v/>
      </c>
      <c r="L280" s="172" t="str">
        <f t="shared" si="15"/>
        <v>Medical Plan</v>
      </c>
      <c r="R280" s="270" t="s">
        <v>2528</v>
      </c>
      <c r="S280" s="270" t="s">
        <v>67</v>
      </c>
    </row>
    <row r="281" spans="4:19" ht="30" customHeight="1" x14ac:dyDescent="0.25">
      <c r="D281" s="171" t="s">
        <v>2271</v>
      </c>
      <c r="E281" s="171" t="s">
        <v>71</v>
      </c>
      <c r="G281" s="171" t="s">
        <v>2271</v>
      </c>
      <c r="H281" s="171" t="s">
        <v>2271</v>
      </c>
      <c r="I281" s="171" t="s">
        <v>2818</v>
      </c>
      <c r="J281" s="172" t="str">
        <f t="shared" si="16"/>
        <v>INTERFACTS INCORPORATED - No Coverage</v>
      </c>
      <c r="K281" s="172" t="str">
        <f t="shared" si="14"/>
        <v/>
      </c>
      <c r="L281" s="172" t="str">
        <f t="shared" si="15"/>
        <v>Medical Plan</v>
      </c>
      <c r="R281" s="270" t="s">
        <v>2528</v>
      </c>
      <c r="S281" s="270" t="s">
        <v>1761</v>
      </c>
    </row>
    <row r="282" spans="4:19" ht="30" customHeight="1" x14ac:dyDescent="0.25">
      <c r="D282" s="171" t="s">
        <v>2271</v>
      </c>
      <c r="E282" s="171" t="s">
        <v>1772</v>
      </c>
      <c r="F282" s="171" t="s">
        <v>2676</v>
      </c>
      <c r="G282" s="171" t="s">
        <v>2271</v>
      </c>
      <c r="H282" s="171" t="s">
        <v>2271</v>
      </c>
      <c r="I282" s="171" t="s">
        <v>2818</v>
      </c>
      <c r="J282" s="172" t="str">
        <f t="shared" si="16"/>
        <v>INTERFACTS INCORPORATED - BLUE ADV HMO</v>
      </c>
      <c r="K282" s="172" t="str">
        <f t="shared" si="14"/>
        <v>ADV</v>
      </c>
      <c r="L282" s="172" t="str">
        <f t="shared" si="15"/>
        <v>Medical Plan</v>
      </c>
      <c r="R282" s="270" t="s">
        <v>2844</v>
      </c>
      <c r="S282" s="270" t="s">
        <v>1764</v>
      </c>
    </row>
    <row r="283" spans="4:19" ht="30" customHeight="1" x14ac:dyDescent="0.25">
      <c r="D283" s="171" t="s">
        <v>2271</v>
      </c>
      <c r="E283" s="171" t="s">
        <v>1769</v>
      </c>
      <c r="F283" s="171" t="s">
        <v>2677</v>
      </c>
      <c r="G283" s="171" t="s">
        <v>2271</v>
      </c>
      <c r="H283" s="171" t="s">
        <v>2271</v>
      </c>
      <c r="I283" s="171" t="s">
        <v>2818</v>
      </c>
      <c r="J283" s="172" t="str">
        <f t="shared" si="16"/>
        <v>INTERFACTS INCORPORATED - DENTAL</v>
      </c>
      <c r="K283" s="172" t="str">
        <f t="shared" si="14"/>
        <v/>
      </c>
      <c r="L283" s="172" t="str">
        <f t="shared" si="15"/>
        <v>Dental Plan</v>
      </c>
      <c r="R283" s="270" t="s">
        <v>2844</v>
      </c>
      <c r="S283" s="270" t="s">
        <v>2657</v>
      </c>
    </row>
    <row r="284" spans="4:19" ht="30" customHeight="1" x14ac:dyDescent="0.25">
      <c r="D284" s="171" t="s">
        <v>2271</v>
      </c>
      <c r="E284" s="171" t="s">
        <v>71</v>
      </c>
      <c r="G284" s="171" t="s">
        <v>2271</v>
      </c>
      <c r="H284" s="171" t="s">
        <v>2271</v>
      </c>
      <c r="I284" s="171" t="s">
        <v>2819</v>
      </c>
      <c r="J284" s="172" t="str">
        <f t="shared" si="16"/>
        <v>INTERNATIONAL ASSN OF LIGHTING DESIGNERS - No Coverage</v>
      </c>
      <c r="K284" s="172" t="str">
        <f t="shared" si="14"/>
        <v/>
      </c>
      <c r="L284" s="172" t="str">
        <f t="shared" si="15"/>
        <v>Medical Plan</v>
      </c>
      <c r="R284" s="270" t="s">
        <v>2844</v>
      </c>
      <c r="S284" s="270" t="s">
        <v>67</v>
      </c>
    </row>
    <row r="285" spans="4:19" ht="30" customHeight="1" x14ac:dyDescent="0.25">
      <c r="D285" s="171" t="s">
        <v>2271</v>
      </c>
      <c r="E285" s="171" t="s">
        <v>70</v>
      </c>
      <c r="F285" s="171" t="s">
        <v>1790</v>
      </c>
      <c r="G285" s="171" t="s">
        <v>2271</v>
      </c>
      <c r="H285" s="171" t="s">
        <v>2271</v>
      </c>
      <c r="I285" s="171" t="s">
        <v>2819</v>
      </c>
      <c r="J285" s="172" t="str">
        <f t="shared" si="16"/>
        <v>INTERNATIONAL ASSN OF LIGHTING DESIGNERS - BLUE OPTIONS</v>
      </c>
      <c r="K285" s="172" t="str">
        <f t="shared" si="14"/>
        <v/>
      </c>
      <c r="L285" s="172" t="str">
        <f t="shared" si="15"/>
        <v>Medical Plan</v>
      </c>
      <c r="R285" s="270" t="s">
        <v>2844</v>
      </c>
      <c r="S285" s="270" t="s">
        <v>1761</v>
      </c>
    </row>
    <row r="286" spans="4:19" ht="30" customHeight="1" x14ac:dyDescent="0.25">
      <c r="D286" s="171" t="s">
        <v>2271</v>
      </c>
      <c r="E286" s="171" t="s">
        <v>1769</v>
      </c>
      <c r="F286" s="171" t="s">
        <v>2678</v>
      </c>
      <c r="G286" s="171" t="s">
        <v>2271</v>
      </c>
      <c r="H286" s="171" t="s">
        <v>2271</v>
      </c>
      <c r="I286" s="171" t="s">
        <v>2819</v>
      </c>
      <c r="J286" s="172" t="str">
        <f t="shared" si="16"/>
        <v>INTERNATIONAL ASSN OF LIGHTING DESIGNERS - DENTAL</v>
      </c>
      <c r="K286" s="172" t="str">
        <f t="shared" si="14"/>
        <v/>
      </c>
      <c r="L286" s="172" t="str">
        <f t="shared" si="15"/>
        <v>Dental Plan</v>
      </c>
      <c r="R286" s="270" t="s">
        <v>2265</v>
      </c>
      <c r="S286" s="270" t="s">
        <v>71</v>
      </c>
    </row>
    <row r="287" spans="4:19" ht="30" customHeight="1" x14ac:dyDescent="0.25">
      <c r="D287" s="171" t="s">
        <v>2271</v>
      </c>
      <c r="E287" s="171" t="s">
        <v>71</v>
      </c>
      <c r="G287" s="171" t="s">
        <v>2271</v>
      </c>
      <c r="H287" s="171" t="s">
        <v>2271</v>
      </c>
      <c r="I287" s="171" t="s">
        <v>2820</v>
      </c>
      <c r="J287" s="172" t="str">
        <f t="shared" si="16"/>
        <v>INTERNATIONAL CARWASH ASSOCIATION, INC. - No Coverage</v>
      </c>
      <c r="K287" s="172" t="str">
        <f t="shared" si="14"/>
        <v/>
      </c>
      <c r="L287" s="172" t="str">
        <f t="shared" si="15"/>
        <v>Medical Plan</v>
      </c>
      <c r="R287" s="270" t="s">
        <v>2265</v>
      </c>
      <c r="S287" s="270" t="s">
        <v>1772</v>
      </c>
    </row>
    <row r="288" spans="4:19" ht="30" customHeight="1" x14ac:dyDescent="0.25">
      <c r="D288" s="171" t="s">
        <v>2271</v>
      </c>
      <c r="E288" s="171" t="s">
        <v>70</v>
      </c>
      <c r="F288" s="171" t="s">
        <v>2679</v>
      </c>
      <c r="G288" s="171" t="s">
        <v>2271</v>
      </c>
      <c r="H288" s="171" t="s">
        <v>2271</v>
      </c>
      <c r="I288" s="171" t="s">
        <v>2820</v>
      </c>
      <c r="J288" s="172" t="str">
        <f t="shared" si="16"/>
        <v>INTERNATIONAL CARWASH ASSOCIATION, INC. - BLUE OPTIONS</v>
      </c>
      <c r="K288" s="172" t="str">
        <f t="shared" si="14"/>
        <v/>
      </c>
      <c r="L288" s="172" t="str">
        <f t="shared" si="15"/>
        <v>Medical Plan</v>
      </c>
      <c r="R288" s="270" t="s">
        <v>2265</v>
      </c>
      <c r="S288" s="270" t="s">
        <v>1761</v>
      </c>
    </row>
    <row r="289" spans="4:19" ht="30" customHeight="1" x14ac:dyDescent="0.25">
      <c r="D289" s="171" t="s">
        <v>2271</v>
      </c>
      <c r="E289" s="171" t="s">
        <v>1769</v>
      </c>
      <c r="F289" s="171" t="s">
        <v>2680</v>
      </c>
      <c r="G289" s="171" t="s">
        <v>2271</v>
      </c>
      <c r="H289" s="171" t="s">
        <v>2271</v>
      </c>
      <c r="I289" s="171" t="s">
        <v>2820</v>
      </c>
      <c r="J289" s="172" t="str">
        <f t="shared" si="16"/>
        <v>INTERNATIONAL CARWASH ASSOCIATION, INC. - DENTAL</v>
      </c>
      <c r="K289" s="172" t="str">
        <f t="shared" si="14"/>
        <v/>
      </c>
      <c r="L289" s="172" t="str">
        <f t="shared" si="15"/>
        <v>Dental Plan</v>
      </c>
      <c r="R289" s="270" t="s">
        <v>2845</v>
      </c>
      <c r="S289" s="270" t="s">
        <v>67</v>
      </c>
    </row>
    <row r="290" spans="4:19" ht="30" customHeight="1" x14ac:dyDescent="0.25">
      <c r="D290" s="171" t="s">
        <v>2271</v>
      </c>
      <c r="E290" s="171" t="s">
        <v>1761</v>
      </c>
      <c r="F290" s="171" t="s">
        <v>2682</v>
      </c>
      <c r="G290" s="171" t="s">
        <v>2271</v>
      </c>
      <c r="H290" s="171" t="s">
        <v>2271</v>
      </c>
      <c r="I290" s="171" t="s">
        <v>2820</v>
      </c>
      <c r="J290" s="172" t="str">
        <f t="shared" si="16"/>
        <v>INTERNATIONAL CARWASH ASSOCIATION, INC. - PPO</v>
      </c>
      <c r="K290" s="172" t="str">
        <f t="shared" si="14"/>
        <v/>
      </c>
      <c r="L290" s="172" t="str">
        <f t="shared" si="15"/>
        <v>Medical Plan</v>
      </c>
      <c r="R290" s="270" t="s">
        <v>2846</v>
      </c>
      <c r="S290" s="270" t="s">
        <v>1761</v>
      </c>
    </row>
    <row r="291" spans="4:19" ht="30" customHeight="1" x14ac:dyDescent="0.25">
      <c r="D291" s="171" t="s">
        <v>2271</v>
      </c>
      <c r="E291" s="171" t="s">
        <v>1761</v>
      </c>
      <c r="F291" s="171" t="s">
        <v>2681</v>
      </c>
      <c r="G291" s="171" t="s">
        <v>2271</v>
      </c>
      <c r="H291" s="171" t="s">
        <v>2271</v>
      </c>
      <c r="I291" s="171" t="s">
        <v>2820</v>
      </c>
      <c r="J291" s="172" t="str">
        <f t="shared" si="16"/>
        <v>INTERNATIONAL CARWASH ASSOCIATION, INC. - PPO</v>
      </c>
      <c r="K291" s="172" t="str">
        <f t="shared" si="14"/>
        <v/>
      </c>
      <c r="L291" s="172" t="str">
        <f t="shared" si="15"/>
        <v>Medical Plan</v>
      </c>
      <c r="R291" s="270" t="s">
        <v>2847</v>
      </c>
      <c r="S291" s="270" t="s">
        <v>67</v>
      </c>
    </row>
    <row r="292" spans="4:19" ht="30" customHeight="1" x14ac:dyDescent="0.25">
      <c r="D292" s="171" t="s">
        <v>2271</v>
      </c>
      <c r="E292" s="171" t="s">
        <v>1761</v>
      </c>
      <c r="F292" s="171" t="s">
        <v>2420</v>
      </c>
      <c r="G292" s="171" t="s">
        <v>2579</v>
      </c>
      <c r="H292" s="171" t="s">
        <v>2271</v>
      </c>
      <c r="I292" s="171" t="s">
        <v>2580</v>
      </c>
      <c r="J292" s="172" t="str">
        <f t="shared" si="16"/>
        <v>KANKAKEE COUNTY HOUSING AUTHORITY - PPO</v>
      </c>
      <c r="K292" s="172" t="str">
        <f t="shared" si="14"/>
        <v/>
      </c>
      <c r="L292" s="172" t="str">
        <f t="shared" si="15"/>
        <v>Medical Plan</v>
      </c>
      <c r="R292" s="270" t="s">
        <v>2847</v>
      </c>
      <c r="S292" s="270" t="s">
        <v>1761</v>
      </c>
    </row>
    <row r="293" spans="4:19" ht="30" customHeight="1" x14ac:dyDescent="0.25">
      <c r="D293" s="171" t="s">
        <v>2271</v>
      </c>
      <c r="E293" s="171" t="s">
        <v>71</v>
      </c>
      <c r="G293" s="171" t="s">
        <v>2132</v>
      </c>
      <c r="H293" s="171" t="s">
        <v>2132</v>
      </c>
      <c r="I293" s="171" t="s">
        <v>2133</v>
      </c>
      <c r="J293" s="172" t="str">
        <f t="shared" si="16"/>
        <v>KANKAKEE SPIKEBALL INC - No Coverage</v>
      </c>
      <c r="K293" s="172" t="str">
        <f t="shared" si="14"/>
        <v/>
      </c>
      <c r="L293" s="172" t="str">
        <f t="shared" si="15"/>
        <v>Medical Plan</v>
      </c>
      <c r="R293" s="270" t="s">
        <v>2530</v>
      </c>
      <c r="S293" s="270" t="s">
        <v>71</v>
      </c>
    </row>
    <row r="294" spans="4:19" ht="30" customHeight="1" x14ac:dyDescent="0.25">
      <c r="D294" s="171" t="s">
        <v>2129</v>
      </c>
      <c r="E294" s="171" t="s">
        <v>70</v>
      </c>
      <c r="F294" s="171" t="s">
        <v>2130</v>
      </c>
      <c r="G294" s="171" t="s">
        <v>2132</v>
      </c>
      <c r="H294" s="171" t="s">
        <v>2132</v>
      </c>
      <c r="I294" s="171" t="s">
        <v>2133</v>
      </c>
      <c r="J294" s="172" t="str">
        <f t="shared" si="16"/>
        <v>KANKAKEE SPIKEBALL INC - BLUE OPTIONS</v>
      </c>
      <c r="K294" s="172" t="str">
        <f t="shared" si="14"/>
        <v/>
      </c>
      <c r="L294" s="172" t="str">
        <f t="shared" si="15"/>
        <v>Medical Plan</v>
      </c>
      <c r="R294" s="270" t="s">
        <v>2530</v>
      </c>
      <c r="S294" s="270" t="s">
        <v>1764</v>
      </c>
    </row>
    <row r="295" spans="4:19" ht="30" customHeight="1" x14ac:dyDescent="0.25">
      <c r="D295" s="171" t="s">
        <v>2123</v>
      </c>
      <c r="E295" s="171" t="s">
        <v>70</v>
      </c>
      <c r="F295" s="171" t="s">
        <v>2124</v>
      </c>
      <c r="G295" s="171" t="s">
        <v>2132</v>
      </c>
      <c r="H295" s="171" t="s">
        <v>2132</v>
      </c>
      <c r="I295" s="171" t="s">
        <v>2133</v>
      </c>
      <c r="J295" s="172" t="str">
        <f t="shared" si="16"/>
        <v>KANKAKEE SPIKEBALL INC - BLUE OPTIONS</v>
      </c>
      <c r="K295" s="172" t="str">
        <f t="shared" si="14"/>
        <v/>
      </c>
      <c r="L295" s="172" t="str">
        <f t="shared" si="15"/>
        <v>Medical Plan</v>
      </c>
      <c r="R295" s="270" t="s">
        <v>2530</v>
      </c>
      <c r="S295" s="270" t="s">
        <v>1761</v>
      </c>
    </row>
    <row r="296" spans="4:19" ht="30" customHeight="1" x14ac:dyDescent="0.25">
      <c r="D296" s="171" t="s">
        <v>2121</v>
      </c>
      <c r="E296" s="171" t="s">
        <v>70</v>
      </c>
      <c r="F296" s="171" t="s">
        <v>2122</v>
      </c>
      <c r="G296" s="171" t="s">
        <v>2132</v>
      </c>
      <c r="H296" s="171" t="s">
        <v>2132</v>
      </c>
      <c r="I296" s="171" t="s">
        <v>2133</v>
      </c>
      <c r="J296" s="172" t="str">
        <f t="shared" si="16"/>
        <v>KANKAKEE SPIKEBALL INC - BLUE OPTIONS</v>
      </c>
      <c r="K296" s="172" t="str">
        <f t="shared" si="14"/>
        <v/>
      </c>
      <c r="L296" s="172" t="str">
        <f t="shared" si="15"/>
        <v>Medical Plan</v>
      </c>
      <c r="R296" s="270" t="s">
        <v>1321</v>
      </c>
      <c r="S296" s="270" t="s">
        <v>1761</v>
      </c>
    </row>
    <row r="297" spans="4:19" ht="30" customHeight="1" x14ac:dyDescent="0.25">
      <c r="D297" s="171" t="s">
        <v>2127</v>
      </c>
      <c r="E297" s="171" t="s">
        <v>1764</v>
      </c>
      <c r="F297" s="171" t="s">
        <v>2128</v>
      </c>
      <c r="G297" s="171" t="s">
        <v>2132</v>
      </c>
      <c r="H297" s="171" t="s">
        <v>2132</v>
      </c>
      <c r="I297" s="171" t="s">
        <v>2133</v>
      </c>
      <c r="J297" s="172" t="str">
        <f t="shared" si="16"/>
        <v>KANKAKEE SPIKEBALL INC - BLUE PRECISION</v>
      </c>
      <c r="K297" s="172" t="str">
        <f t="shared" si="14"/>
        <v>BAV</v>
      </c>
      <c r="L297" s="172" t="str">
        <f t="shared" si="15"/>
        <v>Medical Plan</v>
      </c>
      <c r="R297" s="270" t="s">
        <v>2498</v>
      </c>
      <c r="S297" s="270" t="s">
        <v>70</v>
      </c>
    </row>
    <row r="298" spans="4:19" ht="30" customHeight="1" x14ac:dyDescent="0.25">
      <c r="D298" s="171" t="s">
        <v>2119</v>
      </c>
      <c r="E298" s="171" t="s">
        <v>1769</v>
      </c>
      <c r="F298" s="171" t="s">
        <v>2120</v>
      </c>
      <c r="G298" s="171" t="s">
        <v>2132</v>
      </c>
      <c r="H298" s="171" t="s">
        <v>2132</v>
      </c>
      <c r="I298" s="171" t="s">
        <v>2133</v>
      </c>
      <c r="J298" s="172" t="str">
        <f t="shared" si="16"/>
        <v>KANKAKEE SPIKEBALL INC - DENTAL</v>
      </c>
      <c r="K298" s="172" t="str">
        <f t="shared" si="14"/>
        <v/>
      </c>
      <c r="L298" s="172" t="str">
        <f t="shared" si="15"/>
        <v>Dental Plan</v>
      </c>
      <c r="R298" s="270" t="s">
        <v>2498</v>
      </c>
      <c r="S298" s="270" t="s">
        <v>1764</v>
      </c>
    </row>
    <row r="299" spans="4:19" ht="30" customHeight="1" x14ac:dyDescent="0.25">
      <c r="D299" s="171" t="s">
        <v>2125</v>
      </c>
      <c r="E299" s="171" t="s">
        <v>1761</v>
      </c>
      <c r="F299" s="171" t="s">
        <v>2126</v>
      </c>
      <c r="G299" s="171" t="s">
        <v>2132</v>
      </c>
      <c r="H299" s="171" t="s">
        <v>2132</v>
      </c>
      <c r="I299" s="171" t="s">
        <v>2133</v>
      </c>
      <c r="J299" s="172" t="str">
        <f t="shared" si="16"/>
        <v>KANKAKEE SPIKEBALL INC - PPO</v>
      </c>
      <c r="K299" s="172" t="str">
        <f t="shared" si="14"/>
        <v/>
      </c>
      <c r="L299" s="172" t="str">
        <f t="shared" si="15"/>
        <v>Medical Plan</v>
      </c>
      <c r="R299" s="270" t="s">
        <v>1322</v>
      </c>
      <c r="S299" s="270" t="s">
        <v>1772</v>
      </c>
    </row>
    <row r="300" spans="4:19" ht="30" customHeight="1" x14ac:dyDescent="0.25">
      <c r="D300" s="171" t="s">
        <v>2271</v>
      </c>
      <c r="E300" s="171" t="s">
        <v>71</v>
      </c>
      <c r="G300" s="171" t="s">
        <v>2271</v>
      </c>
      <c r="H300" s="171" t="s">
        <v>2271</v>
      </c>
      <c r="I300" s="171" t="s">
        <v>2821</v>
      </c>
      <c r="J300" s="172" t="str">
        <f t="shared" si="16"/>
        <v>KEMENY OVERSEAS PRODUCTS CORP. - No Coverage</v>
      </c>
      <c r="K300" s="172" t="str">
        <f t="shared" si="14"/>
        <v/>
      </c>
      <c r="L300" s="172" t="str">
        <f t="shared" si="15"/>
        <v>Medical Plan</v>
      </c>
      <c r="R300" s="270" t="s">
        <v>1322</v>
      </c>
      <c r="S300" s="270" t="s">
        <v>1761</v>
      </c>
    </row>
    <row r="301" spans="4:19" ht="30" customHeight="1" x14ac:dyDescent="0.25">
      <c r="D301" s="171" t="s">
        <v>2271</v>
      </c>
      <c r="E301" s="171" t="s">
        <v>1769</v>
      </c>
      <c r="F301" s="171" t="s">
        <v>2683</v>
      </c>
      <c r="G301" s="171" t="s">
        <v>2271</v>
      </c>
      <c r="H301" s="171" t="s">
        <v>2271</v>
      </c>
      <c r="I301" s="171" t="s">
        <v>2821</v>
      </c>
      <c r="J301" s="172" t="str">
        <f t="shared" si="16"/>
        <v>KEMENY OVERSEAS PRODUCTS CORP. - DENTAL</v>
      </c>
      <c r="K301" s="172" t="str">
        <f t="shared" si="14"/>
        <v/>
      </c>
      <c r="L301" s="172" t="str">
        <f t="shared" si="15"/>
        <v>Dental Plan</v>
      </c>
      <c r="R301" s="270" t="s">
        <v>2500</v>
      </c>
      <c r="S301" s="270" t="s">
        <v>70</v>
      </c>
    </row>
    <row r="302" spans="4:19" ht="30" customHeight="1" x14ac:dyDescent="0.25">
      <c r="D302" s="171" t="s">
        <v>2271</v>
      </c>
      <c r="E302" s="171" t="s">
        <v>1761</v>
      </c>
      <c r="F302" s="171" t="s">
        <v>2684</v>
      </c>
      <c r="G302" s="171" t="s">
        <v>2271</v>
      </c>
      <c r="H302" s="171" t="s">
        <v>2271</v>
      </c>
      <c r="I302" s="171" t="s">
        <v>2821</v>
      </c>
      <c r="J302" s="172" t="str">
        <f t="shared" si="16"/>
        <v>KEMENY OVERSEAS PRODUCTS CORP. - PPO</v>
      </c>
      <c r="K302" s="172" t="str">
        <f t="shared" si="14"/>
        <v/>
      </c>
      <c r="L302" s="172" t="str">
        <f t="shared" si="15"/>
        <v>Medical Plan</v>
      </c>
      <c r="R302" s="270" t="s">
        <v>2500</v>
      </c>
      <c r="S302" s="270" t="s">
        <v>1764</v>
      </c>
    </row>
    <row r="303" spans="4:19" ht="30" customHeight="1" x14ac:dyDescent="0.25">
      <c r="D303" s="171" t="s">
        <v>1709</v>
      </c>
      <c r="E303" s="171" t="s">
        <v>1775</v>
      </c>
      <c r="F303" s="171" t="s">
        <v>1803</v>
      </c>
      <c r="G303" s="171" t="s">
        <v>1308</v>
      </c>
      <c r="H303" s="171" t="s">
        <v>1308</v>
      </c>
      <c r="I303" s="171" t="s">
        <v>1309</v>
      </c>
      <c r="J303" s="172" t="str">
        <f t="shared" si="16"/>
        <v>KENWAY CONSULTING - BLUE CHOICE SELECT</v>
      </c>
      <c r="K303" s="172" t="str">
        <f t="shared" si="14"/>
        <v/>
      </c>
      <c r="L303" s="172" t="str">
        <f t="shared" si="15"/>
        <v>Medical Plan</v>
      </c>
      <c r="R303" s="270" t="s">
        <v>2500</v>
      </c>
      <c r="S303" s="270" t="s">
        <v>1761</v>
      </c>
    </row>
    <row r="304" spans="4:19" ht="30" customHeight="1" x14ac:dyDescent="0.25">
      <c r="D304" s="171" t="s">
        <v>1710</v>
      </c>
      <c r="E304" s="171" t="s">
        <v>1775</v>
      </c>
      <c r="F304" s="171" t="s">
        <v>1804</v>
      </c>
      <c r="G304" s="171" t="s">
        <v>1308</v>
      </c>
      <c r="H304" s="171" t="s">
        <v>1308</v>
      </c>
      <c r="I304" s="171" t="s">
        <v>1309</v>
      </c>
      <c r="J304" s="172" t="str">
        <f t="shared" si="16"/>
        <v>KENWAY CONSULTING - BLUE CHOICE SELECT</v>
      </c>
      <c r="K304" s="172" t="str">
        <f t="shared" si="14"/>
        <v/>
      </c>
      <c r="L304" s="172" t="str">
        <f t="shared" si="15"/>
        <v>Medical Plan</v>
      </c>
      <c r="R304" s="270" t="s">
        <v>2848</v>
      </c>
      <c r="S304" s="270" t="s">
        <v>71</v>
      </c>
    </row>
    <row r="305" spans="4:19" ht="30" customHeight="1" x14ac:dyDescent="0.25">
      <c r="D305" s="171" t="s">
        <v>1707</v>
      </c>
      <c r="E305" s="171" t="s">
        <v>70</v>
      </c>
      <c r="F305" s="171" t="s">
        <v>1801</v>
      </c>
      <c r="G305" s="171" t="s">
        <v>1308</v>
      </c>
      <c r="H305" s="171" t="s">
        <v>1308</v>
      </c>
      <c r="I305" s="171" t="s">
        <v>1309</v>
      </c>
      <c r="J305" s="172" t="str">
        <f t="shared" si="16"/>
        <v>KENWAY CONSULTING - BLUE OPTIONS</v>
      </c>
      <c r="K305" s="172" t="str">
        <f t="shared" si="14"/>
        <v/>
      </c>
      <c r="L305" s="172" t="str">
        <f t="shared" si="15"/>
        <v>Medical Plan</v>
      </c>
      <c r="R305" s="270" t="s">
        <v>2848</v>
      </c>
      <c r="S305" s="270" t="s">
        <v>1772</v>
      </c>
    </row>
    <row r="306" spans="4:19" ht="30" customHeight="1" x14ac:dyDescent="0.25">
      <c r="D306" s="171" t="s">
        <v>1708</v>
      </c>
      <c r="E306" s="171" t="s">
        <v>1761</v>
      </c>
      <c r="F306" s="171" t="s">
        <v>1802</v>
      </c>
      <c r="G306" s="171" t="s">
        <v>1308</v>
      </c>
      <c r="H306" s="171" t="s">
        <v>1308</v>
      </c>
      <c r="I306" s="171" t="s">
        <v>1309</v>
      </c>
      <c r="J306" s="172" t="str">
        <f t="shared" si="16"/>
        <v>KENWAY CONSULTING - PPO</v>
      </c>
      <c r="K306" s="172" t="str">
        <f t="shared" si="14"/>
        <v/>
      </c>
      <c r="L306" s="172" t="str">
        <f t="shared" si="15"/>
        <v>Medical Plan</v>
      </c>
      <c r="R306" s="270" t="s">
        <v>2848</v>
      </c>
      <c r="S306" s="270" t="s">
        <v>1775</v>
      </c>
    </row>
    <row r="307" spans="4:19" ht="30" customHeight="1" x14ac:dyDescent="0.25">
      <c r="D307" s="171" t="s">
        <v>2271</v>
      </c>
      <c r="E307" s="171" t="s">
        <v>71</v>
      </c>
      <c r="G307" s="171" t="s">
        <v>2513</v>
      </c>
      <c r="H307" s="171" t="s">
        <v>2271</v>
      </c>
      <c r="I307" s="171" t="s">
        <v>2514</v>
      </c>
      <c r="J307" s="172" t="str">
        <f t="shared" si="16"/>
        <v>KINNICK MEDICAL, LTD - No Coverage</v>
      </c>
      <c r="K307" s="172" t="str">
        <f t="shared" si="14"/>
        <v/>
      </c>
      <c r="L307" s="172" t="str">
        <f t="shared" si="15"/>
        <v>Medical Plan</v>
      </c>
      <c r="R307" s="270" t="s">
        <v>2848</v>
      </c>
      <c r="S307" s="270" t="s">
        <v>70</v>
      </c>
    </row>
    <row r="308" spans="4:19" ht="30" customHeight="1" x14ac:dyDescent="0.25">
      <c r="D308" s="171" t="s">
        <v>2271</v>
      </c>
      <c r="E308" s="171" t="s">
        <v>1764</v>
      </c>
      <c r="F308" s="171" t="s">
        <v>1829</v>
      </c>
      <c r="G308" s="171" t="s">
        <v>2513</v>
      </c>
      <c r="H308" s="171" t="s">
        <v>2271</v>
      </c>
      <c r="I308" s="171" t="s">
        <v>2514</v>
      </c>
      <c r="J308" s="172" t="str">
        <f t="shared" si="16"/>
        <v>KINNICK MEDICAL, LTD - BLUE PRECISION</v>
      </c>
      <c r="K308" s="172" t="str">
        <f t="shared" si="14"/>
        <v>BAV</v>
      </c>
      <c r="L308" s="172" t="str">
        <f t="shared" si="15"/>
        <v>Medical Plan</v>
      </c>
      <c r="R308" s="270" t="s">
        <v>2848</v>
      </c>
      <c r="S308" s="270" t="s">
        <v>1761</v>
      </c>
    </row>
    <row r="309" spans="4:19" ht="30" customHeight="1" x14ac:dyDescent="0.25">
      <c r="D309" s="171" t="s">
        <v>2271</v>
      </c>
      <c r="E309" s="171" t="s">
        <v>1764</v>
      </c>
      <c r="F309" s="171" t="s">
        <v>2319</v>
      </c>
      <c r="G309" s="171" t="s">
        <v>2513</v>
      </c>
      <c r="H309" s="171" t="s">
        <v>2271</v>
      </c>
      <c r="I309" s="171" t="s">
        <v>2514</v>
      </c>
      <c r="J309" s="172" t="str">
        <f t="shared" si="16"/>
        <v>KINNICK MEDICAL, LTD - BLUE PRECISION</v>
      </c>
      <c r="K309" s="172" t="str">
        <f t="shared" si="14"/>
        <v>BAV</v>
      </c>
      <c r="L309" s="172" t="str">
        <f t="shared" si="15"/>
        <v>Medical Plan</v>
      </c>
      <c r="R309" s="270" t="s">
        <v>2849</v>
      </c>
      <c r="S309" s="270" t="s">
        <v>1761</v>
      </c>
    </row>
    <row r="310" spans="4:19" ht="30" customHeight="1" x14ac:dyDescent="0.25">
      <c r="D310" s="171" t="s">
        <v>2271</v>
      </c>
      <c r="E310" s="171" t="s">
        <v>1769</v>
      </c>
      <c r="F310" s="171" t="s">
        <v>2358</v>
      </c>
      <c r="G310" s="171" t="s">
        <v>2513</v>
      </c>
      <c r="H310" s="171" t="s">
        <v>2271</v>
      </c>
      <c r="I310" s="171" t="s">
        <v>2514</v>
      </c>
      <c r="J310" s="172" t="str">
        <f t="shared" si="16"/>
        <v>KINNICK MEDICAL, LTD - DENTAL</v>
      </c>
      <c r="K310" s="172" t="str">
        <f t="shared" si="14"/>
        <v/>
      </c>
      <c r="L310" s="172" t="str">
        <f t="shared" si="15"/>
        <v>Dental Plan</v>
      </c>
      <c r="R310" s="270" t="s">
        <v>1325</v>
      </c>
      <c r="S310" s="270" t="s">
        <v>70</v>
      </c>
    </row>
    <row r="311" spans="4:19" ht="30" customHeight="1" x14ac:dyDescent="0.25">
      <c r="D311" s="171" t="s">
        <v>2271</v>
      </c>
      <c r="E311" s="171" t="s">
        <v>1761</v>
      </c>
      <c r="F311" s="171" t="s">
        <v>2408</v>
      </c>
      <c r="G311" s="171" t="s">
        <v>2513</v>
      </c>
      <c r="H311" s="171" t="s">
        <v>2271</v>
      </c>
      <c r="I311" s="171" t="s">
        <v>2514</v>
      </c>
      <c r="J311" s="172" t="str">
        <f t="shared" si="16"/>
        <v>KINNICK MEDICAL, LTD - PPO</v>
      </c>
      <c r="K311" s="172" t="str">
        <f t="shared" si="14"/>
        <v/>
      </c>
      <c r="L311" s="172" t="str">
        <f t="shared" si="15"/>
        <v>Medical Plan</v>
      </c>
      <c r="R311" s="270" t="s">
        <v>1325</v>
      </c>
      <c r="S311" s="270" t="s">
        <v>1764</v>
      </c>
    </row>
    <row r="312" spans="4:19" ht="30" customHeight="1" x14ac:dyDescent="0.25">
      <c r="D312" s="171" t="s">
        <v>1712</v>
      </c>
      <c r="E312" s="171" t="s">
        <v>70</v>
      </c>
      <c r="F312" s="171" t="s">
        <v>1806</v>
      </c>
      <c r="G312" s="171" t="s">
        <v>1310</v>
      </c>
      <c r="H312" s="171" t="s">
        <v>1310</v>
      </c>
      <c r="I312" s="171" t="s">
        <v>1311</v>
      </c>
      <c r="J312" s="172" t="str">
        <f t="shared" si="16"/>
        <v>KIRKEGAARD ASSOCIATES - BLUE OPTIONS</v>
      </c>
      <c r="K312" s="172" t="str">
        <f t="shared" si="14"/>
        <v/>
      </c>
      <c r="L312" s="172" t="str">
        <f t="shared" si="15"/>
        <v>Medical Plan</v>
      </c>
      <c r="R312" s="270" t="s">
        <v>1325</v>
      </c>
      <c r="S312" s="270" t="s">
        <v>1761</v>
      </c>
    </row>
    <row r="313" spans="4:19" ht="30" customHeight="1" x14ac:dyDescent="0.25">
      <c r="D313" s="171" t="s">
        <v>1711</v>
      </c>
      <c r="E313" s="171" t="s">
        <v>70</v>
      </c>
      <c r="F313" s="171" t="s">
        <v>1805</v>
      </c>
      <c r="G313" s="171" t="s">
        <v>1310</v>
      </c>
      <c r="H313" s="171" t="s">
        <v>1310</v>
      </c>
      <c r="I313" s="171" t="s">
        <v>1311</v>
      </c>
      <c r="J313" s="172" t="str">
        <f t="shared" si="16"/>
        <v>KIRKEGAARD ASSOCIATES - BLUE OPTIONS</v>
      </c>
      <c r="K313" s="172" t="str">
        <f t="shared" si="14"/>
        <v/>
      </c>
      <c r="L313" s="172" t="str">
        <f t="shared" si="15"/>
        <v>Medical Plan</v>
      </c>
      <c r="R313" s="270" t="s">
        <v>2850</v>
      </c>
      <c r="S313" s="270" t="s">
        <v>2110</v>
      </c>
    </row>
    <row r="314" spans="4:19" ht="30" customHeight="1" x14ac:dyDescent="0.25">
      <c r="D314" s="171" t="s">
        <v>1714</v>
      </c>
      <c r="E314" s="171" t="s">
        <v>70</v>
      </c>
      <c r="F314" s="171" t="s">
        <v>1808</v>
      </c>
      <c r="G314" s="171" t="s">
        <v>1310</v>
      </c>
      <c r="H314" s="171" t="s">
        <v>1310</v>
      </c>
      <c r="I314" s="171" t="s">
        <v>1311</v>
      </c>
      <c r="J314" s="172" t="str">
        <f t="shared" si="16"/>
        <v>KIRKEGAARD ASSOCIATES - BLUE OPTIONS</v>
      </c>
      <c r="K314" s="172" t="str">
        <f t="shared" si="14"/>
        <v/>
      </c>
      <c r="L314" s="172" t="str">
        <f t="shared" si="15"/>
        <v>Medical Plan</v>
      </c>
      <c r="R314" s="270" t="s">
        <v>2850</v>
      </c>
      <c r="S314" s="270" t="s">
        <v>1761</v>
      </c>
    </row>
    <row r="315" spans="4:19" ht="30" customHeight="1" x14ac:dyDescent="0.25">
      <c r="D315" s="171" t="s">
        <v>1715</v>
      </c>
      <c r="E315" s="171" t="s">
        <v>70</v>
      </c>
      <c r="F315" s="171" t="s">
        <v>1809</v>
      </c>
      <c r="G315" s="171" t="s">
        <v>1310</v>
      </c>
      <c r="H315" s="171" t="s">
        <v>1310</v>
      </c>
      <c r="I315" s="171" t="s">
        <v>1311</v>
      </c>
      <c r="J315" s="172" t="str">
        <f t="shared" si="16"/>
        <v>KIRKEGAARD ASSOCIATES - BLUE OPTIONS</v>
      </c>
      <c r="K315" s="172" t="str">
        <f t="shared" si="14"/>
        <v/>
      </c>
      <c r="L315" s="172" t="str">
        <f t="shared" si="15"/>
        <v>Medical Plan</v>
      </c>
      <c r="R315" s="270" t="s">
        <v>2851</v>
      </c>
      <c r="S315" s="270" t="s">
        <v>1761</v>
      </c>
    </row>
    <row r="316" spans="4:19" ht="30" customHeight="1" x14ac:dyDescent="0.25">
      <c r="D316" s="171" t="s">
        <v>1713</v>
      </c>
      <c r="E316" s="171" t="s">
        <v>1764</v>
      </c>
      <c r="F316" s="171" t="s">
        <v>1807</v>
      </c>
      <c r="G316" s="171" t="s">
        <v>1310</v>
      </c>
      <c r="H316" s="171" t="s">
        <v>1310</v>
      </c>
      <c r="I316" s="171" t="s">
        <v>1311</v>
      </c>
      <c r="J316" s="172" t="str">
        <f t="shared" si="16"/>
        <v>KIRKEGAARD ASSOCIATES - BLUE PRECISION</v>
      </c>
      <c r="K316" s="172" t="str">
        <f t="shared" si="14"/>
        <v>BAV</v>
      </c>
      <c r="L316" s="172" t="str">
        <f t="shared" si="15"/>
        <v>Medical Plan</v>
      </c>
      <c r="R316" s="270" t="s">
        <v>2852</v>
      </c>
      <c r="S316" s="270" t="s">
        <v>1761</v>
      </c>
    </row>
    <row r="317" spans="4:19" ht="30" customHeight="1" x14ac:dyDescent="0.25">
      <c r="D317" s="171" t="s">
        <v>1716</v>
      </c>
      <c r="E317" s="171" t="s">
        <v>1764</v>
      </c>
      <c r="F317" s="171" t="s">
        <v>1810</v>
      </c>
      <c r="G317" s="171" t="s">
        <v>1310</v>
      </c>
      <c r="H317" s="171" t="s">
        <v>1310</v>
      </c>
      <c r="I317" s="171" t="s">
        <v>1311</v>
      </c>
      <c r="J317" s="172" t="str">
        <f t="shared" si="16"/>
        <v>KIRKEGAARD ASSOCIATES - BLUE PRECISION</v>
      </c>
      <c r="K317" s="172" t="str">
        <f t="shared" si="14"/>
        <v>BAV</v>
      </c>
      <c r="L317" s="172" t="str">
        <f t="shared" si="15"/>
        <v>Medical Plan</v>
      </c>
      <c r="R317" s="270" t="s">
        <v>1327</v>
      </c>
      <c r="S317" s="270" t="s">
        <v>71</v>
      </c>
    </row>
    <row r="318" spans="4:19" ht="30" customHeight="1" x14ac:dyDescent="0.25">
      <c r="D318" s="171" t="s">
        <v>2271</v>
      </c>
      <c r="E318" s="171" t="s">
        <v>71</v>
      </c>
      <c r="G318" s="171" t="s">
        <v>2271</v>
      </c>
      <c r="H318" s="171" t="s">
        <v>2271</v>
      </c>
      <c r="I318" s="171" t="s">
        <v>2822</v>
      </c>
      <c r="J318" s="172" t="str">
        <f t="shared" si="16"/>
        <v>KNIGHT HAWK COAL, LLC - No Coverage</v>
      </c>
      <c r="K318" s="172" t="str">
        <f t="shared" si="14"/>
        <v/>
      </c>
      <c r="L318" s="172" t="str">
        <f t="shared" si="15"/>
        <v>Medical Plan</v>
      </c>
      <c r="R318" s="270" t="s">
        <v>1327</v>
      </c>
      <c r="S318" s="270" t="s">
        <v>1772</v>
      </c>
    </row>
    <row r="319" spans="4:19" ht="30" customHeight="1" x14ac:dyDescent="0.25">
      <c r="D319" s="171" t="s">
        <v>2271</v>
      </c>
      <c r="E319" s="171" t="s">
        <v>1769</v>
      </c>
      <c r="F319" s="171" t="s">
        <v>2685</v>
      </c>
      <c r="G319" s="171" t="s">
        <v>2271</v>
      </c>
      <c r="H319" s="171" t="s">
        <v>2271</v>
      </c>
      <c r="I319" s="171" t="s">
        <v>2822</v>
      </c>
      <c r="J319" s="172" t="str">
        <f t="shared" si="16"/>
        <v>KNIGHT HAWK COAL, LLC - DENTAL</v>
      </c>
      <c r="K319" s="172" t="str">
        <f t="shared" si="14"/>
        <v/>
      </c>
      <c r="L319" s="172" t="str">
        <f t="shared" si="15"/>
        <v>Dental Plan</v>
      </c>
      <c r="R319" s="270" t="s">
        <v>1327</v>
      </c>
      <c r="S319" s="270" t="s">
        <v>1775</v>
      </c>
    </row>
    <row r="320" spans="4:19" ht="30" customHeight="1" x14ac:dyDescent="0.25">
      <c r="D320" s="171" t="s">
        <v>2271</v>
      </c>
      <c r="E320" s="171" t="s">
        <v>1761</v>
      </c>
      <c r="F320" s="171" t="s">
        <v>2672</v>
      </c>
      <c r="G320" s="171" t="s">
        <v>2271</v>
      </c>
      <c r="H320" s="171" t="s">
        <v>2271</v>
      </c>
      <c r="I320" s="171" t="s">
        <v>2822</v>
      </c>
      <c r="J320" s="172" t="str">
        <f t="shared" si="16"/>
        <v>KNIGHT HAWK COAL, LLC - PPO</v>
      </c>
      <c r="K320" s="172" t="str">
        <f t="shared" si="14"/>
        <v/>
      </c>
      <c r="L320" s="172" t="str">
        <f t="shared" si="15"/>
        <v>Medical Plan</v>
      </c>
      <c r="R320" s="270" t="s">
        <v>1327</v>
      </c>
      <c r="S320" s="270" t="s">
        <v>70</v>
      </c>
    </row>
    <row r="321" spans="4:19" ht="30" customHeight="1" x14ac:dyDescent="0.25">
      <c r="D321" s="171" t="s">
        <v>2271</v>
      </c>
      <c r="E321" s="171" t="s">
        <v>67</v>
      </c>
      <c r="F321" s="171" t="s">
        <v>2334</v>
      </c>
      <c r="G321" s="171" t="s">
        <v>2543</v>
      </c>
      <c r="H321" s="171" t="s">
        <v>2271</v>
      </c>
      <c r="I321" s="171" t="s">
        <v>2544</v>
      </c>
      <c r="J321" s="172" t="str">
        <f t="shared" si="16"/>
        <v>KNOX COUNTY HOUSING AUTHORITY - BLUECP</v>
      </c>
      <c r="K321" s="172" t="str">
        <f t="shared" si="14"/>
        <v/>
      </c>
      <c r="L321" s="172" t="str">
        <f t="shared" si="15"/>
        <v>Medical Plan</v>
      </c>
      <c r="R321" s="270" t="s">
        <v>2853</v>
      </c>
      <c r="S321" s="270" t="s">
        <v>1761</v>
      </c>
    </row>
    <row r="322" spans="4:19" ht="30" customHeight="1" x14ac:dyDescent="0.25">
      <c r="D322" s="171" t="s">
        <v>2271</v>
      </c>
      <c r="E322" s="171" t="s">
        <v>1761</v>
      </c>
      <c r="F322" s="171" t="s">
        <v>2604</v>
      </c>
      <c r="G322" s="171" t="s">
        <v>2271</v>
      </c>
      <c r="H322" s="171" t="s">
        <v>2271</v>
      </c>
      <c r="I322" s="171" t="s">
        <v>2823</v>
      </c>
      <c r="J322" s="172" t="str">
        <f t="shared" si="16"/>
        <v>KUPIEC &amp; MARTIN, LLC - PPO</v>
      </c>
      <c r="K322" s="172" t="str">
        <f t="shared" si="14"/>
        <v/>
      </c>
      <c r="L322" s="172" t="str">
        <f t="shared" si="15"/>
        <v>Medical Plan</v>
      </c>
      <c r="R322" s="270" t="s">
        <v>2854</v>
      </c>
      <c r="S322" s="270" t="s">
        <v>1772</v>
      </c>
    </row>
    <row r="323" spans="4:19" ht="30" customHeight="1" x14ac:dyDescent="0.25">
      <c r="D323" s="171" t="s">
        <v>2271</v>
      </c>
      <c r="E323" s="171" t="s">
        <v>1764</v>
      </c>
      <c r="F323" s="171" t="s">
        <v>2317</v>
      </c>
      <c r="G323" s="171" t="s">
        <v>2515</v>
      </c>
      <c r="H323" s="171" t="s">
        <v>2271</v>
      </c>
      <c r="I323" s="171" t="s">
        <v>2516</v>
      </c>
      <c r="J323" s="172" t="str">
        <f t="shared" si="16"/>
        <v>LAKE IN THE HILLS SANITARY DISTRICT - BLUE PRECISION</v>
      </c>
      <c r="K323" s="172" t="str">
        <f t="shared" ref="K323:K386" si="17">IFERROR(IF(VLOOKUP(E:E,N:O,2,0)="","",VLOOKUP(E:E,N:O,2,0)),"#N/A")</f>
        <v>BAV</v>
      </c>
      <c r="L323" s="172" t="str">
        <f t="shared" ref="L323:L386" si="18">IFERROR(IF(VLOOKUP(E:E,N:P,3,0)="","#N/A",VLOOKUP(E:E,N:P,3,0)),"#N/A")</f>
        <v>Medical Plan</v>
      </c>
      <c r="R323" s="270" t="s">
        <v>2854</v>
      </c>
      <c r="S323" s="270" t="s">
        <v>1775</v>
      </c>
    </row>
    <row r="324" spans="4:19" ht="30" customHeight="1" x14ac:dyDescent="0.25">
      <c r="D324" s="171" t="s">
        <v>2271</v>
      </c>
      <c r="E324" s="171" t="s">
        <v>67</v>
      </c>
      <c r="F324" s="171" t="s">
        <v>2335</v>
      </c>
      <c r="G324" s="171" t="s">
        <v>2515</v>
      </c>
      <c r="H324" s="171" t="s">
        <v>2271</v>
      </c>
      <c r="I324" s="171" t="s">
        <v>2516</v>
      </c>
      <c r="J324" s="172" t="str">
        <f t="shared" ref="J324:J387" si="19">I324&amp;" - "&amp;E324</f>
        <v>LAKE IN THE HILLS SANITARY DISTRICT - BLUECP</v>
      </c>
      <c r="K324" s="172" t="str">
        <f t="shared" si="17"/>
        <v/>
      </c>
      <c r="L324" s="172" t="str">
        <f t="shared" si="18"/>
        <v>Medical Plan</v>
      </c>
      <c r="R324" s="270" t="s">
        <v>2854</v>
      </c>
      <c r="S324" s="270" t="s">
        <v>70</v>
      </c>
    </row>
    <row r="325" spans="4:19" ht="30" customHeight="1" x14ac:dyDescent="0.25">
      <c r="D325" s="171" t="s">
        <v>2271</v>
      </c>
      <c r="E325" s="171" t="s">
        <v>1761</v>
      </c>
      <c r="F325" s="171" t="s">
        <v>2421</v>
      </c>
      <c r="G325" s="171" t="s">
        <v>2515</v>
      </c>
      <c r="H325" s="171" t="s">
        <v>2271</v>
      </c>
      <c r="I325" s="171" t="s">
        <v>2516</v>
      </c>
      <c r="J325" s="172" t="str">
        <f t="shared" si="19"/>
        <v>LAKE IN THE HILLS SANITARY DISTRICT - PPO</v>
      </c>
      <c r="K325" s="172" t="str">
        <f t="shared" si="17"/>
        <v/>
      </c>
      <c r="L325" s="172" t="str">
        <f t="shared" si="18"/>
        <v>Medical Plan</v>
      </c>
      <c r="R325" s="270" t="s">
        <v>2854</v>
      </c>
      <c r="S325" s="270" t="s">
        <v>1761</v>
      </c>
    </row>
    <row r="326" spans="4:19" ht="30" customHeight="1" x14ac:dyDescent="0.25">
      <c r="D326" s="171" t="s">
        <v>2271</v>
      </c>
      <c r="E326" s="171" t="s">
        <v>67</v>
      </c>
      <c r="F326" s="171" t="s">
        <v>2342</v>
      </c>
      <c r="G326" s="171" t="s">
        <v>2271</v>
      </c>
      <c r="H326" s="171" t="s">
        <v>2271</v>
      </c>
      <c r="I326" s="171" t="s">
        <v>2824</v>
      </c>
      <c r="J326" s="172" t="str">
        <f t="shared" si="19"/>
        <v>LED PHANTOM DISTRIBUTION INC - BLUECP</v>
      </c>
      <c r="K326" s="172" t="str">
        <f t="shared" si="17"/>
        <v/>
      </c>
      <c r="L326" s="172" t="str">
        <f t="shared" si="18"/>
        <v>Medical Plan</v>
      </c>
      <c r="R326" s="270" t="s">
        <v>2269</v>
      </c>
      <c r="S326" s="270" t="s">
        <v>1772</v>
      </c>
    </row>
    <row r="327" spans="4:19" ht="30" customHeight="1" x14ac:dyDescent="0.25">
      <c r="D327" s="171" t="s">
        <v>2271</v>
      </c>
      <c r="E327" s="171" t="s">
        <v>67</v>
      </c>
      <c r="F327" s="171" t="s">
        <v>2343</v>
      </c>
      <c r="G327" s="171" t="s">
        <v>2271</v>
      </c>
      <c r="H327" s="171" t="s">
        <v>2271</v>
      </c>
      <c r="I327" s="171" t="s">
        <v>2824</v>
      </c>
      <c r="J327" s="172" t="str">
        <f t="shared" si="19"/>
        <v>LED PHANTOM DISTRIBUTION INC - BLUECP</v>
      </c>
      <c r="K327" s="172" t="str">
        <f t="shared" si="17"/>
        <v/>
      </c>
      <c r="L327" s="172" t="str">
        <f t="shared" si="18"/>
        <v>Medical Plan</v>
      </c>
      <c r="R327" s="270" t="s">
        <v>2269</v>
      </c>
      <c r="S327" s="270" t="s">
        <v>1761</v>
      </c>
    </row>
    <row r="328" spans="4:19" ht="30" customHeight="1" x14ac:dyDescent="0.25">
      <c r="D328" s="171" t="s">
        <v>2271</v>
      </c>
      <c r="E328" s="171" t="s">
        <v>67</v>
      </c>
      <c r="F328" s="171" t="s">
        <v>2686</v>
      </c>
      <c r="G328" s="171" t="s">
        <v>2271</v>
      </c>
      <c r="H328" s="171" t="s">
        <v>2271</v>
      </c>
      <c r="I328" s="171" t="s">
        <v>2824</v>
      </c>
      <c r="J328" s="172" t="str">
        <f t="shared" si="19"/>
        <v>LED PHANTOM DISTRIBUTION INC - BLUECP</v>
      </c>
      <c r="K328" s="172" t="str">
        <f t="shared" si="17"/>
        <v/>
      </c>
      <c r="L328" s="172" t="str">
        <f t="shared" si="18"/>
        <v>Medical Plan</v>
      </c>
      <c r="R328" s="270" t="s">
        <v>1329</v>
      </c>
      <c r="S328" s="270" t="s">
        <v>1772</v>
      </c>
    </row>
    <row r="329" spans="4:19" ht="30" customHeight="1" x14ac:dyDescent="0.25">
      <c r="D329" s="171" t="s">
        <v>2271</v>
      </c>
      <c r="E329" s="171" t="s">
        <v>1761</v>
      </c>
      <c r="F329" s="171" t="s">
        <v>2687</v>
      </c>
      <c r="G329" s="171" t="s">
        <v>2271</v>
      </c>
      <c r="H329" s="171" t="s">
        <v>2271</v>
      </c>
      <c r="I329" s="171" t="s">
        <v>2824</v>
      </c>
      <c r="J329" s="172" t="str">
        <f t="shared" si="19"/>
        <v>LED PHANTOM DISTRIBUTION INC - PPO</v>
      </c>
      <c r="K329" s="172" t="str">
        <f t="shared" si="17"/>
        <v/>
      </c>
      <c r="L329" s="172" t="str">
        <f t="shared" si="18"/>
        <v>Medical Plan</v>
      </c>
      <c r="R329" s="270" t="s">
        <v>1329</v>
      </c>
      <c r="S329" s="270" t="s">
        <v>1775</v>
      </c>
    </row>
    <row r="330" spans="4:19" ht="30" customHeight="1" x14ac:dyDescent="0.25">
      <c r="D330" s="171" t="s">
        <v>2271</v>
      </c>
      <c r="E330" s="171" t="s">
        <v>1764</v>
      </c>
      <c r="F330" s="171" t="s">
        <v>2320</v>
      </c>
      <c r="G330" s="171" t="s">
        <v>2517</v>
      </c>
      <c r="H330" s="171" t="s">
        <v>2271</v>
      </c>
      <c r="I330" s="171" t="s">
        <v>2518</v>
      </c>
      <c r="J330" s="172" t="str">
        <f t="shared" si="19"/>
        <v>LEUKEMIA RESEARCH FOUNDATION, INC - BLUE PRECISION</v>
      </c>
      <c r="K330" s="172" t="str">
        <f t="shared" si="17"/>
        <v>BAV</v>
      </c>
      <c r="L330" s="172" t="str">
        <f t="shared" si="18"/>
        <v>Medical Plan</v>
      </c>
      <c r="R330" s="270" t="s">
        <v>1329</v>
      </c>
      <c r="S330" s="270" t="s">
        <v>70</v>
      </c>
    </row>
    <row r="331" spans="4:19" ht="30" customHeight="1" x14ac:dyDescent="0.25">
      <c r="D331" s="171" t="s">
        <v>2271</v>
      </c>
      <c r="E331" s="171" t="s">
        <v>1761</v>
      </c>
      <c r="F331" s="171" t="s">
        <v>2426</v>
      </c>
      <c r="G331" s="171" t="s">
        <v>2517</v>
      </c>
      <c r="H331" s="171" t="s">
        <v>2271</v>
      </c>
      <c r="I331" s="171" t="s">
        <v>2518</v>
      </c>
      <c r="J331" s="172" t="str">
        <f t="shared" si="19"/>
        <v>LEUKEMIA RESEARCH FOUNDATION, INC - PPO</v>
      </c>
      <c r="K331" s="172" t="str">
        <f t="shared" si="17"/>
        <v/>
      </c>
      <c r="L331" s="172" t="str">
        <f t="shared" si="18"/>
        <v>Medical Plan</v>
      </c>
      <c r="R331" s="270" t="s">
        <v>1329</v>
      </c>
      <c r="S331" s="270" t="s">
        <v>1761</v>
      </c>
    </row>
    <row r="332" spans="4:19" ht="30" customHeight="1" x14ac:dyDescent="0.25">
      <c r="D332" s="171" t="s">
        <v>2271</v>
      </c>
      <c r="E332" s="171" t="s">
        <v>1761</v>
      </c>
      <c r="F332" s="171" t="s">
        <v>2423</v>
      </c>
      <c r="G332" s="171" t="s">
        <v>2517</v>
      </c>
      <c r="H332" s="171" t="s">
        <v>2271</v>
      </c>
      <c r="I332" s="171" t="s">
        <v>2518</v>
      </c>
      <c r="J332" s="172" t="str">
        <f t="shared" si="19"/>
        <v>LEUKEMIA RESEARCH FOUNDATION, INC - PPO</v>
      </c>
      <c r="K332" s="172" t="str">
        <f t="shared" si="17"/>
        <v/>
      </c>
      <c r="L332" s="172" t="str">
        <f t="shared" si="18"/>
        <v>Medical Plan</v>
      </c>
      <c r="R332" s="270" t="s">
        <v>2855</v>
      </c>
      <c r="S332" s="270" t="s">
        <v>1761</v>
      </c>
    </row>
    <row r="333" spans="4:19" ht="30" customHeight="1" x14ac:dyDescent="0.25">
      <c r="D333" s="171" t="s">
        <v>2271</v>
      </c>
      <c r="E333" s="171" t="s">
        <v>1761</v>
      </c>
      <c r="F333" s="171" t="s">
        <v>2425</v>
      </c>
      <c r="G333" s="171" t="s">
        <v>2517</v>
      </c>
      <c r="H333" s="171" t="s">
        <v>2271</v>
      </c>
      <c r="I333" s="171" t="s">
        <v>2518</v>
      </c>
      <c r="J333" s="172" t="str">
        <f t="shared" si="19"/>
        <v>LEUKEMIA RESEARCH FOUNDATION, INC - PPO</v>
      </c>
      <c r="K333" s="172" t="str">
        <f t="shared" si="17"/>
        <v/>
      </c>
      <c r="L333" s="172" t="str">
        <f t="shared" si="18"/>
        <v>Medical Plan</v>
      </c>
      <c r="R333" s="270" t="s">
        <v>1331</v>
      </c>
      <c r="S333" s="270" t="s">
        <v>70</v>
      </c>
    </row>
    <row r="334" spans="4:19" ht="30" customHeight="1" x14ac:dyDescent="0.25">
      <c r="D334" s="171" t="s">
        <v>2271</v>
      </c>
      <c r="E334" s="171" t="s">
        <v>1761</v>
      </c>
      <c r="F334" s="171" t="s">
        <v>2422</v>
      </c>
      <c r="G334" s="171" t="s">
        <v>2517</v>
      </c>
      <c r="H334" s="171" t="s">
        <v>2271</v>
      </c>
      <c r="I334" s="171" t="s">
        <v>2518</v>
      </c>
      <c r="J334" s="172" t="str">
        <f t="shared" si="19"/>
        <v>LEUKEMIA RESEARCH FOUNDATION, INC - PPO</v>
      </c>
      <c r="K334" s="172" t="str">
        <f t="shared" si="17"/>
        <v/>
      </c>
      <c r="L334" s="172" t="str">
        <f t="shared" si="18"/>
        <v>Medical Plan</v>
      </c>
      <c r="R334" s="270" t="s">
        <v>1331</v>
      </c>
      <c r="S334" s="270" t="s">
        <v>67</v>
      </c>
    </row>
    <row r="335" spans="4:19" ht="30" customHeight="1" x14ac:dyDescent="0.25">
      <c r="D335" s="171" t="s">
        <v>2271</v>
      </c>
      <c r="E335" s="171" t="s">
        <v>1761</v>
      </c>
      <c r="F335" s="171" t="s">
        <v>2424</v>
      </c>
      <c r="G335" s="171" t="s">
        <v>2517</v>
      </c>
      <c r="H335" s="171" t="s">
        <v>2271</v>
      </c>
      <c r="I335" s="171" t="s">
        <v>2518</v>
      </c>
      <c r="J335" s="172" t="str">
        <f t="shared" si="19"/>
        <v>LEUKEMIA RESEARCH FOUNDATION, INC - PPO</v>
      </c>
      <c r="K335" s="172" t="str">
        <f t="shared" si="17"/>
        <v/>
      </c>
      <c r="L335" s="172" t="str">
        <f t="shared" si="18"/>
        <v>Medical Plan</v>
      </c>
      <c r="R335" s="270" t="s">
        <v>2532</v>
      </c>
      <c r="S335" s="270" t="s">
        <v>1764</v>
      </c>
    </row>
    <row r="336" spans="4:19" ht="30" customHeight="1" x14ac:dyDescent="0.25">
      <c r="D336" s="171" t="s">
        <v>2271</v>
      </c>
      <c r="E336" s="171" t="s">
        <v>71</v>
      </c>
      <c r="G336" s="171" t="s">
        <v>2551</v>
      </c>
      <c r="H336" s="171" t="s">
        <v>2271</v>
      </c>
      <c r="I336" s="171" t="s">
        <v>2552</v>
      </c>
      <c r="J336" s="172" t="str">
        <f t="shared" si="19"/>
        <v>LEVER INTERACTIVE - No Coverage</v>
      </c>
      <c r="K336" s="172" t="str">
        <f t="shared" si="17"/>
        <v/>
      </c>
      <c r="L336" s="172" t="str">
        <f t="shared" si="18"/>
        <v>Medical Plan</v>
      </c>
      <c r="R336" s="270" t="s">
        <v>2532</v>
      </c>
      <c r="S336" s="270" t="s">
        <v>1761</v>
      </c>
    </row>
    <row r="337" spans="4:19" ht="30" customHeight="1" x14ac:dyDescent="0.25">
      <c r="D337" s="171" t="s">
        <v>2271</v>
      </c>
      <c r="E337" s="171" t="s">
        <v>1769</v>
      </c>
      <c r="F337" s="171" t="s">
        <v>2359</v>
      </c>
      <c r="G337" s="171" t="s">
        <v>2551</v>
      </c>
      <c r="H337" s="171" t="s">
        <v>2271</v>
      </c>
      <c r="I337" s="171" t="s">
        <v>2552</v>
      </c>
      <c r="J337" s="172" t="str">
        <f t="shared" si="19"/>
        <v>LEVER INTERACTIVE - DENTAL</v>
      </c>
      <c r="K337" s="172" t="str">
        <f t="shared" si="17"/>
        <v/>
      </c>
      <c r="L337" s="172" t="str">
        <f t="shared" si="18"/>
        <v>Dental Plan</v>
      </c>
      <c r="R337" s="270" t="s">
        <v>2856</v>
      </c>
      <c r="S337" s="270" t="s">
        <v>1761</v>
      </c>
    </row>
    <row r="338" spans="4:19" ht="30" customHeight="1" x14ac:dyDescent="0.25">
      <c r="D338" s="171" t="s">
        <v>2271</v>
      </c>
      <c r="E338" s="171" t="s">
        <v>1761</v>
      </c>
      <c r="F338" s="171" t="s">
        <v>2427</v>
      </c>
      <c r="G338" s="171" t="s">
        <v>2551</v>
      </c>
      <c r="H338" s="171" t="s">
        <v>2271</v>
      </c>
      <c r="I338" s="171" t="s">
        <v>2552</v>
      </c>
      <c r="J338" s="172" t="str">
        <f t="shared" si="19"/>
        <v>LEVER INTERACTIVE - PPO</v>
      </c>
      <c r="K338" s="172" t="str">
        <f t="shared" si="17"/>
        <v/>
      </c>
      <c r="L338" s="172" t="str">
        <f t="shared" si="18"/>
        <v>Medical Plan</v>
      </c>
      <c r="R338" s="270" t="s">
        <v>2857</v>
      </c>
      <c r="S338" s="270" t="s">
        <v>1764</v>
      </c>
    </row>
    <row r="339" spans="4:19" ht="30" customHeight="1" x14ac:dyDescent="0.25">
      <c r="D339" s="171" t="s">
        <v>2271</v>
      </c>
      <c r="E339" s="171" t="s">
        <v>70</v>
      </c>
      <c r="F339" s="171" t="s">
        <v>2302</v>
      </c>
      <c r="G339" s="171" t="s">
        <v>2491</v>
      </c>
      <c r="H339" s="171" t="s">
        <v>2271</v>
      </c>
      <c r="I339" s="171" t="s">
        <v>2492</v>
      </c>
      <c r="J339" s="172" t="str">
        <f t="shared" si="19"/>
        <v>LIBRA INDUSTRIES - BLUE OPTIONS</v>
      </c>
      <c r="K339" s="172" t="str">
        <f t="shared" si="17"/>
        <v/>
      </c>
      <c r="L339" s="172" t="str">
        <f t="shared" si="18"/>
        <v>Medical Plan</v>
      </c>
      <c r="R339" s="270" t="s">
        <v>2857</v>
      </c>
      <c r="S339" s="270" t="s">
        <v>1761</v>
      </c>
    </row>
    <row r="340" spans="4:19" ht="30" customHeight="1" x14ac:dyDescent="0.25">
      <c r="D340" s="171" t="s">
        <v>2271</v>
      </c>
      <c r="E340" s="171" t="s">
        <v>67</v>
      </c>
      <c r="F340" s="171" t="s">
        <v>2336</v>
      </c>
      <c r="G340" s="171" t="s">
        <v>2491</v>
      </c>
      <c r="H340" s="171" t="s">
        <v>2271</v>
      </c>
      <c r="I340" s="171" t="s">
        <v>2492</v>
      </c>
      <c r="J340" s="172" t="str">
        <f t="shared" si="19"/>
        <v>LIBRA INDUSTRIES - BLUECP</v>
      </c>
      <c r="K340" s="172" t="str">
        <f t="shared" si="17"/>
        <v/>
      </c>
      <c r="L340" s="172" t="str">
        <f t="shared" si="18"/>
        <v>Medical Plan</v>
      </c>
      <c r="R340" s="270" t="s">
        <v>2858</v>
      </c>
      <c r="S340" s="270" t="s">
        <v>67</v>
      </c>
    </row>
    <row r="341" spans="4:19" ht="30" customHeight="1" x14ac:dyDescent="0.25">
      <c r="D341" s="171" t="s">
        <v>2271</v>
      </c>
      <c r="E341" s="171" t="s">
        <v>1761</v>
      </c>
      <c r="F341" s="171" t="s">
        <v>2428</v>
      </c>
      <c r="G341" s="171" t="s">
        <v>2491</v>
      </c>
      <c r="H341" s="171" t="s">
        <v>2271</v>
      </c>
      <c r="I341" s="171" t="s">
        <v>2492</v>
      </c>
      <c r="J341" s="172" t="str">
        <f t="shared" si="19"/>
        <v>LIBRA INDUSTRIES - PPO</v>
      </c>
      <c r="K341" s="172" t="str">
        <f t="shared" si="17"/>
        <v/>
      </c>
      <c r="L341" s="172" t="str">
        <f t="shared" si="18"/>
        <v>Medical Plan</v>
      </c>
      <c r="R341" s="270" t="s">
        <v>2858</v>
      </c>
      <c r="S341" s="270" t="s">
        <v>1761</v>
      </c>
    </row>
    <row r="342" spans="4:19" ht="30" customHeight="1" x14ac:dyDescent="0.25">
      <c r="D342" s="171" t="s">
        <v>2271</v>
      </c>
      <c r="E342" s="171" t="s">
        <v>1764</v>
      </c>
      <c r="F342" s="171" t="s">
        <v>2317</v>
      </c>
      <c r="G342" s="171" t="s">
        <v>2271</v>
      </c>
      <c r="H342" s="171" t="s">
        <v>2271</v>
      </c>
      <c r="I342" s="171" t="s">
        <v>2825</v>
      </c>
      <c r="J342" s="172" t="str">
        <f t="shared" si="19"/>
        <v>LIBRARY FURNITURE INTERNATIONAL INC - BLUE PRECISION</v>
      </c>
      <c r="K342" s="172" t="str">
        <f t="shared" si="17"/>
        <v>BAV</v>
      </c>
      <c r="L342" s="172" t="str">
        <f t="shared" si="18"/>
        <v>Medical Plan</v>
      </c>
      <c r="R342" s="270" t="s">
        <v>2584</v>
      </c>
      <c r="S342" s="270" t="s">
        <v>1761</v>
      </c>
    </row>
    <row r="343" spans="4:19" ht="30" customHeight="1" x14ac:dyDescent="0.25">
      <c r="D343" s="171" t="s">
        <v>2271</v>
      </c>
      <c r="E343" s="171" t="s">
        <v>1764</v>
      </c>
      <c r="F343" s="171" t="s">
        <v>2689</v>
      </c>
      <c r="G343" s="171" t="s">
        <v>2271</v>
      </c>
      <c r="H343" s="171" t="s">
        <v>2271</v>
      </c>
      <c r="I343" s="171" t="s">
        <v>2825</v>
      </c>
      <c r="J343" s="172" t="str">
        <f t="shared" si="19"/>
        <v>LIBRARY FURNITURE INTERNATIONAL INC - BLUE PRECISION</v>
      </c>
      <c r="K343" s="172" t="str">
        <f t="shared" si="17"/>
        <v>BAV</v>
      </c>
      <c r="L343" s="172" t="str">
        <f t="shared" si="18"/>
        <v>Medical Plan</v>
      </c>
      <c r="R343" s="270" t="s">
        <v>2859</v>
      </c>
      <c r="S343" s="270" t="s">
        <v>1761</v>
      </c>
    </row>
    <row r="344" spans="4:19" ht="30" customHeight="1" x14ac:dyDescent="0.25">
      <c r="D344" s="171" t="s">
        <v>2271</v>
      </c>
      <c r="E344" s="171" t="s">
        <v>1764</v>
      </c>
      <c r="F344" s="171" t="s">
        <v>2688</v>
      </c>
      <c r="G344" s="171" t="s">
        <v>2271</v>
      </c>
      <c r="H344" s="171" t="s">
        <v>2271</v>
      </c>
      <c r="I344" s="171" t="s">
        <v>2825</v>
      </c>
      <c r="J344" s="172" t="str">
        <f t="shared" si="19"/>
        <v>LIBRARY FURNITURE INTERNATIONAL INC - BLUE PRECISION</v>
      </c>
      <c r="K344" s="172" t="str">
        <f t="shared" si="17"/>
        <v>BAV</v>
      </c>
      <c r="L344" s="172" t="str">
        <f t="shared" si="18"/>
        <v>Medical Plan</v>
      </c>
      <c r="R344" s="270" t="s">
        <v>2134</v>
      </c>
      <c r="S344" s="270" t="s">
        <v>70</v>
      </c>
    </row>
    <row r="345" spans="4:19" ht="30" customHeight="1" x14ac:dyDescent="0.25">
      <c r="D345" s="171" t="s">
        <v>2271</v>
      </c>
      <c r="E345" s="171" t="s">
        <v>1761</v>
      </c>
      <c r="F345" s="171" t="s">
        <v>2691</v>
      </c>
      <c r="G345" s="171" t="s">
        <v>2271</v>
      </c>
      <c r="H345" s="171" t="s">
        <v>2271</v>
      </c>
      <c r="I345" s="171" t="s">
        <v>2825</v>
      </c>
      <c r="J345" s="172" t="str">
        <f t="shared" si="19"/>
        <v>LIBRARY FURNITURE INTERNATIONAL INC - PPO</v>
      </c>
      <c r="K345" s="172" t="str">
        <f t="shared" si="17"/>
        <v/>
      </c>
      <c r="L345" s="172" t="str">
        <f t="shared" si="18"/>
        <v>Medical Plan</v>
      </c>
      <c r="R345" s="270" t="s">
        <v>2134</v>
      </c>
      <c r="S345" s="270" t="s">
        <v>67</v>
      </c>
    </row>
    <row r="346" spans="4:19" ht="30" customHeight="1" x14ac:dyDescent="0.25">
      <c r="D346" s="171" t="s">
        <v>2271</v>
      </c>
      <c r="E346" s="171" t="s">
        <v>1761</v>
      </c>
      <c r="F346" s="171" t="s">
        <v>2690</v>
      </c>
      <c r="G346" s="171" t="s">
        <v>2271</v>
      </c>
      <c r="H346" s="171" t="s">
        <v>2271</v>
      </c>
      <c r="I346" s="171" t="s">
        <v>2825</v>
      </c>
      <c r="J346" s="172" t="str">
        <f t="shared" si="19"/>
        <v>LIBRARY FURNITURE INTERNATIONAL INC - PPO</v>
      </c>
      <c r="K346" s="172" t="str">
        <f t="shared" si="17"/>
        <v/>
      </c>
      <c r="L346" s="172" t="str">
        <f t="shared" si="18"/>
        <v>Medical Plan</v>
      </c>
      <c r="R346" s="270" t="s">
        <v>2803</v>
      </c>
      <c r="S346" s="270" t="s">
        <v>67</v>
      </c>
    </row>
    <row r="347" spans="4:19" ht="30" customHeight="1" x14ac:dyDescent="0.25">
      <c r="D347" s="171" t="s">
        <v>2271</v>
      </c>
      <c r="E347" s="171" t="s">
        <v>1761</v>
      </c>
      <c r="F347" s="171" t="s">
        <v>2464</v>
      </c>
      <c r="G347" s="171" t="s">
        <v>2271</v>
      </c>
      <c r="H347" s="171" t="s">
        <v>2271</v>
      </c>
      <c r="I347" s="171" t="s">
        <v>2825</v>
      </c>
      <c r="J347" s="172" t="str">
        <f t="shared" si="19"/>
        <v>LIBRARY FURNITURE INTERNATIONAL INC - PPO</v>
      </c>
      <c r="K347" s="172" t="str">
        <f t="shared" si="17"/>
        <v/>
      </c>
      <c r="L347" s="172" t="str">
        <f t="shared" si="18"/>
        <v>Medical Plan</v>
      </c>
      <c r="R347" s="270" t="s">
        <v>2803</v>
      </c>
      <c r="S347" s="270" t="s">
        <v>1761</v>
      </c>
    </row>
    <row r="348" spans="4:19" ht="30" customHeight="1" x14ac:dyDescent="0.25">
      <c r="D348" s="171" t="s">
        <v>2271</v>
      </c>
      <c r="E348" s="171" t="s">
        <v>67</v>
      </c>
      <c r="F348" s="171" t="s">
        <v>2692</v>
      </c>
      <c r="G348" s="171" t="s">
        <v>2271</v>
      </c>
      <c r="H348" s="171" t="s">
        <v>2271</v>
      </c>
      <c r="I348" s="171" t="s">
        <v>2826</v>
      </c>
      <c r="J348" s="172" t="str">
        <f t="shared" si="19"/>
        <v>LIZARD INVESTORS LLC - BLUECP</v>
      </c>
      <c r="K348" s="172" t="str">
        <f t="shared" si="17"/>
        <v/>
      </c>
      <c r="L348" s="172" t="str">
        <f t="shared" si="18"/>
        <v>Medical Plan</v>
      </c>
      <c r="R348" s="270" t="s">
        <v>2835</v>
      </c>
      <c r="S348" s="270" t="s">
        <v>71</v>
      </c>
    </row>
    <row r="349" spans="4:19" ht="30" customHeight="1" x14ac:dyDescent="0.25">
      <c r="D349" s="171" t="s">
        <v>2271</v>
      </c>
      <c r="E349" s="171" t="s">
        <v>67</v>
      </c>
      <c r="F349" s="171" t="s">
        <v>2344</v>
      </c>
      <c r="G349" s="171" t="s">
        <v>2271</v>
      </c>
      <c r="H349" s="171" t="s">
        <v>2271</v>
      </c>
      <c r="I349" s="171" t="s">
        <v>2826</v>
      </c>
      <c r="J349" s="172" t="str">
        <f t="shared" si="19"/>
        <v>LIZARD INVESTORS LLC - BLUECP</v>
      </c>
      <c r="K349" s="172" t="str">
        <f t="shared" si="17"/>
        <v/>
      </c>
      <c r="L349" s="172" t="str">
        <f t="shared" si="18"/>
        <v>Medical Plan</v>
      </c>
      <c r="R349" s="270" t="s">
        <v>2835</v>
      </c>
      <c r="S349" s="270" t="s">
        <v>1761</v>
      </c>
    </row>
    <row r="350" spans="4:19" ht="30" customHeight="1" x14ac:dyDescent="0.25">
      <c r="D350" s="171" t="s">
        <v>1719</v>
      </c>
      <c r="E350" s="171" t="s">
        <v>70</v>
      </c>
      <c r="F350" s="171" t="s">
        <v>1813</v>
      </c>
      <c r="G350" s="171" t="s">
        <v>1312</v>
      </c>
      <c r="H350" s="171" t="s">
        <v>1313</v>
      </c>
      <c r="I350" s="171" t="s">
        <v>1314</v>
      </c>
      <c r="J350" s="172" t="str">
        <f t="shared" si="19"/>
        <v>LLT GROUP, INC - BLUE OPTIONS</v>
      </c>
      <c r="K350" s="172" t="str">
        <f t="shared" si="17"/>
        <v/>
      </c>
      <c r="L350" s="172" t="str">
        <f t="shared" si="18"/>
        <v>Medical Plan</v>
      </c>
      <c r="R350" s="270" t="s">
        <v>2558</v>
      </c>
      <c r="S350" s="270" t="s">
        <v>71</v>
      </c>
    </row>
    <row r="351" spans="4:19" ht="30" customHeight="1" x14ac:dyDescent="0.25">
      <c r="D351" s="171" t="s">
        <v>1717</v>
      </c>
      <c r="E351" s="171" t="s">
        <v>70</v>
      </c>
      <c r="F351" s="171" t="s">
        <v>1811</v>
      </c>
      <c r="G351" s="171" t="s">
        <v>1312</v>
      </c>
      <c r="H351" s="171" t="s">
        <v>1313</v>
      </c>
      <c r="I351" s="171" t="s">
        <v>1314</v>
      </c>
      <c r="J351" s="172" t="str">
        <f t="shared" si="19"/>
        <v>LLT GROUP, INC - BLUE OPTIONS</v>
      </c>
      <c r="K351" s="172" t="str">
        <f t="shared" si="17"/>
        <v/>
      </c>
      <c r="L351" s="172" t="str">
        <f t="shared" si="18"/>
        <v>Medical Plan</v>
      </c>
      <c r="R351" s="270" t="s">
        <v>2558</v>
      </c>
      <c r="S351" s="270" t="s">
        <v>1761</v>
      </c>
    </row>
    <row r="352" spans="4:19" ht="30" customHeight="1" x14ac:dyDescent="0.25">
      <c r="D352" s="171" t="s">
        <v>1721</v>
      </c>
      <c r="E352" s="171" t="s">
        <v>1764</v>
      </c>
      <c r="F352" s="171" t="s">
        <v>1815</v>
      </c>
      <c r="G352" s="171" t="s">
        <v>1312</v>
      </c>
      <c r="H352" s="171" t="s">
        <v>1313</v>
      </c>
      <c r="I352" s="171" t="s">
        <v>1314</v>
      </c>
      <c r="J352" s="172" t="str">
        <f t="shared" si="19"/>
        <v>LLT GROUP, INC - BLUE PRECISION</v>
      </c>
      <c r="K352" s="172" t="str">
        <f t="shared" si="17"/>
        <v>BAV</v>
      </c>
      <c r="L352" s="172" t="str">
        <f t="shared" si="18"/>
        <v>Medical Plan</v>
      </c>
      <c r="R352" s="270" t="s">
        <v>2502</v>
      </c>
      <c r="S352" s="270" t="s">
        <v>70</v>
      </c>
    </row>
    <row r="353" spans="4:19" ht="30" customHeight="1" x14ac:dyDescent="0.25">
      <c r="D353" s="171" t="s">
        <v>1718</v>
      </c>
      <c r="E353" s="171" t="s">
        <v>67</v>
      </c>
      <c r="F353" s="171" t="s">
        <v>1812</v>
      </c>
      <c r="G353" s="171" t="s">
        <v>1312</v>
      </c>
      <c r="H353" s="171" t="s">
        <v>1313</v>
      </c>
      <c r="I353" s="171" t="s">
        <v>1314</v>
      </c>
      <c r="J353" s="172" t="str">
        <f t="shared" si="19"/>
        <v>LLT GROUP, INC - BLUECP</v>
      </c>
      <c r="K353" s="172" t="str">
        <f t="shared" si="17"/>
        <v/>
      </c>
      <c r="L353" s="172" t="str">
        <f t="shared" si="18"/>
        <v>Medical Plan</v>
      </c>
      <c r="R353" s="270" t="s">
        <v>2860</v>
      </c>
      <c r="S353" s="270" t="s">
        <v>67</v>
      </c>
    </row>
    <row r="354" spans="4:19" ht="30" customHeight="1" x14ac:dyDescent="0.25">
      <c r="D354" s="171" t="s">
        <v>1720</v>
      </c>
      <c r="E354" s="171" t="s">
        <v>67</v>
      </c>
      <c r="F354" s="171" t="s">
        <v>1814</v>
      </c>
      <c r="G354" s="171" t="s">
        <v>1312</v>
      </c>
      <c r="H354" s="171" t="s">
        <v>1313</v>
      </c>
      <c r="I354" s="171" t="s">
        <v>1314</v>
      </c>
      <c r="J354" s="172" t="str">
        <f t="shared" si="19"/>
        <v>LLT GROUP, INC - BLUECP</v>
      </c>
      <c r="K354" s="172" t="str">
        <f t="shared" si="17"/>
        <v/>
      </c>
      <c r="L354" s="172" t="str">
        <f t="shared" si="18"/>
        <v>Medical Plan</v>
      </c>
      <c r="R354" s="270" t="s">
        <v>1335</v>
      </c>
      <c r="S354" s="270" t="s">
        <v>67</v>
      </c>
    </row>
    <row r="355" spans="4:19" ht="30" customHeight="1" x14ac:dyDescent="0.25">
      <c r="D355" s="171" t="s">
        <v>2271</v>
      </c>
      <c r="E355" s="171" t="s">
        <v>71</v>
      </c>
      <c r="G355" s="171" t="s">
        <v>2271</v>
      </c>
      <c r="H355" s="171" t="s">
        <v>2271</v>
      </c>
      <c r="I355" s="171" t="s">
        <v>2827</v>
      </c>
      <c r="J355" s="172" t="str">
        <f t="shared" si="19"/>
        <v>LND HOLDINGS, INC. - No Coverage</v>
      </c>
      <c r="K355" s="172" t="str">
        <f t="shared" si="17"/>
        <v/>
      </c>
      <c r="L355" s="172" t="str">
        <f t="shared" si="18"/>
        <v>Medical Plan</v>
      </c>
      <c r="R355" s="270" t="s">
        <v>2861</v>
      </c>
      <c r="S355" s="270" t="s">
        <v>1761</v>
      </c>
    </row>
    <row r="356" spans="4:19" ht="30" customHeight="1" x14ac:dyDescent="0.25">
      <c r="D356" s="171" t="s">
        <v>2271</v>
      </c>
      <c r="E356" s="171" t="s">
        <v>1772</v>
      </c>
      <c r="F356" s="171" t="s">
        <v>2255</v>
      </c>
      <c r="G356" s="171" t="s">
        <v>2271</v>
      </c>
      <c r="H356" s="171" t="s">
        <v>2271</v>
      </c>
      <c r="I356" s="171" t="s">
        <v>2827</v>
      </c>
      <c r="J356" s="172" t="str">
        <f t="shared" si="19"/>
        <v>LND HOLDINGS, INC. - BLUE ADV HMO</v>
      </c>
      <c r="K356" s="172" t="str">
        <f t="shared" si="17"/>
        <v>ADV</v>
      </c>
      <c r="L356" s="172" t="str">
        <f t="shared" si="18"/>
        <v>Medical Plan</v>
      </c>
      <c r="R356" s="270" t="s">
        <v>2862</v>
      </c>
      <c r="S356" s="270" t="s">
        <v>1761</v>
      </c>
    </row>
    <row r="357" spans="4:19" ht="30" customHeight="1" x14ac:dyDescent="0.25">
      <c r="D357" s="171" t="s">
        <v>2271</v>
      </c>
      <c r="E357" s="171" t="s">
        <v>70</v>
      </c>
      <c r="F357" s="171" t="s">
        <v>2696</v>
      </c>
      <c r="G357" s="171" t="s">
        <v>2271</v>
      </c>
      <c r="H357" s="171" t="s">
        <v>2271</v>
      </c>
      <c r="I357" s="171" t="s">
        <v>2827</v>
      </c>
      <c r="J357" s="172" t="str">
        <f t="shared" si="19"/>
        <v>LND HOLDINGS, INC. - BLUE OPTIONS</v>
      </c>
      <c r="K357" s="172" t="str">
        <f t="shared" si="17"/>
        <v/>
      </c>
      <c r="L357" s="172" t="str">
        <f t="shared" si="18"/>
        <v>Medical Plan</v>
      </c>
      <c r="R357" s="270" t="s">
        <v>2504</v>
      </c>
      <c r="S357" s="270" t="s">
        <v>70</v>
      </c>
    </row>
    <row r="358" spans="4:19" ht="30" customHeight="1" x14ac:dyDescent="0.25">
      <c r="D358" s="171" t="s">
        <v>2271</v>
      </c>
      <c r="E358" s="171" t="s">
        <v>70</v>
      </c>
      <c r="F358" s="171" t="s">
        <v>2695</v>
      </c>
      <c r="G358" s="171" t="s">
        <v>2271</v>
      </c>
      <c r="H358" s="171" t="s">
        <v>2271</v>
      </c>
      <c r="I358" s="171" t="s">
        <v>2827</v>
      </c>
      <c r="J358" s="172" t="str">
        <f t="shared" si="19"/>
        <v>LND HOLDINGS, INC. - BLUE OPTIONS</v>
      </c>
      <c r="K358" s="172" t="str">
        <f t="shared" si="17"/>
        <v/>
      </c>
      <c r="L358" s="172" t="str">
        <f t="shared" si="18"/>
        <v>Medical Plan</v>
      </c>
      <c r="R358" s="270" t="s">
        <v>2504</v>
      </c>
      <c r="S358" s="270" t="s">
        <v>1764</v>
      </c>
    </row>
    <row r="359" spans="4:19" ht="30" customHeight="1" x14ac:dyDescent="0.25">
      <c r="D359" s="171" t="s">
        <v>2271</v>
      </c>
      <c r="E359" s="171" t="s">
        <v>70</v>
      </c>
      <c r="F359" s="171" t="s">
        <v>2693</v>
      </c>
      <c r="G359" s="171" t="s">
        <v>2271</v>
      </c>
      <c r="H359" s="171" t="s">
        <v>2271</v>
      </c>
      <c r="I359" s="171" t="s">
        <v>2827</v>
      </c>
      <c r="J359" s="172" t="str">
        <f t="shared" si="19"/>
        <v>LND HOLDINGS, INC. - BLUE OPTIONS</v>
      </c>
      <c r="K359" s="172" t="str">
        <f t="shared" si="17"/>
        <v/>
      </c>
      <c r="L359" s="172" t="str">
        <f t="shared" si="18"/>
        <v>Medical Plan</v>
      </c>
      <c r="R359" s="270" t="s">
        <v>2504</v>
      </c>
      <c r="S359" s="270" t="s">
        <v>67</v>
      </c>
    </row>
    <row r="360" spans="4:19" ht="30" customHeight="1" x14ac:dyDescent="0.25">
      <c r="D360" s="171" t="s">
        <v>2271</v>
      </c>
      <c r="E360" s="171" t="s">
        <v>70</v>
      </c>
      <c r="F360" s="171" t="s">
        <v>2694</v>
      </c>
      <c r="G360" s="171" t="s">
        <v>2271</v>
      </c>
      <c r="H360" s="171" t="s">
        <v>2271</v>
      </c>
      <c r="I360" s="171" t="s">
        <v>2827</v>
      </c>
      <c r="J360" s="172" t="str">
        <f t="shared" si="19"/>
        <v>LND HOLDINGS, INC. - BLUE OPTIONS</v>
      </c>
      <c r="K360" s="172" t="str">
        <f t="shared" si="17"/>
        <v/>
      </c>
      <c r="L360" s="172" t="str">
        <f t="shared" si="18"/>
        <v>Medical Plan</v>
      </c>
      <c r="R360" s="270" t="s">
        <v>2504</v>
      </c>
      <c r="S360" s="270" t="s">
        <v>1761</v>
      </c>
    </row>
    <row r="361" spans="4:19" ht="30" customHeight="1" x14ac:dyDescent="0.25">
      <c r="D361" s="171" t="s">
        <v>2271</v>
      </c>
      <c r="E361" s="171" t="s">
        <v>1769</v>
      </c>
      <c r="F361" s="171" t="s">
        <v>2697</v>
      </c>
      <c r="G361" s="171" t="s">
        <v>2271</v>
      </c>
      <c r="H361" s="171" t="s">
        <v>2271</v>
      </c>
      <c r="I361" s="171" t="s">
        <v>2827</v>
      </c>
      <c r="J361" s="172" t="str">
        <f t="shared" si="19"/>
        <v>LND HOLDINGS, INC. - DENTAL</v>
      </c>
      <c r="K361" s="172" t="str">
        <f t="shared" si="17"/>
        <v/>
      </c>
      <c r="L361" s="172" t="str">
        <f t="shared" si="18"/>
        <v>Dental Plan</v>
      </c>
      <c r="R361" s="270" t="s">
        <v>2863</v>
      </c>
      <c r="S361" s="270" t="s">
        <v>1764</v>
      </c>
    </row>
    <row r="362" spans="4:19" ht="30" customHeight="1" x14ac:dyDescent="0.25">
      <c r="D362" s="171" t="s">
        <v>2271</v>
      </c>
      <c r="E362" s="171" t="s">
        <v>1764</v>
      </c>
      <c r="F362" s="171" t="s">
        <v>2698</v>
      </c>
      <c r="G362" s="171" t="s">
        <v>2271</v>
      </c>
      <c r="H362" s="171" t="s">
        <v>2271</v>
      </c>
      <c r="I362" s="171" t="s">
        <v>2828</v>
      </c>
      <c r="J362" s="172" t="str">
        <f t="shared" si="19"/>
        <v>LYMAN &amp; NIELSEN, LLC - BLUE PRECISION</v>
      </c>
      <c r="K362" s="172" t="str">
        <f t="shared" si="17"/>
        <v>BAV</v>
      </c>
      <c r="L362" s="172" t="str">
        <f t="shared" si="18"/>
        <v>Medical Plan</v>
      </c>
      <c r="R362" s="270" t="s">
        <v>2863</v>
      </c>
      <c r="S362" s="270" t="s">
        <v>1761</v>
      </c>
    </row>
    <row r="363" spans="4:19" ht="30" customHeight="1" x14ac:dyDescent="0.25">
      <c r="D363" s="171" t="s">
        <v>2271</v>
      </c>
      <c r="E363" s="171" t="s">
        <v>71</v>
      </c>
      <c r="G363" s="171" t="s">
        <v>2519</v>
      </c>
      <c r="H363" s="171" t="s">
        <v>2271</v>
      </c>
      <c r="I363" s="171" t="s">
        <v>2520</v>
      </c>
      <c r="J363" s="172" t="str">
        <f t="shared" si="19"/>
        <v>M &amp; G MSO, LLC - No Coverage</v>
      </c>
      <c r="K363" s="172" t="str">
        <f t="shared" si="17"/>
        <v/>
      </c>
      <c r="L363" s="172" t="str">
        <f t="shared" si="18"/>
        <v>Medical Plan</v>
      </c>
      <c r="R363" s="270" t="s">
        <v>2864</v>
      </c>
      <c r="S363" s="270" t="s">
        <v>70</v>
      </c>
    </row>
    <row r="364" spans="4:19" ht="30" customHeight="1" x14ac:dyDescent="0.25">
      <c r="D364" s="171" t="s">
        <v>2271</v>
      </c>
      <c r="E364" s="171" t="s">
        <v>1764</v>
      </c>
      <c r="F364" s="171" t="s">
        <v>2312</v>
      </c>
      <c r="G364" s="171" t="s">
        <v>2519</v>
      </c>
      <c r="H364" s="171" t="s">
        <v>2271</v>
      </c>
      <c r="I364" s="171" t="s">
        <v>2520</v>
      </c>
      <c r="J364" s="172" t="str">
        <f t="shared" si="19"/>
        <v>M &amp; G MSO, LLC - BLUE PRECISION</v>
      </c>
      <c r="K364" s="172" t="str">
        <f t="shared" si="17"/>
        <v>BAV</v>
      </c>
      <c r="L364" s="172" t="str">
        <f t="shared" si="18"/>
        <v>Medical Plan</v>
      </c>
      <c r="R364" s="270" t="s">
        <v>2864</v>
      </c>
      <c r="S364" s="270" t="s">
        <v>1764</v>
      </c>
    </row>
    <row r="365" spans="4:19" ht="30" customHeight="1" x14ac:dyDescent="0.25">
      <c r="D365" s="171" t="s">
        <v>2271</v>
      </c>
      <c r="E365" s="171" t="s">
        <v>1764</v>
      </c>
      <c r="F365" s="171" t="s">
        <v>2321</v>
      </c>
      <c r="G365" s="171" t="s">
        <v>2519</v>
      </c>
      <c r="H365" s="171" t="s">
        <v>2271</v>
      </c>
      <c r="I365" s="171" t="s">
        <v>2520</v>
      </c>
      <c r="J365" s="172" t="str">
        <f t="shared" si="19"/>
        <v>M &amp; G MSO, LLC - BLUE PRECISION</v>
      </c>
      <c r="K365" s="172" t="str">
        <f t="shared" si="17"/>
        <v>BAV</v>
      </c>
      <c r="L365" s="172" t="str">
        <f t="shared" si="18"/>
        <v>Medical Plan</v>
      </c>
      <c r="R365" s="270" t="s">
        <v>2864</v>
      </c>
      <c r="S365" s="270" t="s">
        <v>67</v>
      </c>
    </row>
    <row r="366" spans="4:19" ht="30" customHeight="1" x14ac:dyDescent="0.25">
      <c r="D366" s="171" t="s">
        <v>2271</v>
      </c>
      <c r="E366" s="171" t="s">
        <v>67</v>
      </c>
      <c r="F366" s="171" t="s">
        <v>2337</v>
      </c>
      <c r="G366" s="171" t="s">
        <v>2519</v>
      </c>
      <c r="H366" s="171" t="s">
        <v>2271</v>
      </c>
      <c r="I366" s="171" t="s">
        <v>2520</v>
      </c>
      <c r="J366" s="172" t="str">
        <f t="shared" si="19"/>
        <v>M &amp; G MSO, LLC - BLUECP</v>
      </c>
      <c r="K366" s="172" t="str">
        <f t="shared" si="17"/>
        <v/>
      </c>
      <c r="L366" s="172" t="str">
        <f t="shared" si="18"/>
        <v>Medical Plan</v>
      </c>
      <c r="R366" s="270" t="s">
        <v>2534</v>
      </c>
      <c r="S366" s="270" t="s">
        <v>71</v>
      </c>
    </row>
    <row r="367" spans="4:19" ht="30" customHeight="1" x14ac:dyDescent="0.25">
      <c r="D367" s="171" t="s">
        <v>2271</v>
      </c>
      <c r="E367" s="171" t="s">
        <v>1769</v>
      </c>
      <c r="F367" s="171" t="s">
        <v>2360</v>
      </c>
      <c r="G367" s="171" t="s">
        <v>2519</v>
      </c>
      <c r="H367" s="171" t="s">
        <v>2271</v>
      </c>
      <c r="I367" s="171" t="s">
        <v>2520</v>
      </c>
      <c r="J367" s="172" t="str">
        <f t="shared" si="19"/>
        <v>M &amp; G MSO, LLC - DENTAL</v>
      </c>
      <c r="K367" s="172" t="str">
        <f t="shared" si="17"/>
        <v/>
      </c>
      <c r="L367" s="172" t="str">
        <f t="shared" si="18"/>
        <v>Dental Plan</v>
      </c>
      <c r="R367" s="270" t="s">
        <v>2534</v>
      </c>
      <c r="S367" s="270" t="s">
        <v>1764</v>
      </c>
    </row>
    <row r="368" spans="4:19" ht="30" customHeight="1" x14ac:dyDescent="0.25">
      <c r="D368" s="171" t="s">
        <v>2271</v>
      </c>
      <c r="E368" s="171" t="s">
        <v>1769</v>
      </c>
      <c r="F368" s="171" t="s">
        <v>2361</v>
      </c>
      <c r="G368" s="171" t="s">
        <v>2519</v>
      </c>
      <c r="H368" s="171" t="s">
        <v>2271</v>
      </c>
      <c r="I368" s="171" t="s">
        <v>2520</v>
      </c>
      <c r="J368" s="172" t="str">
        <f t="shared" si="19"/>
        <v>M &amp; G MSO, LLC - DENTAL</v>
      </c>
      <c r="K368" s="172" t="str">
        <f t="shared" si="17"/>
        <v/>
      </c>
      <c r="L368" s="172" t="str">
        <f t="shared" si="18"/>
        <v>Dental Plan</v>
      </c>
      <c r="R368" s="270" t="s">
        <v>2534</v>
      </c>
      <c r="S368" s="270" t="s">
        <v>67</v>
      </c>
    </row>
    <row r="369" spans="4:19" ht="30" customHeight="1" x14ac:dyDescent="0.25">
      <c r="D369" s="171" t="s">
        <v>2271</v>
      </c>
      <c r="E369" s="171" t="s">
        <v>1761</v>
      </c>
      <c r="F369" s="171" t="s">
        <v>2430</v>
      </c>
      <c r="G369" s="171" t="s">
        <v>2519</v>
      </c>
      <c r="H369" s="171" t="s">
        <v>2271</v>
      </c>
      <c r="I369" s="171" t="s">
        <v>2520</v>
      </c>
      <c r="J369" s="172" t="str">
        <f t="shared" si="19"/>
        <v>M &amp; G MSO, LLC - PPO</v>
      </c>
      <c r="K369" s="172" t="str">
        <f t="shared" si="17"/>
        <v/>
      </c>
      <c r="L369" s="172" t="str">
        <f t="shared" si="18"/>
        <v>Medical Plan</v>
      </c>
      <c r="R369" s="270" t="s">
        <v>2534</v>
      </c>
      <c r="S369" s="270" t="s">
        <v>1761</v>
      </c>
    </row>
    <row r="370" spans="4:19" ht="30" customHeight="1" x14ac:dyDescent="0.25">
      <c r="D370" s="171" t="s">
        <v>2271</v>
      </c>
      <c r="E370" s="171" t="s">
        <v>1761</v>
      </c>
      <c r="F370" s="171" t="s">
        <v>2429</v>
      </c>
      <c r="G370" s="171" t="s">
        <v>2519</v>
      </c>
      <c r="H370" s="171" t="s">
        <v>2271</v>
      </c>
      <c r="I370" s="171" t="s">
        <v>2520</v>
      </c>
      <c r="J370" s="172" t="str">
        <f t="shared" si="19"/>
        <v>M &amp; G MSO, LLC - PPO</v>
      </c>
      <c r="K370" s="172" t="str">
        <f t="shared" si="17"/>
        <v/>
      </c>
      <c r="L370" s="172" t="str">
        <f t="shared" si="18"/>
        <v>Medical Plan</v>
      </c>
      <c r="R370" s="270" t="s">
        <v>2865</v>
      </c>
      <c r="S370" s="270" t="s">
        <v>1772</v>
      </c>
    </row>
    <row r="371" spans="4:19" ht="30" customHeight="1" x14ac:dyDescent="0.25">
      <c r="D371" s="171" t="s">
        <v>2271</v>
      </c>
      <c r="E371" s="171" t="s">
        <v>1761</v>
      </c>
      <c r="F371" s="171" t="s">
        <v>1762</v>
      </c>
      <c r="G371" s="171" t="s">
        <v>2519</v>
      </c>
      <c r="H371" s="171" t="s">
        <v>2271</v>
      </c>
      <c r="I371" s="171" t="s">
        <v>2520</v>
      </c>
      <c r="J371" s="172" t="str">
        <f t="shared" si="19"/>
        <v>M &amp; G MSO, LLC - PPO</v>
      </c>
      <c r="K371" s="172" t="str">
        <f t="shared" si="17"/>
        <v/>
      </c>
      <c r="L371" s="172" t="str">
        <f t="shared" si="18"/>
        <v>Medical Plan</v>
      </c>
      <c r="R371" s="270" t="s">
        <v>2865</v>
      </c>
      <c r="S371" s="270" t="s">
        <v>1761</v>
      </c>
    </row>
    <row r="372" spans="4:19" ht="30" customHeight="1" x14ac:dyDescent="0.25">
      <c r="D372" s="171" t="s">
        <v>2271</v>
      </c>
      <c r="E372" s="171" t="s">
        <v>1772</v>
      </c>
      <c r="F372" s="171" t="s">
        <v>2702</v>
      </c>
      <c r="G372" s="171" t="s">
        <v>2271</v>
      </c>
      <c r="H372" s="171" t="s">
        <v>2271</v>
      </c>
      <c r="I372" s="171" t="s">
        <v>2829</v>
      </c>
      <c r="J372" s="172" t="str">
        <f t="shared" si="19"/>
        <v>MAI CHI CORP. - BLUE ADV HMO</v>
      </c>
      <c r="K372" s="172" t="str">
        <f t="shared" si="17"/>
        <v>ADV</v>
      </c>
      <c r="L372" s="172" t="str">
        <f t="shared" si="18"/>
        <v>Medical Plan</v>
      </c>
      <c r="R372" s="270" t="s">
        <v>2536</v>
      </c>
      <c r="S372" s="270" t="s">
        <v>1764</v>
      </c>
    </row>
    <row r="373" spans="4:19" ht="30" customHeight="1" x14ac:dyDescent="0.25">
      <c r="D373" s="171" t="s">
        <v>2271</v>
      </c>
      <c r="E373" s="171" t="s">
        <v>1764</v>
      </c>
      <c r="F373" s="171" t="s">
        <v>2699</v>
      </c>
      <c r="G373" s="171" t="s">
        <v>2271</v>
      </c>
      <c r="H373" s="171" t="s">
        <v>2271</v>
      </c>
      <c r="I373" s="171" t="s">
        <v>2829</v>
      </c>
      <c r="J373" s="172" t="str">
        <f t="shared" si="19"/>
        <v>MAI CHI CORP. - BLUE PRECISION</v>
      </c>
      <c r="K373" s="172" t="str">
        <f t="shared" si="17"/>
        <v>BAV</v>
      </c>
      <c r="L373" s="172" t="str">
        <f t="shared" si="18"/>
        <v>Medical Plan</v>
      </c>
      <c r="R373" s="270" t="s">
        <v>2536</v>
      </c>
      <c r="S373" s="270" t="s">
        <v>1761</v>
      </c>
    </row>
    <row r="374" spans="4:19" ht="30" customHeight="1" x14ac:dyDescent="0.25">
      <c r="D374" s="171" t="s">
        <v>2271</v>
      </c>
      <c r="E374" s="171" t="s">
        <v>1761</v>
      </c>
      <c r="F374" s="171" t="s">
        <v>2700</v>
      </c>
      <c r="G374" s="171" t="s">
        <v>2271</v>
      </c>
      <c r="H374" s="171" t="s">
        <v>2271</v>
      </c>
      <c r="I374" s="171" t="s">
        <v>2829</v>
      </c>
      <c r="J374" s="172" t="str">
        <f t="shared" si="19"/>
        <v>MAI CHI CORP. - PPO</v>
      </c>
      <c r="K374" s="172" t="str">
        <f t="shared" si="17"/>
        <v/>
      </c>
      <c r="L374" s="172" t="str">
        <f t="shared" si="18"/>
        <v>Medical Plan</v>
      </c>
      <c r="R374" s="270" t="s">
        <v>2546</v>
      </c>
      <c r="S374" s="270" t="s">
        <v>67</v>
      </c>
    </row>
    <row r="375" spans="4:19" ht="30" customHeight="1" x14ac:dyDescent="0.25">
      <c r="D375" s="171" t="s">
        <v>2271</v>
      </c>
      <c r="E375" s="171" t="s">
        <v>1761</v>
      </c>
      <c r="F375" s="171" t="s">
        <v>2701</v>
      </c>
      <c r="G375" s="171" t="s">
        <v>2271</v>
      </c>
      <c r="H375" s="171" t="s">
        <v>2271</v>
      </c>
      <c r="I375" s="171" t="s">
        <v>2829</v>
      </c>
      <c r="J375" s="172" t="str">
        <f t="shared" si="19"/>
        <v>MAI CHI CORP. - PPO</v>
      </c>
      <c r="K375" s="172" t="str">
        <f t="shared" si="17"/>
        <v/>
      </c>
      <c r="L375" s="172" t="str">
        <f t="shared" si="18"/>
        <v>Medical Plan</v>
      </c>
      <c r="R375" s="270" t="s">
        <v>2546</v>
      </c>
      <c r="S375" s="270" t="s">
        <v>1761</v>
      </c>
    </row>
    <row r="376" spans="4:19" ht="30" customHeight="1" x14ac:dyDescent="0.25">
      <c r="D376" s="171" t="s">
        <v>2271</v>
      </c>
      <c r="E376" s="171" t="s">
        <v>71</v>
      </c>
      <c r="G376" s="171" t="s">
        <v>2271</v>
      </c>
      <c r="H376" s="171" t="s">
        <v>2271</v>
      </c>
      <c r="I376" s="171" t="s">
        <v>2830</v>
      </c>
      <c r="J376" s="172" t="str">
        <f t="shared" si="19"/>
        <v>MCLACHLAN, RISSMAN &amp; DOLL - No Coverage</v>
      </c>
      <c r="K376" s="172" t="str">
        <f t="shared" si="17"/>
        <v/>
      </c>
      <c r="L376" s="172" t="str">
        <f t="shared" si="18"/>
        <v>Medical Plan</v>
      </c>
      <c r="R376" s="270" t="s">
        <v>2560</v>
      </c>
      <c r="S376" s="270" t="s">
        <v>71</v>
      </c>
    </row>
    <row r="377" spans="4:19" ht="30" customHeight="1" x14ac:dyDescent="0.25">
      <c r="D377" s="171" t="s">
        <v>2271</v>
      </c>
      <c r="E377" s="171" t="s">
        <v>1769</v>
      </c>
      <c r="F377" s="171" t="s">
        <v>2703</v>
      </c>
      <c r="G377" s="171" t="s">
        <v>2271</v>
      </c>
      <c r="H377" s="171" t="s">
        <v>2271</v>
      </c>
      <c r="I377" s="171" t="s">
        <v>2830</v>
      </c>
      <c r="J377" s="172" t="str">
        <f t="shared" si="19"/>
        <v>MCLACHLAN, RISSMAN &amp; DOLL - DENTAL</v>
      </c>
      <c r="K377" s="172" t="str">
        <f t="shared" si="17"/>
        <v/>
      </c>
      <c r="L377" s="172" t="str">
        <f t="shared" si="18"/>
        <v>Dental Plan</v>
      </c>
      <c r="R377" s="270" t="s">
        <v>2560</v>
      </c>
      <c r="S377" s="270" t="s">
        <v>1761</v>
      </c>
    </row>
    <row r="378" spans="4:19" ht="30" customHeight="1" x14ac:dyDescent="0.25">
      <c r="D378" s="171" t="s">
        <v>2271</v>
      </c>
      <c r="E378" s="171" t="s">
        <v>1761</v>
      </c>
      <c r="F378" s="171" t="s">
        <v>2704</v>
      </c>
      <c r="G378" s="171" t="s">
        <v>2271</v>
      </c>
      <c r="H378" s="171" t="s">
        <v>2271</v>
      </c>
      <c r="I378" s="171" t="s">
        <v>2830</v>
      </c>
      <c r="J378" s="172" t="str">
        <f t="shared" si="19"/>
        <v>MCLACHLAN, RISSMAN &amp; DOLL - PPO</v>
      </c>
      <c r="K378" s="172" t="str">
        <f t="shared" si="17"/>
        <v/>
      </c>
      <c r="L378" s="172" t="str">
        <f t="shared" si="18"/>
        <v>Medical Plan</v>
      </c>
      <c r="R378" s="270" t="s">
        <v>2866</v>
      </c>
      <c r="S378" s="270" t="s">
        <v>1764</v>
      </c>
    </row>
    <row r="379" spans="4:19" ht="30" customHeight="1" x14ac:dyDescent="0.25">
      <c r="D379" s="171" t="s">
        <v>2271</v>
      </c>
      <c r="E379" s="171" t="s">
        <v>71</v>
      </c>
      <c r="G379" s="171" t="s">
        <v>2271</v>
      </c>
      <c r="H379" s="171" t="s">
        <v>2271</v>
      </c>
      <c r="I379" s="171" t="s">
        <v>2831</v>
      </c>
      <c r="J379" s="172" t="str">
        <f t="shared" si="19"/>
        <v>MCMAHON FOOD CORPORATION - No Coverage</v>
      </c>
      <c r="K379" s="172" t="str">
        <f t="shared" si="17"/>
        <v/>
      </c>
      <c r="L379" s="172" t="str">
        <f t="shared" si="18"/>
        <v>Medical Plan</v>
      </c>
      <c r="R379" s="270" t="s">
        <v>2866</v>
      </c>
      <c r="S379" s="270" t="s">
        <v>1761</v>
      </c>
    </row>
    <row r="380" spans="4:19" ht="30" customHeight="1" x14ac:dyDescent="0.25">
      <c r="D380" s="171" t="s">
        <v>2271</v>
      </c>
      <c r="E380" s="171" t="s">
        <v>1769</v>
      </c>
      <c r="F380" s="171" t="s">
        <v>2677</v>
      </c>
      <c r="G380" s="171" t="s">
        <v>2271</v>
      </c>
      <c r="H380" s="171" t="s">
        <v>2271</v>
      </c>
      <c r="I380" s="171" t="s">
        <v>2831</v>
      </c>
      <c r="J380" s="172" t="str">
        <f t="shared" si="19"/>
        <v>MCMAHON FOOD CORPORATION - DENTAL</v>
      </c>
      <c r="K380" s="172" t="str">
        <f t="shared" si="17"/>
        <v/>
      </c>
      <c r="L380" s="172" t="str">
        <f t="shared" si="18"/>
        <v>Dental Plan</v>
      </c>
      <c r="R380" s="270" t="s">
        <v>2867</v>
      </c>
      <c r="S380" s="270" t="s">
        <v>71</v>
      </c>
    </row>
    <row r="381" spans="4:19" ht="30" customHeight="1" x14ac:dyDescent="0.25">
      <c r="D381" s="171" t="s">
        <v>2271</v>
      </c>
      <c r="E381" s="171" t="s">
        <v>1761</v>
      </c>
      <c r="F381" s="171" t="s">
        <v>2705</v>
      </c>
      <c r="G381" s="171" t="s">
        <v>2271</v>
      </c>
      <c r="H381" s="171" t="s">
        <v>2271</v>
      </c>
      <c r="I381" s="171" t="s">
        <v>2831</v>
      </c>
      <c r="J381" s="172" t="str">
        <f t="shared" si="19"/>
        <v>MCMAHON FOOD CORPORATION - PPO</v>
      </c>
      <c r="K381" s="172" t="str">
        <f t="shared" si="17"/>
        <v/>
      </c>
      <c r="L381" s="172" t="str">
        <f t="shared" si="18"/>
        <v>Medical Plan</v>
      </c>
      <c r="R381" s="270" t="s">
        <v>2867</v>
      </c>
      <c r="S381" s="270" t="s">
        <v>1764</v>
      </c>
    </row>
    <row r="382" spans="4:19" ht="30" customHeight="1" x14ac:dyDescent="0.25">
      <c r="D382" s="171" t="s">
        <v>1722</v>
      </c>
      <c r="E382" s="171" t="s">
        <v>1772</v>
      </c>
      <c r="F382" s="171" t="s">
        <v>1816</v>
      </c>
      <c r="G382" s="171" t="s">
        <v>1315</v>
      </c>
      <c r="H382" s="171" t="s">
        <v>1315</v>
      </c>
      <c r="I382" s="171" t="s">
        <v>2131</v>
      </c>
      <c r="J382" s="172" t="str">
        <f t="shared" si="19"/>
        <v>MDG COMPUTER SERVICES INC - BLUE ADV HMO</v>
      </c>
      <c r="K382" s="172" t="str">
        <f t="shared" si="17"/>
        <v>ADV</v>
      </c>
      <c r="L382" s="172" t="str">
        <f t="shared" si="18"/>
        <v>Medical Plan</v>
      </c>
      <c r="R382" s="270" t="s">
        <v>2867</v>
      </c>
      <c r="S382" s="270" t="s">
        <v>67</v>
      </c>
    </row>
    <row r="383" spans="4:19" ht="30" customHeight="1" x14ac:dyDescent="0.25">
      <c r="D383" s="171" t="s">
        <v>1723</v>
      </c>
      <c r="E383" s="171" t="s">
        <v>1761</v>
      </c>
      <c r="F383" s="171" t="s">
        <v>1817</v>
      </c>
      <c r="G383" s="171" t="s">
        <v>1315</v>
      </c>
      <c r="H383" s="171" t="s">
        <v>1315</v>
      </c>
      <c r="I383" s="171" t="s">
        <v>2131</v>
      </c>
      <c r="J383" s="172" t="str">
        <f t="shared" si="19"/>
        <v>MDG COMPUTER SERVICES INC - PPO</v>
      </c>
      <c r="K383" s="172" t="str">
        <f t="shared" si="17"/>
        <v/>
      </c>
      <c r="L383" s="172" t="str">
        <f t="shared" si="18"/>
        <v>Medical Plan</v>
      </c>
      <c r="R383" s="270" t="s">
        <v>2867</v>
      </c>
      <c r="S383" s="270" t="s">
        <v>1761</v>
      </c>
    </row>
    <row r="384" spans="4:19" ht="30" customHeight="1" x14ac:dyDescent="0.25">
      <c r="D384" s="171" t="s">
        <v>1724</v>
      </c>
      <c r="E384" s="171" t="s">
        <v>1761</v>
      </c>
      <c r="F384" s="171" t="s">
        <v>1818</v>
      </c>
      <c r="G384" s="171" t="s">
        <v>1315</v>
      </c>
      <c r="H384" s="171" t="s">
        <v>1315</v>
      </c>
      <c r="I384" s="171" t="s">
        <v>2131</v>
      </c>
      <c r="J384" s="172" t="str">
        <f t="shared" si="19"/>
        <v>MDG COMPUTER SERVICES INC - PPO</v>
      </c>
      <c r="K384" s="172" t="str">
        <f t="shared" si="17"/>
        <v/>
      </c>
      <c r="L384" s="172" t="str">
        <f t="shared" si="18"/>
        <v>Medical Plan</v>
      </c>
      <c r="R384" s="270" t="s">
        <v>2538</v>
      </c>
      <c r="S384" s="270" t="s">
        <v>1764</v>
      </c>
    </row>
    <row r="385" spans="4:19" ht="30" customHeight="1" x14ac:dyDescent="0.25">
      <c r="D385" s="171" t="s">
        <v>2271</v>
      </c>
      <c r="E385" s="171" t="s">
        <v>70</v>
      </c>
      <c r="F385" s="171" t="s">
        <v>2706</v>
      </c>
      <c r="G385" s="171" t="s">
        <v>2271</v>
      </c>
      <c r="H385" s="171" t="s">
        <v>2271</v>
      </c>
      <c r="I385" s="171" t="s">
        <v>2832</v>
      </c>
      <c r="J385" s="172" t="str">
        <f t="shared" si="19"/>
        <v>MEGEL &amp; O'CONNELL ENTERPRISES L - BLUE OPTIONS</v>
      </c>
      <c r="K385" s="172" t="str">
        <f t="shared" si="17"/>
        <v/>
      </c>
      <c r="L385" s="172" t="str">
        <f t="shared" si="18"/>
        <v>Medical Plan</v>
      </c>
      <c r="R385" s="270" t="s">
        <v>2538</v>
      </c>
      <c r="S385" s="270" t="s">
        <v>1761</v>
      </c>
    </row>
    <row r="386" spans="4:19" ht="30" customHeight="1" x14ac:dyDescent="0.25">
      <c r="D386" s="171" t="s">
        <v>2271</v>
      </c>
      <c r="E386" s="171" t="s">
        <v>71</v>
      </c>
      <c r="G386" s="171" t="s">
        <v>2271</v>
      </c>
      <c r="H386" s="171" t="s">
        <v>2271</v>
      </c>
      <c r="I386" s="171" t="s">
        <v>2833</v>
      </c>
      <c r="J386" s="172" t="str">
        <f t="shared" si="19"/>
        <v>METRO FEDERAL CREDIT UNION - No Coverage</v>
      </c>
      <c r="K386" s="172" t="str">
        <f t="shared" si="17"/>
        <v/>
      </c>
      <c r="L386" s="172" t="str">
        <f t="shared" si="18"/>
        <v>Medical Plan</v>
      </c>
    </row>
    <row r="387" spans="4:19" ht="30" customHeight="1" x14ac:dyDescent="0.25">
      <c r="D387" s="171" t="s">
        <v>2271</v>
      </c>
      <c r="E387" s="171" t="s">
        <v>1769</v>
      </c>
      <c r="F387" s="171" t="s">
        <v>2707</v>
      </c>
      <c r="G387" s="171" t="s">
        <v>2271</v>
      </c>
      <c r="H387" s="171" t="s">
        <v>2271</v>
      </c>
      <c r="I387" s="171" t="s">
        <v>2833</v>
      </c>
      <c r="J387" s="172" t="str">
        <f t="shared" si="19"/>
        <v>METRO FEDERAL CREDIT UNION - DENTAL</v>
      </c>
      <c r="K387" s="172" t="str">
        <f t="shared" ref="K387:K450" si="20">IFERROR(IF(VLOOKUP(E:E,N:O,2,0)="","",VLOOKUP(E:E,N:O,2,0)),"#N/A")</f>
        <v/>
      </c>
      <c r="L387" s="172" t="str">
        <f t="shared" ref="L387:L450" si="21">IFERROR(IF(VLOOKUP(E:E,N:P,3,0)="","#N/A",VLOOKUP(E:E,N:P,3,0)),"#N/A")</f>
        <v>Dental Plan</v>
      </c>
    </row>
    <row r="388" spans="4:19" ht="30" customHeight="1" x14ac:dyDescent="0.25">
      <c r="D388" s="171" t="s">
        <v>2271</v>
      </c>
      <c r="E388" s="171" t="s">
        <v>1761</v>
      </c>
      <c r="F388" s="171" t="s">
        <v>2709</v>
      </c>
      <c r="G388" s="171" t="s">
        <v>2271</v>
      </c>
      <c r="H388" s="171" t="s">
        <v>2271</v>
      </c>
      <c r="I388" s="171" t="s">
        <v>2833</v>
      </c>
      <c r="J388" s="172" t="str">
        <f t="shared" ref="J388:J451" si="22">I388&amp;" - "&amp;E388</f>
        <v>METRO FEDERAL CREDIT UNION - PPO</v>
      </c>
      <c r="K388" s="172" t="str">
        <f t="shared" si="20"/>
        <v/>
      </c>
      <c r="L388" s="172" t="str">
        <f t="shared" si="21"/>
        <v>Medical Plan</v>
      </c>
    </row>
    <row r="389" spans="4:19" ht="30" customHeight="1" x14ac:dyDescent="0.25">
      <c r="D389" s="171" t="s">
        <v>2271</v>
      </c>
      <c r="E389" s="171" t="s">
        <v>1761</v>
      </c>
      <c r="F389" s="171" t="s">
        <v>2708</v>
      </c>
      <c r="G389" s="171" t="s">
        <v>2271</v>
      </c>
      <c r="H389" s="171" t="s">
        <v>2271</v>
      </c>
      <c r="I389" s="171" t="s">
        <v>2833</v>
      </c>
      <c r="J389" s="172" t="str">
        <f t="shared" si="22"/>
        <v>METRO FEDERAL CREDIT UNION - PPO</v>
      </c>
      <c r="K389" s="172" t="str">
        <f t="shared" si="20"/>
        <v/>
      </c>
      <c r="L389" s="172" t="str">
        <f t="shared" si="21"/>
        <v>Medical Plan</v>
      </c>
    </row>
    <row r="390" spans="4:19" ht="30" customHeight="1" x14ac:dyDescent="0.25">
      <c r="D390" s="171" t="s">
        <v>1725</v>
      </c>
      <c r="E390" s="171" t="s">
        <v>70</v>
      </c>
      <c r="F390" s="171" t="s">
        <v>1819</v>
      </c>
      <c r="G390" s="171" t="s">
        <v>1316</v>
      </c>
      <c r="H390" s="171" t="s">
        <v>1316</v>
      </c>
      <c r="I390" s="171" t="s">
        <v>1317</v>
      </c>
      <c r="J390" s="172" t="str">
        <f t="shared" si="22"/>
        <v>METROPOLIS COFFEE COMPANY - BLUE OPTIONS</v>
      </c>
      <c r="K390" s="172" t="str">
        <f t="shared" si="20"/>
        <v/>
      </c>
      <c r="L390" s="172" t="str">
        <f t="shared" si="21"/>
        <v>Medical Plan</v>
      </c>
    </row>
    <row r="391" spans="4:19" ht="30" customHeight="1" x14ac:dyDescent="0.25">
      <c r="D391" s="171" t="s">
        <v>1727</v>
      </c>
      <c r="E391" s="171" t="s">
        <v>70</v>
      </c>
      <c r="F391" s="171" t="s">
        <v>1821</v>
      </c>
      <c r="G391" s="171" t="s">
        <v>1316</v>
      </c>
      <c r="H391" s="171" t="s">
        <v>1316</v>
      </c>
      <c r="I391" s="171" t="s">
        <v>1317</v>
      </c>
      <c r="J391" s="172" t="str">
        <f t="shared" si="22"/>
        <v>METROPOLIS COFFEE COMPANY - BLUE OPTIONS</v>
      </c>
      <c r="K391" s="172" t="str">
        <f t="shared" si="20"/>
        <v/>
      </c>
      <c r="L391" s="172" t="str">
        <f t="shared" si="21"/>
        <v>Medical Plan</v>
      </c>
    </row>
    <row r="392" spans="4:19" ht="30" customHeight="1" x14ac:dyDescent="0.25">
      <c r="D392" s="171" t="s">
        <v>1726</v>
      </c>
      <c r="E392" s="171" t="s">
        <v>1764</v>
      </c>
      <c r="F392" s="171" t="s">
        <v>1820</v>
      </c>
      <c r="G392" s="171" t="s">
        <v>1316</v>
      </c>
      <c r="H392" s="171" t="s">
        <v>1316</v>
      </c>
      <c r="I392" s="171" t="s">
        <v>1317</v>
      </c>
      <c r="J392" s="172" t="str">
        <f t="shared" si="22"/>
        <v>METROPOLIS COFFEE COMPANY - BLUE PRECISION</v>
      </c>
      <c r="K392" s="172" t="str">
        <f t="shared" si="20"/>
        <v>BAV</v>
      </c>
      <c r="L392" s="172" t="str">
        <f t="shared" si="21"/>
        <v>Medical Plan</v>
      </c>
    </row>
    <row r="393" spans="4:19" ht="30" customHeight="1" x14ac:dyDescent="0.25">
      <c r="D393" s="171" t="s">
        <v>2271</v>
      </c>
      <c r="E393" s="171" t="s">
        <v>1772</v>
      </c>
      <c r="F393" s="171" t="s">
        <v>2710</v>
      </c>
      <c r="G393" s="171" t="s">
        <v>2271</v>
      </c>
      <c r="H393" s="171" t="s">
        <v>2271</v>
      </c>
      <c r="I393" s="171" t="s">
        <v>2834</v>
      </c>
      <c r="J393" s="172" t="str">
        <f t="shared" si="22"/>
        <v>METROPOLITAN FAMILY SERVICES - BLUE ADV HMO</v>
      </c>
      <c r="K393" s="172" t="str">
        <f t="shared" si="20"/>
        <v>ADV</v>
      </c>
      <c r="L393" s="172" t="str">
        <f t="shared" si="21"/>
        <v>Medical Plan</v>
      </c>
    </row>
    <row r="394" spans="4:19" ht="30" customHeight="1" x14ac:dyDescent="0.25">
      <c r="D394" s="171" t="s">
        <v>2271</v>
      </c>
      <c r="E394" s="171" t="s">
        <v>70</v>
      </c>
      <c r="F394" s="171" t="s">
        <v>2712</v>
      </c>
      <c r="G394" s="171" t="s">
        <v>2271</v>
      </c>
      <c r="H394" s="171" t="s">
        <v>2271</v>
      </c>
      <c r="I394" s="171" t="s">
        <v>2834</v>
      </c>
      <c r="J394" s="172" t="str">
        <f t="shared" si="22"/>
        <v>METROPOLITAN FAMILY SERVICES - BLUE OPTIONS</v>
      </c>
      <c r="K394" s="172" t="str">
        <f t="shared" si="20"/>
        <v/>
      </c>
      <c r="L394" s="172" t="str">
        <f t="shared" si="21"/>
        <v>Medical Plan</v>
      </c>
    </row>
    <row r="395" spans="4:19" ht="30" customHeight="1" x14ac:dyDescent="0.25">
      <c r="D395" s="171" t="s">
        <v>2271</v>
      </c>
      <c r="E395" s="171" t="s">
        <v>70</v>
      </c>
      <c r="F395" s="171" t="s">
        <v>2711</v>
      </c>
      <c r="G395" s="171" t="s">
        <v>2271</v>
      </c>
      <c r="H395" s="171" t="s">
        <v>2271</v>
      </c>
      <c r="I395" s="171" t="s">
        <v>2834</v>
      </c>
      <c r="J395" s="172" t="str">
        <f t="shared" si="22"/>
        <v>METROPOLITAN FAMILY SERVICES - BLUE OPTIONS</v>
      </c>
      <c r="K395" s="172" t="str">
        <f t="shared" si="20"/>
        <v/>
      </c>
      <c r="L395" s="172" t="str">
        <f t="shared" si="21"/>
        <v>Medical Plan</v>
      </c>
    </row>
    <row r="396" spans="4:19" ht="30" customHeight="1" x14ac:dyDescent="0.25">
      <c r="D396" s="171" t="s">
        <v>2271</v>
      </c>
      <c r="E396" s="171" t="s">
        <v>1761</v>
      </c>
      <c r="F396" s="171" t="s">
        <v>2713</v>
      </c>
      <c r="G396" s="171" t="s">
        <v>2271</v>
      </c>
      <c r="H396" s="171" t="s">
        <v>2271</v>
      </c>
      <c r="I396" s="171" t="s">
        <v>2834</v>
      </c>
      <c r="J396" s="172" t="str">
        <f t="shared" si="22"/>
        <v>METROPOLITAN FAMILY SERVICES - PPO</v>
      </c>
      <c r="K396" s="172" t="str">
        <f t="shared" si="20"/>
        <v/>
      </c>
      <c r="L396" s="172" t="str">
        <f t="shared" si="21"/>
        <v>Medical Plan</v>
      </c>
    </row>
    <row r="397" spans="4:19" ht="30" customHeight="1" x14ac:dyDescent="0.25">
      <c r="D397" s="171" t="s">
        <v>2271</v>
      </c>
      <c r="E397" s="171" t="s">
        <v>1761</v>
      </c>
      <c r="F397" s="171" t="s">
        <v>2714</v>
      </c>
      <c r="G397" s="171" t="s">
        <v>2271</v>
      </c>
      <c r="H397" s="171" t="s">
        <v>2271</v>
      </c>
      <c r="I397" s="171" t="s">
        <v>2834</v>
      </c>
      <c r="J397" s="172" t="str">
        <f t="shared" si="22"/>
        <v>METROPOLITAN FAMILY SERVICES - PPO</v>
      </c>
      <c r="K397" s="172" t="str">
        <f t="shared" si="20"/>
        <v/>
      </c>
      <c r="L397" s="172" t="str">
        <f t="shared" si="21"/>
        <v>Medical Plan</v>
      </c>
    </row>
    <row r="398" spans="4:19" ht="30" customHeight="1" x14ac:dyDescent="0.25">
      <c r="D398" s="171" t="s">
        <v>2271</v>
      </c>
      <c r="E398" s="171" t="s">
        <v>1775</v>
      </c>
      <c r="F398" s="171" t="s">
        <v>2285</v>
      </c>
      <c r="G398" s="171" t="s">
        <v>2481</v>
      </c>
      <c r="H398" s="171" t="s">
        <v>2271</v>
      </c>
      <c r="I398" s="171" t="s">
        <v>2482</v>
      </c>
      <c r="J398" s="172" t="str">
        <f t="shared" si="22"/>
        <v>MID AMERICA ASSET MANAGEMENT INC - BLUE CHOICE SELECT</v>
      </c>
      <c r="K398" s="172" t="str">
        <f t="shared" si="20"/>
        <v/>
      </c>
      <c r="L398" s="172" t="str">
        <f t="shared" si="21"/>
        <v>Medical Plan</v>
      </c>
    </row>
    <row r="399" spans="4:19" ht="30" customHeight="1" x14ac:dyDescent="0.25">
      <c r="D399" s="171" t="s">
        <v>2271</v>
      </c>
      <c r="E399" s="171" t="s">
        <v>1775</v>
      </c>
      <c r="F399" s="171" t="s">
        <v>2284</v>
      </c>
      <c r="G399" s="171" t="s">
        <v>2481</v>
      </c>
      <c r="H399" s="171" t="s">
        <v>2271</v>
      </c>
      <c r="I399" s="171" t="s">
        <v>2482</v>
      </c>
      <c r="J399" s="172" t="str">
        <f t="shared" si="22"/>
        <v>MID AMERICA ASSET MANAGEMENT INC - BLUE CHOICE SELECT</v>
      </c>
      <c r="K399" s="172" t="str">
        <f t="shared" si="20"/>
        <v/>
      </c>
      <c r="L399" s="172" t="str">
        <f t="shared" si="21"/>
        <v>Medical Plan</v>
      </c>
    </row>
    <row r="400" spans="4:19" ht="30" customHeight="1" x14ac:dyDescent="0.25">
      <c r="D400" s="171" t="s">
        <v>2271</v>
      </c>
      <c r="E400" s="171" t="s">
        <v>1775</v>
      </c>
      <c r="F400" s="171" t="s">
        <v>2283</v>
      </c>
      <c r="G400" s="171" t="s">
        <v>2481</v>
      </c>
      <c r="H400" s="171" t="s">
        <v>2271</v>
      </c>
      <c r="I400" s="171" t="s">
        <v>2482</v>
      </c>
      <c r="J400" s="172" t="str">
        <f t="shared" si="22"/>
        <v>MID AMERICA ASSET MANAGEMENT INC - BLUE CHOICE SELECT</v>
      </c>
      <c r="K400" s="172" t="str">
        <f t="shared" si="20"/>
        <v/>
      </c>
      <c r="L400" s="172" t="str">
        <f t="shared" si="21"/>
        <v>Medical Plan</v>
      </c>
    </row>
    <row r="401" spans="4:12" ht="30" customHeight="1" x14ac:dyDescent="0.25">
      <c r="D401" s="171" t="s">
        <v>2271</v>
      </c>
      <c r="E401" s="171" t="s">
        <v>1761</v>
      </c>
      <c r="F401" s="171" t="s">
        <v>2434</v>
      </c>
      <c r="G401" s="171" t="s">
        <v>2481</v>
      </c>
      <c r="H401" s="171" t="s">
        <v>2271</v>
      </c>
      <c r="I401" s="171" t="s">
        <v>2482</v>
      </c>
      <c r="J401" s="172" t="str">
        <f t="shared" si="22"/>
        <v>MID AMERICA ASSET MANAGEMENT INC - PPO</v>
      </c>
      <c r="K401" s="172" t="str">
        <f t="shared" si="20"/>
        <v/>
      </c>
      <c r="L401" s="172" t="str">
        <f t="shared" si="21"/>
        <v>Medical Plan</v>
      </c>
    </row>
    <row r="402" spans="4:12" ht="30" customHeight="1" x14ac:dyDescent="0.25">
      <c r="D402" s="171" t="s">
        <v>2271</v>
      </c>
      <c r="E402" s="171" t="s">
        <v>1761</v>
      </c>
      <c r="F402" s="171" t="s">
        <v>2433</v>
      </c>
      <c r="G402" s="171" t="s">
        <v>2481</v>
      </c>
      <c r="H402" s="171" t="s">
        <v>2271</v>
      </c>
      <c r="I402" s="171" t="s">
        <v>2482</v>
      </c>
      <c r="J402" s="172" t="str">
        <f t="shared" si="22"/>
        <v>MID AMERICA ASSET MANAGEMENT INC - PPO</v>
      </c>
      <c r="K402" s="172" t="str">
        <f t="shared" si="20"/>
        <v/>
      </c>
      <c r="L402" s="172" t="str">
        <f t="shared" si="21"/>
        <v>Medical Plan</v>
      </c>
    </row>
    <row r="403" spans="4:12" ht="30" customHeight="1" x14ac:dyDescent="0.25">
      <c r="D403" s="171" t="s">
        <v>2271</v>
      </c>
      <c r="E403" s="171" t="s">
        <v>1761</v>
      </c>
      <c r="F403" s="171" t="s">
        <v>2432</v>
      </c>
      <c r="G403" s="171" t="s">
        <v>2481</v>
      </c>
      <c r="H403" s="171" t="s">
        <v>2271</v>
      </c>
      <c r="I403" s="171" t="s">
        <v>2482</v>
      </c>
      <c r="J403" s="172" t="str">
        <f t="shared" si="22"/>
        <v>MID AMERICA ASSET MANAGEMENT INC - PPO</v>
      </c>
      <c r="K403" s="172" t="str">
        <f t="shared" si="20"/>
        <v/>
      </c>
      <c r="L403" s="172" t="str">
        <f t="shared" si="21"/>
        <v>Medical Plan</v>
      </c>
    </row>
    <row r="404" spans="4:12" ht="30" customHeight="1" x14ac:dyDescent="0.25">
      <c r="D404" s="171" t="s">
        <v>2271</v>
      </c>
      <c r="E404" s="171" t="s">
        <v>1761</v>
      </c>
      <c r="F404" s="171" t="s">
        <v>2431</v>
      </c>
      <c r="G404" s="171" t="s">
        <v>2481</v>
      </c>
      <c r="H404" s="171" t="s">
        <v>2271</v>
      </c>
      <c r="I404" s="171" t="s">
        <v>2482</v>
      </c>
      <c r="J404" s="172" t="str">
        <f t="shared" si="22"/>
        <v>MID AMERICA ASSET MANAGEMENT INC - PPO</v>
      </c>
      <c r="K404" s="172" t="str">
        <f t="shared" si="20"/>
        <v/>
      </c>
      <c r="L404" s="172" t="str">
        <f t="shared" si="21"/>
        <v>Medical Plan</v>
      </c>
    </row>
    <row r="405" spans="4:12" ht="30" customHeight="1" x14ac:dyDescent="0.25">
      <c r="D405" s="171" t="s">
        <v>2271</v>
      </c>
      <c r="E405" s="171" t="s">
        <v>70</v>
      </c>
      <c r="F405" s="171" t="s">
        <v>2304</v>
      </c>
      <c r="G405" s="171" t="s">
        <v>2493</v>
      </c>
      <c r="H405" s="171" t="s">
        <v>2271</v>
      </c>
      <c r="I405" s="171" t="s">
        <v>2494</v>
      </c>
      <c r="J405" s="172" t="str">
        <f t="shared" si="22"/>
        <v>MID AMERICA REAL ESTATE CORPORATION - BLUE OPTIONS</v>
      </c>
      <c r="K405" s="172" t="str">
        <f t="shared" si="20"/>
        <v/>
      </c>
      <c r="L405" s="172" t="str">
        <f t="shared" si="21"/>
        <v>Medical Plan</v>
      </c>
    </row>
    <row r="406" spans="4:12" ht="30" customHeight="1" x14ac:dyDescent="0.25">
      <c r="D406" s="171" t="s">
        <v>2271</v>
      </c>
      <c r="E406" s="171" t="s">
        <v>67</v>
      </c>
      <c r="F406" s="171" t="s">
        <v>2338</v>
      </c>
      <c r="G406" s="171" t="s">
        <v>2493</v>
      </c>
      <c r="H406" s="171" t="s">
        <v>2271</v>
      </c>
      <c r="I406" s="171" t="s">
        <v>2494</v>
      </c>
      <c r="J406" s="172" t="str">
        <f t="shared" si="22"/>
        <v>MID AMERICA REAL ESTATE CORPORATION - BLUECP</v>
      </c>
      <c r="K406" s="172" t="str">
        <f t="shared" si="20"/>
        <v/>
      </c>
      <c r="L406" s="172" t="str">
        <f t="shared" si="21"/>
        <v>Medical Plan</v>
      </c>
    </row>
    <row r="407" spans="4:12" ht="30" customHeight="1" x14ac:dyDescent="0.25">
      <c r="D407" s="171" t="s">
        <v>2271</v>
      </c>
      <c r="E407" s="171" t="s">
        <v>1761</v>
      </c>
      <c r="F407" s="171" t="s">
        <v>2435</v>
      </c>
      <c r="G407" s="171" t="s">
        <v>2493</v>
      </c>
      <c r="H407" s="171" t="s">
        <v>2271</v>
      </c>
      <c r="I407" s="171" t="s">
        <v>2494</v>
      </c>
      <c r="J407" s="172" t="str">
        <f t="shared" si="22"/>
        <v>MID AMERICA REAL ESTATE CORPORATION - PPO</v>
      </c>
      <c r="K407" s="172" t="str">
        <f t="shared" si="20"/>
        <v/>
      </c>
      <c r="L407" s="172" t="str">
        <f t="shared" si="21"/>
        <v>Medical Plan</v>
      </c>
    </row>
    <row r="408" spans="4:12" ht="30" customHeight="1" x14ac:dyDescent="0.25">
      <c r="D408" s="171" t="s">
        <v>1728</v>
      </c>
      <c r="E408" s="171" t="s">
        <v>1772</v>
      </c>
      <c r="F408" s="171" t="s">
        <v>1822</v>
      </c>
      <c r="G408" s="171" t="s">
        <v>1318</v>
      </c>
      <c r="H408" s="171" t="s">
        <v>1318</v>
      </c>
      <c r="I408" s="171" t="s">
        <v>1319</v>
      </c>
      <c r="J408" s="172" t="str">
        <f t="shared" si="22"/>
        <v>MIDWEST GROUNDCOVERS - BLUE ADV HMO</v>
      </c>
      <c r="K408" s="172" t="str">
        <f t="shared" si="20"/>
        <v>ADV</v>
      </c>
      <c r="L408" s="172" t="str">
        <f t="shared" si="21"/>
        <v>Medical Plan</v>
      </c>
    </row>
    <row r="409" spans="4:12" ht="30" customHeight="1" x14ac:dyDescent="0.25">
      <c r="D409" s="171" t="s">
        <v>1731</v>
      </c>
      <c r="E409" s="171" t="s">
        <v>1775</v>
      </c>
      <c r="F409" s="171" t="s">
        <v>1825</v>
      </c>
      <c r="G409" s="171" t="s">
        <v>1318</v>
      </c>
      <c r="H409" s="171" t="s">
        <v>1318</v>
      </c>
      <c r="I409" s="171" t="s">
        <v>1319</v>
      </c>
      <c r="J409" s="172" t="str">
        <f t="shared" si="22"/>
        <v>MIDWEST GROUNDCOVERS - BLUE CHOICE SELECT</v>
      </c>
      <c r="K409" s="172" t="str">
        <f t="shared" si="20"/>
        <v/>
      </c>
      <c r="L409" s="172" t="str">
        <f t="shared" si="21"/>
        <v>Medical Plan</v>
      </c>
    </row>
    <row r="410" spans="4:12" ht="30" customHeight="1" x14ac:dyDescent="0.25">
      <c r="D410" s="171" t="s">
        <v>1729</v>
      </c>
      <c r="E410" s="171" t="s">
        <v>70</v>
      </c>
      <c r="F410" s="171" t="s">
        <v>1823</v>
      </c>
      <c r="G410" s="171" t="s">
        <v>1318</v>
      </c>
      <c r="H410" s="171" t="s">
        <v>1318</v>
      </c>
      <c r="I410" s="171" t="s">
        <v>1319</v>
      </c>
      <c r="J410" s="172" t="str">
        <f t="shared" si="22"/>
        <v>MIDWEST GROUNDCOVERS - BLUE OPTIONS</v>
      </c>
      <c r="K410" s="172" t="str">
        <f t="shared" si="20"/>
        <v/>
      </c>
      <c r="L410" s="172" t="str">
        <f t="shared" si="21"/>
        <v>Medical Plan</v>
      </c>
    </row>
    <row r="411" spans="4:12" ht="30" customHeight="1" x14ac:dyDescent="0.25">
      <c r="D411" s="171" t="s">
        <v>1730</v>
      </c>
      <c r="E411" s="171" t="s">
        <v>1761</v>
      </c>
      <c r="F411" s="171" t="s">
        <v>1824</v>
      </c>
      <c r="G411" s="171" t="s">
        <v>1318</v>
      </c>
      <c r="H411" s="171" t="s">
        <v>1318</v>
      </c>
      <c r="I411" s="171" t="s">
        <v>1319</v>
      </c>
      <c r="J411" s="172" t="str">
        <f t="shared" si="22"/>
        <v>MIDWEST GROUNDCOVERS - PPO</v>
      </c>
      <c r="K411" s="172" t="str">
        <f t="shared" si="20"/>
        <v/>
      </c>
      <c r="L411" s="172" t="str">
        <f t="shared" si="21"/>
        <v>Medical Plan</v>
      </c>
    </row>
    <row r="412" spans="4:12" ht="30" customHeight="1" x14ac:dyDescent="0.25">
      <c r="D412" s="171" t="s">
        <v>2271</v>
      </c>
      <c r="E412" s="171" t="s">
        <v>1764</v>
      </c>
      <c r="F412" s="171" t="s">
        <v>2317</v>
      </c>
      <c r="G412" s="171" t="s">
        <v>2271</v>
      </c>
      <c r="H412" s="171" t="s">
        <v>2271</v>
      </c>
      <c r="I412" s="171" t="s">
        <v>2836</v>
      </c>
      <c r="J412" s="172" t="str">
        <f t="shared" si="22"/>
        <v>MINI MOTT CO - BLUE PRECISION</v>
      </c>
      <c r="K412" s="172" t="str">
        <f t="shared" si="20"/>
        <v>BAV</v>
      </c>
      <c r="L412" s="172" t="str">
        <f t="shared" si="21"/>
        <v>Medical Plan</v>
      </c>
    </row>
    <row r="413" spans="4:12" ht="30" customHeight="1" x14ac:dyDescent="0.25">
      <c r="D413" s="171" t="s">
        <v>2271</v>
      </c>
      <c r="E413" s="171" t="s">
        <v>1761</v>
      </c>
      <c r="F413" s="171" t="s">
        <v>2407</v>
      </c>
      <c r="G413" s="171" t="s">
        <v>2271</v>
      </c>
      <c r="H413" s="171" t="s">
        <v>2271</v>
      </c>
      <c r="I413" s="171" t="s">
        <v>2836</v>
      </c>
      <c r="J413" s="172" t="str">
        <f t="shared" si="22"/>
        <v>MINI MOTT CO - PPO</v>
      </c>
      <c r="K413" s="172" t="str">
        <f t="shared" si="20"/>
        <v/>
      </c>
      <c r="L413" s="172" t="str">
        <f t="shared" si="21"/>
        <v>Medical Plan</v>
      </c>
    </row>
    <row r="414" spans="4:12" ht="30" customHeight="1" x14ac:dyDescent="0.25">
      <c r="D414" s="171" t="s">
        <v>2271</v>
      </c>
      <c r="E414" s="171" t="s">
        <v>1764</v>
      </c>
      <c r="F414" s="171" t="s">
        <v>2688</v>
      </c>
      <c r="G414" s="171" t="s">
        <v>2271</v>
      </c>
      <c r="H414" s="171" t="s">
        <v>2271</v>
      </c>
      <c r="I414" s="171" t="s">
        <v>2837</v>
      </c>
      <c r="J414" s="172" t="str">
        <f t="shared" si="22"/>
        <v>MINUTEMAN PRESS - BLUE PRECISION</v>
      </c>
      <c r="K414" s="172" t="str">
        <f t="shared" si="20"/>
        <v>BAV</v>
      </c>
      <c r="L414" s="172" t="str">
        <f t="shared" si="21"/>
        <v>Medical Plan</v>
      </c>
    </row>
    <row r="415" spans="4:12" ht="30" customHeight="1" x14ac:dyDescent="0.25">
      <c r="D415" s="171" t="s">
        <v>2271</v>
      </c>
      <c r="E415" s="171" t="s">
        <v>1764</v>
      </c>
      <c r="F415" s="171" t="s">
        <v>2718</v>
      </c>
      <c r="G415" s="171" t="s">
        <v>2271</v>
      </c>
      <c r="H415" s="171" t="s">
        <v>2271</v>
      </c>
      <c r="I415" s="171" t="s">
        <v>2837</v>
      </c>
      <c r="J415" s="172" t="str">
        <f t="shared" si="22"/>
        <v>MINUTEMAN PRESS - BLUE PRECISION</v>
      </c>
      <c r="K415" s="172" t="str">
        <f t="shared" si="20"/>
        <v>BAV</v>
      </c>
      <c r="L415" s="172" t="str">
        <f t="shared" si="21"/>
        <v>Medical Plan</v>
      </c>
    </row>
    <row r="416" spans="4:12" ht="30" customHeight="1" x14ac:dyDescent="0.25">
      <c r="D416" s="171" t="s">
        <v>2271</v>
      </c>
      <c r="E416" s="171" t="s">
        <v>1764</v>
      </c>
      <c r="F416" s="171" t="s">
        <v>2717</v>
      </c>
      <c r="G416" s="171" t="s">
        <v>2271</v>
      </c>
      <c r="H416" s="171" t="s">
        <v>2271</v>
      </c>
      <c r="I416" s="171" t="s">
        <v>2837</v>
      </c>
      <c r="J416" s="172" t="str">
        <f t="shared" si="22"/>
        <v>MINUTEMAN PRESS - BLUE PRECISION</v>
      </c>
      <c r="K416" s="172" t="str">
        <f t="shared" si="20"/>
        <v>BAV</v>
      </c>
      <c r="L416" s="172" t="str">
        <f t="shared" si="21"/>
        <v>Medical Plan</v>
      </c>
    </row>
    <row r="417" spans="4:12" ht="30" customHeight="1" x14ac:dyDescent="0.25">
      <c r="D417" s="171" t="s">
        <v>2271</v>
      </c>
      <c r="E417" s="171" t="s">
        <v>67</v>
      </c>
      <c r="F417" s="171" t="s">
        <v>2716</v>
      </c>
      <c r="G417" s="171" t="s">
        <v>2271</v>
      </c>
      <c r="H417" s="171" t="s">
        <v>2271</v>
      </c>
      <c r="I417" s="171" t="s">
        <v>2837</v>
      </c>
      <c r="J417" s="172" t="str">
        <f t="shared" si="22"/>
        <v>MINUTEMAN PRESS - BLUECP</v>
      </c>
      <c r="K417" s="172" t="str">
        <f t="shared" si="20"/>
        <v/>
      </c>
      <c r="L417" s="172" t="str">
        <f t="shared" si="21"/>
        <v>Medical Plan</v>
      </c>
    </row>
    <row r="418" spans="4:12" ht="30" customHeight="1" x14ac:dyDescent="0.25">
      <c r="D418" s="171" t="s">
        <v>2271</v>
      </c>
      <c r="E418" s="171" t="s">
        <v>1761</v>
      </c>
      <c r="F418" s="171" t="s">
        <v>2719</v>
      </c>
      <c r="G418" s="171" t="s">
        <v>2271</v>
      </c>
      <c r="H418" s="171" t="s">
        <v>2271</v>
      </c>
      <c r="I418" s="171" t="s">
        <v>2837</v>
      </c>
      <c r="J418" s="172" t="str">
        <f t="shared" si="22"/>
        <v>MINUTEMAN PRESS - PPO</v>
      </c>
      <c r="K418" s="172" t="str">
        <f t="shared" si="20"/>
        <v/>
      </c>
      <c r="L418" s="172" t="str">
        <f t="shared" si="21"/>
        <v>Medical Plan</v>
      </c>
    </row>
    <row r="419" spans="4:12" ht="30" customHeight="1" x14ac:dyDescent="0.25">
      <c r="D419" s="171" t="s">
        <v>2271</v>
      </c>
      <c r="E419" s="171" t="s">
        <v>1761</v>
      </c>
      <c r="F419" s="171" t="s">
        <v>2720</v>
      </c>
      <c r="G419" s="171" t="s">
        <v>2271</v>
      </c>
      <c r="H419" s="171" t="s">
        <v>2271</v>
      </c>
      <c r="I419" s="171" t="s">
        <v>2837</v>
      </c>
      <c r="J419" s="172" t="str">
        <f t="shared" si="22"/>
        <v>MINUTEMAN PRESS - PPO</v>
      </c>
      <c r="K419" s="172" t="str">
        <f t="shared" si="20"/>
        <v/>
      </c>
      <c r="L419" s="172" t="str">
        <f t="shared" si="21"/>
        <v>Medical Plan</v>
      </c>
    </row>
    <row r="420" spans="4:12" ht="30" customHeight="1" x14ac:dyDescent="0.25">
      <c r="D420" s="171" t="s">
        <v>2271</v>
      </c>
      <c r="E420" s="171" t="s">
        <v>1761</v>
      </c>
      <c r="F420" s="171" t="s">
        <v>2625</v>
      </c>
      <c r="G420" s="171" t="s">
        <v>2271</v>
      </c>
      <c r="H420" s="171" t="s">
        <v>2271</v>
      </c>
      <c r="I420" s="171" t="s">
        <v>2838</v>
      </c>
      <c r="J420" s="172" t="str">
        <f t="shared" si="22"/>
        <v>MONTICELLO APARTMENTS - PPO</v>
      </c>
      <c r="K420" s="172" t="str">
        <f t="shared" si="20"/>
        <v/>
      </c>
      <c r="L420" s="172" t="str">
        <f t="shared" si="21"/>
        <v>Medical Plan</v>
      </c>
    </row>
    <row r="421" spans="4:12" ht="30" customHeight="1" x14ac:dyDescent="0.25">
      <c r="D421" s="171" t="s">
        <v>2271</v>
      </c>
      <c r="E421" s="171" t="s">
        <v>71</v>
      </c>
      <c r="G421" s="171" t="s">
        <v>2521</v>
      </c>
      <c r="H421" s="171" t="s">
        <v>2271</v>
      </c>
      <c r="I421" s="171" t="s">
        <v>2522</v>
      </c>
      <c r="J421" s="172" t="str">
        <f t="shared" si="22"/>
        <v>MVP PLUMBING - No Coverage</v>
      </c>
      <c r="K421" s="172" t="str">
        <f t="shared" si="20"/>
        <v/>
      </c>
      <c r="L421" s="172" t="str">
        <f t="shared" si="21"/>
        <v>Medical Plan</v>
      </c>
    </row>
    <row r="422" spans="4:12" ht="30" customHeight="1" x14ac:dyDescent="0.25">
      <c r="D422" s="171" t="s">
        <v>2271</v>
      </c>
      <c r="E422" s="171" t="s">
        <v>1764</v>
      </c>
      <c r="F422" s="171" t="s">
        <v>2322</v>
      </c>
      <c r="G422" s="171" t="s">
        <v>2521</v>
      </c>
      <c r="H422" s="171" t="s">
        <v>2271</v>
      </c>
      <c r="I422" s="171" t="s">
        <v>2522</v>
      </c>
      <c r="J422" s="172" t="str">
        <f t="shared" si="22"/>
        <v>MVP PLUMBING - BLUE PRECISION</v>
      </c>
      <c r="K422" s="172" t="str">
        <f t="shared" si="20"/>
        <v>BAV</v>
      </c>
      <c r="L422" s="172" t="str">
        <f t="shared" si="21"/>
        <v>Medical Plan</v>
      </c>
    </row>
    <row r="423" spans="4:12" ht="30" customHeight="1" x14ac:dyDescent="0.25">
      <c r="D423" s="171" t="s">
        <v>2271</v>
      </c>
      <c r="E423" s="171" t="s">
        <v>1769</v>
      </c>
      <c r="F423" s="171" t="s">
        <v>2362</v>
      </c>
      <c r="G423" s="171" t="s">
        <v>2521</v>
      </c>
      <c r="H423" s="171" t="s">
        <v>2271</v>
      </c>
      <c r="I423" s="171" t="s">
        <v>2522</v>
      </c>
      <c r="J423" s="172" t="str">
        <f t="shared" si="22"/>
        <v>MVP PLUMBING - DENTAL</v>
      </c>
      <c r="K423" s="172" t="str">
        <f t="shared" si="20"/>
        <v/>
      </c>
      <c r="L423" s="172" t="str">
        <f t="shared" si="21"/>
        <v>Dental Plan</v>
      </c>
    </row>
    <row r="424" spans="4:12" ht="30" customHeight="1" x14ac:dyDescent="0.25">
      <c r="D424" s="171" t="s">
        <v>2271</v>
      </c>
      <c r="E424" s="171" t="s">
        <v>1761</v>
      </c>
      <c r="F424" s="171" t="s">
        <v>2436</v>
      </c>
      <c r="G424" s="171" t="s">
        <v>2521</v>
      </c>
      <c r="H424" s="171" t="s">
        <v>2271</v>
      </c>
      <c r="I424" s="171" t="s">
        <v>2522</v>
      </c>
      <c r="J424" s="172" t="str">
        <f t="shared" si="22"/>
        <v>MVP PLUMBING - PPO</v>
      </c>
      <c r="K424" s="172" t="str">
        <f t="shared" si="20"/>
        <v/>
      </c>
      <c r="L424" s="172" t="str">
        <f t="shared" si="21"/>
        <v>Medical Plan</v>
      </c>
    </row>
    <row r="425" spans="4:12" ht="30" customHeight="1" x14ac:dyDescent="0.25">
      <c r="D425" s="171" t="s">
        <v>2271</v>
      </c>
      <c r="E425" s="171" t="s">
        <v>1772</v>
      </c>
      <c r="F425" s="171" t="s">
        <v>2721</v>
      </c>
      <c r="G425" s="171" t="s">
        <v>2271</v>
      </c>
      <c r="H425" s="171" t="s">
        <v>2271</v>
      </c>
      <c r="I425" s="171" t="s">
        <v>2839</v>
      </c>
      <c r="J425" s="172" t="str">
        <f t="shared" si="22"/>
        <v>NATIONAL TERMINALS CORPORATION - BLUE ADV HMO</v>
      </c>
      <c r="K425" s="172" t="str">
        <f t="shared" si="20"/>
        <v>ADV</v>
      </c>
      <c r="L425" s="172" t="str">
        <f t="shared" si="21"/>
        <v>Medical Plan</v>
      </c>
    </row>
    <row r="426" spans="4:12" ht="30" customHeight="1" x14ac:dyDescent="0.25">
      <c r="D426" s="171" t="s">
        <v>2271</v>
      </c>
      <c r="E426" s="171" t="s">
        <v>1761</v>
      </c>
      <c r="F426" s="171" t="s">
        <v>2723</v>
      </c>
      <c r="G426" s="171" t="s">
        <v>2271</v>
      </c>
      <c r="H426" s="171" t="s">
        <v>2271</v>
      </c>
      <c r="I426" s="171" t="s">
        <v>2839</v>
      </c>
      <c r="J426" s="172" t="str">
        <f t="shared" si="22"/>
        <v>NATIONAL TERMINALS CORPORATION - PPO</v>
      </c>
      <c r="K426" s="172" t="str">
        <f t="shared" si="20"/>
        <v/>
      </c>
      <c r="L426" s="172" t="str">
        <f t="shared" si="21"/>
        <v>Medical Plan</v>
      </c>
    </row>
    <row r="427" spans="4:12" ht="30" customHeight="1" x14ac:dyDescent="0.25">
      <c r="D427" s="171" t="s">
        <v>2271</v>
      </c>
      <c r="E427" s="171" t="s">
        <v>1761</v>
      </c>
      <c r="F427" s="171" t="s">
        <v>2722</v>
      </c>
      <c r="G427" s="171" t="s">
        <v>2271</v>
      </c>
      <c r="H427" s="171" t="s">
        <v>2271</v>
      </c>
      <c r="I427" s="171" t="s">
        <v>2839</v>
      </c>
      <c r="J427" s="172" t="str">
        <f t="shared" si="22"/>
        <v>NATIONAL TERMINALS CORPORATION - PPO</v>
      </c>
      <c r="K427" s="172" t="str">
        <f t="shared" si="20"/>
        <v/>
      </c>
      <c r="L427" s="172" t="str">
        <f t="shared" si="21"/>
        <v>Medical Plan</v>
      </c>
    </row>
    <row r="428" spans="4:12" ht="30" customHeight="1" x14ac:dyDescent="0.25">
      <c r="D428" s="171" t="s">
        <v>2271</v>
      </c>
      <c r="E428" s="171" t="s">
        <v>71</v>
      </c>
      <c r="G428" s="171" t="s">
        <v>2271</v>
      </c>
      <c r="H428" s="171" t="s">
        <v>2271</v>
      </c>
      <c r="I428" s="171" t="s">
        <v>2840</v>
      </c>
      <c r="J428" s="172" t="str">
        <f t="shared" si="22"/>
        <v>NEW CITY CHURCH MINISTRIES - No Coverage</v>
      </c>
      <c r="K428" s="172" t="str">
        <f t="shared" si="20"/>
        <v/>
      </c>
      <c r="L428" s="172" t="str">
        <f t="shared" si="21"/>
        <v>Medical Plan</v>
      </c>
    </row>
    <row r="429" spans="4:12" ht="30" customHeight="1" x14ac:dyDescent="0.25">
      <c r="D429" s="171" t="s">
        <v>2271</v>
      </c>
      <c r="E429" s="171" t="s">
        <v>1764</v>
      </c>
      <c r="F429" s="171" t="s">
        <v>1829</v>
      </c>
      <c r="G429" s="171" t="s">
        <v>2271</v>
      </c>
      <c r="H429" s="171" t="s">
        <v>2271</v>
      </c>
      <c r="I429" s="171" t="s">
        <v>2840</v>
      </c>
      <c r="J429" s="172" t="str">
        <f t="shared" si="22"/>
        <v>NEW CITY CHURCH MINISTRIES - BLUE PRECISION</v>
      </c>
      <c r="K429" s="172" t="str">
        <f t="shared" si="20"/>
        <v>BAV</v>
      </c>
      <c r="L429" s="172" t="str">
        <f t="shared" si="21"/>
        <v>Medical Plan</v>
      </c>
    </row>
    <row r="430" spans="4:12" ht="30" customHeight="1" x14ac:dyDescent="0.25">
      <c r="D430" s="171" t="s">
        <v>2271</v>
      </c>
      <c r="E430" s="171" t="s">
        <v>67</v>
      </c>
      <c r="F430" s="171" t="s">
        <v>2724</v>
      </c>
      <c r="G430" s="171" t="s">
        <v>2271</v>
      </c>
      <c r="H430" s="171" t="s">
        <v>2271</v>
      </c>
      <c r="I430" s="171" t="s">
        <v>2840</v>
      </c>
      <c r="J430" s="172" t="str">
        <f t="shared" si="22"/>
        <v>NEW CITY CHURCH MINISTRIES - BLUECP</v>
      </c>
      <c r="K430" s="172" t="str">
        <f t="shared" si="20"/>
        <v/>
      </c>
      <c r="L430" s="172" t="str">
        <f t="shared" si="21"/>
        <v>Medical Plan</v>
      </c>
    </row>
    <row r="431" spans="4:12" ht="30" customHeight="1" x14ac:dyDescent="0.25">
      <c r="D431" s="171" t="s">
        <v>2271</v>
      </c>
      <c r="E431" s="171" t="s">
        <v>1769</v>
      </c>
      <c r="F431" s="171" t="s">
        <v>2725</v>
      </c>
      <c r="G431" s="171" t="s">
        <v>2271</v>
      </c>
      <c r="H431" s="171" t="s">
        <v>2271</v>
      </c>
      <c r="I431" s="171" t="s">
        <v>2840</v>
      </c>
      <c r="J431" s="172" t="str">
        <f t="shared" si="22"/>
        <v>NEW CITY CHURCH MINISTRIES - DENTAL</v>
      </c>
      <c r="K431" s="172" t="str">
        <f t="shared" si="20"/>
        <v/>
      </c>
      <c r="L431" s="172" t="str">
        <f t="shared" si="21"/>
        <v>Dental Plan</v>
      </c>
    </row>
    <row r="432" spans="4:12" ht="30" customHeight="1" x14ac:dyDescent="0.25">
      <c r="D432" s="171" t="s">
        <v>2271</v>
      </c>
      <c r="E432" s="171" t="s">
        <v>1764</v>
      </c>
      <c r="F432" s="171" t="s">
        <v>2727</v>
      </c>
      <c r="G432" s="171" t="s">
        <v>2271</v>
      </c>
      <c r="H432" s="171" t="s">
        <v>2271</v>
      </c>
      <c r="I432" s="171" t="s">
        <v>2841</v>
      </c>
      <c r="J432" s="172" t="str">
        <f t="shared" si="22"/>
        <v>NORTH EAST MULTI REGIONAL TRAINING - BLUE PRECISION</v>
      </c>
      <c r="K432" s="172" t="str">
        <f t="shared" si="20"/>
        <v>BAV</v>
      </c>
      <c r="L432" s="172" t="str">
        <f t="shared" si="21"/>
        <v>Medical Plan</v>
      </c>
    </row>
    <row r="433" spans="4:12" ht="30" customHeight="1" x14ac:dyDescent="0.25">
      <c r="D433" s="171" t="s">
        <v>2271</v>
      </c>
      <c r="E433" s="171" t="s">
        <v>67</v>
      </c>
      <c r="F433" s="171" t="s">
        <v>2726</v>
      </c>
      <c r="G433" s="171" t="s">
        <v>2271</v>
      </c>
      <c r="H433" s="171" t="s">
        <v>2271</v>
      </c>
      <c r="I433" s="171" t="s">
        <v>2841</v>
      </c>
      <c r="J433" s="172" t="str">
        <f t="shared" si="22"/>
        <v>NORTH EAST MULTI REGIONAL TRAINING - BLUECP</v>
      </c>
      <c r="K433" s="172" t="str">
        <f t="shared" si="20"/>
        <v/>
      </c>
      <c r="L433" s="172" t="str">
        <f t="shared" si="21"/>
        <v>Medical Plan</v>
      </c>
    </row>
    <row r="434" spans="4:12" ht="30" customHeight="1" x14ac:dyDescent="0.25">
      <c r="D434" s="171" t="s">
        <v>2271</v>
      </c>
      <c r="E434" s="171" t="s">
        <v>1761</v>
      </c>
      <c r="F434" s="171" t="s">
        <v>2729</v>
      </c>
      <c r="G434" s="171" t="s">
        <v>2271</v>
      </c>
      <c r="H434" s="171" t="s">
        <v>2271</v>
      </c>
      <c r="I434" s="171" t="s">
        <v>2841</v>
      </c>
      <c r="J434" s="172" t="str">
        <f t="shared" si="22"/>
        <v>NORTH EAST MULTI REGIONAL TRAINING - PPO</v>
      </c>
      <c r="K434" s="172" t="str">
        <f t="shared" si="20"/>
        <v/>
      </c>
      <c r="L434" s="172" t="str">
        <f t="shared" si="21"/>
        <v>Medical Plan</v>
      </c>
    </row>
    <row r="435" spans="4:12" ht="30" customHeight="1" x14ac:dyDescent="0.25">
      <c r="D435" s="171" t="s">
        <v>2271</v>
      </c>
      <c r="E435" s="171" t="s">
        <v>1761</v>
      </c>
      <c r="F435" s="171" t="s">
        <v>2728</v>
      </c>
      <c r="G435" s="171" t="s">
        <v>2271</v>
      </c>
      <c r="H435" s="171" t="s">
        <v>2271</v>
      </c>
      <c r="I435" s="171" t="s">
        <v>2841</v>
      </c>
      <c r="J435" s="172" t="str">
        <f t="shared" si="22"/>
        <v>NORTH EAST MULTI REGIONAL TRAINING - PPO</v>
      </c>
      <c r="K435" s="172" t="str">
        <f t="shared" si="20"/>
        <v/>
      </c>
      <c r="L435" s="172" t="str">
        <f t="shared" si="21"/>
        <v>Medical Plan</v>
      </c>
    </row>
    <row r="436" spans="4:12" ht="30" customHeight="1" x14ac:dyDescent="0.25">
      <c r="D436" s="171" t="s">
        <v>2271</v>
      </c>
      <c r="E436" s="171" t="s">
        <v>70</v>
      </c>
      <c r="F436" s="171" t="s">
        <v>1819</v>
      </c>
      <c r="G436" s="171" t="s">
        <v>2271</v>
      </c>
      <c r="H436" s="171" t="s">
        <v>2271</v>
      </c>
      <c r="I436" s="171" t="s">
        <v>2842</v>
      </c>
      <c r="J436" s="172" t="str">
        <f t="shared" si="22"/>
        <v>NORTH PARK PUBLIC WATER - BLUE OPTIONS</v>
      </c>
      <c r="K436" s="172" t="str">
        <f t="shared" si="20"/>
        <v/>
      </c>
      <c r="L436" s="172" t="str">
        <f t="shared" si="21"/>
        <v>Medical Plan</v>
      </c>
    </row>
    <row r="437" spans="4:12" ht="30" customHeight="1" x14ac:dyDescent="0.25">
      <c r="D437" s="171" t="s">
        <v>2271</v>
      </c>
      <c r="E437" s="171" t="s">
        <v>1761</v>
      </c>
      <c r="F437" s="171" t="s">
        <v>2437</v>
      </c>
      <c r="G437" s="171" t="s">
        <v>2581</v>
      </c>
      <c r="H437" s="171" t="s">
        <v>2271</v>
      </c>
      <c r="I437" s="171" t="s">
        <v>2582</v>
      </c>
      <c r="J437" s="172" t="str">
        <f t="shared" si="22"/>
        <v>NUMERICAL ALGORITHMS GROUP, INC. - PPO</v>
      </c>
      <c r="K437" s="172" t="str">
        <f t="shared" si="20"/>
        <v/>
      </c>
      <c r="L437" s="172" t="str">
        <f t="shared" si="21"/>
        <v>Medical Plan</v>
      </c>
    </row>
    <row r="438" spans="4:12" ht="30" customHeight="1" x14ac:dyDescent="0.25">
      <c r="D438" s="171" t="s">
        <v>2271</v>
      </c>
      <c r="E438" s="171" t="s">
        <v>1761</v>
      </c>
      <c r="F438" s="171" t="s">
        <v>2438</v>
      </c>
      <c r="G438" s="171" t="s">
        <v>2581</v>
      </c>
      <c r="H438" s="171" t="s">
        <v>2271</v>
      </c>
      <c r="I438" s="171" t="s">
        <v>2582</v>
      </c>
      <c r="J438" s="172" t="str">
        <f t="shared" si="22"/>
        <v>NUMERICAL ALGORITHMS GROUP, INC. - PPO</v>
      </c>
      <c r="K438" s="172" t="str">
        <f t="shared" si="20"/>
        <v/>
      </c>
      <c r="L438" s="172" t="str">
        <f t="shared" si="21"/>
        <v>Medical Plan</v>
      </c>
    </row>
    <row r="439" spans="4:12" ht="30" customHeight="1" x14ac:dyDescent="0.25">
      <c r="D439" s="171" t="s">
        <v>2271</v>
      </c>
      <c r="E439" s="171" t="s">
        <v>1761</v>
      </c>
      <c r="F439" s="171" t="s">
        <v>2608</v>
      </c>
      <c r="G439" s="171" t="s">
        <v>2271</v>
      </c>
      <c r="H439" s="171" t="s">
        <v>2271</v>
      </c>
      <c r="I439" s="171" t="s">
        <v>2843</v>
      </c>
      <c r="J439" s="172" t="str">
        <f t="shared" si="22"/>
        <v>OLDE TOWNE FLOOR COVERING - PPO</v>
      </c>
      <c r="K439" s="172" t="str">
        <f t="shared" si="20"/>
        <v/>
      </c>
      <c r="L439" s="172" t="str">
        <f t="shared" si="21"/>
        <v>Medical Plan</v>
      </c>
    </row>
    <row r="440" spans="4:12" ht="30" customHeight="1" x14ac:dyDescent="0.25">
      <c r="D440" s="171" t="s">
        <v>2271</v>
      </c>
      <c r="E440" s="171" t="s">
        <v>1772</v>
      </c>
      <c r="F440" s="171" t="s">
        <v>2264</v>
      </c>
      <c r="G440" s="171" t="s">
        <v>2477</v>
      </c>
      <c r="H440" s="171" t="s">
        <v>2271</v>
      </c>
      <c r="I440" s="171" t="s">
        <v>2263</v>
      </c>
      <c r="J440" s="172" t="str">
        <f t="shared" si="22"/>
        <v>PAN AMERICAN BANK &amp; TRUST - BLUE ADV HMO</v>
      </c>
      <c r="K440" s="172" t="str">
        <f t="shared" si="20"/>
        <v>ADV</v>
      </c>
      <c r="L440" s="172" t="str">
        <f t="shared" si="21"/>
        <v>Medical Plan</v>
      </c>
    </row>
    <row r="441" spans="4:12" ht="30" customHeight="1" x14ac:dyDescent="0.25">
      <c r="D441" s="171" t="s">
        <v>2271</v>
      </c>
      <c r="E441" s="171" t="s">
        <v>1775</v>
      </c>
      <c r="F441" s="171" t="s">
        <v>2287</v>
      </c>
      <c r="G441" s="171" t="s">
        <v>2477</v>
      </c>
      <c r="H441" s="171" t="s">
        <v>2271</v>
      </c>
      <c r="I441" s="171" t="s">
        <v>2263</v>
      </c>
      <c r="J441" s="172" t="str">
        <f t="shared" si="22"/>
        <v>PAN AMERICAN BANK &amp; TRUST - BLUE CHOICE SELECT</v>
      </c>
      <c r="K441" s="172" t="str">
        <f t="shared" si="20"/>
        <v/>
      </c>
      <c r="L441" s="172" t="str">
        <f t="shared" si="21"/>
        <v>Medical Plan</v>
      </c>
    </row>
    <row r="442" spans="4:12" ht="30" customHeight="1" x14ac:dyDescent="0.25">
      <c r="D442" s="171" t="s">
        <v>2271</v>
      </c>
      <c r="E442" s="171" t="s">
        <v>1775</v>
      </c>
      <c r="F442" s="171" t="s">
        <v>2286</v>
      </c>
      <c r="G442" s="171" t="s">
        <v>2477</v>
      </c>
      <c r="H442" s="171" t="s">
        <v>2271</v>
      </c>
      <c r="I442" s="171" t="s">
        <v>2263</v>
      </c>
      <c r="J442" s="172" t="str">
        <f t="shared" si="22"/>
        <v>PAN AMERICAN BANK &amp; TRUST - BLUE CHOICE SELECT</v>
      </c>
      <c r="K442" s="172" t="str">
        <f t="shared" si="20"/>
        <v/>
      </c>
      <c r="L442" s="172" t="str">
        <f t="shared" si="21"/>
        <v>Medical Plan</v>
      </c>
    </row>
    <row r="443" spans="4:12" ht="30" customHeight="1" x14ac:dyDescent="0.25">
      <c r="D443" s="171" t="s">
        <v>2271</v>
      </c>
      <c r="E443" s="171" t="s">
        <v>70</v>
      </c>
      <c r="F443" s="171" t="s">
        <v>2305</v>
      </c>
      <c r="G443" s="171" t="s">
        <v>2477</v>
      </c>
      <c r="H443" s="171" t="s">
        <v>2271</v>
      </c>
      <c r="I443" s="171" t="s">
        <v>2263</v>
      </c>
      <c r="J443" s="172" t="str">
        <f t="shared" si="22"/>
        <v>PAN AMERICAN BANK &amp; TRUST - BLUE OPTIONS</v>
      </c>
      <c r="K443" s="172" t="str">
        <f t="shared" si="20"/>
        <v/>
      </c>
      <c r="L443" s="172" t="str">
        <f t="shared" si="21"/>
        <v>Medical Plan</v>
      </c>
    </row>
    <row r="444" spans="4:12" ht="30" customHeight="1" x14ac:dyDescent="0.25">
      <c r="D444" s="171" t="s">
        <v>2271</v>
      </c>
      <c r="E444" s="171" t="s">
        <v>1764</v>
      </c>
      <c r="F444" s="171" t="s">
        <v>2323</v>
      </c>
      <c r="G444" s="171" t="s">
        <v>2477</v>
      </c>
      <c r="H444" s="171" t="s">
        <v>2271</v>
      </c>
      <c r="I444" s="171" t="s">
        <v>2263</v>
      </c>
      <c r="J444" s="172" t="str">
        <f t="shared" si="22"/>
        <v>PAN AMERICAN BANK &amp; TRUST - BLUE PRECISION</v>
      </c>
      <c r="K444" s="172" t="str">
        <f t="shared" si="20"/>
        <v>BAV</v>
      </c>
      <c r="L444" s="172" t="str">
        <f t="shared" si="21"/>
        <v>Medical Plan</v>
      </c>
    </row>
    <row r="445" spans="4:12" ht="30" customHeight="1" x14ac:dyDescent="0.25">
      <c r="D445" s="171" t="s">
        <v>2271</v>
      </c>
      <c r="E445" s="171" t="s">
        <v>67</v>
      </c>
      <c r="F445" s="171" t="s">
        <v>2340</v>
      </c>
      <c r="G445" s="171" t="s">
        <v>2477</v>
      </c>
      <c r="H445" s="171" t="s">
        <v>2271</v>
      </c>
      <c r="I445" s="171" t="s">
        <v>2263</v>
      </c>
      <c r="J445" s="172" t="str">
        <f t="shared" si="22"/>
        <v>PAN AMERICAN BANK &amp; TRUST - BLUECP</v>
      </c>
      <c r="K445" s="172" t="str">
        <f t="shared" si="20"/>
        <v/>
      </c>
      <c r="L445" s="172" t="str">
        <f t="shared" si="21"/>
        <v>Medical Plan</v>
      </c>
    </row>
    <row r="446" spans="4:12" ht="30" customHeight="1" x14ac:dyDescent="0.25">
      <c r="D446" s="171" t="s">
        <v>2271</v>
      </c>
      <c r="E446" s="171" t="s">
        <v>67</v>
      </c>
      <c r="F446" s="171" t="s">
        <v>2339</v>
      </c>
      <c r="G446" s="171" t="s">
        <v>2477</v>
      </c>
      <c r="H446" s="171" t="s">
        <v>2271</v>
      </c>
      <c r="I446" s="171" t="s">
        <v>2263</v>
      </c>
      <c r="J446" s="172" t="str">
        <f t="shared" si="22"/>
        <v>PAN AMERICAN BANK &amp; TRUST - BLUECP</v>
      </c>
      <c r="K446" s="172" t="str">
        <f t="shared" si="20"/>
        <v/>
      </c>
      <c r="L446" s="172" t="str">
        <f t="shared" si="21"/>
        <v>Medical Plan</v>
      </c>
    </row>
    <row r="447" spans="4:12" ht="30" customHeight="1" x14ac:dyDescent="0.25">
      <c r="D447" s="171" t="s">
        <v>2271</v>
      </c>
      <c r="E447" s="171" t="s">
        <v>1761</v>
      </c>
      <c r="F447" s="171" t="s">
        <v>2440</v>
      </c>
      <c r="G447" s="171" t="s">
        <v>2477</v>
      </c>
      <c r="H447" s="171" t="s">
        <v>2271</v>
      </c>
      <c r="I447" s="171" t="s">
        <v>2263</v>
      </c>
      <c r="J447" s="172" t="str">
        <f t="shared" si="22"/>
        <v>PAN AMERICAN BANK &amp; TRUST - PPO</v>
      </c>
      <c r="K447" s="172" t="str">
        <f t="shared" si="20"/>
        <v/>
      </c>
      <c r="L447" s="172" t="str">
        <f t="shared" si="21"/>
        <v>Medical Plan</v>
      </c>
    </row>
    <row r="448" spans="4:12" ht="30" customHeight="1" x14ac:dyDescent="0.25">
      <c r="D448" s="171" t="s">
        <v>2271</v>
      </c>
      <c r="E448" s="171" t="s">
        <v>1761</v>
      </c>
      <c r="F448" s="171" t="s">
        <v>2442</v>
      </c>
      <c r="G448" s="171" t="s">
        <v>2477</v>
      </c>
      <c r="H448" s="171" t="s">
        <v>2271</v>
      </c>
      <c r="I448" s="171" t="s">
        <v>2263</v>
      </c>
      <c r="J448" s="172" t="str">
        <f t="shared" si="22"/>
        <v>PAN AMERICAN BANK &amp; TRUST - PPO</v>
      </c>
      <c r="K448" s="172" t="str">
        <f t="shared" si="20"/>
        <v/>
      </c>
      <c r="L448" s="172" t="str">
        <f t="shared" si="21"/>
        <v>Medical Plan</v>
      </c>
    </row>
    <row r="449" spans="4:12" ht="30" customHeight="1" x14ac:dyDescent="0.25">
      <c r="D449" s="171" t="s">
        <v>2271</v>
      </c>
      <c r="E449" s="171" t="s">
        <v>1761</v>
      </c>
      <c r="F449" s="171" t="s">
        <v>2439</v>
      </c>
      <c r="G449" s="171" t="s">
        <v>2477</v>
      </c>
      <c r="H449" s="171" t="s">
        <v>2271</v>
      </c>
      <c r="I449" s="171" t="s">
        <v>2263</v>
      </c>
      <c r="J449" s="172" t="str">
        <f t="shared" si="22"/>
        <v>PAN AMERICAN BANK &amp; TRUST - PPO</v>
      </c>
      <c r="K449" s="172" t="str">
        <f t="shared" si="20"/>
        <v/>
      </c>
      <c r="L449" s="172" t="str">
        <f t="shared" si="21"/>
        <v>Medical Plan</v>
      </c>
    </row>
    <row r="450" spans="4:12" ht="30" customHeight="1" x14ac:dyDescent="0.25">
      <c r="D450" s="171" t="s">
        <v>2271</v>
      </c>
      <c r="E450" s="171" t="s">
        <v>1761</v>
      </c>
      <c r="F450" s="171" t="s">
        <v>2441</v>
      </c>
      <c r="G450" s="171" t="s">
        <v>2477</v>
      </c>
      <c r="H450" s="171" t="s">
        <v>2271</v>
      </c>
      <c r="I450" s="171" t="s">
        <v>2263</v>
      </c>
      <c r="J450" s="172" t="str">
        <f t="shared" si="22"/>
        <v>PAN AMERICAN BANK &amp; TRUST - PPO</v>
      </c>
      <c r="K450" s="172" t="str">
        <f t="shared" si="20"/>
        <v/>
      </c>
      <c r="L450" s="172" t="str">
        <f t="shared" si="21"/>
        <v>Medical Plan</v>
      </c>
    </row>
    <row r="451" spans="4:12" ht="30" customHeight="1" x14ac:dyDescent="0.25">
      <c r="D451" s="171" t="s">
        <v>2271</v>
      </c>
      <c r="E451" s="171" t="s">
        <v>1761</v>
      </c>
      <c r="F451" s="171" t="s">
        <v>2430</v>
      </c>
      <c r="G451" s="171" t="s">
        <v>2477</v>
      </c>
      <c r="H451" s="171" t="s">
        <v>2271</v>
      </c>
      <c r="I451" s="171" t="s">
        <v>2263</v>
      </c>
      <c r="J451" s="172" t="str">
        <f t="shared" si="22"/>
        <v>PAN AMERICAN BANK &amp; TRUST - PPO</v>
      </c>
      <c r="K451" s="172" t="str">
        <f t="shared" ref="K451:K514" si="23">IFERROR(IF(VLOOKUP(E:E,N:O,2,0)="","",VLOOKUP(E:E,N:O,2,0)),"#N/A")</f>
        <v/>
      </c>
      <c r="L451" s="172" t="str">
        <f t="shared" ref="L451:L514" si="24">IFERROR(IF(VLOOKUP(E:E,N:P,3,0)="","#N/A",VLOOKUP(E:E,N:P,3,0)),"#N/A")</f>
        <v>Medical Plan</v>
      </c>
    </row>
    <row r="452" spans="4:12" ht="30" customHeight="1" x14ac:dyDescent="0.25">
      <c r="D452" s="171" t="s">
        <v>2271</v>
      </c>
      <c r="E452" s="171" t="s">
        <v>1764</v>
      </c>
      <c r="F452" s="171" t="s">
        <v>2315</v>
      </c>
      <c r="G452" s="171" t="s">
        <v>2523</v>
      </c>
      <c r="H452" s="171" t="s">
        <v>2271</v>
      </c>
      <c r="I452" s="171" t="s">
        <v>2524</v>
      </c>
      <c r="J452" s="172" t="str">
        <f t="shared" ref="J452:J515" si="25">I452&amp;" - "&amp;E452</f>
        <v>PARGREEN PROCESS TECHNOLOGIES - BLUE PRECISION</v>
      </c>
      <c r="K452" s="172" t="str">
        <f t="shared" si="23"/>
        <v>BAV</v>
      </c>
      <c r="L452" s="172" t="str">
        <f t="shared" si="24"/>
        <v>Medical Plan</v>
      </c>
    </row>
    <row r="453" spans="4:12" ht="30" customHeight="1" x14ac:dyDescent="0.25">
      <c r="D453" s="171" t="s">
        <v>2271</v>
      </c>
      <c r="E453" s="171" t="s">
        <v>1761</v>
      </c>
      <c r="F453" s="171" t="s">
        <v>2443</v>
      </c>
      <c r="G453" s="171" t="s">
        <v>2523</v>
      </c>
      <c r="H453" s="171" t="s">
        <v>2271</v>
      </c>
      <c r="I453" s="171" t="s">
        <v>2524</v>
      </c>
      <c r="J453" s="172" t="str">
        <f t="shared" si="25"/>
        <v>PARGREEN PROCESS TECHNOLOGIES - PPO</v>
      </c>
      <c r="K453" s="172" t="str">
        <f t="shared" si="23"/>
        <v/>
      </c>
      <c r="L453" s="172" t="str">
        <f t="shared" si="24"/>
        <v>Medical Plan</v>
      </c>
    </row>
    <row r="454" spans="4:12" ht="30" customHeight="1" x14ac:dyDescent="0.25">
      <c r="D454" s="171" t="s">
        <v>2271</v>
      </c>
      <c r="E454" s="171" t="s">
        <v>71</v>
      </c>
      <c r="G454" s="171" t="s">
        <v>2553</v>
      </c>
      <c r="H454" s="171" t="s">
        <v>2271</v>
      </c>
      <c r="I454" s="171" t="s">
        <v>2554</v>
      </c>
      <c r="J454" s="172" t="str">
        <f t="shared" si="25"/>
        <v>PEARL CITY ELEVATOR, INC. - No Coverage</v>
      </c>
      <c r="K454" s="172" t="str">
        <f t="shared" si="23"/>
        <v/>
      </c>
      <c r="L454" s="172" t="str">
        <f t="shared" si="24"/>
        <v>Medical Plan</v>
      </c>
    </row>
    <row r="455" spans="4:12" ht="30" customHeight="1" x14ac:dyDescent="0.25">
      <c r="D455" s="171" t="s">
        <v>2271</v>
      </c>
      <c r="E455" s="171" t="s">
        <v>1769</v>
      </c>
      <c r="F455" s="171" t="s">
        <v>2364</v>
      </c>
      <c r="G455" s="171" t="s">
        <v>2553</v>
      </c>
      <c r="H455" s="171" t="s">
        <v>2271</v>
      </c>
      <c r="I455" s="171" t="s">
        <v>2554</v>
      </c>
      <c r="J455" s="172" t="str">
        <f t="shared" si="25"/>
        <v>PEARL CITY ELEVATOR, INC. - DENTAL</v>
      </c>
      <c r="K455" s="172" t="str">
        <f t="shared" si="23"/>
        <v/>
      </c>
      <c r="L455" s="172" t="str">
        <f t="shared" si="24"/>
        <v>Dental Plan</v>
      </c>
    </row>
    <row r="456" spans="4:12" ht="30" customHeight="1" x14ac:dyDescent="0.25">
      <c r="D456" s="171" t="s">
        <v>2271</v>
      </c>
      <c r="E456" s="171" t="s">
        <v>1769</v>
      </c>
      <c r="F456" s="171" t="s">
        <v>2363</v>
      </c>
      <c r="G456" s="171" t="s">
        <v>2553</v>
      </c>
      <c r="H456" s="171" t="s">
        <v>2271</v>
      </c>
      <c r="I456" s="171" t="s">
        <v>2554</v>
      </c>
      <c r="J456" s="172" t="str">
        <f t="shared" si="25"/>
        <v>PEARL CITY ELEVATOR, INC. - DENTAL</v>
      </c>
      <c r="K456" s="172" t="str">
        <f t="shared" si="23"/>
        <v/>
      </c>
      <c r="L456" s="172" t="str">
        <f t="shared" si="24"/>
        <v>Dental Plan</v>
      </c>
    </row>
    <row r="457" spans="4:12" ht="30" customHeight="1" x14ac:dyDescent="0.25">
      <c r="D457" s="171" t="s">
        <v>2271</v>
      </c>
      <c r="E457" s="171" t="s">
        <v>1761</v>
      </c>
      <c r="F457" s="171" t="s">
        <v>2445</v>
      </c>
      <c r="G457" s="171" t="s">
        <v>2553</v>
      </c>
      <c r="H457" s="171" t="s">
        <v>2271</v>
      </c>
      <c r="I457" s="171" t="s">
        <v>2554</v>
      </c>
      <c r="J457" s="172" t="str">
        <f t="shared" si="25"/>
        <v>PEARL CITY ELEVATOR, INC. - PPO</v>
      </c>
      <c r="K457" s="172" t="str">
        <f t="shared" si="23"/>
        <v/>
      </c>
      <c r="L457" s="172" t="str">
        <f t="shared" si="24"/>
        <v>Medical Plan</v>
      </c>
    </row>
    <row r="458" spans="4:12" ht="30" customHeight="1" x14ac:dyDescent="0.25">
      <c r="D458" s="171" t="s">
        <v>2271</v>
      </c>
      <c r="E458" s="171" t="s">
        <v>1761</v>
      </c>
      <c r="F458" s="171" t="s">
        <v>2446</v>
      </c>
      <c r="G458" s="171" t="s">
        <v>2553</v>
      </c>
      <c r="H458" s="171" t="s">
        <v>2271</v>
      </c>
      <c r="I458" s="171" t="s">
        <v>2554</v>
      </c>
      <c r="J458" s="172" t="str">
        <f t="shared" si="25"/>
        <v>PEARL CITY ELEVATOR, INC. - PPO</v>
      </c>
      <c r="K458" s="172" t="str">
        <f t="shared" si="23"/>
        <v/>
      </c>
      <c r="L458" s="172" t="str">
        <f t="shared" si="24"/>
        <v>Medical Plan</v>
      </c>
    </row>
    <row r="459" spans="4:12" ht="30" customHeight="1" x14ac:dyDescent="0.25">
      <c r="D459" s="171" t="s">
        <v>2271</v>
      </c>
      <c r="E459" s="171" t="s">
        <v>1761</v>
      </c>
      <c r="F459" s="171" t="s">
        <v>2444</v>
      </c>
      <c r="G459" s="171" t="s">
        <v>2553</v>
      </c>
      <c r="H459" s="171" t="s">
        <v>2271</v>
      </c>
      <c r="I459" s="171" t="s">
        <v>2554</v>
      </c>
      <c r="J459" s="172" t="str">
        <f t="shared" si="25"/>
        <v>PEARL CITY ELEVATOR, INC. - PPO</v>
      </c>
      <c r="K459" s="172" t="str">
        <f t="shared" si="23"/>
        <v/>
      </c>
      <c r="L459" s="172" t="str">
        <f t="shared" si="24"/>
        <v>Medical Plan</v>
      </c>
    </row>
    <row r="460" spans="4:12" ht="30" customHeight="1" x14ac:dyDescent="0.25">
      <c r="D460" s="171" t="s">
        <v>2271</v>
      </c>
      <c r="E460" s="171" t="s">
        <v>70</v>
      </c>
      <c r="F460" s="171" t="s">
        <v>2306</v>
      </c>
      <c r="G460" s="171" t="s">
        <v>2495</v>
      </c>
      <c r="H460" s="171" t="s">
        <v>2271</v>
      </c>
      <c r="I460" s="171" t="s">
        <v>2496</v>
      </c>
      <c r="J460" s="172" t="str">
        <f t="shared" si="25"/>
        <v>PENROSE BREWING COMPANY - BLUE OPTIONS</v>
      </c>
      <c r="K460" s="172" t="str">
        <f t="shared" si="23"/>
        <v/>
      </c>
      <c r="L460" s="172" t="str">
        <f t="shared" si="24"/>
        <v>Medical Plan</v>
      </c>
    </row>
    <row r="461" spans="4:12" ht="30" customHeight="1" x14ac:dyDescent="0.25">
      <c r="D461" s="171" t="s">
        <v>2271</v>
      </c>
      <c r="E461" s="171" t="s">
        <v>1764</v>
      </c>
      <c r="F461" s="171" t="s">
        <v>2317</v>
      </c>
      <c r="G461" s="171" t="s">
        <v>2495</v>
      </c>
      <c r="H461" s="171" t="s">
        <v>2271</v>
      </c>
      <c r="I461" s="171" t="s">
        <v>2496</v>
      </c>
      <c r="J461" s="172" t="str">
        <f t="shared" si="25"/>
        <v>PENROSE BREWING COMPANY - BLUE PRECISION</v>
      </c>
      <c r="K461" s="172" t="str">
        <f t="shared" si="23"/>
        <v>BAV</v>
      </c>
      <c r="L461" s="172" t="str">
        <f t="shared" si="24"/>
        <v>Medical Plan</v>
      </c>
    </row>
    <row r="462" spans="4:12" ht="30" customHeight="1" x14ac:dyDescent="0.25">
      <c r="D462" s="171" t="s">
        <v>2271</v>
      </c>
      <c r="E462" s="171" t="s">
        <v>67</v>
      </c>
      <c r="F462" s="171" t="s">
        <v>1848</v>
      </c>
      <c r="G462" s="171" t="s">
        <v>2495</v>
      </c>
      <c r="H462" s="171" t="s">
        <v>2271</v>
      </c>
      <c r="I462" s="171" t="s">
        <v>2496</v>
      </c>
      <c r="J462" s="172" t="str">
        <f t="shared" si="25"/>
        <v>PENROSE BREWING COMPANY - BLUECP</v>
      </c>
      <c r="K462" s="172" t="str">
        <f t="shared" si="23"/>
        <v/>
      </c>
      <c r="L462" s="172" t="str">
        <f t="shared" si="24"/>
        <v>Medical Plan</v>
      </c>
    </row>
    <row r="463" spans="4:12" ht="30" customHeight="1" x14ac:dyDescent="0.25">
      <c r="D463" s="171" t="s">
        <v>2271</v>
      </c>
      <c r="E463" s="171" t="s">
        <v>1761</v>
      </c>
      <c r="F463" s="171" t="s">
        <v>2407</v>
      </c>
      <c r="G463" s="171" t="s">
        <v>2495</v>
      </c>
      <c r="H463" s="171" t="s">
        <v>2271</v>
      </c>
      <c r="I463" s="171" t="s">
        <v>2496</v>
      </c>
      <c r="J463" s="172" t="str">
        <f t="shared" si="25"/>
        <v>PENROSE BREWING COMPANY - PPO</v>
      </c>
      <c r="K463" s="172" t="str">
        <f t="shared" si="23"/>
        <v/>
      </c>
      <c r="L463" s="172" t="str">
        <f t="shared" si="24"/>
        <v>Medical Plan</v>
      </c>
    </row>
    <row r="464" spans="4:12" ht="30" customHeight="1" x14ac:dyDescent="0.25">
      <c r="D464" s="171" t="s">
        <v>2271</v>
      </c>
      <c r="E464" s="171" t="s">
        <v>71</v>
      </c>
      <c r="G464" s="171" t="s">
        <v>2555</v>
      </c>
      <c r="H464" s="171" t="s">
        <v>2271</v>
      </c>
      <c r="I464" s="171" t="s">
        <v>2556</v>
      </c>
      <c r="J464" s="172" t="str">
        <f t="shared" si="25"/>
        <v>PETERSEN FUELS, INC. - No Coverage</v>
      </c>
      <c r="K464" s="172" t="str">
        <f t="shared" si="23"/>
        <v/>
      </c>
      <c r="L464" s="172" t="str">
        <f t="shared" si="24"/>
        <v>Medical Plan</v>
      </c>
    </row>
    <row r="465" spans="4:12" ht="30" customHeight="1" x14ac:dyDescent="0.25">
      <c r="D465" s="171" t="s">
        <v>2271</v>
      </c>
      <c r="E465" s="171" t="s">
        <v>1769</v>
      </c>
      <c r="F465" s="171" t="s">
        <v>2120</v>
      </c>
      <c r="G465" s="171" t="s">
        <v>2555</v>
      </c>
      <c r="H465" s="171" t="s">
        <v>2271</v>
      </c>
      <c r="I465" s="171" t="s">
        <v>2556</v>
      </c>
      <c r="J465" s="172" t="str">
        <f t="shared" si="25"/>
        <v>PETERSEN FUELS, INC. - DENTAL</v>
      </c>
      <c r="K465" s="172" t="str">
        <f t="shared" si="23"/>
        <v/>
      </c>
      <c r="L465" s="172" t="str">
        <f t="shared" si="24"/>
        <v>Dental Plan</v>
      </c>
    </row>
    <row r="466" spans="4:12" ht="30" customHeight="1" x14ac:dyDescent="0.25">
      <c r="D466" s="171" t="s">
        <v>2271</v>
      </c>
      <c r="E466" s="171" t="s">
        <v>1761</v>
      </c>
      <c r="F466" s="171" t="s">
        <v>2429</v>
      </c>
      <c r="G466" s="171" t="s">
        <v>2555</v>
      </c>
      <c r="H466" s="171" t="s">
        <v>2271</v>
      </c>
      <c r="I466" s="171" t="s">
        <v>2556</v>
      </c>
      <c r="J466" s="172" t="str">
        <f t="shared" si="25"/>
        <v>PETERSEN FUELS, INC. - PPO</v>
      </c>
      <c r="K466" s="172" t="str">
        <f t="shared" si="23"/>
        <v/>
      </c>
      <c r="L466" s="172" t="str">
        <f t="shared" si="24"/>
        <v>Medical Plan</v>
      </c>
    </row>
    <row r="467" spans="4:12" ht="30" customHeight="1" x14ac:dyDescent="0.25">
      <c r="D467" s="171" t="s">
        <v>2271</v>
      </c>
      <c r="E467" s="171" t="s">
        <v>1764</v>
      </c>
      <c r="F467" s="171" t="s">
        <v>2324</v>
      </c>
      <c r="G467" s="171" t="s">
        <v>2525</v>
      </c>
      <c r="H467" s="171" t="s">
        <v>2271</v>
      </c>
      <c r="I467" s="171" t="s">
        <v>2526</v>
      </c>
      <c r="J467" s="172" t="str">
        <f t="shared" si="25"/>
        <v>PETERSON ELECTRO-MUSICAL PRODUCTS, INC. - BLUE PRECISION</v>
      </c>
      <c r="K467" s="172" t="str">
        <f t="shared" si="23"/>
        <v>BAV</v>
      </c>
      <c r="L467" s="172" t="str">
        <f t="shared" si="24"/>
        <v>Medical Plan</v>
      </c>
    </row>
    <row r="468" spans="4:12" ht="30" customHeight="1" x14ac:dyDescent="0.25">
      <c r="D468" s="171" t="s">
        <v>2271</v>
      </c>
      <c r="E468" s="171" t="s">
        <v>67</v>
      </c>
      <c r="F468" s="171" t="s">
        <v>2341</v>
      </c>
      <c r="G468" s="171" t="s">
        <v>2525</v>
      </c>
      <c r="H468" s="171" t="s">
        <v>2271</v>
      </c>
      <c r="I468" s="171" t="s">
        <v>2526</v>
      </c>
      <c r="J468" s="172" t="str">
        <f t="shared" si="25"/>
        <v>PETERSON ELECTRO-MUSICAL PRODUCTS, INC. - BLUECP</v>
      </c>
      <c r="K468" s="172" t="str">
        <f t="shared" si="23"/>
        <v/>
      </c>
      <c r="L468" s="172" t="str">
        <f t="shared" si="24"/>
        <v>Medical Plan</v>
      </c>
    </row>
    <row r="469" spans="4:12" ht="30" customHeight="1" x14ac:dyDescent="0.25">
      <c r="D469" s="171" t="s">
        <v>2271</v>
      </c>
      <c r="E469" s="171" t="s">
        <v>1761</v>
      </c>
      <c r="F469" s="171" t="s">
        <v>2447</v>
      </c>
      <c r="G469" s="171" t="s">
        <v>2525</v>
      </c>
      <c r="H469" s="171" t="s">
        <v>2271</v>
      </c>
      <c r="I469" s="171" t="s">
        <v>2526</v>
      </c>
      <c r="J469" s="172" t="str">
        <f t="shared" si="25"/>
        <v>PETERSON ELECTRO-MUSICAL PRODUCTS, INC. - PPO</v>
      </c>
      <c r="K469" s="172" t="str">
        <f t="shared" si="23"/>
        <v/>
      </c>
      <c r="L469" s="172" t="str">
        <f t="shared" si="24"/>
        <v>Medical Plan</v>
      </c>
    </row>
    <row r="470" spans="4:12" ht="30" customHeight="1" x14ac:dyDescent="0.25">
      <c r="D470" s="171" t="s">
        <v>2271</v>
      </c>
      <c r="E470" s="171" t="s">
        <v>1764</v>
      </c>
      <c r="F470" s="171" t="s">
        <v>1829</v>
      </c>
      <c r="G470" s="171" t="s">
        <v>2527</v>
      </c>
      <c r="H470" s="171" t="s">
        <v>2271</v>
      </c>
      <c r="I470" s="171" t="s">
        <v>2528</v>
      </c>
      <c r="J470" s="172" t="str">
        <f t="shared" si="25"/>
        <v>PIVOT PRODUCT DEVELOPMENT LLC - BLUE PRECISION</v>
      </c>
      <c r="K470" s="172" t="str">
        <f t="shared" si="23"/>
        <v>BAV</v>
      </c>
      <c r="L470" s="172" t="str">
        <f t="shared" si="24"/>
        <v>Medical Plan</v>
      </c>
    </row>
    <row r="471" spans="4:12" ht="30" customHeight="1" x14ac:dyDescent="0.25">
      <c r="D471" s="171" t="s">
        <v>2271</v>
      </c>
      <c r="E471" s="171" t="s">
        <v>1764</v>
      </c>
      <c r="F471" s="171" t="s">
        <v>2318</v>
      </c>
      <c r="G471" s="171" t="s">
        <v>2527</v>
      </c>
      <c r="H471" s="171" t="s">
        <v>2271</v>
      </c>
      <c r="I471" s="171" t="s">
        <v>2528</v>
      </c>
      <c r="J471" s="172" t="str">
        <f t="shared" si="25"/>
        <v>PIVOT PRODUCT DEVELOPMENT LLC - BLUE PRECISION</v>
      </c>
      <c r="K471" s="172" t="str">
        <f t="shared" si="23"/>
        <v>BAV</v>
      </c>
      <c r="L471" s="172" t="str">
        <f t="shared" si="24"/>
        <v>Medical Plan</v>
      </c>
    </row>
    <row r="472" spans="4:12" ht="30" customHeight="1" x14ac:dyDescent="0.25">
      <c r="D472" s="171" t="s">
        <v>2271</v>
      </c>
      <c r="E472" s="171" t="s">
        <v>67</v>
      </c>
      <c r="F472" s="171" t="s">
        <v>2342</v>
      </c>
      <c r="G472" s="171" t="s">
        <v>2527</v>
      </c>
      <c r="H472" s="171" t="s">
        <v>2271</v>
      </c>
      <c r="I472" s="171" t="s">
        <v>2528</v>
      </c>
      <c r="J472" s="172" t="str">
        <f t="shared" si="25"/>
        <v>PIVOT PRODUCT DEVELOPMENT LLC - BLUECP</v>
      </c>
      <c r="K472" s="172" t="str">
        <f t="shared" si="23"/>
        <v/>
      </c>
      <c r="L472" s="172" t="str">
        <f t="shared" si="24"/>
        <v>Medical Plan</v>
      </c>
    </row>
    <row r="473" spans="4:12" ht="30" customHeight="1" x14ac:dyDescent="0.25">
      <c r="D473" s="171" t="s">
        <v>2271</v>
      </c>
      <c r="E473" s="171" t="s">
        <v>1761</v>
      </c>
      <c r="F473" s="171" t="s">
        <v>1828</v>
      </c>
      <c r="G473" s="171" t="s">
        <v>2527</v>
      </c>
      <c r="H473" s="171" t="s">
        <v>2271</v>
      </c>
      <c r="I473" s="171" t="s">
        <v>2528</v>
      </c>
      <c r="J473" s="172" t="str">
        <f t="shared" si="25"/>
        <v>PIVOT PRODUCT DEVELOPMENT LLC - PPO</v>
      </c>
      <c r="K473" s="172" t="str">
        <f t="shared" si="23"/>
        <v/>
      </c>
      <c r="L473" s="172" t="str">
        <f t="shared" si="24"/>
        <v>Medical Plan</v>
      </c>
    </row>
    <row r="474" spans="4:12" ht="30" customHeight="1" x14ac:dyDescent="0.25">
      <c r="D474" s="171" t="s">
        <v>2271</v>
      </c>
      <c r="E474" s="171" t="s">
        <v>1761</v>
      </c>
      <c r="F474" s="171" t="s">
        <v>2448</v>
      </c>
      <c r="G474" s="171" t="s">
        <v>2527</v>
      </c>
      <c r="H474" s="171" t="s">
        <v>2271</v>
      </c>
      <c r="I474" s="171" t="s">
        <v>2528</v>
      </c>
      <c r="J474" s="172" t="str">
        <f t="shared" si="25"/>
        <v>PIVOT PRODUCT DEVELOPMENT LLC - PPO</v>
      </c>
      <c r="K474" s="172" t="str">
        <f t="shared" si="23"/>
        <v/>
      </c>
      <c r="L474" s="172" t="str">
        <f t="shared" si="24"/>
        <v>Medical Plan</v>
      </c>
    </row>
    <row r="475" spans="4:12" ht="30" customHeight="1" x14ac:dyDescent="0.25">
      <c r="D475" s="171" t="s">
        <v>2271</v>
      </c>
      <c r="E475" s="171" t="s">
        <v>1764</v>
      </c>
      <c r="F475" s="171" t="s">
        <v>2316</v>
      </c>
      <c r="G475" s="171" t="s">
        <v>2271</v>
      </c>
      <c r="H475" s="171" t="s">
        <v>2271</v>
      </c>
      <c r="I475" s="171" t="s">
        <v>2844</v>
      </c>
      <c r="J475" s="172" t="str">
        <f t="shared" si="25"/>
        <v>PRESENTATION STUDIOS INTERNATIONAL LLC - BLUE PRECISION</v>
      </c>
      <c r="K475" s="172" t="str">
        <f t="shared" si="23"/>
        <v>BAV</v>
      </c>
      <c r="L475" s="172" t="str">
        <f t="shared" si="24"/>
        <v>Medical Plan</v>
      </c>
    </row>
    <row r="476" spans="4:12" ht="30" customHeight="1" x14ac:dyDescent="0.25">
      <c r="D476" s="171" t="s">
        <v>2271</v>
      </c>
      <c r="E476" s="171" t="s">
        <v>2657</v>
      </c>
      <c r="F476" s="171" t="s">
        <v>2731</v>
      </c>
      <c r="G476" s="171" t="s">
        <v>2271</v>
      </c>
      <c r="H476" s="171" t="s">
        <v>2271</v>
      </c>
      <c r="I476" s="171" t="s">
        <v>2844</v>
      </c>
      <c r="J476" s="172" t="str">
        <f t="shared" si="25"/>
        <v>PRESENTATION STUDIOS INTERNATIONAL LLC - BLUECARE DIRECT</v>
      </c>
      <c r="K476" s="172" t="str">
        <f t="shared" si="23"/>
        <v>#N/A</v>
      </c>
      <c r="L476" s="172" t="str">
        <f t="shared" si="24"/>
        <v>#N/A</v>
      </c>
    </row>
    <row r="477" spans="4:12" ht="30" customHeight="1" x14ac:dyDescent="0.25">
      <c r="D477" s="171" t="s">
        <v>2271</v>
      </c>
      <c r="E477" s="171" t="s">
        <v>67</v>
      </c>
      <c r="F477" s="171" t="s">
        <v>2716</v>
      </c>
      <c r="G477" s="171" t="s">
        <v>2271</v>
      </c>
      <c r="H477" s="171" t="s">
        <v>2271</v>
      </c>
      <c r="I477" s="171" t="s">
        <v>2844</v>
      </c>
      <c r="J477" s="172" t="str">
        <f t="shared" si="25"/>
        <v>PRESENTATION STUDIOS INTERNATIONAL LLC - BLUECP</v>
      </c>
      <c r="K477" s="172" t="str">
        <f t="shared" si="23"/>
        <v/>
      </c>
      <c r="L477" s="172" t="str">
        <f t="shared" si="24"/>
        <v>Medical Plan</v>
      </c>
    </row>
    <row r="478" spans="4:12" ht="30" customHeight="1" x14ac:dyDescent="0.25">
      <c r="D478" s="171" t="s">
        <v>2271</v>
      </c>
      <c r="E478" s="171" t="s">
        <v>1761</v>
      </c>
      <c r="F478" s="171" t="s">
        <v>2730</v>
      </c>
      <c r="G478" s="171" t="s">
        <v>2271</v>
      </c>
      <c r="H478" s="171" t="s">
        <v>2271</v>
      </c>
      <c r="I478" s="171" t="s">
        <v>2844</v>
      </c>
      <c r="J478" s="172" t="str">
        <f t="shared" si="25"/>
        <v>PRESENTATION STUDIOS INTERNATIONAL LLC - PPO</v>
      </c>
      <c r="K478" s="172" t="str">
        <f t="shared" si="23"/>
        <v/>
      </c>
      <c r="L478" s="172" t="str">
        <f t="shared" si="24"/>
        <v>Medical Plan</v>
      </c>
    </row>
    <row r="479" spans="4:12" ht="30" customHeight="1" x14ac:dyDescent="0.25">
      <c r="D479" s="171" t="s">
        <v>2271</v>
      </c>
      <c r="E479" s="171" t="s">
        <v>71</v>
      </c>
      <c r="G479" s="171" t="s">
        <v>2478</v>
      </c>
      <c r="H479" s="171" t="s">
        <v>2271</v>
      </c>
      <c r="I479" s="171" t="s">
        <v>2265</v>
      </c>
      <c r="J479" s="172" t="str">
        <f t="shared" si="25"/>
        <v>PROMAC, INC. - No Coverage</v>
      </c>
      <c r="K479" s="172" t="str">
        <f t="shared" si="23"/>
        <v/>
      </c>
      <c r="L479" s="172" t="str">
        <f t="shared" si="24"/>
        <v>Medical Plan</v>
      </c>
    </row>
    <row r="480" spans="4:12" ht="30" customHeight="1" x14ac:dyDescent="0.25">
      <c r="D480" s="171" t="s">
        <v>2271</v>
      </c>
      <c r="E480" s="171" t="s">
        <v>1772</v>
      </c>
      <c r="F480" s="171" t="s">
        <v>2266</v>
      </c>
      <c r="G480" s="171" t="s">
        <v>2478</v>
      </c>
      <c r="H480" s="171" t="s">
        <v>2271</v>
      </c>
      <c r="I480" s="171" t="s">
        <v>2265</v>
      </c>
      <c r="J480" s="172" t="str">
        <f t="shared" si="25"/>
        <v>PROMAC, INC. - BLUE ADV HMO</v>
      </c>
      <c r="K480" s="172" t="str">
        <f t="shared" si="23"/>
        <v>ADV</v>
      </c>
      <c r="L480" s="172" t="str">
        <f t="shared" si="24"/>
        <v>Medical Plan</v>
      </c>
    </row>
    <row r="481" spans="4:12" ht="30" customHeight="1" x14ac:dyDescent="0.25">
      <c r="D481" s="171" t="s">
        <v>2271</v>
      </c>
      <c r="E481" s="171" t="s">
        <v>1769</v>
      </c>
      <c r="F481" s="171" t="s">
        <v>2366</v>
      </c>
      <c r="G481" s="171" t="s">
        <v>2478</v>
      </c>
      <c r="H481" s="171" t="s">
        <v>2271</v>
      </c>
      <c r="I481" s="171" t="s">
        <v>2265</v>
      </c>
      <c r="J481" s="172" t="str">
        <f t="shared" si="25"/>
        <v>PROMAC, INC. - DENTAL</v>
      </c>
      <c r="K481" s="172" t="str">
        <f t="shared" si="23"/>
        <v/>
      </c>
      <c r="L481" s="172" t="str">
        <f t="shared" si="24"/>
        <v>Dental Plan</v>
      </c>
    </row>
    <row r="482" spans="4:12" ht="30" customHeight="1" x14ac:dyDescent="0.25">
      <c r="D482" s="171" t="s">
        <v>2271</v>
      </c>
      <c r="E482" s="171" t="s">
        <v>1769</v>
      </c>
      <c r="F482" s="171" t="s">
        <v>2365</v>
      </c>
      <c r="G482" s="171" t="s">
        <v>2478</v>
      </c>
      <c r="H482" s="171" t="s">
        <v>2271</v>
      </c>
      <c r="I482" s="171" t="s">
        <v>2265</v>
      </c>
      <c r="J482" s="172" t="str">
        <f t="shared" si="25"/>
        <v>PROMAC, INC. - DENTAL</v>
      </c>
      <c r="K482" s="172" t="str">
        <f t="shared" si="23"/>
        <v/>
      </c>
      <c r="L482" s="172" t="str">
        <f t="shared" si="24"/>
        <v>Dental Plan</v>
      </c>
    </row>
    <row r="483" spans="4:12" ht="30" customHeight="1" x14ac:dyDescent="0.25">
      <c r="D483" s="171" t="s">
        <v>2271</v>
      </c>
      <c r="E483" s="171" t="s">
        <v>1761</v>
      </c>
      <c r="F483" s="171" t="s">
        <v>2449</v>
      </c>
      <c r="G483" s="171" t="s">
        <v>2478</v>
      </c>
      <c r="H483" s="171" t="s">
        <v>2271</v>
      </c>
      <c r="I483" s="171" t="s">
        <v>2265</v>
      </c>
      <c r="J483" s="172" t="str">
        <f t="shared" si="25"/>
        <v>PROMAC, INC. - PPO</v>
      </c>
      <c r="K483" s="172" t="str">
        <f t="shared" si="23"/>
        <v/>
      </c>
      <c r="L483" s="172" t="str">
        <f t="shared" si="24"/>
        <v>Medical Plan</v>
      </c>
    </row>
    <row r="484" spans="4:12" ht="30" customHeight="1" x14ac:dyDescent="0.25">
      <c r="D484" s="171" t="s">
        <v>2271</v>
      </c>
      <c r="E484" s="171" t="s">
        <v>67</v>
      </c>
      <c r="F484" s="171" t="s">
        <v>2732</v>
      </c>
      <c r="G484" s="171" t="s">
        <v>2271</v>
      </c>
      <c r="H484" s="171" t="s">
        <v>2271</v>
      </c>
      <c r="I484" s="171" t="s">
        <v>2845</v>
      </c>
      <c r="J484" s="172" t="str">
        <f t="shared" si="25"/>
        <v>PROTECH VENTURES LLC - BLUECP</v>
      </c>
      <c r="K484" s="172" t="str">
        <f t="shared" si="23"/>
        <v/>
      </c>
      <c r="L484" s="172" t="str">
        <f t="shared" si="24"/>
        <v>Medical Plan</v>
      </c>
    </row>
    <row r="485" spans="4:12" ht="30" customHeight="1" x14ac:dyDescent="0.25">
      <c r="D485" s="171" t="s">
        <v>2271</v>
      </c>
      <c r="E485" s="171" t="s">
        <v>1761</v>
      </c>
      <c r="F485" s="171" t="s">
        <v>2734</v>
      </c>
      <c r="G485" s="171" t="s">
        <v>2271</v>
      </c>
      <c r="H485" s="171" t="s">
        <v>2271</v>
      </c>
      <c r="I485" s="171" t="s">
        <v>2846</v>
      </c>
      <c r="J485" s="172" t="str">
        <f t="shared" si="25"/>
        <v>PSYCHIATRIC ASSOCIATES, SC - PPO</v>
      </c>
      <c r="K485" s="172" t="str">
        <f t="shared" si="23"/>
        <v/>
      </c>
      <c r="L485" s="172" t="str">
        <f t="shared" si="24"/>
        <v>Medical Plan</v>
      </c>
    </row>
    <row r="486" spans="4:12" ht="30" customHeight="1" x14ac:dyDescent="0.25">
      <c r="D486" s="171" t="s">
        <v>2271</v>
      </c>
      <c r="E486" s="171" t="s">
        <v>1761</v>
      </c>
      <c r="F486" s="171" t="s">
        <v>2733</v>
      </c>
      <c r="G486" s="171" t="s">
        <v>2271</v>
      </c>
      <c r="H486" s="171" t="s">
        <v>2271</v>
      </c>
      <c r="I486" s="171" t="s">
        <v>2846</v>
      </c>
      <c r="J486" s="172" t="str">
        <f t="shared" si="25"/>
        <v>PSYCHIATRIC ASSOCIATES, SC - PPO</v>
      </c>
      <c r="K486" s="172" t="str">
        <f t="shared" si="23"/>
        <v/>
      </c>
      <c r="L486" s="172" t="str">
        <f t="shared" si="24"/>
        <v>Medical Plan</v>
      </c>
    </row>
    <row r="487" spans="4:12" ht="30" customHeight="1" x14ac:dyDescent="0.25">
      <c r="D487" s="171" t="s">
        <v>2271</v>
      </c>
      <c r="E487" s="171" t="s">
        <v>67</v>
      </c>
      <c r="F487" s="171" t="s">
        <v>2735</v>
      </c>
      <c r="G487" s="171" t="s">
        <v>2271</v>
      </c>
      <c r="H487" s="171" t="s">
        <v>2271</v>
      </c>
      <c r="I487" s="171" t="s">
        <v>2847</v>
      </c>
      <c r="J487" s="172" t="str">
        <f t="shared" si="25"/>
        <v>PUTNAM TRUCKING OPERATIONS COMPANY, INC. - BLUECP</v>
      </c>
      <c r="K487" s="172" t="str">
        <f t="shared" si="23"/>
        <v/>
      </c>
      <c r="L487" s="172" t="str">
        <f t="shared" si="24"/>
        <v>Medical Plan</v>
      </c>
    </row>
    <row r="488" spans="4:12" ht="30" customHeight="1" x14ac:dyDescent="0.25">
      <c r="D488" s="171" t="s">
        <v>2271</v>
      </c>
      <c r="E488" s="171" t="s">
        <v>67</v>
      </c>
      <c r="F488" s="171" t="s">
        <v>2331</v>
      </c>
      <c r="G488" s="171" t="s">
        <v>2271</v>
      </c>
      <c r="H488" s="171" t="s">
        <v>2271</v>
      </c>
      <c r="I488" s="171" t="s">
        <v>2847</v>
      </c>
      <c r="J488" s="172" t="str">
        <f t="shared" si="25"/>
        <v>PUTNAM TRUCKING OPERATIONS COMPANY, INC. - BLUECP</v>
      </c>
      <c r="K488" s="172" t="str">
        <f t="shared" si="23"/>
        <v/>
      </c>
      <c r="L488" s="172" t="str">
        <f t="shared" si="24"/>
        <v>Medical Plan</v>
      </c>
    </row>
    <row r="489" spans="4:12" ht="30" customHeight="1" x14ac:dyDescent="0.25">
      <c r="D489" s="171" t="s">
        <v>2271</v>
      </c>
      <c r="E489" s="171" t="s">
        <v>1761</v>
      </c>
      <c r="F489" s="171" t="s">
        <v>2407</v>
      </c>
      <c r="G489" s="171" t="s">
        <v>2271</v>
      </c>
      <c r="H489" s="171" t="s">
        <v>2271</v>
      </c>
      <c r="I489" s="171" t="s">
        <v>2847</v>
      </c>
      <c r="J489" s="172" t="str">
        <f t="shared" si="25"/>
        <v>PUTNAM TRUCKING OPERATIONS COMPANY, INC. - PPO</v>
      </c>
      <c r="K489" s="172" t="str">
        <f t="shared" si="23"/>
        <v/>
      </c>
      <c r="L489" s="172" t="str">
        <f t="shared" si="24"/>
        <v>Medical Plan</v>
      </c>
    </row>
    <row r="490" spans="4:12" ht="30" customHeight="1" x14ac:dyDescent="0.25">
      <c r="D490" s="171" t="s">
        <v>2271</v>
      </c>
      <c r="E490" s="171" t="s">
        <v>1761</v>
      </c>
      <c r="F490" s="171" t="s">
        <v>2719</v>
      </c>
      <c r="G490" s="171" t="s">
        <v>2271</v>
      </c>
      <c r="H490" s="171" t="s">
        <v>2271</v>
      </c>
      <c r="I490" s="171" t="s">
        <v>2847</v>
      </c>
      <c r="J490" s="172" t="str">
        <f t="shared" si="25"/>
        <v>PUTNAM TRUCKING OPERATIONS COMPANY, INC. - PPO</v>
      </c>
      <c r="K490" s="172" t="str">
        <f t="shared" si="23"/>
        <v/>
      </c>
      <c r="L490" s="172" t="str">
        <f t="shared" si="24"/>
        <v>Medical Plan</v>
      </c>
    </row>
    <row r="491" spans="4:12" ht="30" customHeight="1" x14ac:dyDescent="0.25">
      <c r="D491" s="171" t="s">
        <v>2271</v>
      </c>
      <c r="E491" s="171" t="s">
        <v>71</v>
      </c>
      <c r="G491" s="171" t="s">
        <v>2529</v>
      </c>
      <c r="H491" s="171" t="s">
        <v>2271</v>
      </c>
      <c r="I491" s="171" t="s">
        <v>2530</v>
      </c>
      <c r="J491" s="172" t="str">
        <f t="shared" si="25"/>
        <v>RAYNER RDS, LLC - No Coverage</v>
      </c>
      <c r="K491" s="172" t="str">
        <f t="shared" si="23"/>
        <v/>
      </c>
      <c r="L491" s="172" t="str">
        <f t="shared" si="24"/>
        <v>Medical Plan</v>
      </c>
    </row>
    <row r="492" spans="4:12" ht="30" customHeight="1" x14ac:dyDescent="0.25">
      <c r="D492" s="171" t="s">
        <v>2271</v>
      </c>
      <c r="E492" s="171" t="s">
        <v>1764</v>
      </c>
      <c r="F492" s="171" t="s">
        <v>2325</v>
      </c>
      <c r="G492" s="171" t="s">
        <v>2529</v>
      </c>
      <c r="H492" s="171" t="s">
        <v>2271</v>
      </c>
      <c r="I492" s="171" t="s">
        <v>2530</v>
      </c>
      <c r="J492" s="172" t="str">
        <f t="shared" si="25"/>
        <v>RAYNER RDS, LLC - BLUE PRECISION</v>
      </c>
      <c r="K492" s="172" t="str">
        <f t="shared" si="23"/>
        <v>BAV</v>
      </c>
      <c r="L492" s="172" t="str">
        <f t="shared" si="24"/>
        <v>Medical Plan</v>
      </c>
    </row>
    <row r="493" spans="4:12" ht="30" customHeight="1" x14ac:dyDescent="0.25">
      <c r="D493" s="171" t="s">
        <v>2271</v>
      </c>
      <c r="E493" s="171" t="s">
        <v>1769</v>
      </c>
      <c r="F493" s="171" t="s">
        <v>2367</v>
      </c>
      <c r="G493" s="171" t="s">
        <v>2529</v>
      </c>
      <c r="H493" s="171" t="s">
        <v>2271</v>
      </c>
      <c r="I493" s="171" t="s">
        <v>2530</v>
      </c>
      <c r="J493" s="172" t="str">
        <f t="shared" si="25"/>
        <v>RAYNER RDS, LLC - DENTAL</v>
      </c>
      <c r="K493" s="172" t="str">
        <f t="shared" si="23"/>
        <v/>
      </c>
      <c r="L493" s="172" t="str">
        <f t="shared" si="24"/>
        <v>Dental Plan</v>
      </c>
    </row>
    <row r="494" spans="4:12" ht="30" customHeight="1" x14ac:dyDescent="0.25">
      <c r="D494" s="171" t="s">
        <v>2271</v>
      </c>
      <c r="E494" s="171" t="s">
        <v>1761</v>
      </c>
      <c r="F494" s="171" t="s">
        <v>2450</v>
      </c>
      <c r="G494" s="171" t="s">
        <v>2529</v>
      </c>
      <c r="H494" s="171" t="s">
        <v>2271</v>
      </c>
      <c r="I494" s="171" t="s">
        <v>2530</v>
      </c>
      <c r="J494" s="172" t="str">
        <f t="shared" si="25"/>
        <v>RAYNER RDS, LLC - PPO</v>
      </c>
      <c r="K494" s="172" t="str">
        <f t="shared" si="23"/>
        <v/>
      </c>
      <c r="L494" s="172" t="str">
        <f t="shared" si="24"/>
        <v>Medical Plan</v>
      </c>
    </row>
    <row r="495" spans="4:12" ht="30" customHeight="1" x14ac:dyDescent="0.25">
      <c r="D495" s="171" t="s">
        <v>2271</v>
      </c>
      <c r="E495" s="171" t="s">
        <v>1761</v>
      </c>
      <c r="F495" s="171" t="s">
        <v>2451</v>
      </c>
      <c r="G495" s="171" t="s">
        <v>2529</v>
      </c>
      <c r="H495" s="171" t="s">
        <v>2271</v>
      </c>
      <c r="I495" s="171" t="s">
        <v>2530</v>
      </c>
      <c r="J495" s="172" t="str">
        <f t="shared" si="25"/>
        <v>RAYNER RDS, LLC - PPO</v>
      </c>
      <c r="K495" s="172" t="str">
        <f t="shared" si="23"/>
        <v/>
      </c>
      <c r="L495" s="172" t="str">
        <f t="shared" si="24"/>
        <v>Medical Plan</v>
      </c>
    </row>
    <row r="496" spans="4:12" ht="30" customHeight="1" x14ac:dyDescent="0.25">
      <c r="D496" s="171" t="s">
        <v>1733</v>
      </c>
      <c r="E496" s="171" t="s">
        <v>1761</v>
      </c>
      <c r="F496" s="171" t="s">
        <v>1826</v>
      </c>
      <c r="G496" s="171" t="s">
        <v>1320</v>
      </c>
      <c r="H496" s="171" t="s">
        <v>1320</v>
      </c>
      <c r="I496" s="171" t="s">
        <v>1321</v>
      </c>
      <c r="J496" s="172" t="str">
        <f t="shared" si="25"/>
        <v>REAL CLEAR HOLDINGS DBA REAL CLEAR POLITICS L - PPO</v>
      </c>
      <c r="K496" s="172" t="str">
        <f t="shared" si="23"/>
        <v/>
      </c>
      <c r="L496" s="172" t="str">
        <f t="shared" si="24"/>
        <v>Medical Plan</v>
      </c>
    </row>
    <row r="497" spans="4:12" ht="30" customHeight="1" x14ac:dyDescent="0.25">
      <c r="D497" s="171" t="s">
        <v>1732</v>
      </c>
      <c r="E497" s="171" t="s">
        <v>1761</v>
      </c>
      <c r="F497" s="171" t="s">
        <v>2099</v>
      </c>
      <c r="G497" s="171" t="s">
        <v>1320</v>
      </c>
      <c r="H497" s="171" t="s">
        <v>1320</v>
      </c>
      <c r="I497" s="171" t="s">
        <v>1321</v>
      </c>
      <c r="J497" s="172" t="str">
        <f t="shared" si="25"/>
        <v>REAL CLEAR HOLDINGS DBA REAL CLEAR POLITICS L - PPO</v>
      </c>
      <c r="K497" s="172" t="str">
        <f t="shared" si="23"/>
        <v/>
      </c>
      <c r="L497" s="172" t="str">
        <f t="shared" si="24"/>
        <v>Medical Plan</v>
      </c>
    </row>
    <row r="498" spans="4:12" ht="30" customHeight="1" x14ac:dyDescent="0.25">
      <c r="D498" s="171" t="s">
        <v>2271</v>
      </c>
      <c r="E498" s="171" t="s">
        <v>70</v>
      </c>
      <c r="F498" s="171" t="s">
        <v>2307</v>
      </c>
      <c r="G498" s="171" t="s">
        <v>2497</v>
      </c>
      <c r="H498" s="171" t="s">
        <v>2271</v>
      </c>
      <c r="I498" s="171" t="s">
        <v>2498</v>
      </c>
      <c r="J498" s="172" t="str">
        <f t="shared" si="25"/>
        <v>RED DOG LOGISTICS INC - BLUE OPTIONS</v>
      </c>
      <c r="K498" s="172" t="str">
        <f t="shared" si="23"/>
        <v/>
      </c>
      <c r="L498" s="172" t="str">
        <f t="shared" si="24"/>
        <v>Medical Plan</v>
      </c>
    </row>
    <row r="499" spans="4:12" ht="30" customHeight="1" x14ac:dyDescent="0.25">
      <c r="D499" s="171" t="s">
        <v>2271</v>
      </c>
      <c r="E499" s="171" t="s">
        <v>1764</v>
      </c>
      <c r="F499" s="171" t="s">
        <v>2326</v>
      </c>
      <c r="G499" s="171" t="s">
        <v>2497</v>
      </c>
      <c r="H499" s="171" t="s">
        <v>2271</v>
      </c>
      <c r="I499" s="171" t="s">
        <v>2498</v>
      </c>
      <c r="J499" s="172" t="str">
        <f t="shared" si="25"/>
        <v>RED DOG LOGISTICS INC - BLUE PRECISION</v>
      </c>
      <c r="K499" s="172" t="str">
        <f t="shared" si="23"/>
        <v>BAV</v>
      </c>
      <c r="L499" s="172" t="str">
        <f t="shared" si="24"/>
        <v>Medical Plan</v>
      </c>
    </row>
    <row r="500" spans="4:12" ht="30" customHeight="1" x14ac:dyDescent="0.25">
      <c r="D500" s="171" t="s">
        <v>2271</v>
      </c>
      <c r="E500" s="171" t="s">
        <v>1772</v>
      </c>
      <c r="F500" s="171" t="s">
        <v>2268</v>
      </c>
      <c r="G500" s="171" t="s">
        <v>2479</v>
      </c>
      <c r="H500" s="171" t="s">
        <v>2271</v>
      </c>
      <c r="I500" s="171" t="s">
        <v>1322</v>
      </c>
      <c r="J500" s="172" t="str">
        <f t="shared" si="25"/>
        <v>REDSPEED ILLINOIS, LLC - BLUE ADV HMO</v>
      </c>
      <c r="K500" s="172" t="str">
        <f t="shared" si="23"/>
        <v>ADV</v>
      </c>
      <c r="L500" s="172" t="str">
        <f t="shared" si="24"/>
        <v>Medical Plan</v>
      </c>
    </row>
    <row r="501" spans="4:12" ht="30" customHeight="1" x14ac:dyDescent="0.25">
      <c r="D501" s="171" t="s">
        <v>2271</v>
      </c>
      <c r="E501" s="171" t="s">
        <v>1772</v>
      </c>
      <c r="F501" s="171" t="s">
        <v>2267</v>
      </c>
      <c r="G501" s="171" t="s">
        <v>2479</v>
      </c>
      <c r="H501" s="171" t="s">
        <v>2271</v>
      </c>
      <c r="I501" s="171" t="s">
        <v>1322</v>
      </c>
      <c r="J501" s="172" t="str">
        <f t="shared" si="25"/>
        <v>REDSPEED ILLINOIS, LLC - BLUE ADV HMO</v>
      </c>
      <c r="K501" s="172" t="str">
        <f t="shared" si="23"/>
        <v>ADV</v>
      </c>
      <c r="L501" s="172" t="str">
        <f t="shared" si="24"/>
        <v>Medical Plan</v>
      </c>
    </row>
    <row r="502" spans="4:12" ht="30" customHeight="1" x14ac:dyDescent="0.25">
      <c r="D502" s="171" t="s">
        <v>2271</v>
      </c>
      <c r="E502" s="171" t="s">
        <v>1761</v>
      </c>
      <c r="F502" s="171" t="s">
        <v>2452</v>
      </c>
      <c r="G502" s="171" t="s">
        <v>2479</v>
      </c>
      <c r="H502" s="171" t="s">
        <v>2271</v>
      </c>
      <c r="I502" s="171" t="s">
        <v>1322</v>
      </c>
      <c r="J502" s="172" t="str">
        <f t="shared" si="25"/>
        <v>REDSPEED ILLINOIS, LLC - PPO</v>
      </c>
      <c r="K502" s="172" t="str">
        <f t="shared" si="23"/>
        <v/>
      </c>
      <c r="L502" s="172" t="str">
        <f t="shared" si="24"/>
        <v>Medical Plan</v>
      </c>
    </row>
    <row r="503" spans="4:12" ht="30" customHeight="1" x14ac:dyDescent="0.25">
      <c r="D503" s="171" t="s">
        <v>2271</v>
      </c>
      <c r="E503" s="171" t="s">
        <v>1761</v>
      </c>
      <c r="F503" s="171" t="s">
        <v>2453</v>
      </c>
      <c r="G503" s="171" t="s">
        <v>2479</v>
      </c>
      <c r="H503" s="171" t="s">
        <v>2271</v>
      </c>
      <c r="I503" s="171" t="s">
        <v>1322</v>
      </c>
      <c r="J503" s="172" t="str">
        <f t="shared" si="25"/>
        <v>REDSPEED ILLINOIS, LLC - PPO</v>
      </c>
      <c r="K503" s="172" t="str">
        <f t="shared" si="23"/>
        <v/>
      </c>
      <c r="L503" s="172" t="str">
        <f t="shared" si="24"/>
        <v>Medical Plan</v>
      </c>
    </row>
    <row r="504" spans="4:12" ht="30" customHeight="1" x14ac:dyDescent="0.25">
      <c r="D504" s="171" t="s">
        <v>2271</v>
      </c>
      <c r="E504" s="171" t="s">
        <v>70</v>
      </c>
      <c r="F504" s="171" t="s">
        <v>2308</v>
      </c>
      <c r="G504" s="171" t="s">
        <v>2499</v>
      </c>
      <c r="H504" s="171" t="s">
        <v>2271</v>
      </c>
      <c r="I504" s="171" t="s">
        <v>2500</v>
      </c>
      <c r="J504" s="172" t="str">
        <f t="shared" si="25"/>
        <v>RGLA SOLUTIONS INC - BLUE OPTIONS</v>
      </c>
      <c r="K504" s="172" t="str">
        <f t="shared" si="23"/>
        <v/>
      </c>
      <c r="L504" s="172" t="str">
        <f t="shared" si="24"/>
        <v>Medical Plan</v>
      </c>
    </row>
    <row r="505" spans="4:12" ht="30" customHeight="1" x14ac:dyDescent="0.25">
      <c r="D505" s="171" t="s">
        <v>2271</v>
      </c>
      <c r="E505" s="171" t="s">
        <v>1764</v>
      </c>
      <c r="F505" s="171" t="s">
        <v>2325</v>
      </c>
      <c r="G505" s="171" t="s">
        <v>2499</v>
      </c>
      <c r="H505" s="171" t="s">
        <v>2271</v>
      </c>
      <c r="I505" s="171" t="s">
        <v>2500</v>
      </c>
      <c r="J505" s="172" t="str">
        <f t="shared" si="25"/>
        <v>RGLA SOLUTIONS INC - BLUE PRECISION</v>
      </c>
      <c r="K505" s="172" t="str">
        <f t="shared" si="23"/>
        <v>BAV</v>
      </c>
      <c r="L505" s="172" t="str">
        <f t="shared" si="24"/>
        <v>Medical Plan</v>
      </c>
    </row>
    <row r="506" spans="4:12" ht="30" customHeight="1" x14ac:dyDescent="0.25">
      <c r="D506" s="171" t="s">
        <v>2271</v>
      </c>
      <c r="E506" s="171" t="s">
        <v>1761</v>
      </c>
      <c r="F506" s="171" t="s">
        <v>2455</v>
      </c>
      <c r="G506" s="171" t="s">
        <v>2499</v>
      </c>
      <c r="H506" s="171" t="s">
        <v>2271</v>
      </c>
      <c r="I506" s="171" t="s">
        <v>2500</v>
      </c>
      <c r="J506" s="172" t="str">
        <f t="shared" si="25"/>
        <v>RGLA SOLUTIONS INC - PPO</v>
      </c>
      <c r="K506" s="172" t="str">
        <f t="shared" si="23"/>
        <v/>
      </c>
      <c r="L506" s="172" t="str">
        <f t="shared" si="24"/>
        <v>Medical Plan</v>
      </c>
    </row>
    <row r="507" spans="4:12" ht="30" customHeight="1" x14ac:dyDescent="0.25">
      <c r="D507" s="171" t="s">
        <v>2271</v>
      </c>
      <c r="E507" s="171" t="s">
        <v>1761</v>
      </c>
      <c r="F507" s="171" t="s">
        <v>2454</v>
      </c>
      <c r="G507" s="171" t="s">
        <v>2499</v>
      </c>
      <c r="H507" s="171" t="s">
        <v>2271</v>
      </c>
      <c r="I507" s="171" t="s">
        <v>2500</v>
      </c>
      <c r="J507" s="172" t="str">
        <f t="shared" si="25"/>
        <v>RGLA SOLUTIONS INC - PPO</v>
      </c>
      <c r="K507" s="172" t="str">
        <f t="shared" si="23"/>
        <v/>
      </c>
      <c r="L507" s="172" t="str">
        <f t="shared" si="24"/>
        <v>Medical Plan</v>
      </c>
    </row>
    <row r="508" spans="4:12" ht="30" customHeight="1" x14ac:dyDescent="0.25">
      <c r="D508" s="171" t="s">
        <v>2271</v>
      </c>
      <c r="E508" s="171" t="s">
        <v>71</v>
      </c>
      <c r="G508" s="171" t="s">
        <v>2271</v>
      </c>
      <c r="H508" s="171" t="s">
        <v>2271</v>
      </c>
      <c r="I508" s="171" t="s">
        <v>2848</v>
      </c>
      <c r="J508" s="172" t="str">
        <f t="shared" si="25"/>
        <v>ROEVOLUTION 226, LLC - No Coverage</v>
      </c>
      <c r="K508" s="172" t="str">
        <f t="shared" si="23"/>
        <v/>
      </c>
      <c r="L508" s="172" t="str">
        <f t="shared" si="24"/>
        <v>Medical Plan</v>
      </c>
    </row>
    <row r="509" spans="4:12" ht="30" customHeight="1" x14ac:dyDescent="0.25">
      <c r="D509" s="171" t="s">
        <v>2271</v>
      </c>
      <c r="E509" s="171" t="s">
        <v>1772</v>
      </c>
      <c r="F509" s="171" t="s">
        <v>2744</v>
      </c>
      <c r="G509" s="171" t="s">
        <v>2271</v>
      </c>
      <c r="H509" s="171" t="s">
        <v>2271</v>
      </c>
      <c r="I509" s="171" t="s">
        <v>2848</v>
      </c>
      <c r="J509" s="172" t="str">
        <f t="shared" si="25"/>
        <v>ROEVOLUTION 226, LLC - BLUE ADV HMO</v>
      </c>
      <c r="K509" s="172" t="str">
        <f t="shared" si="23"/>
        <v>ADV</v>
      </c>
      <c r="L509" s="172" t="str">
        <f t="shared" si="24"/>
        <v>Medical Plan</v>
      </c>
    </row>
    <row r="510" spans="4:12" ht="30" customHeight="1" x14ac:dyDescent="0.25">
      <c r="D510" s="171" t="s">
        <v>2271</v>
      </c>
      <c r="E510" s="171" t="s">
        <v>1775</v>
      </c>
      <c r="F510" s="171" t="s">
        <v>2738</v>
      </c>
      <c r="G510" s="171" t="s">
        <v>2271</v>
      </c>
      <c r="H510" s="171" t="s">
        <v>2271</v>
      </c>
      <c r="I510" s="171" t="s">
        <v>2848</v>
      </c>
      <c r="J510" s="172" t="str">
        <f t="shared" si="25"/>
        <v>ROEVOLUTION 226, LLC - BLUE CHOICE SELECT</v>
      </c>
      <c r="K510" s="172" t="str">
        <f t="shared" si="23"/>
        <v/>
      </c>
      <c r="L510" s="172" t="str">
        <f t="shared" si="24"/>
        <v>Medical Plan</v>
      </c>
    </row>
    <row r="511" spans="4:12" ht="30" customHeight="1" x14ac:dyDescent="0.25">
      <c r="D511" s="171" t="s">
        <v>2271</v>
      </c>
      <c r="E511" s="171" t="s">
        <v>1775</v>
      </c>
      <c r="F511" s="171" t="s">
        <v>2737</v>
      </c>
      <c r="G511" s="171" t="s">
        <v>2271</v>
      </c>
      <c r="H511" s="171" t="s">
        <v>2271</v>
      </c>
      <c r="I511" s="171" t="s">
        <v>2848</v>
      </c>
      <c r="J511" s="172" t="str">
        <f t="shared" si="25"/>
        <v>ROEVOLUTION 226, LLC - BLUE CHOICE SELECT</v>
      </c>
      <c r="K511" s="172" t="str">
        <f t="shared" si="23"/>
        <v/>
      </c>
      <c r="L511" s="172" t="str">
        <f t="shared" si="24"/>
        <v>Medical Plan</v>
      </c>
    </row>
    <row r="512" spans="4:12" ht="30" customHeight="1" x14ac:dyDescent="0.25">
      <c r="D512" s="171" t="s">
        <v>2271</v>
      </c>
      <c r="E512" s="171" t="s">
        <v>1775</v>
      </c>
      <c r="F512" s="171" t="s">
        <v>2736</v>
      </c>
      <c r="G512" s="171" t="s">
        <v>2271</v>
      </c>
      <c r="H512" s="171" t="s">
        <v>2271</v>
      </c>
      <c r="I512" s="171" t="s">
        <v>2848</v>
      </c>
      <c r="J512" s="172" t="str">
        <f t="shared" si="25"/>
        <v>ROEVOLUTION 226, LLC - BLUE CHOICE SELECT</v>
      </c>
      <c r="K512" s="172" t="str">
        <f t="shared" si="23"/>
        <v/>
      </c>
      <c r="L512" s="172" t="str">
        <f t="shared" si="24"/>
        <v>Medical Plan</v>
      </c>
    </row>
    <row r="513" spans="4:12" ht="30" customHeight="1" x14ac:dyDescent="0.25">
      <c r="D513" s="171" t="s">
        <v>2271</v>
      </c>
      <c r="E513" s="171" t="s">
        <v>70</v>
      </c>
      <c r="F513" s="171" t="s">
        <v>2741</v>
      </c>
      <c r="G513" s="171" t="s">
        <v>2271</v>
      </c>
      <c r="H513" s="171" t="s">
        <v>2271</v>
      </c>
      <c r="I513" s="171" t="s">
        <v>2848</v>
      </c>
      <c r="J513" s="172" t="str">
        <f t="shared" si="25"/>
        <v>ROEVOLUTION 226, LLC - BLUE OPTIONS</v>
      </c>
      <c r="K513" s="172" t="str">
        <f t="shared" si="23"/>
        <v/>
      </c>
      <c r="L513" s="172" t="str">
        <f t="shared" si="24"/>
        <v>Medical Plan</v>
      </c>
    </row>
    <row r="514" spans="4:12" ht="30" customHeight="1" x14ac:dyDescent="0.25">
      <c r="D514" s="171" t="s">
        <v>2271</v>
      </c>
      <c r="E514" s="171" t="s">
        <v>70</v>
      </c>
      <c r="F514" s="171" t="s">
        <v>2742</v>
      </c>
      <c r="G514" s="171" t="s">
        <v>2271</v>
      </c>
      <c r="H514" s="171" t="s">
        <v>2271</v>
      </c>
      <c r="I514" s="171" t="s">
        <v>2848</v>
      </c>
      <c r="J514" s="172" t="str">
        <f t="shared" si="25"/>
        <v>ROEVOLUTION 226, LLC - BLUE OPTIONS</v>
      </c>
      <c r="K514" s="172" t="str">
        <f t="shared" si="23"/>
        <v/>
      </c>
      <c r="L514" s="172" t="str">
        <f t="shared" si="24"/>
        <v>Medical Plan</v>
      </c>
    </row>
    <row r="515" spans="4:12" ht="30" customHeight="1" x14ac:dyDescent="0.25">
      <c r="D515" s="171" t="s">
        <v>2271</v>
      </c>
      <c r="E515" s="171" t="s">
        <v>70</v>
      </c>
      <c r="F515" s="171" t="s">
        <v>2740</v>
      </c>
      <c r="G515" s="171" t="s">
        <v>2271</v>
      </c>
      <c r="H515" s="171" t="s">
        <v>2271</v>
      </c>
      <c r="I515" s="171" t="s">
        <v>2848</v>
      </c>
      <c r="J515" s="172" t="str">
        <f t="shared" si="25"/>
        <v>ROEVOLUTION 226, LLC - BLUE OPTIONS</v>
      </c>
      <c r="K515" s="172" t="str">
        <f t="shared" ref="K515:K578" si="26">IFERROR(IF(VLOOKUP(E:E,N:O,2,0)="","",VLOOKUP(E:E,N:O,2,0)),"#N/A")</f>
        <v/>
      </c>
      <c r="L515" s="172" t="str">
        <f t="shared" ref="L515:L578" si="27">IFERROR(IF(VLOOKUP(E:E,N:P,3,0)="","#N/A",VLOOKUP(E:E,N:P,3,0)),"#N/A")</f>
        <v>Medical Plan</v>
      </c>
    </row>
    <row r="516" spans="4:12" ht="30" customHeight="1" x14ac:dyDescent="0.25">
      <c r="D516" s="171" t="s">
        <v>2271</v>
      </c>
      <c r="E516" s="171" t="s">
        <v>70</v>
      </c>
      <c r="F516" s="171" t="s">
        <v>2739</v>
      </c>
      <c r="G516" s="171" t="s">
        <v>2271</v>
      </c>
      <c r="H516" s="171" t="s">
        <v>2271</v>
      </c>
      <c r="I516" s="171" t="s">
        <v>2848</v>
      </c>
      <c r="J516" s="172" t="str">
        <f t="shared" ref="J516:J579" si="28">I516&amp;" - "&amp;E516</f>
        <v>ROEVOLUTION 226, LLC - BLUE OPTIONS</v>
      </c>
      <c r="K516" s="172" t="str">
        <f t="shared" si="26"/>
        <v/>
      </c>
      <c r="L516" s="172" t="str">
        <f t="shared" si="27"/>
        <v>Medical Plan</v>
      </c>
    </row>
    <row r="517" spans="4:12" ht="30" customHeight="1" x14ac:dyDescent="0.25">
      <c r="D517" s="171" t="s">
        <v>2271</v>
      </c>
      <c r="E517" s="171" t="s">
        <v>1769</v>
      </c>
      <c r="F517" s="171" t="s">
        <v>2743</v>
      </c>
      <c r="G517" s="171" t="s">
        <v>2271</v>
      </c>
      <c r="H517" s="171" t="s">
        <v>2271</v>
      </c>
      <c r="I517" s="171" t="s">
        <v>2848</v>
      </c>
      <c r="J517" s="172" t="str">
        <f t="shared" si="28"/>
        <v>ROEVOLUTION 226, LLC - DENTAL</v>
      </c>
      <c r="K517" s="172" t="str">
        <f t="shared" si="26"/>
        <v/>
      </c>
      <c r="L517" s="172" t="str">
        <f t="shared" si="27"/>
        <v>Dental Plan</v>
      </c>
    </row>
    <row r="518" spans="4:12" ht="30" customHeight="1" x14ac:dyDescent="0.25">
      <c r="D518" s="171" t="s">
        <v>2271</v>
      </c>
      <c r="E518" s="171" t="s">
        <v>1761</v>
      </c>
      <c r="F518" s="171" t="s">
        <v>2745</v>
      </c>
      <c r="G518" s="171" t="s">
        <v>2271</v>
      </c>
      <c r="H518" s="171" t="s">
        <v>2271</v>
      </c>
      <c r="I518" s="171" t="s">
        <v>2848</v>
      </c>
      <c r="J518" s="172" t="str">
        <f t="shared" si="28"/>
        <v>ROEVOLUTION 226, LLC - PPO</v>
      </c>
      <c r="K518" s="172" t="str">
        <f t="shared" si="26"/>
        <v/>
      </c>
      <c r="L518" s="172" t="str">
        <f t="shared" si="27"/>
        <v>Medical Plan</v>
      </c>
    </row>
    <row r="519" spans="4:12" ht="30" customHeight="1" x14ac:dyDescent="0.25">
      <c r="D519" s="171" t="s">
        <v>2271</v>
      </c>
      <c r="E519" s="171" t="s">
        <v>1761</v>
      </c>
      <c r="F519" s="171" t="s">
        <v>2746</v>
      </c>
      <c r="G519" s="171" t="s">
        <v>2271</v>
      </c>
      <c r="H519" s="171" t="s">
        <v>2271</v>
      </c>
      <c r="I519" s="171" t="s">
        <v>2849</v>
      </c>
      <c r="J519" s="172" t="str">
        <f t="shared" si="28"/>
        <v>ROI CONSULTING, INC. - PPO</v>
      </c>
      <c r="K519" s="172" t="str">
        <f t="shared" si="26"/>
        <v/>
      </c>
      <c r="L519" s="172" t="str">
        <f t="shared" si="27"/>
        <v>Medical Plan</v>
      </c>
    </row>
    <row r="520" spans="4:12" ht="30" customHeight="1" x14ac:dyDescent="0.25">
      <c r="D520" s="171" t="s">
        <v>2271</v>
      </c>
      <c r="E520" s="171" t="s">
        <v>1761</v>
      </c>
      <c r="F520" s="171" t="s">
        <v>2614</v>
      </c>
      <c r="G520" s="171" t="s">
        <v>2271</v>
      </c>
      <c r="H520" s="171" t="s">
        <v>2271</v>
      </c>
      <c r="I520" s="171" t="s">
        <v>2849</v>
      </c>
      <c r="J520" s="172" t="str">
        <f t="shared" si="28"/>
        <v>ROI CONSULTING, INC. - PPO</v>
      </c>
      <c r="K520" s="172" t="str">
        <f t="shared" si="26"/>
        <v/>
      </c>
      <c r="L520" s="172" t="str">
        <f t="shared" si="27"/>
        <v>Medical Plan</v>
      </c>
    </row>
    <row r="521" spans="4:12" ht="30" customHeight="1" x14ac:dyDescent="0.25">
      <c r="D521" s="171" t="s">
        <v>2271</v>
      </c>
      <c r="E521" s="171" t="s">
        <v>1761</v>
      </c>
      <c r="F521" s="171" t="s">
        <v>2615</v>
      </c>
      <c r="G521" s="171" t="s">
        <v>2271</v>
      </c>
      <c r="H521" s="171" t="s">
        <v>2271</v>
      </c>
      <c r="I521" s="171" t="s">
        <v>2849</v>
      </c>
      <c r="J521" s="172" t="str">
        <f t="shared" si="28"/>
        <v>ROI CONSULTING, INC. - PPO</v>
      </c>
      <c r="K521" s="172" t="str">
        <f t="shared" si="26"/>
        <v/>
      </c>
      <c r="L521" s="172" t="str">
        <f t="shared" si="27"/>
        <v>Medical Plan</v>
      </c>
    </row>
    <row r="522" spans="4:12" ht="30" customHeight="1" x14ac:dyDescent="0.25">
      <c r="D522" s="171" t="s">
        <v>1734</v>
      </c>
      <c r="E522" s="171" t="s">
        <v>70</v>
      </c>
      <c r="F522" s="171" t="s">
        <v>1827</v>
      </c>
      <c r="G522" s="171" t="s">
        <v>1323</v>
      </c>
      <c r="H522" s="171" t="s">
        <v>1324</v>
      </c>
      <c r="I522" s="171" t="s">
        <v>1325</v>
      </c>
      <c r="J522" s="172" t="str">
        <f t="shared" si="28"/>
        <v>RONALD MCDONALD HOUSE CHARITIES OF CHICAGOLA - BLUE OPTIONS</v>
      </c>
      <c r="K522" s="172" t="str">
        <f t="shared" si="26"/>
        <v/>
      </c>
      <c r="L522" s="172" t="str">
        <f t="shared" si="27"/>
        <v>Medical Plan</v>
      </c>
    </row>
    <row r="523" spans="4:12" ht="30" customHeight="1" x14ac:dyDescent="0.25">
      <c r="D523" s="171" t="s">
        <v>1737</v>
      </c>
      <c r="E523" s="171" t="s">
        <v>70</v>
      </c>
      <c r="F523" s="171" t="s">
        <v>1830</v>
      </c>
      <c r="G523" s="171" t="s">
        <v>1323</v>
      </c>
      <c r="H523" s="171" t="s">
        <v>1324</v>
      </c>
      <c r="I523" s="171" t="s">
        <v>1325</v>
      </c>
      <c r="J523" s="172" t="str">
        <f t="shared" si="28"/>
        <v>RONALD MCDONALD HOUSE CHARITIES OF CHICAGOLA - BLUE OPTIONS</v>
      </c>
      <c r="K523" s="172" t="str">
        <f t="shared" si="26"/>
        <v/>
      </c>
      <c r="L523" s="172" t="str">
        <f t="shared" si="27"/>
        <v>Medical Plan</v>
      </c>
    </row>
    <row r="524" spans="4:12" ht="30" customHeight="1" x14ac:dyDescent="0.25">
      <c r="D524" s="171" t="s">
        <v>1736</v>
      </c>
      <c r="E524" s="171" t="s">
        <v>1764</v>
      </c>
      <c r="F524" s="171" t="s">
        <v>1829</v>
      </c>
      <c r="G524" s="171" t="s">
        <v>1323</v>
      </c>
      <c r="H524" s="171" t="s">
        <v>1324</v>
      </c>
      <c r="I524" s="171" t="s">
        <v>1325</v>
      </c>
      <c r="J524" s="172" t="str">
        <f t="shared" si="28"/>
        <v>RONALD MCDONALD HOUSE CHARITIES OF CHICAGOLA - BLUE PRECISION</v>
      </c>
      <c r="K524" s="172" t="str">
        <f t="shared" si="26"/>
        <v>BAV</v>
      </c>
      <c r="L524" s="172" t="str">
        <f t="shared" si="27"/>
        <v>Medical Plan</v>
      </c>
    </row>
    <row r="525" spans="4:12" ht="30" customHeight="1" x14ac:dyDescent="0.25">
      <c r="D525" s="171" t="s">
        <v>1735</v>
      </c>
      <c r="E525" s="171" t="s">
        <v>1761</v>
      </c>
      <c r="F525" s="171" t="s">
        <v>1828</v>
      </c>
      <c r="G525" s="171" t="s">
        <v>1323</v>
      </c>
      <c r="H525" s="171" t="s">
        <v>1324</v>
      </c>
      <c r="I525" s="171" t="s">
        <v>1325</v>
      </c>
      <c r="J525" s="172" t="str">
        <f t="shared" si="28"/>
        <v>RONALD MCDONALD HOUSE CHARITIES OF CHICAGOLA - PPO</v>
      </c>
      <c r="K525" s="172" t="str">
        <f t="shared" si="26"/>
        <v/>
      </c>
      <c r="L525" s="172" t="str">
        <f t="shared" si="27"/>
        <v>Medical Plan</v>
      </c>
    </row>
    <row r="526" spans="4:12" ht="30" customHeight="1" x14ac:dyDescent="0.25">
      <c r="D526" s="171" t="s">
        <v>2271</v>
      </c>
      <c r="E526" s="171" t="s">
        <v>2110</v>
      </c>
      <c r="F526" s="171" t="s">
        <v>2747</v>
      </c>
      <c r="G526" s="171" t="s">
        <v>2271</v>
      </c>
      <c r="H526" s="171" t="s">
        <v>2271</v>
      </c>
      <c r="I526" s="171" t="s">
        <v>2850</v>
      </c>
      <c r="J526" s="172" t="str">
        <f t="shared" si="28"/>
        <v>SAINT ANTHONY HOSPITAL - HMO OF ILLINOIS</v>
      </c>
      <c r="K526" s="172" t="str">
        <f t="shared" si="26"/>
        <v>HMO</v>
      </c>
      <c r="L526" s="172" t="str">
        <f t="shared" si="27"/>
        <v>Medical Plan</v>
      </c>
    </row>
    <row r="527" spans="4:12" ht="30" customHeight="1" x14ac:dyDescent="0.25">
      <c r="D527" s="171" t="s">
        <v>2271</v>
      </c>
      <c r="E527" s="171" t="s">
        <v>1761</v>
      </c>
      <c r="F527" s="171" t="s">
        <v>2748</v>
      </c>
      <c r="G527" s="171" t="s">
        <v>2271</v>
      </c>
      <c r="H527" s="171" t="s">
        <v>2271</v>
      </c>
      <c r="I527" s="171" t="s">
        <v>2850</v>
      </c>
      <c r="J527" s="172" t="str">
        <f t="shared" si="28"/>
        <v>SAINT ANTHONY HOSPITAL - PPO</v>
      </c>
      <c r="K527" s="172" t="str">
        <f t="shared" si="26"/>
        <v/>
      </c>
      <c r="L527" s="172" t="str">
        <f t="shared" si="27"/>
        <v>Medical Plan</v>
      </c>
    </row>
    <row r="528" spans="4:12" ht="30" customHeight="1" x14ac:dyDescent="0.25">
      <c r="D528" s="171" t="s">
        <v>2271</v>
      </c>
      <c r="E528" s="171" t="s">
        <v>1761</v>
      </c>
      <c r="F528" s="171" t="s">
        <v>2749</v>
      </c>
      <c r="G528" s="171" t="s">
        <v>2271</v>
      </c>
      <c r="H528" s="171" t="s">
        <v>2271</v>
      </c>
      <c r="I528" s="171" t="s">
        <v>2850</v>
      </c>
      <c r="J528" s="172" t="str">
        <f t="shared" si="28"/>
        <v>SAINT ANTHONY HOSPITAL - PPO</v>
      </c>
      <c r="K528" s="172" t="str">
        <f t="shared" si="26"/>
        <v/>
      </c>
      <c r="L528" s="172" t="str">
        <f t="shared" si="27"/>
        <v>Medical Plan</v>
      </c>
    </row>
    <row r="529" spans="4:12" ht="30" customHeight="1" x14ac:dyDescent="0.25">
      <c r="D529" s="171" t="s">
        <v>2271</v>
      </c>
      <c r="E529" s="171" t="s">
        <v>1761</v>
      </c>
      <c r="F529" s="171" t="s">
        <v>2750</v>
      </c>
      <c r="G529" s="171" t="s">
        <v>2271</v>
      </c>
      <c r="H529" s="171" t="s">
        <v>2271</v>
      </c>
      <c r="I529" s="171" t="s">
        <v>2851</v>
      </c>
      <c r="J529" s="172" t="str">
        <f t="shared" si="28"/>
        <v>SCHWEGEL PHYSICAL THERAPY, PC DBA ALTON PHYSI - PPO</v>
      </c>
      <c r="K529" s="172" t="str">
        <f t="shared" si="26"/>
        <v/>
      </c>
      <c r="L529" s="172" t="str">
        <f t="shared" si="27"/>
        <v>Medical Plan</v>
      </c>
    </row>
    <row r="530" spans="4:12" ht="30" customHeight="1" x14ac:dyDescent="0.25">
      <c r="D530" s="171" t="s">
        <v>2271</v>
      </c>
      <c r="E530" s="171" t="s">
        <v>1761</v>
      </c>
      <c r="F530" s="171" t="s">
        <v>2751</v>
      </c>
      <c r="G530" s="171" t="s">
        <v>2271</v>
      </c>
      <c r="H530" s="171" t="s">
        <v>2271</v>
      </c>
      <c r="I530" s="171" t="s">
        <v>2852</v>
      </c>
      <c r="J530" s="172" t="str">
        <f t="shared" si="28"/>
        <v>SHAWN M. DAVIES SC - PPO</v>
      </c>
      <c r="K530" s="172" t="str">
        <f t="shared" si="26"/>
        <v/>
      </c>
      <c r="L530" s="172" t="str">
        <f t="shared" si="27"/>
        <v>Medical Plan</v>
      </c>
    </row>
    <row r="531" spans="4:12" ht="30" customHeight="1" x14ac:dyDescent="0.25">
      <c r="D531" s="171" t="s">
        <v>2271</v>
      </c>
      <c r="E531" s="171" t="s">
        <v>71</v>
      </c>
      <c r="G531" s="171" t="s">
        <v>1326</v>
      </c>
      <c r="H531" s="171" t="s">
        <v>1326</v>
      </c>
      <c r="I531" s="171" t="s">
        <v>1327</v>
      </c>
      <c r="J531" s="172" t="str">
        <f t="shared" si="28"/>
        <v>SHERMAN DODGE - No Coverage</v>
      </c>
      <c r="K531" s="172" t="str">
        <f t="shared" si="26"/>
        <v/>
      </c>
      <c r="L531" s="172" t="str">
        <f t="shared" si="27"/>
        <v>Medical Plan</v>
      </c>
    </row>
    <row r="532" spans="4:12" ht="30" customHeight="1" x14ac:dyDescent="0.25">
      <c r="D532" s="171" t="s">
        <v>1740</v>
      </c>
      <c r="E532" s="171" t="s">
        <v>1772</v>
      </c>
      <c r="F532" s="171" t="s">
        <v>1834</v>
      </c>
      <c r="G532" s="171" t="s">
        <v>1326</v>
      </c>
      <c r="H532" s="171" t="s">
        <v>1326</v>
      </c>
      <c r="I532" s="171" t="s">
        <v>1327</v>
      </c>
      <c r="J532" s="172" t="str">
        <f t="shared" si="28"/>
        <v>SHERMAN DODGE - BLUE ADV HMO</v>
      </c>
      <c r="K532" s="172" t="str">
        <f t="shared" si="26"/>
        <v>ADV</v>
      </c>
      <c r="L532" s="172" t="str">
        <f t="shared" si="27"/>
        <v>Medical Plan</v>
      </c>
    </row>
    <row r="533" spans="4:12" ht="30" customHeight="1" x14ac:dyDescent="0.25">
      <c r="D533" s="171" t="s">
        <v>1743</v>
      </c>
      <c r="E533" s="171" t="s">
        <v>1775</v>
      </c>
      <c r="F533" s="171" t="s">
        <v>1837</v>
      </c>
      <c r="G533" s="171" t="s">
        <v>1326</v>
      </c>
      <c r="H533" s="171" t="s">
        <v>1326</v>
      </c>
      <c r="I533" s="171" t="s">
        <v>1327</v>
      </c>
      <c r="J533" s="172" t="str">
        <f t="shared" si="28"/>
        <v>SHERMAN DODGE - BLUE CHOICE SELECT</v>
      </c>
      <c r="K533" s="172" t="str">
        <f t="shared" si="26"/>
        <v/>
      </c>
      <c r="L533" s="172" t="str">
        <f t="shared" si="27"/>
        <v>Medical Plan</v>
      </c>
    </row>
    <row r="534" spans="4:12" ht="30" customHeight="1" x14ac:dyDescent="0.25">
      <c r="D534" s="171" t="s">
        <v>1742</v>
      </c>
      <c r="E534" s="171" t="s">
        <v>70</v>
      </c>
      <c r="F534" s="171" t="s">
        <v>1836</v>
      </c>
      <c r="G534" s="171" t="s">
        <v>1326</v>
      </c>
      <c r="H534" s="171" t="s">
        <v>1326</v>
      </c>
      <c r="I534" s="171" t="s">
        <v>1327</v>
      </c>
      <c r="J534" s="172" t="str">
        <f t="shared" si="28"/>
        <v>SHERMAN DODGE - BLUE OPTIONS</v>
      </c>
      <c r="K534" s="172" t="str">
        <f t="shared" si="26"/>
        <v/>
      </c>
      <c r="L534" s="172" t="str">
        <f t="shared" si="27"/>
        <v>Medical Plan</v>
      </c>
    </row>
    <row r="535" spans="4:12" ht="30" customHeight="1" x14ac:dyDescent="0.25">
      <c r="D535" s="171" t="s">
        <v>1741</v>
      </c>
      <c r="E535" s="171" t="s">
        <v>70</v>
      </c>
      <c r="F535" s="171" t="s">
        <v>1835</v>
      </c>
      <c r="G535" s="171" t="s">
        <v>1326</v>
      </c>
      <c r="H535" s="171" t="s">
        <v>1326</v>
      </c>
      <c r="I535" s="171" t="s">
        <v>1327</v>
      </c>
      <c r="J535" s="172" t="str">
        <f t="shared" si="28"/>
        <v>SHERMAN DODGE - BLUE OPTIONS</v>
      </c>
      <c r="K535" s="172" t="str">
        <f t="shared" si="26"/>
        <v/>
      </c>
      <c r="L535" s="172" t="str">
        <f t="shared" si="27"/>
        <v>Medical Plan</v>
      </c>
    </row>
    <row r="536" spans="4:12" ht="30" customHeight="1" x14ac:dyDescent="0.25">
      <c r="D536" s="171" t="s">
        <v>1739</v>
      </c>
      <c r="E536" s="171" t="s">
        <v>1769</v>
      </c>
      <c r="F536" s="171" t="s">
        <v>1833</v>
      </c>
      <c r="G536" s="171" t="s">
        <v>1326</v>
      </c>
      <c r="H536" s="171" t="s">
        <v>1326</v>
      </c>
      <c r="I536" s="171" t="s">
        <v>1327</v>
      </c>
      <c r="J536" s="172" t="str">
        <f t="shared" si="28"/>
        <v>SHERMAN DODGE - DENTAL</v>
      </c>
      <c r="K536" s="172" t="str">
        <f t="shared" si="26"/>
        <v/>
      </c>
      <c r="L536" s="172" t="str">
        <f t="shared" si="27"/>
        <v>Dental Plan</v>
      </c>
    </row>
    <row r="537" spans="4:12" ht="30" customHeight="1" x14ac:dyDescent="0.25">
      <c r="D537" s="171" t="s">
        <v>1738</v>
      </c>
      <c r="E537" s="171" t="s">
        <v>1831</v>
      </c>
      <c r="F537" s="171" t="s">
        <v>1832</v>
      </c>
      <c r="G537" s="171" t="s">
        <v>1326</v>
      </c>
      <c r="H537" s="171" t="s">
        <v>1326</v>
      </c>
      <c r="I537" s="171" t="s">
        <v>1327</v>
      </c>
      <c r="J537" s="172" t="str">
        <f t="shared" si="28"/>
        <v>SHERMAN DODGE - DENTAL HMO</v>
      </c>
      <c r="K537" s="172" t="str">
        <f t="shared" si="26"/>
        <v>DENTAL HMO</v>
      </c>
      <c r="L537" s="172" t="str">
        <f t="shared" si="27"/>
        <v>Dental Plan</v>
      </c>
    </row>
    <row r="538" spans="4:12" ht="30" customHeight="1" x14ac:dyDescent="0.25">
      <c r="D538" s="171" t="s">
        <v>2271</v>
      </c>
      <c r="E538" s="171" t="s">
        <v>1761</v>
      </c>
      <c r="F538" s="171" t="s">
        <v>2753</v>
      </c>
      <c r="G538" s="171" t="s">
        <v>2271</v>
      </c>
      <c r="H538" s="171" t="s">
        <v>2271</v>
      </c>
      <c r="I538" s="171" t="s">
        <v>2853</v>
      </c>
      <c r="J538" s="172" t="str">
        <f t="shared" si="28"/>
        <v>SIEGEL &amp; MOSES - PPO</v>
      </c>
      <c r="K538" s="172" t="str">
        <f t="shared" si="26"/>
        <v/>
      </c>
      <c r="L538" s="172" t="str">
        <f t="shared" si="27"/>
        <v>Medical Plan</v>
      </c>
    </row>
    <row r="539" spans="4:12" ht="30" customHeight="1" x14ac:dyDescent="0.25">
      <c r="D539" s="171" t="s">
        <v>2271</v>
      </c>
      <c r="E539" s="171" t="s">
        <v>1761</v>
      </c>
      <c r="F539" s="171" t="s">
        <v>2752</v>
      </c>
      <c r="G539" s="171" t="s">
        <v>2271</v>
      </c>
      <c r="H539" s="171" t="s">
        <v>2271</v>
      </c>
      <c r="I539" s="171" t="s">
        <v>2853</v>
      </c>
      <c r="J539" s="172" t="str">
        <f t="shared" si="28"/>
        <v>SIEGEL &amp; MOSES - PPO</v>
      </c>
      <c r="K539" s="172" t="str">
        <f t="shared" si="26"/>
        <v/>
      </c>
      <c r="L539" s="172" t="str">
        <f t="shared" si="27"/>
        <v>Medical Plan</v>
      </c>
    </row>
    <row r="540" spans="4:12" ht="30" customHeight="1" x14ac:dyDescent="0.25">
      <c r="D540" s="171" t="s">
        <v>2271</v>
      </c>
      <c r="E540" s="171" t="s">
        <v>1772</v>
      </c>
      <c r="F540" s="171" t="s">
        <v>2755</v>
      </c>
      <c r="G540" s="171" t="s">
        <v>2271</v>
      </c>
      <c r="H540" s="171" t="s">
        <v>2271</v>
      </c>
      <c r="I540" s="171" t="s">
        <v>2854</v>
      </c>
      <c r="J540" s="172" t="str">
        <f t="shared" si="28"/>
        <v>SJH DERMATOLOGY - BLUE ADV HMO</v>
      </c>
      <c r="K540" s="172" t="str">
        <f t="shared" si="26"/>
        <v>ADV</v>
      </c>
      <c r="L540" s="172" t="str">
        <f t="shared" si="27"/>
        <v>Medical Plan</v>
      </c>
    </row>
    <row r="541" spans="4:12" ht="30" customHeight="1" x14ac:dyDescent="0.25">
      <c r="D541" s="171" t="s">
        <v>2271</v>
      </c>
      <c r="E541" s="171" t="s">
        <v>1775</v>
      </c>
      <c r="F541" s="171" t="s">
        <v>2754</v>
      </c>
      <c r="G541" s="171" t="s">
        <v>2271</v>
      </c>
      <c r="H541" s="171" t="s">
        <v>2271</v>
      </c>
      <c r="I541" s="171" t="s">
        <v>2854</v>
      </c>
      <c r="J541" s="172" t="str">
        <f t="shared" si="28"/>
        <v>SJH DERMATOLOGY - BLUE CHOICE SELECT</v>
      </c>
      <c r="K541" s="172" t="str">
        <f t="shared" si="26"/>
        <v/>
      </c>
      <c r="L541" s="172" t="str">
        <f t="shared" si="27"/>
        <v>Medical Plan</v>
      </c>
    </row>
    <row r="542" spans="4:12" ht="30" customHeight="1" x14ac:dyDescent="0.25">
      <c r="D542" s="171" t="s">
        <v>2271</v>
      </c>
      <c r="E542" s="171" t="s">
        <v>70</v>
      </c>
      <c r="F542" s="171" t="s">
        <v>2294</v>
      </c>
      <c r="G542" s="171" t="s">
        <v>2271</v>
      </c>
      <c r="H542" s="171" t="s">
        <v>2271</v>
      </c>
      <c r="I542" s="171" t="s">
        <v>2854</v>
      </c>
      <c r="J542" s="172" t="str">
        <f t="shared" si="28"/>
        <v>SJH DERMATOLOGY - BLUE OPTIONS</v>
      </c>
      <c r="K542" s="172" t="str">
        <f t="shared" si="26"/>
        <v/>
      </c>
      <c r="L542" s="172" t="str">
        <f t="shared" si="27"/>
        <v>Medical Plan</v>
      </c>
    </row>
    <row r="543" spans="4:12" ht="30" customHeight="1" x14ac:dyDescent="0.25">
      <c r="D543" s="171" t="s">
        <v>2271</v>
      </c>
      <c r="E543" s="171" t="s">
        <v>1761</v>
      </c>
      <c r="F543" s="171" t="s">
        <v>2756</v>
      </c>
      <c r="G543" s="171" t="s">
        <v>2271</v>
      </c>
      <c r="H543" s="171" t="s">
        <v>2271</v>
      </c>
      <c r="I543" s="171" t="s">
        <v>2854</v>
      </c>
      <c r="J543" s="172" t="str">
        <f t="shared" si="28"/>
        <v>SJH DERMATOLOGY - PPO</v>
      </c>
      <c r="K543" s="172" t="str">
        <f t="shared" si="26"/>
        <v/>
      </c>
      <c r="L543" s="172" t="str">
        <f t="shared" si="27"/>
        <v>Medical Plan</v>
      </c>
    </row>
    <row r="544" spans="4:12" ht="30" customHeight="1" x14ac:dyDescent="0.25">
      <c r="D544" s="171" t="s">
        <v>2271</v>
      </c>
      <c r="E544" s="171" t="s">
        <v>1772</v>
      </c>
      <c r="F544" s="171" t="s">
        <v>2270</v>
      </c>
      <c r="G544" s="171" t="s">
        <v>2480</v>
      </c>
      <c r="H544" s="171" t="s">
        <v>2271</v>
      </c>
      <c r="I544" s="171" t="s">
        <v>2269</v>
      </c>
      <c r="J544" s="172" t="str">
        <f t="shared" si="28"/>
        <v>SKY ROAD - BLUE ADV HMO</v>
      </c>
      <c r="K544" s="172" t="str">
        <f t="shared" si="26"/>
        <v>ADV</v>
      </c>
      <c r="L544" s="172" t="str">
        <f t="shared" si="27"/>
        <v>Medical Plan</v>
      </c>
    </row>
    <row r="545" spans="4:12" ht="30" customHeight="1" x14ac:dyDescent="0.25">
      <c r="D545" s="171" t="s">
        <v>2271</v>
      </c>
      <c r="E545" s="171" t="s">
        <v>1761</v>
      </c>
      <c r="F545" s="171" t="s">
        <v>2456</v>
      </c>
      <c r="G545" s="171" t="s">
        <v>2480</v>
      </c>
      <c r="H545" s="171" t="s">
        <v>2271</v>
      </c>
      <c r="I545" s="171" t="s">
        <v>2269</v>
      </c>
      <c r="J545" s="172" t="str">
        <f t="shared" si="28"/>
        <v>SKY ROAD - PPO</v>
      </c>
      <c r="K545" s="172" t="str">
        <f t="shared" si="26"/>
        <v/>
      </c>
      <c r="L545" s="172" t="str">
        <f t="shared" si="27"/>
        <v>Medical Plan</v>
      </c>
    </row>
    <row r="546" spans="4:12" ht="30" customHeight="1" x14ac:dyDescent="0.25">
      <c r="D546" s="171" t="s">
        <v>1747</v>
      </c>
      <c r="E546" s="171" t="s">
        <v>1772</v>
      </c>
      <c r="F546" s="171" t="s">
        <v>2101</v>
      </c>
      <c r="G546" s="171" t="s">
        <v>1328</v>
      </c>
      <c r="H546" s="171" t="s">
        <v>1328</v>
      </c>
      <c r="I546" s="171" t="s">
        <v>1329</v>
      </c>
      <c r="J546" s="172" t="str">
        <f t="shared" si="28"/>
        <v>SOCIETY OF CRITICAL CARE MEDICINE - BLUE ADV HMO</v>
      </c>
      <c r="K546" s="172" t="str">
        <f t="shared" si="26"/>
        <v>ADV</v>
      </c>
      <c r="L546" s="172" t="str">
        <f t="shared" si="27"/>
        <v>Medical Plan</v>
      </c>
    </row>
    <row r="547" spans="4:12" ht="30" customHeight="1" x14ac:dyDescent="0.25">
      <c r="D547" s="171" t="s">
        <v>1748</v>
      </c>
      <c r="E547" s="171" t="s">
        <v>1775</v>
      </c>
      <c r="F547" s="171" t="s">
        <v>1840</v>
      </c>
      <c r="G547" s="171" t="s">
        <v>1328</v>
      </c>
      <c r="H547" s="171" t="s">
        <v>1328</v>
      </c>
      <c r="I547" s="171" t="s">
        <v>1329</v>
      </c>
      <c r="J547" s="172" t="str">
        <f t="shared" si="28"/>
        <v>SOCIETY OF CRITICAL CARE MEDICINE - BLUE CHOICE SELECT</v>
      </c>
      <c r="K547" s="172" t="str">
        <f t="shared" si="26"/>
        <v/>
      </c>
      <c r="L547" s="172" t="str">
        <f t="shared" si="27"/>
        <v>Medical Plan</v>
      </c>
    </row>
    <row r="548" spans="4:12" ht="30" customHeight="1" x14ac:dyDescent="0.25">
      <c r="D548" s="171" t="s">
        <v>1746</v>
      </c>
      <c r="E548" s="171" t="s">
        <v>1775</v>
      </c>
      <c r="F548" s="171" t="s">
        <v>1839</v>
      </c>
      <c r="G548" s="171" t="s">
        <v>1328</v>
      </c>
      <c r="H548" s="171" t="s">
        <v>1328</v>
      </c>
      <c r="I548" s="171" t="s">
        <v>1329</v>
      </c>
      <c r="J548" s="172" t="str">
        <f t="shared" si="28"/>
        <v>SOCIETY OF CRITICAL CARE MEDICINE - BLUE CHOICE SELECT</v>
      </c>
      <c r="K548" s="172" t="str">
        <f t="shared" si="26"/>
        <v/>
      </c>
      <c r="L548" s="172" t="str">
        <f t="shared" si="27"/>
        <v>Medical Plan</v>
      </c>
    </row>
    <row r="549" spans="4:12" ht="30" customHeight="1" x14ac:dyDescent="0.25">
      <c r="D549" s="171" t="s">
        <v>1745</v>
      </c>
      <c r="E549" s="171" t="s">
        <v>70</v>
      </c>
      <c r="F549" s="171" t="s">
        <v>1838</v>
      </c>
      <c r="G549" s="171" t="s">
        <v>1328</v>
      </c>
      <c r="H549" s="171" t="s">
        <v>1328</v>
      </c>
      <c r="I549" s="171" t="s">
        <v>1329</v>
      </c>
      <c r="J549" s="172" t="str">
        <f t="shared" si="28"/>
        <v>SOCIETY OF CRITICAL CARE MEDICINE - BLUE OPTIONS</v>
      </c>
      <c r="K549" s="172" t="str">
        <f t="shared" si="26"/>
        <v/>
      </c>
      <c r="L549" s="172" t="str">
        <f t="shared" si="27"/>
        <v>Medical Plan</v>
      </c>
    </row>
    <row r="550" spans="4:12" ht="30" customHeight="1" x14ac:dyDescent="0.25">
      <c r="D550" s="171" t="s">
        <v>1744</v>
      </c>
      <c r="E550" s="171" t="s">
        <v>1761</v>
      </c>
      <c r="F550" s="171" t="s">
        <v>2100</v>
      </c>
      <c r="G550" s="171" t="s">
        <v>1328</v>
      </c>
      <c r="H550" s="171" t="s">
        <v>1328</v>
      </c>
      <c r="I550" s="171" t="s">
        <v>1329</v>
      </c>
      <c r="J550" s="172" t="str">
        <f t="shared" si="28"/>
        <v>SOCIETY OF CRITICAL CARE MEDICINE - PPO</v>
      </c>
      <c r="K550" s="172" t="str">
        <f t="shared" si="26"/>
        <v/>
      </c>
      <c r="L550" s="172" t="str">
        <f t="shared" si="27"/>
        <v>Medical Plan</v>
      </c>
    </row>
    <row r="551" spans="4:12" ht="30" customHeight="1" x14ac:dyDescent="0.25">
      <c r="D551" s="171" t="s">
        <v>2271</v>
      </c>
      <c r="E551" s="171" t="s">
        <v>1761</v>
      </c>
      <c r="F551" s="171" t="s">
        <v>2757</v>
      </c>
      <c r="G551" s="171" t="s">
        <v>2271</v>
      </c>
      <c r="H551" s="171" t="s">
        <v>2271</v>
      </c>
      <c r="I551" s="171" t="s">
        <v>2855</v>
      </c>
      <c r="J551" s="172" t="str">
        <f t="shared" si="28"/>
        <v>SOUND DESIGN, INC - PPO</v>
      </c>
      <c r="K551" s="172" t="str">
        <f t="shared" si="26"/>
        <v/>
      </c>
      <c r="L551" s="172" t="str">
        <f t="shared" si="27"/>
        <v>Medical Plan</v>
      </c>
    </row>
    <row r="552" spans="4:12" ht="30" customHeight="1" x14ac:dyDescent="0.25">
      <c r="D552" s="171" t="s">
        <v>1749</v>
      </c>
      <c r="E552" s="171" t="s">
        <v>70</v>
      </c>
      <c r="F552" s="171" t="s">
        <v>1841</v>
      </c>
      <c r="G552" s="171" t="s">
        <v>1330</v>
      </c>
      <c r="H552" s="171" t="s">
        <v>1330</v>
      </c>
      <c r="I552" s="171" t="s">
        <v>1331</v>
      </c>
      <c r="J552" s="172" t="str">
        <f t="shared" si="28"/>
        <v>SPORTS AND ORTHO PC - BLUE OPTIONS</v>
      </c>
      <c r="K552" s="172" t="str">
        <f t="shared" si="26"/>
        <v/>
      </c>
      <c r="L552" s="172" t="str">
        <f t="shared" si="27"/>
        <v>Medical Plan</v>
      </c>
    </row>
    <row r="553" spans="4:12" ht="30" customHeight="1" x14ac:dyDescent="0.25">
      <c r="D553" s="171" t="s">
        <v>1750</v>
      </c>
      <c r="E553" s="171" t="s">
        <v>70</v>
      </c>
      <c r="F553" s="171" t="s">
        <v>1842</v>
      </c>
      <c r="G553" s="171" t="s">
        <v>1330</v>
      </c>
      <c r="H553" s="171" t="s">
        <v>1330</v>
      </c>
      <c r="I553" s="171" t="s">
        <v>1331</v>
      </c>
      <c r="J553" s="172" t="str">
        <f t="shared" si="28"/>
        <v>SPORTS AND ORTHO PC - BLUE OPTIONS</v>
      </c>
      <c r="K553" s="172" t="str">
        <f t="shared" si="26"/>
        <v/>
      </c>
      <c r="L553" s="172" t="str">
        <f t="shared" si="27"/>
        <v>Medical Plan</v>
      </c>
    </row>
    <row r="554" spans="4:12" ht="30" customHeight="1" x14ac:dyDescent="0.25">
      <c r="D554" s="171" t="s">
        <v>1751</v>
      </c>
      <c r="E554" s="171" t="s">
        <v>67</v>
      </c>
      <c r="F554" s="171" t="s">
        <v>1843</v>
      </c>
      <c r="G554" s="171" t="s">
        <v>1330</v>
      </c>
      <c r="H554" s="171" t="s">
        <v>1330</v>
      </c>
      <c r="I554" s="171" t="s">
        <v>1331</v>
      </c>
      <c r="J554" s="172" t="str">
        <f t="shared" si="28"/>
        <v>SPORTS AND ORTHO PC - BLUECP</v>
      </c>
      <c r="K554" s="172" t="str">
        <f t="shared" si="26"/>
        <v/>
      </c>
      <c r="L554" s="172" t="str">
        <f t="shared" si="27"/>
        <v>Medical Plan</v>
      </c>
    </row>
    <row r="555" spans="4:12" ht="30" customHeight="1" x14ac:dyDescent="0.25">
      <c r="D555" s="171" t="s">
        <v>2271</v>
      </c>
      <c r="E555" s="171" t="s">
        <v>1764</v>
      </c>
      <c r="F555" s="171" t="s">
        <v>2128</v>
      </c>
      <c r="G555" s="171" t="s">
        <v>2531</v>
      </c>
      <c r="H555" s="171" t="s">
        <v>2271</v>
      </c>
      <c r="I555" s="171" t="s">
        <v>2532</v>
      </c>
      <c r="J555" s="172" t="str">
        <f t="shared" si="28"/>
        <v>SPRING USA CORPORATION - BLUE PRECISION</v>
      </c>
      <c r="K555" s="172" t="str">
        <f t="shared" si="26"/>
        <v>BAV</v>
      </c>
      <c r="L555" s="172" t="str">
        <f t="shared" si="27"/>
        <v>Medical Plan</v>
      </c>
    </row>
    <row r="556" spans="4:12" ht="30" customHeight="1" x14ac:dyDescent="0.25">
      <c r="D556" s="171" t="s">
        <v>2271</v>
      </c>
      <c r="E556" s="171" t="s">
        <v>1764</v>
      </c>
      <c r="F556" s="171" t="s">
        <v>2327</v>
      </c>
      <c r="G556" s="171" t="s">
        <v>2531</v>
      </c>
      <c r="H556" s="171" t="s">
        <v>2271</v>
      </c>
      <c r="I556" s="171" t="s">
        <v>2532</v>
      </c>
      <c r="J556" s="172" t="str">
        <f t="shared" si="28"/>
        <v>SPRING USA CORPORATION - BLUE PRECISION</v>
      </c>
      <c r="K556" s="172" t="str">
        <f t="shared" si="26"/>
        <v>BAV</v>
      </c>
      <c r="L556" s="172" t="str">
        <f t="shared" si="27"/>
        <v>Medical Plan</v>
      </c>
    </row>
    <row r="557" spans="4:12" ht="30" customHeight="1" x14ac:dyDescent="0.25">
      <c r="D557" s="171" t="s">
        <v>2271</v>
      </c>
      <c r="E557" s="171" t="s">
        <v>1761</v>
      </c>
      <c r="F557" s="171" t="s">
        <v>2461</v>
      </c>
      <c r="G557" s="171" t="s">
        <v>2531</v>
      </c>
      <c r="H557" s="171" t="s">
        <v>2271</v>
      </c>
      <c r="I557" s="171" t="s">
        <v>2532</v>
      </c>
      <c r="J557" s="172" t="str">
        <f t="shared" si="28"/>
        <v>SPRING USA CORPORATION - PPO</v>
      </c>
      <c r="K557" s="172" t="str">
        <f t="shared" si="26"/>
        <v/>
      </c>
      <c r="L557" s="172" t="str">
        <f t="shared" si="27"/>
        <v>Medical Plan</v>
      </c>
    </row>
    <row r="558" spans="4:12" ht="30" customHeight="1" x14ac:dyDescent="0.25">
      <c r="D558" s="171" t="s">
        <v>2271</v>
      </c>
      <c r="E558" s="171" t="s">
        <v>1761</v>
      </c>
      <c r="F558" s="171" t="s">
        <v>2459</v>
      </c>
      <c r="G558" s="171" t="s">
        <v>2531</v>
      </c>
      <c r="H558" s="171" t="s">
        <v>2271</v>
      </c>
      <c r="I558" s="171" t="s">
        <v>2532</v>
      </c>
      <c r="J558" s="172" t="str">
        <f t="shared" si="28"/>
        <v>SPRING USA CORPORATION - PPO</v>
      </c>
      <c r="K558" s="172" t="str">
        <f t="shared" si="26"/>
        <v/>
      </c>
      <c r="L558" s="172" t="str">
        <f t="shared" si="27"/>
        <v>Medical Plan</v>
      </c>
    </row>
    <row r="559" spans="4:12" ht="30" customHeight="1" x14ac:dyDescent="0.25">
      <c r="D559" s="171" t="s">
        <v>2271</v>
      </c>
      <c r="E559" s="171" t="s">
        <v>1761</v>
      </c>
      <c r="F559" s="171" t="s">
        <v>2460</v>
      </c>
      <c r="G559" s="171" t="s">
        <v>2531</v>
      </c>
      <c r="H559" s="171" t="s">
        <v>2271</v>
      </c>
      <c r="I559" s="171" t="s">
        <v>2532</v>
      </c>
      <c r="J559" s="172" t="str">
        <f t="shared" si="28"/>
        <v>SPRING USA CORPORATION - PPO</v>
      </c>
      <c r="K559" s="172" t="str">
        <f t="shared" si="26"/>
        <v/>
      </c>
      <c r="L559" s="172" t="str">
        <f t="shared" si="27"/>
        <v>Medical Plan</v>
      </c>
    </row>
    <row r="560" spans="4:12" ht="30" customHeight="1" x14ac:dyDescent="0.25">
      <c r="D560" s="171" t="s">
        <v>2271</v>
      </c>
      <c r="E560" s="171" t="s">
        <v>1761</v>
      </c>
      <c r="F560" s="171" t="s">
        <v>2753</v>
      </c>
      <c r="G560" s="171" t="s">
        <v>2271</v>
      </c>
      <c r="H560" s="171" t="s">
        <v>2271</v>
      </c>
      <c r="I560" s="171" t="s">
        <v>2856</v>
      </c>
      <c r="J560" s="172" t="str">
        <f t="shared" si="28"/>
        <v>STARSHAK WINZENBURG &amp; CO. - PPO</v>
      </c>
      <c r="K560" s="172" t="str">
        <f t="shared" si="26"/>
        <v/>
      </c>
      <c r="L560" s="172" t="str">
        <f t="shared" si="27"/>
        <v>Medical Plan</v>
      </c>
    </row>
    <row r="561" spans="4:12" ht="30" customHeight="1" x14ac:dyDescent="0.25">
      <c r="D561" s="171" t="s">
        <v>2271</v>
      </c>
      <c r="E561" s="171" t="s">
        <v>1764</v>
      </c>
      <c r="F561" s="171" t="s">
        <v>2328</v>
      </c>
      <c r="G561" s="171" t="s">
        <v>2271</v>
      </c>
      <c r="H561" s="171" t="s">
        <v>2271</v>
      </c>
      <c r="I561" s="171" t="s">
        <v>2857</v>
      </c>
      <c r="J561" s="172" t="str">
        <f t="shared" si="28"/>
        <v>SWISS FINANCIAL SERVICES - BLUE PRECISION</v>
      </c>
      <c r="K561" s="172" t="str">
        <f t="shared" si="26"/>
        <v>BAV</v>
      </c>
      <c r="L561" s="172" t="str">
        <f t="shared" si="27"/>
        <v>Medical Plan</v>
      </c>
    </row>
    <row r="562" spans="4:12" ht="30" customHeight="1" x14ac:dyDescent="0.25">
      <c r="D562" s="171" t="s">
        <v>2271</v>
      </c>
      <c r="E562" s="171" t="s">
        <v>1761</v>
      </c>
      <c r="F562" s="171" t="s">
        <v>2751</v>
      </c>
      <c r="G562" s="171" t="s">
        <v>2271</v>
      </c>
      <c r="H562" s="171" t="s">
        <v>2271</v>
      </c>
      <c r="I562" s="171" t="s">
        <v>2857</v>
      </c>
      <c r="J562" s="172" t="str">
        <f t="shared" si="28"/>
        <v>SWISS FINANCIAL SERVICES - PPO</v>
      </c>
      <c r="K562" s="172" t="str">
        <f t="shared" si="26"/>
        <v/>
      </c>
      <c r="L562" s="172" t="str">
        <f t="shared" si="27"/>
        <v>Medical Plan</v>
      </c>
    </row>
    <row r="563" spans="4:12" ht="30" customHeight="1" x14ac:dyDescent="0.25">
      <c r="D563" s="171" t="s">
        <v>2271</v>
      </c>
      <c r="E563" s="171" t="s">
        <v>67</v>
      </c>
      <c r="F563" s="171" t="s">
        <v>2758</v>
      </c>
      <c r="G563" s="171" t="s">
        <v>2271</v>
      </c>
      <c r="H563" s="171" t="s">
        <v>2271</v>
      </c>
      <c r="I563" s="171" t="s">
        <v>2858</v>
      </c>
      <c r="J563" s="172" t="str">
        <f t="shared" si="28"/>
        <v>TANGENT SYSTEMS, INC. - BLUECP</v>
      </c>
      <c r="K563" s="172" t="str">
        <f t="shared" si="26"/>
        <v/>
      </c>
      <c r="L563" s="172" t="str">
        <f t="shared" si="27"/>
        <v>Medical Plan</v>
      </c>
    </row>
    <row r="564" spans="4:12" ht="30" customHeight="1" x14ac:dyDescent="0.25">
      <c r="D564" s="171" t="s">
        <v>2271</v>
      </c>
      <c r="E564" s="171" t="s">
        <v>67</v>
      </c>
      <c r="F564" s="171" t="s">
        <v>2759</v>
      </c>
      <c r="G564" s="171" t="s">
        <v>2271</v>
      </c>
      <c r="H564" s="171" t="s">
        <v>2271</v>
      </c>
      <c r="I564" s="171" t="s">
        <v>2858</v>
      </c>
      <c r="J564" s="172" t="str">
        <f t="shared" si="28"/>
        <v>TANGENT SYSTEMS, INC. - BLUECP</v>
      </c>
      <c r="K564" s="172" t="str">
        <f t="shared" si="26"/>
        <v/>
      </c>
      <c r="L564" s="172" t="str">
        <f t="shared" si="27"/>
        <v>Medical Plan</v>
      </c>
    </row>
    <row r="565" spans="4:12" ht="30" customHeight="1" x14ac:dyDescent="0.25">
      <c r="D565" s="171" t="s">
        <v>2271</v>
      </c>
      <c r="E565" s="171" t="s">
        <v>1761</v>
      </c>
      <c r="F565" s="171" t="s">
        <v>2761</v>
      </c>
      <c r="G565" s="171" t="s">
        <v>2271</v>
      </c>
      <c r="H565" s="171" t="s">
        <v>2271</v>
      </c>
      <c r="I565" s="171" t="s">
        <v>2858</v>
      </c>
      <c r="J565" s="172" t="str">
        <f t="shared" si="28"/>
        <v>TANGENT SYSTEMS, INC. - PPO</v>
      </c>
      <c r="K565" s="172" t="str">
        <f t="shared" si="26"/>
        <v/>
      </c>
      <c r="L565" s="172" t="str">
        <f t="shared" si="27"/>
        <v>Medical Plan</v>
      </c>
    </row>
    <row r="566" spans="4:12" ht="30" customHeight="1" x14ac:dyDescent="0.25">
      <c r="D566" s="171" t="s">
        <v>2271</v>
      </c>
      <c r="E566" s="171" t="s">
        <v>1761</v>
      </c>
      <c r="F566" s="171" t="s">
        <v>2763</v>
      </c>
      <c r="G566" s="171" t="s">
        <v>2271</v>
      </c>
      <c r="H566" s="171" t="s">
        <v>2271</v>
      </c>
      <c r="I566" s="171" t="s">
        <v>2858</v>
      </c>
      <c r="J566" s="172" t="str">
        <f t="shared" si="28"/>
        <v>TANGENT SYSTEMS, INC. - PPO</v>
      </c>
      <c r="K566" s="172" t="str">
        <f t="shared" si="26"/>
        <v/>
      </c>
      <c r="L566" s="172" t="str">
        <f t="shared" si="27"/>
        <v>Medical Plan</v>
      </c>
    </row>
    <row r="567" spans="4:12" ht="30" customHeight="1" x14ac:dyDescent="0.25">
      <c r="D567" s="171" t="s">
        <v>2271</v>
      </c>
      <c r="E567" s="171" t="s">
        <v>1761</v>
      </c>
      <c r="F567" s="171" t="s">
        <v>2762</v>
      </c>
      <c r="G567" s="171" t="s">
        <v>2271</v>
      </c>
      <c r="H567" s="171" t="s">
        <v>2271</v>
      </c>
      <c r="I567" s="171" t="s">
        <v>2858</v>
      </c>
      <c r="J567" s="172" t="str">
        <f t="shared" si="28"/>
        <v>TANGENT SYSTEMS, INC. - PPO</v>
      </c>
      <c r="K567" s="172" t="str">
        <f t="shared" si="26"/>
        <v/>
      </c>
      <c r="L567" s="172" t="str">
        <f t="shared" si="27"/>
        <v>Medical Plan</v>
      </c>
    </row>
    <row r="568" spans="4:12" ht="30" customHeight="1" x14ac:dyDescent="0.25">
      <c r="D568" s="171" t="s">
        <v>2271</v>
      </c>
      <c r="E568" s="171" t="s">
        <v>1761</v>
      </c>
      <c r="F568" s="171" t="s">
        <v>2760</v>
      </c>
      <c r="G568" s="171" t="s">
        <v>2271</v>
      </c>
      <c r="H568" s="171" t="s">
        <v>2271</v>
      </c>
      <c r="I568" s="171" t="s">
        <v>2858</v>
      </c>
      <c r="J568" s="172" t="str">
        <f t="shared" si="28"/>
        <v>TANGENT SYSTEMS, INC. - PPO</v>
      </c>
      <c r="K568" s="172" t="str">
        <f t="shared" si="26"/>
        <v/>
      </c>
      <c r="L568" s="172" t="str">
        <f t="shared" si="27"/>
        <v>Medical Plan</v>
      </c>
    </row>
    <row r="569" spans="4:12" ht="30" customHeight="1" x14ac:dyDescent="0.25">
      <c r="D569" s="171" t="s">
        <v>2271</v>
      </c>
      <c r="E569" s="171" t="s">
        <v>1761</v>
      </c>
      <c r="F569" s="171" t="s">
        <v>2462</v>
      </c>
      <c r="G569" s="171" t="s">
        <v>2583</v>
      </c>
      <c r="H569" s="171" t="s">
        <v>2271</v>
      </c>
      <c r="I569" s="171" t="s">
        <v>2584</v>
      </c>
      <c r="J569" s="172" t="str">
        <f t="shared" si="28"/>
        <v>TARTAN REALTY GROUP, INC. - PPO</v>
      </c>
      <c r="K569" s="172" t="str">
        <f t="shared" si="26"/>
        <v/>
      </c>
      <c r="L569" s="172" t="str">
        <f t="shared" si="27"/>
        <v>Medical Plan</v>
      </c>
    </row>
    <row r="570" spans="4:12" ht="30" customHeight="1" x14ac:dyDescent="0.25">
      <c r="D570" s="171" t="s">
        <v>2271</v>
      </c>
      <c r="E570" s="171" t="s">
        <v>1761</v>
      </c>
      <c r="F570" s="171" t="s">
        <v>2463</v>
      </c>
      <c r="G570" s="171" t="s">
        <v>2583</v>
      </c>
      <c r="H570" s="171" t="s">
        <v>2271</v>
      </c>
      <c r="I570" s="171" t="s">
        <v>2584</v>
      </c>
      <c r="J570" s="172" t="str">
        <f t="shared" si="28"/>
        <v>TARTAN REALTY GROUP, INC. - PPO</v>
      </c>
      <c r="K570" s="172" t="str">
        <f t="shared" si="26"/>
        <v/>
      </c>
      <c r="L570" s="172" t="str">
        <f t="shared" si="27"/>
        <v>Medical Plan</v>
      </c>
    </row>
    <row r="571" spans="4:12" ht="30" customHeight="1" x14ac:dyDescent="0.25">
      <c r="D571" s="171" t="s">
        <v>2271</v>
      </c>
      <c r="E571" s="171" t="s">
        <v>1761</v>
      </c>
      <c r="F571" s="171" t="s">
        <v>2764</v>
      </c>
      <c r="G571" s="171" t="s">
        <v>2271</v>
      </c>
      <c r="H571" s="171" t="s">
        <v>2271</v>
      </c>
      <c r="I571" s="171" t="s">
        <v>2859</v>
      </c>
      <c r="J571" s="172" t="str">
        <f t="shared" si="28"/>
        <v>TELEGARTNER INC. - PPO</v>
      </c>
      <c r="K571" s="172" t="str">
        <f t="shared" si="26"/>
        <v/>
      </c>
      <c r="L571" s="172" t="str">
        <f t="shared" si="27"/>
        <v>Medical Plan</v>
      </c>
    </row>
    <row r="572" spans="4:12" ht="30" customHeight="1" x14ac:dyDescent="0.25">
      <c r="D572" s="171" t="s">
        <v>1752</v>
      </c>
      <c r="E572" s="171" t="s">
        <v>70</v>
      </c>
      <c r="F572" s="171" t="s">
        <v>1844</v>
      </c>
      <c r="G572" s="171" t="s">
        <v>1332</v>
      </c>
      <c r="H572" s="171" t="s">
        <v>1332</v>
      </c>
      <c r="I572" s="171" t="s">
        <v>2134</v>
      </c>
      <c r="J572" s="172" t="str">
        <f t="shared" si="28"/>
        <v>TESKA ASSOCIATES INC - BLUE OPTIONS</v>
      </c>
      <c r="K572" s="172" t="str">
        <f t="shared" si="26"/>
        <v/>
      </c>
      <c r="L572" s="172" t="str">
        <f t="shared" si="27"/>
        <v>Medical Plan</v>
      </c>
    </row>
    <row r="573" spans="4:12" ht="30" customHeight="1" x14ac:dyDescent="0.25">
      <c r="D573" s="171" t="s">
        <v>1754</v>
      </c>
      <c r="E573" s="171" t="s">
        <v>70</v>
      </c>
      <c r="F573" s="171" t="s">
        <v>1846</v>
      </c>
      <c r="G573" s="171" t="s">
        <v>1332</v>
      </c>
      <c r="H573" s="171" t="s">
        <v>1332</v>
      </c>
      <c r="I573" s="171" t="s">
        <v>2134</v>
      </c>
      <c r="J573" s="172" t="str">
        <f t="shared" si="28"/>
        <v>TESKA ASSOCIATES INC - BLUE OPTIONS</v>
      </c>
      <c r="K573" s="172" t="str">
        <f t="shared" si="26"/>
        <v/>
      </c>
      <c r="L573" s="172" t="str">
        <f t="shared" si="27"/>
        <v>Medical Plan</v>
      </c>
    </row>
    <row r="574" spans="4:12" ht="30" customHeight="1" x14ac:dyDescent="0.25">
      <c r="D574" s="171" t="s">
        <v>1753</v>
      </c>
      <c r="E574" s="171" t="s">
        <v>67</v>
      </c>
      <c r="F574" s="171" t="s">
        <v>1845</v>
      </c>
      <c r="G574" s="171" t="s">
        <v>1332</v>
      </c>
      <c r="H574" s="171" t="s">
        <v>1332</v>
      </c>
      <c r="I574" s="171" t="s">
        <v>2134</v>
      </c>
      <c r="J574" s="172" t="str">
        <f t="shared" si="28"/>
        <v>TESKA ASSOCIATES INC - BLUECP</v>
      </c>
      <c r="K574" s="172" t="str">
        <f t="shared" si="26"/>
        <v/>
      </c>
      <c r="L574" s="172" t="str">
        <f t="shared" si="27"/>
        <v>Medical Plan</v>
      </c>
    </row>
    <row r="575" spans="4:12" ht="30" customHeight="1" x14ac:dyDescent="0.25">
      <c r="D575" s="171" t="s">
        <v>2271</v>
      </c>
      <c r="E575" s="171" t="s">
        <v>67</v>
      </c>
      <c r="F575" s="171" t="s">
        <v>2641</v>
      </c>
      <c r="G575" s="171" t="s">
        <v>2271</v>
      </c>
      <c r="H575" s="171" t="s">
        <v>2271</v>
      </c>
      <c r="I575" s="171" t="s">
        <v>2803</v>
      </c>
      <c r="J575" s="172" t="str">
        <f t="shared" si="28"/>
        <v>THE DUTCHMAN GROUP LLC - BLUECP</v>
      </c>
      <c r="K575" s="172" t="str">
        <f t="shared" si="26"/>
        <v/>
      </c>
      <c r="L575" s="172" t="str">
        <f t="shared" si="27"/>
        <v>Medical Plan</v>
      </c>
    </row>
    <row r="576" spans="4:12" ht="30" customHeight="1" x14ac:dyDescent="0.25">
      <c r="D576" s="171" t="s">
        <v>2271</v>
      </c>
      <c r="E576" s="171" t="s">
        <v>1761</v>
      </c>
      <c r="F576" s="171" t="s">
        <v>2642</v>
      </c>
      <c r="G576" s="171" t="s">
        <v>2271</v>
      </c>
      <c r="H576" s="171" t="s">
        <v>2271</v>
      </c>
      <c r="I576" s="171" t="s">
        <v>2803</v>
      </c>
      <c r="J576" s="172" t="str">
        <f t="shared" si="28"/>
        <v>THE DUTCHMAN GROUP LLC - PPO</v>
      </c>
      <c r="K576" s="172" t="str">
        <f t="shared" si="26"/>
        <v/>
      </c>
      <c r="L576" s="172" t="str">
        <f t="shared" si="27"/>
        <v>Medical Plan</v>
      </c>
    </row>
    <row r="577" spans="4:12" ht="30" customHeight="1" x14ac:dyDescent="0.25">
      <c r="D577" s="171" t="s">
        <v>2271</v>
      </c>
      <c r="E577" s="171" t="s">
        <v>71</v>
      </c>
      <c r="G577" s="171" t="s">
        <v>2271</v>
      </c>
      <c r="H577" s="171" t="s">
        <v>2271</v>
      </c>
      <c r="I577" s="171" t="s">
        <v>2835</v>
      </c>
      <c r="J577" s="172" t="str">
        <f t="shared" si="28"/>
        <v>THE MILLER FIRM P.C. - No Coverage</v>
      </c>
      <c r="K577" s="172" t="str">
        <f t="shared" si="26"/>
        <v/>
      </c>
      <c r="L577" s="172" t="str">
        <f t="shared" si="27"/>
        <v>Medical Plan</v>
      </c>
    </row>
    <row r="578" spans="4:12" ht="30" customHeight="1" x14ac:dyDescent="0.25">
      <c r="D578" s="171" t="s">
        <v>2271</v>
      </c>
      <c r="E578" s="171" t="s">
        <v>1769</v>
      </c>
      <c r="F578" s="171" t="s">
        <v>2703</v>
      </c>
      <c r="G578" s="171" t="s">
        <v>2271</v>
      </c>
      <c r="H578" s="171" t="s">
        <v>2271</v>
      </c>
      <c r="I578" s="171" t="s">
        <v>2835</v>
      </c>
      <c r="J578" s="172" t="str">
        <f t="shared" si="28"/>
        <v>THE MILLER FIRM P.C. - DENTAL</v>
      </c>
      <c r="K578" s="172" t="str">
        <f t="shared" si="26"/>
        <v/>
      </c>
      <c r="L578" s="172" t="str">
        <f t="shared" si="27"/>
        <v>Dental Plan</v>
      </c>
    </row>
    <row r="579" spans="4:12" ht="30" customHeight="1" x14ac:dyDescent="0.25">
      <c r="D579" s="171" t="s">
        <v>2271</v>
      </c>
      <c r="E579" s="171" t="s">
        <v>1761</v>
      </c>
      <c r="F579" s="171" t="s">
        <v>2715</v>
      </c>
      <c r="G579" s="171" t="s">
        <v>2271</v>
      </c>
      <c r="H579" s="171" t="s">
        <v>2271</v>
      </c>
      <c r="I579" s="171" t="s">
        <v>2835</v>
      </c>
      <c r="J579" s="172" t="str">
        <f t="shared" si="28"/>
        <v>THE MILLER FIRM P.C. - PPO</v>
      </c>
      <c r="K579" s="172" t="str">
        <f t="shared" ref="K579:K642" si="29">IFERROR(IF(VLOOKUP(E:E,N:O,2,0)="","",VLOOKUP(E:E,N:O,2,0)),"#N/A")</f>
        <v/>
      </c>
      <c r="L579" s="172" t="str">
        <f t="shared" ref="L579:L642" si="30">IFERROR(IF(VLOOKUP(E:E,N:P,3,0)="","#N/A",VLOOKUP(E:E,N:P,3,0)),"#N/A")</f>
        <v>Medical Plan</v>
      </c>
    </row>
    <row r="580" spans="4:12" ht="30" customHeight="1" x14ac:dyDescent="0.25">
      <c r="D580" s="171" t="s">
        <v>2271</v>
      </c>
      <c r="E580" s="171" t="s">
        <v>71</v>
      </c>
      <c r="G580" s="171" t="s">
        <v>2557</v>
      </c>
      <c r="H580" s="171" t="s">
        <v>2271</v>
      </c>
      <c r="I580" s="171" t="s">
        <v>2558</v>
      </c>
      <c r="J580" s="172" t="str">
        <f t="shared" ref="J580:J643" si="31">I580&amp;" - "&amp;E580</f>
        <v>THE SOTOS LAW OFFICE, P.C. - No Coverage</v>
      </c>
      <c r="K580" s="172" t="str">
        <f t="shared" si="29"/>
        <v/>
      </c>
      <c r="L580" s="172" t="str">
        <f t="shared" si="30"/>
        <v>Medical Plan</v>
      </c>
    </row>
    <row r="581" spans="4:12" ht="30" customHeight="1" x14ac:dyDescent="0.25">
      <c r="D581" s="171" t="s">
        <v>2271</v>
      </c>
      <c r="E581" s="171" t="s">
        <v>1769</v>
      </c>
      <c r="F581" s="171" t="s">
        <v>2369</v>
      </c>
      <c r="G581" s="171" t="s">
        <v>2557</v>
      </c>
      <c r="H581" s="171" t="s">
        <v>2271</v>
      </c>
      <c r="I581" s="171" t="s">
        <v>2558</v>
      </c>
      <c r="J581" s="172" t="str">
        <f t="shared" si="31"/>
        <v>THE SOTOS LAW OFFICE, P.C. - DENTAL</v>
      </c>
      <c r="K581" s="172" t="str">
        <f t="shared" si="29"/>
        <v/>
      </c>
      <c r="L581" s="172" t="str">
        <f t="shared" si="30"/>
        <v>Dental Plan</v>
      </c>
    </row>
    <row r="582" spans="4:12" ht="30" customHeight="1" x14ac:dyDescent="0.25">
      <c r="D582" s="171" t="s">
        <v>2271</v>
      </c>
      <c r="E582" s="171" t="s">
        <v>1769</v>
      </c>
      <c r="F582" s="171" t="s">
        <v>2368</v>
      </c>
      <c r="G582" s="171" t="s">
        <v>2557</v>
      </c>
      <c r="H582" s="171" t="s">
        <v>2271</v>
      </c>
      <c r="I582" s="171" t="s">
        <v>2558</v>
      </c>
      <c r="J582" s="172" t="str">
        <f t="shared" si="31"/>
        <v>THE SOTOS LAW OFFICE, P.C. - DENTAL</v>
      </c>
      <c r="K582" s="172" t="str">
        <f t="shared" si="29"/>
        <v/>
      </c>
      <c r="L582" s="172" t="str">
        <f t="shared" si="30"/>
        <v>Dental Plan</v>
      </c>
    </row>
    <row r="583" spans="4:12" ht="30" customHeight="1" x14ac:dyDescent="0.25">
      <c r="D583" s="171" t="s">
        <v>2271</v>
      </c>
      <c r="E583" s="171" t="s">
        <v>1761</v>
      </c>
      <c r="F583" s="171" t="s">
        <v>2457</v>
      </c>
      <c r="G583" s="171" t="s">
        <v>2557</v>
      </c>
      <c r="H583" s="171" t="s">
        <v>2271</v>
      </c>
      <c r="I583" s="171" t="s">
        <v>2558</v>
      </c>
      <c r="J583" s="172" t="str">
        <f t="shared" si="31"/>
        <v>THE SOTOS LAW OFFICE, P.C. - PPO</v>
      </c>
      <c r="K583" s="172" t="str">
        <f t="shared" si="29"/>
        <v/>
      </c>
      <c r="L583" s="172" t="str">
        <f t="shared" si="30"/>
        <v>Medical Plan</v>
      </c>
    </row>
    <row r="584" spans="4:12" ht="30" customHeight="1" x14ac:dyDescent="0.25">
      <c r="D584" s="171" t="s">
        <v>2271</v>
      </c>
      <c r="E584" s="171" t="s">
        <v>1761</v>
      </c>
      <c r="F584" s="171" t="s">
        <v>2458</v>
      </c>
      <c r="G584" s="171" t="s">
        <v>2557</v>
      </c>
      <c r="H584" s="171" t="s">
        <v>2271</v>
      </c>
      <c r="I584" s="171" t="s">
        <v>2558</v>
      </c>
      <c r="J584" s="172" t="str">
        <f t="shared" si="31"/>
        <v>THE SOTOS LAW OFFICE, P.C. - PPO</v>
      </c>
      <c r="K584" s="172" t="str">
        <f t="shared" si="29"/>
        <v/>
      </c>
      <c r="L584" s="172" t="str">
        <f t="shared" si="30"/>
        <v>Medical Plan</v>
      </c>
    </row>
    <row r="585" spans="4:12" ht="30" customHeight="1" x14ac:dyDescent="0.25">
      <c r="D585" s="171" t="s">
        <v>2271</v>
      </c>
      <c r="E585" s="171" t="s">
        <v>70</v>
      </c>
      <c r="F585" s="171" t="s">
        <v>2309</v>
      </c>
      <c r="G585" s="171" t="s">
        <v>2501</v>
      </c>
      <c r="H585" s="171" t="s">
        <v>2271</v>
      </c>
      <c r="I585" s="171" t="s">
        <v>2502</v>
      </c>
      <c r="J585" s="172" t="str">
        <f t="shared" si="31"/>
        <v>TOWN OF CORTLAND - BLUE OPTIONS</v>
      </c>
      <c r="K585" s="172" t="str">
        <f t="shared" si="29"/>
        <v/>
      </c>
      <c r="L585" s="172" t="str">
        <f t="shared" si="30"/>
        <v>Medical Plan</v>
      </c>
    </row>
    <row r="586" spans="4:12" ht="30" customHeight="1" x14ac:dyDescent="0.25">
      <c r="D586" s="171" t="s">
        <v>2271</v>
      </c>
      <c r="E586" s="171" t="s">
        <v>67</v>
      </c>
      <c r="F586" s="171" t="s">
        <v>2332</v>
      </c>
      <c r="G586" s="171" t="s">
        <v>2271</v>
      </c>
      <c r="H586" s="171" t="s">
        <v>2271</v>
      </c>
      <c r="I586" s="171" t="s">
        <v>2860</v>
      </c>
      <c r="J586" s="172" t="str">
        <f t="shared" si="31"/>
        <v>TRIDENT INDUSTRIES LLC - BLUECP</v>
      </c>
      <c r="K586" s="172" t="str">
        <f t="shared" si="29"/>
        <v/>
      </c>
      <c r="L586" s="172" t="str">
        <f t="shared" si="30"/>
        <v>Medical Plan</v>
      </c>
    </row>
    <row r="587" spans="4:12" ht="30" customHeight="1" x14ac:dyDescent="0.25">
      <c r="D587" s="171" t="s">
        <v>1755</v>
      </c>
      <c r="E587" s="171" t="s">
        <v>67</v>
      </c>
      <c r="F587" s="171" t="s">
        <v>1847</v>
      </c>
      <c r="G587" s="171" t="s">
        <v>1333</v>
      </c>
      <c r="H587" s="171" t="s">
        <v>1334</v>
      </c>
      <c r="I587" s="171" t="s">
        <v>1335</v>
      </c>
      <c r="J587" s="172" t="str">
        <f t="shared" si="31"/>
        <v>TRILOGY INTERACTIVE LLC - BLUECP</v>
      </c>
      <c r="K587" s="172" t="str">
        <f t="shared" si="29"/>
        <v/>
      </c>
      <c r="L587" s="172" t="str">
        <f t="shared" si="30"/>
        <v>Medical Plan</v>
      </c>
    </row>
    <row r="588" spans="4:12" ht="30" customHeight="1" x14ac:dyDescent="0.25">
      <c r="D588" s="171" t="s">
        <v>1756</v>
      </c>
      <c r="E588" s="171" t="s">
        <v>67</v>
      </c>
      <c r="F588" s="171" t="s">
        <v>1848</v>
      </c>
      <c r="G588" s="171" t="s">
        <v>1333</v>
      </c>
      <c r="H588" s="171" t="s">
        <v>1334</v>
      </c>
      <c r="I588" s="171" t="s">
        <v>1335</v>
      </c>
      <c r="J588" s="172" t="str">
        <f t="shared" si="31"/>
        <v>TRILOGY INTERACTIVE LLC - BLUECP</v>
      </c>
      <c r="K588" s="172" t="str">
        <f t="shared" si="29"/>
        <v/>
      </c>
      <c r="L588" s="172" t="str">
        <f t="shared" si="30"/>
        <v>Medical Plan</v>
      </c>
    </row>
    <row r="589" spans="4:12" ht="30" customHeight="1" x14ac:dyDescent="0.25">
      <c r="D589" s="171" t="s">
        <v>2271</v>
      </c>
      <c r="E589" s="171" t="s">
        <v>1761</v>
      </c>
      <c r="F589" s="171" t="s">
        <v>2765</v>
      </c>
      <c r="G589" s="171" t="s">
        <v>2271</v>
      </c>
      <c r="H589" s="171" t="s">
        <v>2271</v>
      </c>
      <c r="I589" s="171" t="s">
        <v>2861</v>
      </c>
      <c r="J589" s="172" t="str">
        <f t="shared" si="31"/>
        <v>TURNER MEDICAL - PPO</v>
      </c>
      <c r="K589" s="172" t="str">
        <f t="shared" si="29"/>
        <v/>
      </c>
      <c r="L589" s="172" t="str">
        <f t="shared" si="30"/>
        <v>Medical Plan</v>
      </c>
    </row>
    <row r="590" spans="4:12" ht="30" customHeight="1" x14ac:dyDescent="0.25">
      <c r="D590" s="171" t="s">
        <v>2271</v>
      </c>
      <c r="E590" s="171" t="s">
        <v>1761</v>
      </c>
      <c r="F590" s="171" t="s">
        <v>2766</v>
      </c>
      <c r="G590" s="171" t="s">
        <v>2271</v>
      </c>
      <c r="H590" s="171" t="s">
        <v>2271</v>
      </c>
      <c r="I590" s="171" t="s">
        <v>2862</v>
      </c>
      <c r="J590" s="172" t="str">
        <f t="shared" si="31"/>
        <v>TURNKEY DOT LLC - PPO</v>
      </c>
      <c r="K590" s="172" t="str">
        <f t="shared" si="29"/>
        <v/>
      </c>
      <c r="L590" s="172" t="str">
        <f t="shared" si="30"/>
        <v>Medical Plan</v>
      </c>
    </row>
    <row r="591" spans="4:12" ht="30" customHeight="1" x14ac:dyDescent="0.25">
      <c r="D591" s="171" t="s">
        <v>2271</v>
      </c>
      <c r="E591" s="171" t="s">
        <v>1761</v>
      </c>
      <c r="F591" s="171" t="s">
        <v>2625</v>
      </c>
      <c r="G591" s="171" t="s">
        <v>2271</v>
      </c>
      <c r="H591" s="171" t="s">
        <v>2271</v>
      </c>
      <c r="I591" s="171" t="s">
        <v>2862</v>
      </c>
      <c r="J591" s="172" t="str">
        <f t="shared" si="31"/>
        <v>TURNKEY DOT LLC - PPO</v>
      </c>
      <c r="K591" s="172" t="str">
        <f t="shared" si="29"/>
        <v/>
      </c>
      <c r="L591" s="172" t="str">
        <f t="shared" si="30"/>
        <v>Medical Plan</v>
      </c>
    </row>
    <row r="592" spans="4:12" ht="30" customHeight="1" x14ac:dyDescent="0.25">
      <c r="D592" s="171" t="s">
        <v>2271</v>
      </c>
      <c r="E592" s="171" t="s">
        <v>70</v>
      </c>
      <c r="F592" s="171" t="s">
        <v>1827</v>
      </c>
      <c r="G592" s="171" t="s">
        <v>2503</v>
      </c>
      <c r="H592" s="171" t="s">
        <v>2271</v>
      </c>
      <c r="I592" s="171" t="s">
        <v>2504</v>
      </c>
      <c r="J592" s="172" t="str">
        <f t="shared" si="31"/>
        <v>URBAN GROWERS COLLECTIVE INC - BLUE OPTIONS</v>
      </c>
      <c r="K592" s="172" t="str">
        <f t="shared" si="29"/>
        <v/>
      </c>
      <c r="L592" s="172" t="str">
        <f t="shared" si="30"/>
        <v>Medical Plan</v>
      </c>
    </row>
    <row r="593" spans="4:12" ht="30" customHeight="1" x14ac:dyDescent="0.25">
      <c r="D593" s="171" t="s">
        <v>2271</v>
      </c>
      <c r="E593" s="171" t="s">
        <v>70</v>
      </c>
      <c r="F593" s="171" t="s">
        <v>2311</v>
      </c>
      <c r="G593" s="171" t="s">
        <v>2503</v>
      </c>
      <c r="H593" s="171" t="s">
        <v>2271</v>
      </c>
      <c r="I593" s="171" t="s">
        <v>2504</v>
      </c>
      <c r="J593" s="172" t="str">
        <f t="shared" si="31"/>
        <v>URBAN GROWERS COLLECTIVE INC - BLUE OPTIONS</v>
      </c>
      <c r="K593" s="172" t="str">
        <f t="shared" si="29"/>
        <v/>
      </c>
      <c r="L593" s="172" t="str">
        <f t="shared" si="30"/>
        <v>Medical Plan</v>
      </c>
    </row>
    <row r="594" spans="4:12" ht="30" customHeight="1" x14ac:dyDescent="0.25">
      <c r="D594" s="171" t="s">
        <v>2271</v>
      </c>
      <c r="E594" s="171" t="s">
        <v>70</v>
      </c>
      <c r="F594" s="171" t="s">
        <v>2310</v>
      </c>
      <c r="G594" s="171" t="s">
        <v>2503</v>
      </c>
      <c r="H594" s="171" t="s">
        <v>2271</v>
      </c>
      <c r="I594" s="171" t="s">
        <v>2504</v>
      </c>
      <c r="J594" s="172" t="str">
        <f t="shared" si="31"/>
        <v>URBAN GROWERS COLLECTIVE INC - BLUE OPTIONS</v>
      </c>
      <c r="K594" s="172" t="str">
        <f t="shared" si="29"/>
        <v/>
      </c>
      <c r="L594" s="172" t="str">
        <f t="shared" si="30"/>
        <v>Medical Plan</v>
      </c>
    </row>
    <row r="595" spans="4:12" ht="30" customHeight="1" x14ac:dyDescent="0.25">
      <c r="D595" s="171" t="s">
        <v>2271</v>
      </c>
      <c r="E595" s="171" t="s">
        <v>1764</v>
      </c>
      <c r="F595" s="171" t="s">
        <v>2328</v>
      </c>
      <c r="G595" s="171" t="s">
        <v>2503</v>
      </c>
      <c r="H595" s="171" t="s">
        <v>2271</v>
      </c>
      <c r="I595" s="171" t="s">
        <v>2504</v>
      </c>
      <c r="J595" s="172" t="str">
        <f t="shared" si="31"/>
        <v>URBAN GROWERS COLLECTIVE INC - BLUE PRECISION</v>
      </c>
      <c r="K595" s="172" t="str">
        <f t="shared" si="29"/>
        <v>BAV</v>
      </c>
      <c r="L595" s="172" t="str">
        <f t="shared" si="30"/>
        <v>Medical Plan</v>
      </c>
    </row>
    <row r="596" spans="4:12" ht="30" customHeight="1" x14ac:dyDescent="0.25">
      <c r="D596" s="171" t="s">
        <v>2271</v>
      </c>
      <c r="E596" s="171" t="s">
        <v>67</v>
      </c>
      <c r="F596" s="171" t="s">
        <v>2332</v>
      </c>
      <c r="G596" s="171" t="s">
        <v>2503</v>
      </c>
      <c r="H596" s="171" t="s">
        <v>2271</v>
      </c>
      <c r="I596" s="171" t="s">
        <v>2504</v>
      </c>
      <c r="J596" s="172" t="str">
        <f t="shared" si="31"/>
        <v>URBAN GROWERS COLLECTIVE INC - BLUECP</v>
      </c>
      <c r="K596" s="172" t="str">
        <f t="shared" si="29"/>
        <v/>
      </c>
      <c r="L596" s="172" t="str">
        <f t="shared" si="30"/>
        <v>Medical Plan</v>
      </c>
    </row>
    <row r="597" spans="4:12" ht="30" customHeight="1" x14ac:dyDescent="0.25">
      <c r="D597" s="171" t="s">
        <v>2271</v>
      </c>
      <c r="E597" s="171" t="s">
        <v>67</v>
      </c>
      <c r="F597" s="171" t="s">
        <v>2343</v>
      </c>
      <c r="G597" s="171" t="s">
        <v>2503</v>
      </c>
      <c r="H597" s="171" t="s">
        <v>2271</v>
      </c>
      <c r="I597" s="171" t="s">
        <v>2504</v>
      </c>
      <c r="J597" s="172" t="str">
        <f t="shared" si="31"/>
        <v>URBAN GROWERS COLLECTIVE INC - BLUECP</v>
      </c>
      <c r="K597" s="172" t="str">
        <f t="shared" si="29"/>
        <v/>
      </c>
      <c r="L597" s="172" t="str">
        <f t="shared" si="30"/>
        <v>Medical Plan</v>
      </c>
    </row>
    <row r="598" spans="4:12" ht="30" customHeight="1" x14ac:dyDescent="0.25">
      <c r="D598" s="171" t="s">
        <v>2271</v>
      </c>
      <c r="E598" s="171" t="s">
        <v>67</v>
      </c>
      <c r="F598" s="171" t="s">
        <v>1847</v>
      </c>
      <c r="G598" s="171" t="s">
        <v>2503</v>
      </c>
      <c r="H598" s="171" t="s">
        <v>2271</v>
      </c>
      <c r="I598" s="171" t="s">
        <v>2504</v>
      </c>
      <c r="J598" s="172" t="str">
        <f t="shared" si="31"/>
        <v>URBAN GROWERS COLLECTIVE INC - BLUECP</v>
      </c>
      <c r="K598" s="172" t="str">
        <f t="shared" si="29"/>
        <v/>
      </c>
      <c r="L598" s="172" t="str">
        <f t="shared" si="30"/>
        <v>Medical Plan</v>
      </c>
    </row>
    <row r="599" spans="4:12" ht="30" customHeight="1" x14ac:dyDescent="0.25">
      <c r="D599" s="171" t="s">
        <v>2271</v>
      </c>
      <c r="E599" s="171" t="s">
        <v>1761</v>
      </c>
      <c r="F599" s="171" t="s">
        <v>2464</v>
      </c>
      <c r="G599" s="171" t="s">
        <v>2503</v>
      </c>
      <c r="H599" s="171" t="s">
        <v>2271</v>
      </c>
      <c r="I599" s="171" t="s">
        <v>2504</v>
      </c>
      <c r="J599" s="172" t="str">
        <f t="shared" si="31"/>
        <v>URBAN GROWERS COLLECTIVE INC - PPO</v>
      </c>
      <c r="K599" s="172" t="str">
        <f t="shared" si="29"/>
        <v/>
      </c>
      <c r="L599" s="172" t="str">
        <f t="shared" si="30"/>
        <v>Medical Plan</v>
      </c>
    </row>
    <row r="600" spans="4:12" ht="30" customHeight="1" x14ac:dyDescent="0.25">
      <c r="D600" s="171" t="s">
        <v>2271</v>
      </c>
      <c r="E600" s="171" t="s">
        <v>1764</v>
      </c>
      <c r="F600" s="171" t="s">
        <v>2612</v>
      </c>
      <c r="G600" s="171" t="s">
        <v>2271</v>
      </c>
      <c r="H600" s="171" t="s">
        <v>2271</v>
      </c>
      <c r="I600" s="171" t="s">
        <v>2863</v>
      </c>
      <c r="J600" s="172" t="str">
        <f t="shared" si="31"/>
        <v>USE CREDIT UNION - BLUE PRECISION</v>
      </c>
      <c r="K600" s="172" t="str">
        <f t="shared" si="29"/>
        <v>BAV</v>
      </c>
      <c r="L600" s="172" t="str">
        <f t="shared" si="30"/>
        <v>Medical Plan</v>
      </c>
    </row>
    <row r="601" spans="4:12" ht="30" customHeight="1" x14ac:dyDescent="0.25">
      <c r="D601" s="171" t="s">
        <v>2271</v>
      </c>
      <c r="E601" s="171" t="s">
        <v>1761</v>
      </c>
      <c r="F601" s="171" t="s">
        <v>2767</v>
      </c>
      <c r="G601" s="171" t="s">
        <v>2271</v>
      </c>
      <c r="H601" s="171" t="s">
        <v>2271</v>
      </c>
      <c r="I601" s="171" t="s">
        <v>2863</v>
      </c>
      <c r="J601" s="172" t="str">
        <f t="shared" si="31"/>
        <v>USE CREDIT UNION - PPO</v>
      </c>
      <c r="K601" s="172" t="str">
        <f t="shared" si="29"/>
        <v/>
      </c>
      <c r="L601" s="172" t="str">
        <f t="shared" si="30"/>
        <v>Medical Plan</v>
      </c>
    </row>
    <row r="602" spans="4:12" ht="30" customHeight="1" x14ac:dyDescent="0.25">
      <c r="D602" s="171" t="s">
        <v>2271</v>
      </c>
      <c r="E602" s="171" t="s">
        <v>70</v>
      </c>
      <c r="F602" s="171" t="s">
        <v>2306</v>
      </c>
      <c r="G602" s="171" t="s">
        <v>2271</v>
      </c>
      <c r="H602" s="171" t="s">
        <v>2271</v>
      </c>
      <c r="I602" s="171" t="s">
        <v>2864</v>
      </c>
      <c r="J602" s="172" t="str">
        <f t="shared" si="31"/>
        <v>UTECH GLOBAL LLC - BLUE OPTIONS</v>
      </c>
      <c r="K602" s="172" t="str">
        <f t="shared" si="29"/>
        <v/>
      </c>
      <c r="L602" s="172" t="str">
        <f t="shared" si="30"/>
        <v>Medical Plan</v>
      </c>
    </row>
    <row r="603" spans="4:12" ht="30" customHeight="1" x14ac:dyDescent="0.25">
      <c r="D603" s="171" t="s">
        <v>2271</v>
      </c>
      <c r="E603" s="171" t="s">
        <v>1764</v>
      </c>
      <c r="F603" s="171" t="s">
        <v>1791</v>
      </c>
      <c r="G603" s="171" t="s">
        <v>2271</v>
      </c>
      <c r="H603" s="171" t="s">
        <v>2271</v>
      </c>
      <c r="I603" s="171" t="s">
        <v>2864</v>
      </c>
      <c r="J603" s="172" t="str">
        <f t="shared" si="31"/>
        <v>UTECH GLOBAL LLC - BLUE PRECISION</v>
      </c>
      <c r="K603" s="172" t="str">
        <f t="shared" si="29"/>
        <v>BAV</v>
      </c>
      <c r="L603" s="172" t="str">
        <f t="shared" si="30"/>
        <v>Medical Plan</v>
      </c>
    </row>
    <row r="604" spans="4:12" ht="30" customHeight="1" x14ac:dyDescent="0.25">
      <c r="D604" s="171" t="s">
        <v>2271</v>
      </c>
      <c r="E604" s="171" t="s">
        <v>67</v>
      </c>
      <c r="F604" s="171" t="s">
        <v>2768</v>
      </c>
      <c r="G604" s="171" t="s">
        <v>2271</v>
      </c>
      <c r="H604" s="171" t="s">
        <v>2271</v>
      </c>
      <c r="I604" s="171" t="s">
        <v>2864</v>
      </c>
      <c r="J604" s="172" t="str">
        <f t="shared" si="31"/>
        <v>UTECH GLOBAL LLC - BLUECP</v>
      </c>
      <c r="K604" s="172" t="str">
        <f t="shared" si="29"/>
        <v/>
      </c>
      <c r="L604" s="172" t="str">
        <f t="shared" si="30"/>
        <v>Medical Plan</v>
      </c>
    </row>
    <row r="605" spans="4:12" ht="30" customHeight="1" x14ac:dyDescent="0.25">
      <c r="D605" s="171" t="s">
        <v>2271</v>
      </c>
      <c r="E605" s="171" t="s">
        <v>67</v>
      </c>
      <c r="F605" s="171" t="s">
        <v>2344</v>
      </c>
      <c r="G605" s="171" t="s">
        <v>2271</v>
      </c>
      <c r="H605" s="171" t="s">
        <v>2271</v>
      </c>
      <c r="I605" s="171" t="s">
        <v>2864</v>
      </c>
      <c r="J605" s="172" t="str">
        <f t="shared" si="31"/>
        <v>UTECH GLOBAL LLC - BLUECP</v>
      </c>
      <c r="K605" s="172" t="str">
        <f t="shared" si="29"/>
        <v/>
      </c>
      <c r="L605" s="172" t="str">
        <f t="shared" si="30"/>
        <v>Medical Plan</v>
      </c>
    </row>
    <row r="606" spans="4:12" ht="30" customHeight="1" x14ac:dyDescent="0.25">
      <c r="D606" s="171" t="s">
        <v>2271</v>
      </c>
      <c r="E606" s="171" t="s">
        <v>71</v>
      </c>
      <c r="G606" s="171" t="s">
        <v>2533</v>
      </c>
      <c r="H606" s="171" t="s">
        <v>2271</v>
      </c>
      <c r="I606" s="171" t="s">
        <v>2534</v>
      </c>
      <c r="J606" s="172" t="str">
        <f t="shared" si="31"/>
        <v>VASCULAR SPECIALISTS, LLC - No Coverage</v>
      </c>
      <c r="K606" s="172" t="str">
        <f t="shared" si="29"/>
        <v/>
      </c>
      <c r="L606" s="172" t="str">
        <f t="shared" si="30"/>
        <v>Medical Plan</v>
      </c>
    </row>
    <row r="607" spans="4:12" ht="30" customHeight="1" x14ac:dyDescent="0.25">
      <c r="D607" s="171" t="s">
        <v>2271</v>
      </c>
      <c r="E607" s="171" t="s">
        <v>1764</v>
      </c>
      <c r="F607" s="171" t="s">
        <v>2312</v>
      </c>
      <c r="G607" s="171" t="s">
        <v>2533</v>
      </c>
      <c r="H607" s="171" t="s">
        <v>2271</v>
      </c>
      <c r="I607" s="171" t="s">
        <v>2534</v>
      </c>
      <c r="J607" s="172" t="str">
        <f t="shared" si="31"/>
        <v>VASCULAR SPECIALISTS, LLC - BLUE PRECISION</v>
      </c>
      <c r="K607" s="172" t="str">
        <f t="shared" si="29"/>
        <v>BAV</v>
      </c>
      <c r="L607" s="172" t="str">
        <f t="shared" si="30"/>
        <v>Medical Plan</v>
      </c>
    </row>
    <row r="608" spans="4:12" ht="30" customHeight="1" x14ac:dyDescent="0.25">
      <c r="D608" s="171" t="s">
        <v>2271</v>
      </c>
      <c r="E608" s="171" t="s">
        <v>1764</v>
      </c>
      <c r="F608" s="171" t="s">
        <v>2321</v>
      </c>
      <c r="G608" s="171" t="s">
        <v>2533</v>
      </c>
      <c r="H608" s="171" t="s">
        <v>2271</v>
      </c>
      <c r="I608" s="171" t="s">
        <v>2534</v>
      </c>
      <c r="J608" s="172" t="str">
        <f t="shared" si="31"/>
        <v>VASCULAR SPECIALISTS, LLC - BLUE PRECISION</v>
      </c>
      <c r="K608" s="172" t="str">
        <f t="shared" si="29"/>
        <v>BAV</v>
      </c>
      <c r="L608" s="172" t="str">
        <f t="shared" si="30"/>
        <v>Medical Plan</v>
      </c>
    </row>
    <row r="609" spans="4:12" ht="30" customHeight="1" x14ac:dyDescent="0.25">
      <c r="D609" s="171" t="s">
        <v>2271</v>
      </c>
      <c r="E609" s="171" t="s">
        <v>67</v>
      </c>
      <c r="F609" s="171" t="s">
        <v>2337</v>
      </c>
      <c r="G609" s="171" t="s">
        <v>2533</v>
      </c>
      <c r="H609" s="171" t="s">
        <v>2271</v>
      </c>
      <c r="I609" s="171" t="s">
        <v>2534</v>
      </c>
      <c r="J609" s="172" t="str">
        <f t="shared" si="31"/>
        <v>VASCULAR SPECIALISTS, LLC - BLUECP</v>
      </c>
      <c r="K609" s="172" t="str">
        <f t="shared" si="29"/>
        <v/>
      </c>
      <c r="L609" s="172" t="str">
        <f t="shared" si="30"/>
        <v>Medical Plan</v>
      </c>
    </row>
    <row r="610" spans="4:12" ht="30" customHeight="1" x14ac:dyDescent="0.25">
      <c r="D610" s="171" t="s">
        <v>2271</v>
      </c>
      <c r="E610" s="171" t="s">
        <v>1769</v>
      </c>
      <c r="F610" s="171" t="s">
        <v>2370</v>
      </c>
      <c r="G610" s="171" t="s">
        <v>2533</v>
      </c>
      <c r="H610" s="171" t="s">
        <v>2271</v>
      </c>
      <c r="I610" s="171" t="s">
        <v>2534</v>
      </c>
      <c r="J610" s="172" t="str">
        <f t="shared" si="31"/>
        <v>VASCULAR SPECIALISTS, LLC - DENTAL</v>
      </c>
      <c r="K610" s="172" t="str">
        <f t="shared" si="29"/>
        <v/>
      </c>
      <c r="L610" s="172" t="str">
        <f t="shared" si="30"/>
        <v>Dental Plan</v>
      </c>
    </row>
    <row r="611" spans="4:12" ht="30" customHeight="1" x14ac:dyDescent="0.25">
      <c r="D611" s="171" t="s">
        <v>2271</v>
      </c>
      <c r="E611" s="171" t="s">
        <v>1769</v>
      </c>
      <c r="F611" s="171" t="s">
        <v>2361</v>
      </c>
      <c r="G611" s="171" t="s">
        <v>2533</v>
      </c>
      <c r="H611" s="171" t="s">
        <v>2271</v>
      </c>
      <c r="I611" s="171" t="s">
        <v>2534</v>
      </c>
      <c r="J611" s="172" t="str">
        <f t="shared" si="31"/>
        <v>VASCULAR SPECIALISTS, LLC - DENTAL</v>
      </c>
      <c r="K611" s="172" t="str">
        <f t="shared" si="29"/>
        <v/>
      </c>
      <c r="L611" s="172" t="str">
        <f t="shared" si="30"/>
        <v>Dental Plan</v>
      </c>
    </row>
    <row r="612" spans="4:12" ht="30" customHeight="1" x14ac:dyDescent="0.25">
      <c r="D612" s="171" t="s">
        <v>2271</v>
      </c>
      <c r="E612" s="171" t="s">
        <v>1761</v>
      </c>
      <c r="F612" s="171" t="s">
        <v>2430</v>
      </c>
      <c r="G612" s="171" t="s">
        <v>2533</v>
      </c>
      <c r="H612" s="171" t="s">
        <v>2271</v>
      </c>
      <c r="I612" s="171" t="s">
        <v>2534</v>
      </c>
      <c r="J612" s="172" t="str">
        <f t="shared" si="31"/>
        <v>VASCULAR SPECIALISTS, LLC - PPO</v>
      </c>
      <c r="K612" s="172" t="str">
        <f t="shared" si="29"/>
        <v/>
      </c>
      <c r="L612" s="172" t="str">
        <f t="shared" si="30"/>
        <v>Medical Plan</v>
      </c>
    </row>
    <row r="613" spans="4:12" ht="30" customHeight="1" x14ac:dyDescent="0.25">
      <c r="D613" s="171" t="s">
        <v>2271</v>
      </c>
      <c r="E613" s="171" t="s">
        <v>1761</v>
      </c>
      <c r="F613" s="171" t="s">
        <v>2429</v>
      </c>
      <c r="G613" s="171" t="s">
        <v>2533</v>
      </c>
      <c r="H613" s="171" t="s">
        <v>2271</v>
      </c>
      <c r="I613" s="171" t="s">
        <v>2534</v>
      </c>
      <c r="J613" s="172" t="str">
        <f t="shared" si="31"/>
        <v>VASCULAR SPECIALISTS, LLC - PPO</v>
      </c>
      <c r="K613" s="172" t="str">
        <f t="shared" si="29"/>
        <v/>
      </c>
      <c r="L613" s="172" t="str">
        <f t="shared" si="30"/>
        <v>Medical Plan</v>
      </c>
    </row>
    <row r="614" spans="4:12" ht="30" customHeight="1" x14ac:dyDescent="0.25">
      <c r="D614" s="171" t="s">
        <v>2271</v>
      </c>
      <c r="E614" s="171" t="s">
        <v>1761</v>
      </c>
      <c r="F614" s="171" t="s">
        <v>1762</v>
      </c>
      <c r="G614" s="171" t="s">
        <v>2533</v>
      </c>
      <c r="H614" s="171" t="s">
        <v>2271</v>
      </c>
      <c r="I614" s="171" t="s">
        <v>2534</v>
      </c>
      <c r="J614" s="172" t="str">
        <f t="shared" si="31"/>
        <v>VASCULAR SPECIALISTS, LLC - PPO</v>
      </c>
      <c r="K614" s="172" t="str">
        <f t="shared" si="29"/>
        <v/>
      </c>
      <c r="L614" s="172" t="str">
        <f t="shared" si="30"/>
        <v>Medical Plan</v>
      </c>
    </row>
    <row r="615" spans="4:12" ht="30" customHeight="1" x14ac:dyDescent="0.25">
      <c r="D615" s="171" t="s">
        <v>2271</v>
      </c>
      <c r="E615" s="171" t="s">
        <v>1772</v>
      </c>
      <c r="F615" s="171" t="s">
        <v>2770</v>
      </c>
      <c r="G615" s="171" t="s">
        <v>2271</v>
      </c>
      <c r="H615" s="171" t="s">
        <v>2271</v>
      </c>
      <c r="I615" s="171" t="s">
        <v>2865</v>
      </c>
      <c r="J615" s="172" t="str">
        <f t="shared" si="31"/>
        <v>VILLAGE OF EAST HAZEL CREST - BLUE ADV HMO</v>
      </c>
      <c r="K615" s="172" t="str">
        <f t="shared" si="29"/>
        <v>ADV</v>
      </c>
      <c r="L615" s="172" t="str">
        <f t="shared" si="30"/>
        <v>Medical Plan</v>
      </c>
    </row>
    <row r="616" spans="4:12" ht="30" customHeight="1" x14ac:dyDescent="0.25">
      <c r="D616" s="171" t="s">
        <v>2271</v>
      </c>
      <c r="E616" s="171" t="s">
        <v>1772</v>
      </c>
      <c r="F616" s="171" t="s">
        <v>2769</v>
      </c>
      <c r="G616" s="171" t="s">
        <v>2271</v>
      </c>
      <c r="H616" s="171" t="s">
        <v>2271</v>
      </c>
      <c r="I616" s="171" t="s">
        <v>2865</v>
      </c>
      <c r="J616" s="172" t="str">
        <f t="shared" si="31"/>
        <v>VILLAGE OF EAST HAZEL CREST - BLUE ADV HMO</v>
      </c>
      <c r="K616" s="172" t="str">
        <f t="shared" si="29"/>
        <v>ADV</v>
      </c>
      <c r="L616" s="172" t="str">
        <f t="shared" si="30"/>
        <v>Medical Plan</v>
      </c>
    </row>
    <row r="617" spans="4:12" ht="30" customHeight="1" x14ac:dyDescent="0.25">
      <c r="D617" s="171" t="s">
        <v>2271</v>
      </c>
      <c r="E617" s="171" t="s">
        <v>1761</v>
      </c>
      <c r="F617" s="171" t="s">
        <v>2772</v>
      </c>
      <c r="G617" s="171" t="s">
        <v>2271</v>
      </c>
      <c r="H617" s="171" t="s">
        <v>2271</v>
      </c>
      <c r="I617" s="171" t="s">
        <v>2865</v>
      </c>
      <c r="J617" s="172" t="str">
        <f t="shared" si="31"/>
        <v>VILLAGE OF EAST HAZEL CREST - PPO</v>
      </c>
      <c r="K617" s="172" t="str">
        <f t="shared" si="29"/>
        <v/>
      </c>
      <c r="L617" s="172" t="str">
        <f t="shared" si="30"/>
        <v>Medical Plan</v>
      </c>
    </row>
    <row r="618" spans="4:12" ht="30" customHeight="1" x14ac:dyDescent="0.25">
      <c r="D618" s="171" t="s">
        <v>2271</v>
      </c>
      <c r="E618" s="171" t="s">
        <v>1761</v>
      </c>
      <c r="F618" s="171" t="s">
        <v>2771</v>
      </c>
      <c r="G618" s="171" t="s">
        <v>2271</v>
      </c>
      <c r="H618" s="171" t="s">
        <v>2271</v>
      </c>
      <c r="I618" s="171" t="s">
        <v>2865</v>
      </c>
      <c r="J618" s="172" t="str">
        <f t="shared" si="31"/>
        <v>VILLAGE OF EAST HAZEL CREST - PPO</v>
      </c>
      <c r="K618" s="172" t="str">
        <f t="shared" si="29"/>
        <v/>
      </c>
      <c r="L618" s="172" t="str">
        <f t="shared" si="30"/>
        <v>Medical Plan</v>
      </c>
    </row>
    <row r="619" spans="4:12" ht="30" customHeight="1" x14ac:dyDescent="0.25">
      <c r="D619" s="171" t="s">
        <v>2271</v>
      </c>
      <c r="E619" s="171" t="s">
        <v>1764</v>
      </c>
      <c r="F619" s="171" t="s">
        <v>2313</v>
      </c>
      <c r="G619" s="171" t="s">
        <v>2535</v>
      </c>
      <c r="H619" s="171" t="s">
        <v>2271</v>
      </c>
      <c r="I619" s="171" t="s">
        <v>2536</v>
      </c>
      <c r="J619" s="172" t="str">
        <f t="shared" si="31"/>
        <v>VILLAGE OF ROCKDALE - BLUE PRECISION</v>
      </c>
      <c r="K619" s="172" t="str">
        <f t="shared" si="29"/>
        <v>BAV</v>
      </c>
      <c r="L619" s="172" t="str">
        <f t="shared" si="30"/>
        <v>Medical Plan</v>
      </c>
    </row>
    <row r="620" spans="4:12" ht="30" customHeight="1" x14ac:dyDescent="0.25">
      <c r="D620" s="171" t="s">
        <v>2271</v>
      </c>
      <c r="E620" s="171" t="s">
        <v>1761</v>
      </c>
      <c r="F620" s="171" t="s">
        <v>2465</v>
      </c>
      <c r="G620" s="171" t="s">
        <v>2535</v>
      </c>
      <c r="H620" s="171" t="s">
        <v>2271</v>
      </c>
      <c r="I620" s="171" t="s">
        <v>2536</v>
      </c>
      <c r="J620" s="172" t="str">
        <f t="shared" si="31"/>
        <v>VILLAGE OF ROCKDALE - PPO</v>
      </c>
      <c r="K620" s="172" t="str">
        <f t="shared" si="29"/>
        <v/>
      </c>
      <c r="L620" s="172" t="str">
        <f t="shared" si="30"/>
        <v>Medical Plan</v>
      </c>
    </row>
    <row r="621" spans="4:12" ht="30" customHeight="1" x14ac:dyDescent="0.25">
      <c r="D621" s="171" t="s">
        <v>2271</v>
      </c>
      <c r="E621" s="171" t="s">
        <v>67</v>
      </c>
      <c r="F621" s="171" t="s">
        <v>2344</v>
      </c>
      <c r="G621" s="171" t="s">
        <v>2545</v>
      </c>
      <c r="H621" s="171" t="s">
        <v>2271</v>
      </c>
      <c r="I621" s="171" t="s">
        <v>2546</v>
      </c>
      <c r="J621" s="172" t="str">
        <f t="shared" si="31"/>
        <v>VILLAGE OF SMITHTON - BLUECP</v>
      </c>
      <c r="K621" s="172" t="str">
        <f t="shared" si="29"/>
        <v/>
      </c>
      <c r="L621" s="172" t="str">
        <f t="shared" si="30"/>
        <v>Medical Plan</v>
      </c>
    </row>
    <row r="622" spans="4:12" ht="30" customHeight="1" x14ac:dyDescent="0.25">
      <c r="D622" s="171" t="s">
        <v>2271</v>
      </c>
      <c r="E622" s="171" t="s">
        <v>1761</v>
      </c>
      <c r="F622" s="171" t="s">
        <v>2466</v>
      </c>
      <c r="G622" s="171" t="s">
        <v>2545</v>
      </c>
      <c r="H622" s="171" t="s">
        <v>2271</v>
      </c>
      <c r="I622" s="171" t="s">
        <v>2546</v>
      </c>
      <c r="J622" s="172" t="str">
        <f t="shared" si="31"/>
        <v>VILLAGE OF SMITHTON - PPO</v>
      </c>
      <c r="K622" s="172" t="str">
        <f t="shared" si="29"/>
        <v/>
      </c>
      <c r="L622" s="172" t="str">
        <f t="shared" si="30"/>
        <v>Medical Plan</v>
      </c>
    </row>
    <row r="623" spans="4:12" ht="30" customHeight="1" x14ac:dyDescent="0.25">
      <c r="D623" s="171" t="s">
        <v>2271</v>
      </c>
      <c r="E623" s="171" t="s">
        <v>71</v>
      </c>
      <c r="G623" s="171" t="s">
        <v>2559</v>
      </c>
      <c r="H623" s="171" t="s">
        <v>2271</v>
      </c>
      <c r="I623" s="171" t="s">
        <v>2560</v>
      </c>
      <c r="J623" s="172" t="str">
        <f t="shared" si="31"/>
        <v>VON WEISE ASSOCIATES - No Coverage</v>
      </c>
      <c r="K623" s="172" t="str">
        <f t="shared" si="29"/>
        <v/>
      </c>
      <c r="L623" s="172" t="str">
        <f t="shared" si="30"/>
        <v>Medical Plan</v>
      </c>
    </row>
    <row r="624" spans="4:12" ht="30" customHeight="1" x14ac:dyDescent="0.25">
      <c r="D624" s="171" t="s">
        <v>2271</v>
      </c>
      <c r="E624" s="171" t="s">
        <v>1769</v>
      </c>
      <c r="F624" s="171" t="s">
        <v>2371</v>
      </c>
      <c r="G624" s="171" t="s">
        <v>2559</v>
      </c>
      <c r="H624" s="171" t="s">
        <v>2271</v>
      </c>
      <c r="I624" s="171" t="s">
        <v>2560</v>
      </c>
      <c r="J624" s="172" t="str">
        <f t="shared" si="31"/>
        <v>VON WEISE ASSOCIATES - DENTAL</v>
      </c>
      <c r="K624" s="172" t="str">
        <f t="shared" si="29"/>
        <v/>
      </c>
      <c r="L624" s="172" t="str">
        <f t="shared" si="30"/>
        <v>Dental Plan</v>
      </c>
    </row>
    <row r="625" spans="4:12" ht="30" customHeight="1" x14ac:dyDescent="0.25">
      <c r="D625" s="171" t="s">
        <v>2271</v>
      </c>
      <c r="E625" s="171" t="s">
        <v>1761</v>
      </c>
      <c r="F625" s="171" t="s">
        <v>2461</v>
      </c>
      <c r="G625" s="171" t="s">
        <v>2559</v>
      </c>
      <c r="H625" s="171" t="s">
        <v>2271</v>
      </c>
      <c r="I625" s="171" t="s">
        <v>2560</v>
      </c>
      <c r="J625" s="172" t="str">
        <f t="shared" si="31"/>
        <v>VON WEISE ASSOCIATES - PPO</v>
      </c>
      <c r="K625" s="172" t="str">
        <f t="shared" si="29"/>
        <v/>
      </c>
      <c r="L625" s="172" t="str">
        <f t="shared" si="30"/>
        <v>Medical Plan</v>
      </c>
    </row>
    <row r="626" spans="4:12" ht="30" customHeight="1" x14ac:dyDescent="0.25">
      <c r="D626" s="171" t="s">
        <v>2271</v>
      </c>
      <c r="E626" s="171" t="s">
        <v>1761</v>
      </c>
      <c r="F626" s="171" t="s">
        <v>2467</v>
      </c>
      <c r="G626" s="171" t="s">
        <v>2559</v>
      </c>
      <c r="H626" s="171" t="s">
        <v>2271</v>
      </c>
      <c r="I626" s="171" t="s">
        <v>2560</v>
      </c>
      <c r="J626" s="172" t="str">
        <f t="shared" si="31"/>
        <v>VON WEISE ASSOCIATES - PPO</v>
      </c>
      <c r="K626" s="172" t="str">
        <f t="shared" si="29"/>
        <v/>
      </c>
      <c r="L626" s="172" t="str">
        <f t="shared" si="30"/>
        <v>Medical Plan</v>
      </c>
    </row>
    <row r="627" spans="4:12" ht="30" customHeight="1" x14ac:dyDescent="0.25">
      <c r="D627" s="171" t="s">
        <v>2271</v>
      </c>
      <c r="E627" s="171" t="s">
        <v>1764</v>
      </c>
      <c r="F627" s="171" t="s">
        <v>2773</v>
      </c>
      <c r="G627" s="171" t="s">
        <v>2271</v>
      </c>
      <c r="H627" s="171" t="s">
        <v>2271</v>
      </c>
      <c r="I627" s="171" t="s">
        <v>2866</v>
      </c>
      <c r="J627" s="172" t="str">
        <f t="shared" si="31"/>
        <v>WIELGUS PRODUCT MODELS - BLUE PRECISION</v>
      </c>
      <c r="K627" s="172" t="str">
        <f t="shared" si="29"/>
        <v>BAV</v>
      </c>
      <c r="L627" s="172" t="str">
        <f t="shared" si="30"/>
        <v>Medical Plan</v>
      </c>
    </row>
    <row r="628" spans="4:12" ht="30" customHeight="1" x14ac:dyDescent="0.25">
      <c r="D628" s="171" t="s">
        <v>2271</v>
      </c>
      <c r="E628" s="171" t="s">
        <v>1761</v>
      </c>
      <c r="F628" s="171" t="s">
        <v>2408</v>
      </c>
      <c r="G628" s="171" t="s">
        <v>2271</v>
      </c>
      <c r="H628" s="171" t="s">
        <v>2271</v>
      </c>
      <c r="I628" s="171" t="s">
        <v>2866</v>
      </c>
      <c r="J628" s="172" t="str">
        <f t="shared" si="31"/>
        <v>WIELGUS PRODUCT MODELS - PPO</v>
      </c>
      <c r="K628" s="172" t="str">
        <f t="shared" si="29"/>
        <v/>
      </c>
      <c r="L628" s="172" t="str">
        <f t="shared" si="30"/>
        <v>Medical Plan</v>
      </c>
    </row>
    <row r="629" spans="4:12" ht="30" customHeight="1" x14ac:dyDescent="0.25">
      <c r="D629" s="171" t="s">
        <v>2271</v>
      </c>
      <c r="E629" s="171" t="s">
        <v>71</v>
      </c>
      <c r="G629" s="171" t="s">
        <v>2271</v>
      </c>
      <c r="H629" s="171" t="s">
        <v>2271</v>
      </c>
      <c r="I629" s="171" t="s">
        <v>2867</v>
      </c>
      <c r="J629" s="172" t="str">
        <f t="shared" si="31"/>
        <v>WOODRUFF JOHNSON &amp; PALERMO LAW OFFICES LTD - No Coverage</v>
      </c>
      <c r="K629" s="172" t="str">
        <f t="shared" si="29"/>
        <v/>
      </c>
      <c r="L629" s="172" t="str">
        <f t="shared" si="30"/>
        <v>Medical Plan</v>
      </c>
    </row>
    <row r="630" spans="4:12" ht="30" customHeight="1" x14ac:dyDescent="0.25">
      <c r="D630" s="171" t="s">
        <v>2271</v>
      </c>
      <c r="E630" s="171" t="s">
        <v>1764</v>
      </c>
      <c r="F630" s="171" t="s">
        <v>2776</v>
      </c>
      <c r="G630" s="171" t="s">
        <v>2271</v>
      </c>
      <c r="H630" s="171" t="s">
        <v>2271</v>
      </c>
      <c r="I630" s="171" t="s">
        <v>2867</v>
      </c>
      <c r="J630" s="172" t="str">
        <f t="shared" si="31"/>
        <v>WOODRUFF JOHNSON &amp; PALERMO LAW OFFICES LTD - BLUE PRECISION</v>
      </c>
      <c r="K630" s="172" t="str">
        <f t="shared" si="29"/>
        <v>BAV</v>
      </c>
      <c r="L630" s="172" t="str">
        <f t="shared" si="30"/>
        <v>Medical Plan</v>
      </c>
    </row>
    <row r="631" spans="4:12" ht="30" customHeight="1" x14ac:dyDescent="0.25">
      <c r="D631" s="171" t="s">
        <v>2271</v>
      </c>
      <c r="E631" s="171" t="s">
        <v>67</v>
      </c>
      <c r="F631" s="171" t="s">
        <v>2775</v>
      </c>
      <c r="G631" s="171" t="s">
        <v>2271</v>
      </c>
      <c r="H631" s="171" t="s">
        <v>2271</v>
      </c>
      <c r="I631" s="171" t="s">
        <v>2867</v>
      </c>
      <c r="J631" s="172" t="str">
        <f t="shared" si="31"/>
        <v>WOODRUFF JOHNSON &amp; PALERMO LAW OFFICES LTD - BLUECP</v>
      </c>
      <c r="K631" s="172" t="str">
        <f t="shared" si="29"/>
        <v/>
      </c>
      <c r="L631" s="172" t="str">
        <f t="shared" si="30"/>
        <v>Medical Plan</v>
      </c>
    </row>
    <row r="632" spans="4:12" ht="30" customHeight="1" x14ac:dyDescent="0.25">
      <c r="D632" s="171" t="s">
        <v>2271</v>
      </c>
      <c r="E632" s="171" t="s">
        <v>67</v>
      </c>
      <c r="F632" s="171" t="s">
        <v>2774</v>
      </c>
      <c r="G632" s="171" t="s">
        <v>2271</v>
      </c>
      <c r="H632" s="171" t="s">
        <v>2271</v>
      </c>
      <c r="I632" s="171" t="s">
        <v>2867</v>
      </c>
      <c r="J632" s="172" t="str">
        <f t="shared" si="31"/>
        <v>WOODRUFF JOHNSON &amp; PALERMO LAW OFFICES LTD - BLUECP</v>
      </c>
      <c r="K632" s="172" t="str">
        <f t="shared" si="29"/>
        <v/>
      </c>
      <c r="L632" s="172" t="str">
        <f t="shared" si="30"/>
        <v>Medical Plan</v>
      </c>
    </row>
    <row r="633" spans="4:12" ht="30" customHeight="1" x14ac:dyDescent="0.25">
      <c r="D633" s="171" t="s">
        <v>2271</v>
      </c>
      <c r="E633" s="171" t="s">
        <v>1769</v>
      </c>
      <c r="F633" s="171" t="s">
        <v>2777</v>
      </c>
      <c r="G633" s="171" t="s">
        <v>2271</v>
      </c>
      <c r="H633" s="171" t="s">
        <v>2271</v>
      </c>
      <c r="I633" s="171" t="s">
        <v>2867</v>
      </c>
      <c r="J633" s="172" t="str">
        <f t="shared" si="31"/>
        <v>WOODRUFF JOHNSON &amp; PALERMO LAW OFFICES LTD - DENTAL</v>
      </c>
      <c r="K633" s="172" t="str">
        <f t="shared" si="29"/>
        <v/>
      </c>
      <c r="L633" s="172" t="str">
        <f t="shared" si="30"/>
        <v>Dental Plan</v>
      </c>
    </row>
    <row r="634" spans="4:12" ht="30" customHeight="1" x14ac:dyDescent="0.25">
      <c r="D634" s="171" t="s">
        <v>2271</v>
      </c>
      <c r="E634" s="171" t="s">
        <v>1761</v>
      </c>
      <c r="F634" s="171" t="s">
        <v>2779</v>
      </c>
      <c r="G634" s="171" t="s">
        <v>2271</v>
      </c>
      <c r="H634" s="171" t="s">
        <v>2271</v>
      </c>
      <c r="I634" s="171" t="s">
        <v>2867</v>
      </c>
      <c r="J634" s="172" t="str">
        <f t="shared" si="31"/>
        <v>WOODRUFF JOHNSON &amp; PALERMO LAW OFFICES LTD - PPO</v>
      </c>
      <c r="K634" s="172" t="str">
        <f t="shared" si="29"/>
        <v/>
      </c>
      <c r="L634" s="172" t="str">
        <f t="shared" si="30"/>
        <v>Medical Plan</v>
      </c>
    </row>
    <row r="635" spans="4:12" ht="30" customHeight="1" x14ac:dyDescent="0.25">
      <c r="D635" s="171" t="s">
        <v>2271</v>
      </c>
      <c r="E635" s="171" t="s">
        <v>1761</v>
      </c>
      <c r="F635" s="171" t="s">
        <v>2778</v>
      </c>
      <c r="G635" s="171" t="s">
        <v>2271</v>
      </c>
      <c r="H635" s="171" t="s">
        <v>2271</v>
      </c>
      <c r="I635" s="171" t="s">
        <v>2867</v>
      </c>
      <c r="J635" s="172" t="str">
        <f t="shared" si="31"/>
        <v>WOODRUFF JOHNSON &amp; PALERMO LAW OFFICES LTD - PPO</v>
      </c>
      <c r="K635" s="172" t="str">
        <f t="shared" si="29"/>
        <v/>
      </c>
      <c r="L635" s="172" t="str">
        <f t="shared" si="30"/>
        <v>Medical Plan</v>
      </c>
    </row>
    <row r="636" spans="4:12" ht="30" customHeight="1" x14ac:dyDescent="0.25">
      <c r="D636" s="171" t="s">
        <v>2271</v>
      </c>
      <c r="E636" s="171" t="s">
        <v>1761</v>
      </c>
      <c r="F636" s="171" t="s">
        <v>2780</v>
      </c>
      <c r="G636" s="171" t="s">
        <v>2271</v>
      </c>
      <c r="H636" s="171" t="s">
        <v>2271</v>
      </c>
      <c r="I636" s="171" t="s">
        <v>2867</v>
      </c>
      <c r="J636" s="172" t="str">
        <f t="shared" si="31"/>
        <v>WOODRUFF JOHNSON &amp; PALERMO LAW OFFICES LTD - PPO</v>
      </c>
      <c r="K636" s="172" t="str">
        <f t="shared" si="29"/>
        <v/>
      </c>
      <c r="L636" s="172" t="str">
        <f t="shared" si="30"/>
        <v>Medical Plan</v>
      </c>
    </row>
    <row r="637" spans="4:12" ht="30" customHeight="1" x14ac:dyDescent="0.25">
      <c r="D637" s="171" t="s">
        <v>2271</v>
      </c>
      <c r="E637" s="171" t="s">
        <v>1764</v>
      </c>
      <c r="F637" s="171" t="s">
        <v>2316</v>
      </c>
      <c r="G637" s="171" t="s">
        <v>2537</v>
      </c>
      <c r="H637" s="171" t="s">
        <v>2271</v>
      </c>
      <c r="I637" s="171" t="s">
        <v>2538</v>
      </c>
      <c r="J637" s="172" t="str">
        <f t="shared" si="31"/>
        <v>YOUR BACK OFFICE, LLC - BLUE PRECISION</v>
      </c>
      <c r="K637" s="172" t="str">
        <f t="shared" si="29"/>
        <v>BAV</v>
      </c>
      <c r="L637" s="172" t="str">
        <f t="shared" si="30"/>
        <v>Medical Plan</v>
      </c>
    </row>
    <row r="638" spans="4:12" ht="30" customHeight="1" x14ac:dyDescent="0.25">
      <c r="D638" s="171" t="s">
        <v>2271</v>
      </c>
      <c r="E638" s="171" t="s">
        <v>1764</v>
      </c>
      <c r="F638" s="171" t="s">
        <v>2329</v>
      </c>
      <c r="G638" s="171" t="s">
        <v>2537</v>
      </c>
      <c r="H638" s="171" t="s">
        <v>2271</v>
      </c>
      <c r="I638" s="171" t="s">
        <v>2538</v>
      </c>
      <c r="J638" s="172" t="str">
        <f t="shared" si="31"/>
        <v>YOUR BACK OFFICE, LLC - BLUE PRECISION</v>
      </c>
      <c r="K638" s="172" t="str">
        <f t="shared" si="29"/>
        <v>BAV</v>
      </c>
      <c r="L638" s="172" t="str">
        <f t="shared" si="30"/>
        <v>Medical Plan</v>
      </c>
    </row>
    <row r="639" spans="4:12" ht="30" customHeight="1" x14ac:dyDescent="0.25">
      <c r="D639" s="171" t="s">
        <v>2271</v>
      </c>
      <c r="E639" s="171" t="s">
        <v>1761</v>
      </c>
      <c r="F639" s="171" t="s">
        <v>2469</v>
      </c>
      <c r="G639" s="171" t="s">
        <v>2537</v>
      </c>
      <c r="H639" s="171" t="s">
        <v>2271</v>
      </c>
      <c r="I639" s="171" t="s">
        <v>2538</v>
      </c>
      <c r="J639" s="172" t="str">
        <f t="shared" si="31"/>
        <v>YOUR BACK OFFICE, LLC - PPO</v>
      </c>
      <c r="K639" s="172" t="str">
        <f t="shared" si="29"/>
        <v/>
      </c>
      <c r="L639" s="172" t="str">
        <f t="shared" si="30"/>
        <v>Medical Plan</v>
      </c>
    </row>
    <row r="640" spans="4:12" ht="30" customHeight="1" x14ac:dyDescent="0.25">
      <c r="D640" s="171" t="s">
        <v>2271</v>
      </c>
      <c r="E640" s="171" t="s">
        <v>1761</v>
      </c>
      <c r="F640" s="171" t="s">
        <v>2468</v>
      </c>
      <c r="G640" s="171" t="s">
        <v>2537</v>
      </c>
      <c r="H640" s="171" t="s">
        <v>2271</v>
      </c>
      <c r="I640" s="171" t="s">
        <v>2538</v>
      </c>
      <c r="J640" s="172" t="str">
        <f t="shared" si="31"/>
        <v>YOUR BACK OFFICE, LLC - PPO</v>
      </c>
      <c r="K640" s="172" t="str">
        <f t="shared" si="29"/>
        <v/>
      </c>
      <c r="L640" s="172" t="str">
        <f t="shared" si="30"/>
        <v>Medical Plan</v>
      </c>
    </row>
    <row r="641" spans="10:12" ht="30" customHeight="1" x14ac:dyDescent="0.25">
      <c r="J641" s="172" t="str">
        <f t="shared" si="31"/>
        <v xml:space="preserve"> - </v>
      </c>
      <c r="K641" s="172" t="str">
        <f t="shared" si="29"/>
        <v>#N/A</v>
      </c>
      <c r="L641" s="172" t="str">
        <f t="shared" si="30"/>
        <v>#N/A</v>
      </c>
    </row>
    <row r="642" spans="10:12" ht="30" customHeight="1" x14ac:dyDescent="0.25">
      <c r="J642" s="172" t="str">
        <f t="shared" si="31"/>
        <v xml:space="preserve"> - </v>
      </c>
      <c r="K642" s="172" t="str">
        <f t="shared" si="29"/>
        <v>#N/A</v>
      </c>
      <c r="L642" s="172" t="str">
        <f t="shared" si="30"/>
        <v>#N/A</v>
      </c>
    </row>
    <row r="643" spans="10:12" ht="30" customHeight="1" x14ac:dyDescent="0.25">
      <c r="J643" s="172" t="str">
        <f t="shared" si="31"/>
        <v xml:space="preserve"> - </v>
      </c>
      <c r="K643" s="172" t="str">
        <f t="shared" ref="K643:K706" si="32">IFERROR(IF(VLOOKUP(E:E,N:O,2,0)="","",VLOOKUP(E:E,N:O,2,0)),"#N/A")</f>
        <v>#N/A</v>
      </c>
      <c r="L643" s="172" t="str">
        <f t="shared" ref="L643:L706" si="33">IFERROR(IF(VLOOKUP(E:E,N:P,3,0)="","#N/A",VLOOKUP(E:E,N:P,3,0)),"#N/A")</f>
        <v>#N/A</v>
      </c>
    </row>
    <row r="644" spans="10:12" ht="30" customHeight="1" x14ac:dyDescent="0.25">
      <c r="J644" s="172" t="str">
        <f t="shared" ref="J644:J707" si="34">I644&amp;" - "&amp;E644</f>
        <v xml:space="preserve"> - </v>
      </c>
      <c r="K644" s="172" t="str">
        <f t="shared" si="32"/>
        <v>#N/A</v>
      </c>
      <c r="L644" s="172" t="str">
        <f t="shared" si="33"/>
        <v>#N/A</v>
      </c>
    </row>
    <row r="645" spans="10:12" ht="30" customHeight="1" x14ac:dyDescent="0.25">
      <c r="J645" s="172" t="str">
        <f t="shared" si="34"/>
        <v xml:space="preserve"> - </v>
      </c>
      <c r="K645" s="172" t="str">
        <f t="shared" si="32"/>
        <v>#N/A</v>
      </c>
      <c r="L645" s="172" t="str">
        <f t="shared" si="33"/>
        <v>#N/A</v>
      </c>
    </row>
    <row r="646" spans="10:12" ht="30" customHeight="1" x14ac:dyDescent="0.25">
      <c r="J646" s="172" t="str">
        <f t="shared" si="34"/>
        <v xml:space="preserve"> - </v>
      </c>
      <c r="K646" s="172" t="str">
        <f t="shared" si="32"/>
        <v>#N/A</v>
      </c>
      <c r="L646" s="172" t="str">
        <f t="shared" si="33"/>
        <v>#N/A</v>
      </c>
    </row>
    <row r="647" spans="10:12" ht="30" customHeight="1" x14ac:dyDescent="0.25">
      <c r="J647" s="172" t="str">
        <f t="shared" si="34"/>
        <v xml:space="preserve"> - </v>
      </c>
      <c r="K647" s="172" t="str">
        <f t="shared" si="32"/>
        <v>#N/A</v>
      </c>
      <c r="L647" s="172" t="str">
        <f t="shared" si="33"/>
        <v>#N/A</v>
      </c>
    </row>
    <row r="648" spans="10:12" ht="30" customHeight="1" x14ac:dyDescent="0.25">
      <c r="J648" s="172" t="str">
        <f t="shared" si="34"/>
        <v xml:space="preserve"> - </v>
      </c>
      <c r="K648" s="172" t="str">
        <f t="shared" si="32"/>
        <v>#N/A</v>
      </c>
      <c r="L648" s="172" t="str">
        <f t="shared" si="33"/>
        <v>#N/A</v>
      </c>
    </row>
    <row r="649" spans="10:12" ht="30" customHeight="1" x14ac:dyDescent="0.25">
      <c r="J649" s="172" t="str">
        <f t="shared" si="34"/>
        <v xml:space="preserve"> - </v>
      </c>
      <c r="K649" s="172" t="str">
        <f t="shared" si="32"/>
        <v>#N/A</v>
      </c>
      <c r="L649" s="172" t="str">
        <f t="shared" si="33"/>
        <v>#N/A</v>
      </c>
    </row>
    <row r="650" spans="10:12" ht="30" customHeight="1" x14ac:dyDescent="0.25">
      <c r="J650" s="172" t="str">
        <f t="shared" si="34"/>
        <v xml:space="preserve"> - </v>
      </c>
      <c r="K650" s="172" t="str">
        <f t="shared" si="32"/>
        <v>#N/A</v>
      </c>
      <c r="L650" s="172" t="str">
        <f t="shared" si="33"/>
        <v>#N/A</v>
      </c>
    </row>
    <row r="651" spans="10:12" ht="30" customHeight="1" x14ac:dyDescent="0.25">
      <c r="J651" s="172" t="str">
        <f t="shared" si="34"/>
        <v xml:space="preserve"> - </v>
      </c>
      <c r="K651" s="172" t="str">
        <f t="shared" si="32"/>
        <v>#N/A</v>
      </c>
      <c r="L651" s="172" t="str">
        <f t="shared" si="33"/>
        <v>#N/A</v>
      </c>
    </row>
    <row r="652" spans="10:12" ht="30" customHeight="1" x14ac:dyDescent="0.25">
      <c r="J652" s="172" t="str">
        <f t="shared" si="34"/>
        <v xml:space="preserve"> - </v>
      </c>
      <c r="K652" s="172" t="str">
        <f t="shared" si="32"/>
        <v>#N/A</v>
      </c>
      <c r="L652" s="172" t="str">
        <f t="shared" si="33"/>
        <v>#N/A</v>
      </c>
    </row>
    <row r="653" spans="10:12" ht="30" customHeight="1" x14ac:dyDescent="0.25">
      <c r="J653" s="172" t="str">
        <f t="shared" si="34"/>
        <v xml:space="preserve"> - </v>
      </c>
      <c r="K653" s="172" t="str">
        <f t="shared" si="32"/>
        <v>#N/A</v>
      </c>
      <c r="L653" s="172" t="str">
        <f t="shared" si="33"/>
        <v>#N/A</v>
      </c>
    </row>
    <row r="654" spans="10:12" ht="30" customHeight="1" x14ac:dyDescent="0.25">
      <c r="J654" s="172" t="str">
        <f t="shared" si="34"/>
        <v xml:space="preserve"> - </v>
      </c>
      <c r="K654" s="172" t="str">
        <f t="shared" si="32"/>
        <v>#N/A</v>
      </c>
      <c r="L654" s="172" t="str">
        <f t="shared" si="33"/>
        <v>#N/A</v>
      </c>
    </row>
    <row r="655" spans="10:12" ht="30" customHeight="1" x14ac:dyDescent="0.25">
      <c r="J655" s="172" t="str">
        <f t="shared" si="34"/>
        <v xml:space="preserve"> - </v>
      </c>
      <c r="K655" s="172" t="str">
        <f t="shared" si="32"/>
        <v>#N/A</v>
      </c>
      <c r="L655" s="172" t="str">
        <f t="shared" si="33"/>
        <v>#N/A</v>
      </c>
    </row>
    <row r="656" spans="10:12" ht="30" customHeight="1" x14ac:dyDescent="0.25">
      <c r="J656" s="172" t="str">
        <f t="shared" si="34"/>
        <v xml:space="preserve"> - </v>
      </c>
      <c r="K656" s="172" t="str">
        <f t="shared" si="32"/>
        <v>#N/A</v>
      </c>
      <c r="L656" s="172" t="str">
        <f t="shared" si="33"/>
        <v>#N/A</v>
      </c>
    </row>
    <row r="657" spans="10:12" ht="30" customHeight="1" x14ac:dyDescent="0.25">
      <c r="J657" s="172" t="str">
        <f t="shared" si="34"/>
        <v xml:space="preserve"> - </v>
      </c>
      <c r="K657" s="172" t="str">
        <f t="shared" si="32"/>
        <v>#N/A</v>
      </c>
      <c r="L657" s="172" t="str">
        <f t="shared" si="33"/>
        <v>#N/A</v>
      </c>
    </row>
    <row r="658" spans="10:12" ht="30" customHeight="1" x14ac:dyDescent="0.25">
      <c r="J658" s="172" t="str">
        <f t="shared" si="34"/>
        <v xml:space="preserve"> - </v>
      </c>
      <c r="K658" s="172" t="str">
        <f t="shared" si="32"/>
        <v>#N/A</v>
      </c>
      <c r="L658" s="172" t="str">
        <f t="shared" si="33"/>
        <v>#N/A</v>
      </c>
    </row>
    <row r="659" spans="10:12" ht="30" customHeight="1" x14ac:dyDescent="0.25">
      <c r="J659" s="172" t="str">
        <f t="shared" si="34"/>
        <v xml:space="preserve"> - </v>
      </c>
      <c r="K659" s="172" t="str">
        <f t="shared" si="32"/>
        <v>#N/A</v>
      </c>
      <c r="L659" s="172" t="str">
        <f t="shared" si="33"/>
        <v>#N/A</v>
      </c>
    </row>
    <row r="660" spans="10:12" ht="30" customHeight="1" x14ac:dyDescent="0.25">
      <c r="J660" s="172" t="str">
        <f t="shared" si="34"/>
        <v xml:space="preserve"> - </v>
      </c>
      <c r="K660" s="172" t="str">
        <f t="shared" si="32"/>
        <v>#N/A</v>
      </c>
      <c r="L660" s="172" t="str">
        <f t="shared" si="33"/>
        <v>#N/A</v>
      </c>
    </row>
    <row r="661" spans="10:12" ht="30" customHeight="1" x14ac:dyDescent="0.25">
      <c r="J661" s="172" t="str">
        <f t="shared" si="34"/>
        <v xml:space="preserve"> - </v>
      </c>
      <c r="K661" s="172" t="str">
        <f t="shared" si="32"/>
        <v>#N/A</v>
      </c>
      <c r="L661" s="172" t="str">
        <f t="shared" si="33"/>
        <v>#N/A</v>
      </c>
    </row>
    <row r="662" spans="10:12" ht="30" customHeight="1" x14ac:dyDescent="0.25">
      <c r="J662" s="172" t="str">
        <f t="shared" si="34"/>
        <v xml:space="preserve"> - </v>
      </c>
      <c r="K662" s="172" t="str">
        <f t="shared" si="32"/>
        <v>#N/A</v>
      </c>
      <c r="L662" s="172" t="str">
        <f t="shared" si="33"/>
        <v>#N/A</v>
      </c>
    </row>
    <row r="663" spans="10:12" ht="30" customHeight="1" x14ac:dyDescent="0.25">
      <c r="J663" s="172" t="str">
        <f t="shared" si="34"/>
        <v xml:space="preserve"> - </v>
      </c>
      <c r="K663" s="172" t="str">
        <f t="shared" si="32"/>
        <v>#N/A</v>
      </c>
      <c r="L663" s="172" t="str">
        <f t="shared" si="33"/>
        <v>#N/A</v>
      </c>
    </row>
    <row r="664" spans="10:12" ht="30" customHeight="1" x14ac:dyDescent="0.25">
      <c r="J664" s="172" t="str">
        <f t="shared" si="34"/>
        <v xml:space="preserve"> - </v>
      </c>
      <c r="K664" s="172" t="str">
        <f t="shared" si="32"/>
        <v>#N/A</v>
      </c>
      <c r="L664" s="172" t="str">
        <f t="shared" si="33"/>
        <v>#N/A</v>
      </c>
    </row>
    <row r="665" spans="10:12" ht="30" customHeight="1" x14ac:dyDescent="0.25">
      <c r="J665" s="172" t="str">
        <f t="shared" si="34"/>
        <v xml:space="preserve"> - </v>
      </c>
      <c r="K665" s="172" t="str">
        <f t="shared" si="32"/>
        <v>#N/A</v>
      </c>
      <c r="L665" s="172" t="str">
        <f t="shared" si="33"/>
        <v>#N/A</v>
      </c>
    </row>
    <row r="666" spans="10:12" ht="30" customHeight="1" x14ac:dyDescent="0.25">
      <c r="J666" s="172" t="str">
        <f t="shared" si="34"/>
        <v xml:space="preserve"> - </v>
      </c>
      <c r="K666" s="172" t="str">
        <f t="shared" si="32"/>
        <v>#N/A</v>
      </c>
      <c r="L666" s="172" t="str">
        <f t="shared" si="33"/>
        <v>#N/A</v>
      </c>
    </row>
    <row r="667" spans="10:12" ht="30" customHeight="1" x14ac:dyDescent="0.25">
      <c r="J667" s="172" t="str">
        <f t="shared" si="34"/>
        <v xml:space="preserve"> - </v>
      </c>
      <c r="K667" s="172" t="str">
        <f t="shared" si="32"/>
        <v>#N/A</v>
      </c>
      <c r="L667" s="172" t="str">
        <f t="shared" si="33"/>
        <v>#N/A</v>
      </c>
    </row>
    <row r="668" spans="10:12" ht="30" customHeight="1" x14ac:dyDescent="0.25">
      <c r="J668" s="172" t="str">
        <f t="shared" si="34"/>
        <v xml:space="preserve"> - </v>
      </c>
      <c r="K668" s="172" t="str">
        <f t="shared" si="32"/>
        <v>#N/A</v>
      </c>
      <c r="L668" s="172" t="str">
        <f t="shared" si="33"/>
        <v>#N/A</v>
      </c>
    </row>
    <row r="669" spans="10:12" ht="30" customHeight="1" x14ac:dyDescent="0.25">
      <c r="J669" s="172" t="str">
        <f t="shared" si="34"/>
        <v xml:space="preserve"> - </v>
      </c>
      <c r="K669" s="172" t="str">
        <f t="shared" si="32"/>
        <v>#N/A</v>
      </c>
      <c r="L669" s="172" t="str">
        <f t="shared" si="33"/>
        <v>#N/A</v>
      </c>
    </row>
    <row r="670" spans="10:12" ht="30" customHeight="1" x14ac:dyDescent="0.25">
      <c r="J670" s="172" t="str">
        <f t="shared" si="34"/>
        <v xml:space="preserve"> - </v>
      </c>
      <c r="K670" s="172" t="str">
        <f t="shared" si="32"/>
        <v>#N/A</v>
      </c>
      <c r="L670" s="172" t="str">
        <f t="shared" si="33"/>
        <v>#N/A</v>
      </c>
    </row>
    <row r="671" spans="10:12" ht="30" customHeight="1" x14ac:dyDescent="0.25">
      <c r="J671" s="172" t="str">
        <f t="shared" si="34"/>
        <v xml:space="preserve"> - </v>
      </c>
      <c r="K671" s="172" t="str">
        <f t="shared" si="32"/>
        <v>#N/A</v>
      </c>
      <c r="L671" s="172" t="str">
        <f t="shared" si="33"/>
        <v>#N/A</v>
      </c>
    </row>
    <row r="672" spans="10:12" ht="30" customHeight="1" x14ac:dyDescent="0.25">
      <c r="J672" s="172" t="str">
        <f t="shared" si="34"/>
        <v xml:space="preserve"> - </v>
      </c>
      <c r="K672" s="172" t="str">
        <f t="shared" si="32"/>
        <v>#N/A</v>
      </c>
      <c r="L672" s="172" t="str">
        <f t="shared" si="33"/>
        <v>#N/A</v>
      </c>
    </row>
    <row r="673" spans="10:12" ht="30" customHeight="1" x14ac:dyDescent="0.25">
      <c r="J673" s="172" t="str">
        <f t="shared" si="34"/>
        <v xml:space="preserve"> - </v>
      </c>
      <c r="K673" s="172" t="str">
        <f t="shared" si="32"/>
        <v>#N/A</v>
      </c>
      <c r="L673" s="172" t="str">
        <f t="shared" si="33"/>
        <v>#N/A</v>
      </c>
    </row>
    <row r="674" spans="10:12" ht="30" customHeight="1" x14ac:dyDescent="0.25">
      <c r="J674" s="172" t="str">
        <f t="shared" si="34"/>
        <v xml:space="preserve"> - </v>
      </c>
      <c r="K674" s="172" t="str">
        <f t="shared" si="32"/>
        <v>#N/A</v>
      </c>
      <c r="L674" s="172" t="str">
        <f t="shared" si="33"/>
        <v>#N/A</v>
      </c>
    </row>
    <row r="675" spans="10:12" ht="30" customHeight="1" x14ac:dyDescent="0.25">
      <c r="J675" s="172" t="str">
        <f t="shared" si="34"/>
        <v xml:space="preserve"> - </v>
      </c>
      <c r="K675" s="172" t="str">
        <f t="shared" si="32"/>
        <v>#N/A</v>
      </c>
      <c r="L675" s="172" t="str">
        <f t="shared" si="33"/>
        <v>#N/A</v>
      </c>
    </row>
    <row r="676" spans="10:12" ht="30" customHeight="1" x14ac:dyDescent="0.25">
      <c r="J676" s="172" t="str">
        <f t="shared" si="34"/>
        <v xml:space="preserve"> - </v>
      </c>
      <c r="K676" s="172" t="str">
        <f t="shared" si="32"/>
        <v>#N/A</v>
      </c>
      <c r="L676" s="172" t="str">
        <f t="shared" si="33"/>
        <v>#N/A</v>
      </c>
    </row>
    <row r="677" spans="10:12" ht="30" customHeight="1" x14ac:dyDescent="0.25">
      <c r="J677" s="172" t="str">
        <f t="shared" si="34"/>
        <v xml:space="preserve"> - </v>
      </c>
      <c r="K677" s="172" t="str">
        <f t="shared" si="32"/>
        <v>#N/A</v>
      </c>
      <c r="L677" s="172" t="str">
        <f t="shared" si="33"/>
        <v>#N/A</v>
      </c>
    </row>
    <row r="678" spans="10:12" ht="30" customHeight="1" x14ac:dyDescent="0.25">
      <c r="J678" s="172" t="str">
        <f t="shared" si="34"/>
        <v xml:space="preserve"> - </v>
      </c>
      <c r="K678" s="172" t="str">
        <f t="shared" si="32"/>
        <v>#N/A</v>
      </c>
      <c r="L678" s="172" t="str">
        <f t="shared" si="33"/>
        <v>#N/A</v>
      </c>
    </row>
    <row r="679" spans="10:12" ht="30" customHeight="1" x14ac:dyDescent="0.25">
      <c r="J679" s="172" t="str">
        <f t="shared" si="34"/>
        <v xml:space="preserve"> - </v>
      </c>
      <c r="K679" s="172" t="str">
        <f t="shared" si="32"/>
        <v>#N/A</v>
      </c>
      <c r="L679" s="172" t="str">
        <f t="shared" si="33"/>
        <v>#N/A</v>
      </c>
    </row>
    <row r="680" spans="10:12" ht="30" customHeight="1" x14ac:dyDescent="0.25">
      <c r="J680" s="172" t="str">
        <f t="shared" si="34"/>
        <v xml:space="preserve"> - </v>
      </c>
      <c r="K680" s="172" t="str">
        <f t="shared" si="32"/>
        <v>#N/A</v>
      </c>
      <c r="L680" s="172" t="str">
        <f t="shared" si="33"/>
        <v>#N/A</v>
      </c>
    </row>
    <row r="681" spans="10:12" ht="30" customHeight="1" x14ac:dyDescent="0.25">
      <c r="J681" s="172" t="str">
        <f t="shared" si="34"/>
        <v xml:space="preserve"> - </v>
      </c>
      <c r="K681" s="172" t="str">
        <f t="shared" si="32"/>
        <v>#N/A</v>
      </c>
      <c r="L681" s="172" t="str">
        <f t="shared" si="33"/>
        <v>#N/A</v>
      </c>
    </row>
    <row r="682" spans="10:12" ht="30" customHeight="1" x14ac:dyDescent="0.25">
      <c r="J682" s="172" t="str">
        <f t="shared" si="34"/>
        <v xml:space="preserve"> - </v>
      </c>
      <c r="K682" s="172" t="str">
        <f t="shared" si="32"/>
        <v>#N/A</v>
      </c>
      <c r="L682" s="172" t="str">
        <f t="shared" si="33"/>
        <v>#N/A</v>
      </c>
    </row>
    <row r="683" spans="10:12" ht="30" customHeight="1" x14ac:dyDescent="0.25">
      <c r="J683" s="172" t="str">
        <f t="shared" si="34"/>
        <v xml:space="preserve"> - </v>
      </c>
      <c r="K683" s="172" t="str">
        <f t="shared" si="32"/>
        <v>#N/A</v>
      </c>
      <c r="L683" s="172" t="str">
        <f t="shared" si="33"/>
        <v>#N/A</v>
      </c>
    </row>
    <row r="684" spans="10:12" ht="30" customHeight="1" x14ac:dyDescent="0.25">
      <c r="J684" s="172" t="str">
        <f t="shared" si="34"/>
        <v xml:space="preserve"> - </v>
      </c>
      <c r="K684" s="172" t="str">
        <f t="shared" si="32"/>
        <v>#N/A</v>
      </c>
      <c r="L684" s="172" t="str">
        <f t="shared" si="33"/>
        <v>#N/A</v>
      </c>
    </row>
    <row r="685" spans="10:12" ht="30" customHeight="1" x14ac:dyDescent="0.25">
      <c r="J685" s="172" t="str">
        <f t="shared" si="34"/>
        <v xml:space="preserve"> - </v>
      </c>
      <c r="K685" s="172" t="str">
        <f t="shared" si="32"/>
        <v>#N/A</v>
      </c>
      <c r="L685" s="172" t="str">
        <f t="shared" si="33"/>
        <v>#N/A</v>
      </c>
    </row>
    <row r="686" spans="10:12" ht="30" customHeight="1" x14ac:dyDescent="0.25">
      <c r="J686" s="172" t="str">
        <f t="shared" si="34"/>
        <v xml:space="preserve"> - </v>
      </c>
      <c r="K686" s="172" t="str">
        <f t="shared" si="32"/>
        <v>#N/A</v>
      </c>
      <c r="L686" s="172" t="str">
        <f t="shared" si="33"/>
        <v>#N/A</v>
      </c>
    </row>
    <row r="687" spans="10:12" ht="30" customHeight="1" x14ac:dyDescent="0.25">
      <c r="J687" s="172" t="str">
        <f t="shared" si="34"/>
        <v xml:space="preserve"> - </v>
      </c>
      <c r="K687" s="172" t="str">
        <f t="shared" si="32"/>
        <v>#N/A</v>
      </c>
      <c r="L687" s="172" t="str">
        <f t="shared" si="33"/>
        <v>#N/A</v>
      </c>
    </row>
    <row r="688" spans="10:12" ht="30" customHeight="1" x14ac:dyDescent="0.25">
      <c r="J688" s="172" t="str">
        <f t="shared" si="34"/>
        <v xml:space="preserve"> - </v>
      </c>
      <c r="K688" s="172" t="str">
        <f t="shared" si="32"/>
        <v>#N/A</v>
      </c>
      <c r="L688" s="172" t="str">
        <f t="shared" si="33"/>
        <v>#N/A</v>
      </c>
    </row>
    <row r="689" spans="10:12" ht="30" customHeight="1" x14ac:dyDescent="0.25">
      <c r="J689" s="172" t="str">
        <f t="shared" si="34"/>
        <v xml:space="preserve"> - </v>
      </c>
      <c r="K689" s="172" t="str">
        <f t="shared" si="32"/>
        <v>#N/A</v>
      </c>
      <c r="L689" s="172" t="str">
        <f t="shared" si="33"/>
        <v>#N/A</v>
      </c>
    </row>
    <row r="690" spans="10:12" ht="30" customHeight="1" x14ac:dyDescent="0.25">
      <c r="J690" s="172" t="str">
        <f t="shared" si="34"/>
        <v xml:space="preserve"> - </v>
      </c>
      <c r="K690" s="172" t="str">
        <f t="shared" si="32"/>
        <v>#N/A</v>
      </c>
      <c r="L690" s="172" t="str">
        <f t="shared" si="33"/>
        <v>#N/A</v>
      </c>
    </row>
    <row r="691" spans="10:12" ht="30" customHeight="1" x14ac:dyDescent="0.25">
      <c r="J691" s="172" t="str">
        <f t="shared" si="34"/>
        <v xml:space="preserve"> - </v>
      </c>
      <c r="K691" s="172" t="str">
        <f t="shared" si="32"/>
        <v>#N/A</v>
      </c>
      <c r="L691" s="172" t="str">
        <f t="shared" si="33"/>
        <v>#N/A</v>
      </c>
    </row>
    <row r="692" spans="10:12" ht="30" customHeight="1" x14ac:dyDescent="0.25">
      <c r="J692" s="172" t="str">
        <f t="shared" si="34"/>
        <v xml:space="preserve"> - </v>
      </c>
      <c r="K692" s="172" t="str">
        <f t="shared" si="32"/>
        <v>#N/A</v>
      </c>
      <c r="L692" s="172" t="str">
        <f t="shared" si="33"/>
        <v>#N/A</v>
      </c>
    </row>
    <row r="693" spans="10:12" ht="30" customHeight="1" x14ac:dyDescent="0.25">
      <c r="J693" s="172" t="str">
        <f t="shared" si="34"/>
        <v xml:space="preserve"> - </v>
      </c>
      <c r="K693" s="172" t="str">
        <f t="shared" si="32"/>
        <v>#N/A</v>
      </c>
      <c r="L693" s="172" t="str">
        <f t="shared" si="33"/>
        <v>#N/A</v>
      </c>
    </row>
    <row r="694" spans="10:12" ht="30" customHeight="1" x14ac:dyDescent="0.25">
      <c r="J694" s="172" t="str">
        <f t="shared" si="34"/>
        <v xml:space="preserve"> - </v>
      </c>
      <c r="K694" s="172" t="str">
        <f t="shared" si="32"/>
        <v>#N/A</v>
      </c>
      <c r="L694" s="172" t="str">
        <f t="shared" si="33"/>
        <v>#N/A</v>
      </c>
    </row>
    <row r="695" spans="10:12" ht="30" customHeight="1" x14ac:dyDescent="0.25">
      <c r="J695" s="172" t="str">
        <f t="shared" si="34"/>
        <v xml:space="preserve"> - </v>
      </c>
      <c r="K695" s="172" t="str">
        <f t="shared" si="32"/>
        <v>#N/A</v>
      </c>
      <c r="L695" s="172" t="str">
        <f t="shared" si="33"/>
        <v>#N/A</v>
      </c>
    </row>
    <row r="696" spans="10:12" ht="30" customHeight="1" x14ac:dyDescent="0.25">
      <c r="J696" s="172" t="str">
        <f t="shared" si="34"/>
        <v xml:space="preserve"> - </v>
      </c>
      <c r="K696" s="172" t="str">
        <f t="shared" si="32"/>
        <v>#N/A</v>
      </c>
      <c r="L696" s="172" t="str">
        <f t="shared" si="33"/>
        <v>#N/A</v>
      </c>
    </row>
    <row r="697" spans="10:12" ht="30" customHeight="1" x14ac:dyDescent="0.25">
      <c r="J697" s="172" t="str">
        <f t="shared" si="34"/>
        <v xml:space="preserve"> - </v>
      </c>
      <c r="K697" s="172" t="str">
        <f t="shared" si="32"/>
        <v>#N/A</v>
      </c>
      <c r="L697" s="172" t="str">
        <f t="shared" si="33"/>
        <v>#N/A</v>
      </c>
    </row>
    <row r="698" spans="10:12" ht="30" customHeight="1" x14ac:dyDescent="0.25">
      <c r="J698" s="172" t="str">
        <f t="shared" si="34"/>
        <v xml:space="preserve"> - </v>
      </c>
      <c r="K698" s="172" t="str">
        <f t="shared" si="32"/>
        <v>#N/A</v>
      </c>
      <c r="L698" s="172" t="str">
        <f t="shared" si="33"/>
        <v>#N/A</v>
      </c>
    </row>
    <row r="699" spans="10:12" ht="30" customHeight="1" x14ac:dyDescent="0.25">
      <c r="J699" s="172" t="str">
        <f t="shared" si="34"/>
        <v xml:space="preserve"> - </v>
      </c>
      <c r="K699" s="172" t="str">
        <f t="shared" si="32"/>
        <v>#N/A</v>
      </c>
      <c r="L699" s="172" t="str">
        <f t="shared" si="33"/>
        <v>#N/A</v>
      </c>
    </row>
    <row r="700" spans="10:12" ht="30" customHeight="1" x14ac:dyDescent="0.25">
      <c r="J700" s="172" t="str">
        <f t="shared" si="34"/>
        <v xml:space="preserve"> - </v>
      </c>
      <c r="K700" s="172" t="str">
        <f t="shared" si="32"/>
        <v>#N/A</v>
      </c>
      <c r="L700" s="172" t="str">
        <f t="shared" si="33"/>
        <v>#N/A</v>
      </c>
    </row>
    <row r="701" spans="10:12" ht="30" customHeight="1" x14ac:dyDescent="0.25">
      <c r="J701" s="172" t="str">
        <f t="shared" si="34"/>
        <v xml:space="preserve"> - </v>
      </c>
      <c r="K701" s="172" t="str">
        <f t="shared" si="32"/>
        <v>#N/A</v>
      </c>
      <c r="L701" s="172" t="str">
        <f t="shared" si="33"/>
        <v>#N/A</v>
      </c>
    </row>
    <row r="702" spans="10:12" ht="30" customHeight="1" x14ac:dyDescent="0.25">
      <c r="J702" s="172" t="str">
        <f t="shared" si="34"/>
        <v xml:space="preserve"> - </v>
      </c>
      <c r="K702" s="172" t="str">
        <f t="shared" si="32"/>
        <v>#N/A</v>
      </c>
      <c r="L702" s="172" t="str">
        <f t="shared" si="33"/>
        <v>#N/A</v>
      </c>
    </row>
    <row r="703" spans="10:12" ht="30" customHeight="1" x14ac:dyDescent="0.25">
      <c r="J703" s="172" t="str">
        <f t="shared" si="34"/>
        <v xml:space="preserve"> - </v>
      </c>
      <c r="K703" s="172" t="str">
        <f t="shared" si="32"/>
        <v>#N/A</v>
      </c>
      <c r="L703" s="172" t="str">
        <f t="shared" si="33"/>
        <v>#N/A</v>
      </c>
    </row>
    <row r="704" spans="10:12" ht="30" customHeight="1" x14ac:dyDescent="0.25">
      <c r="J704" s="172" t="str">
        <f t="shared" si="34"/>
        <v xml:space="preserve"> - </v>
      </c>
      <c r="K704" s="172" t="str">
        <f t="shared" si="32"/>
        <v>#N/A</v>
      </c>
      <c r="L704" s="172" t="str">
        <f t="shared" si="33"/>
        <v>#N/A</v>
      </c>
    </row>
    <row r="705" spans="10:12" ht="30" customHeight="1" x14ac:dyDescent="0.25">
      <c r="J705" s="172" t="str">
        <f t="shared" si="34"/>
        <v xml:space="preserve"> - </v>
      </c>
      <c r="K705" s="172" t="str">
        <f t="shared" si="32"/>
        <v>#N/A</v>
      </c>
      <c r="L705" s="172" t="str">
        <f t="shared" si="33"/>
        <v>#N/A</v>
      </c>
    </row>
    <row r="706" spans="10:12" ht="30" customHeight="1" x14ac:dyDescent="0.25">
      <c r="J706" s="172" t="str">
        <f t="shared" si="34"/>
        <v xml:space="preserve"> - </v>
      </c>
      <c r="K706" s="172" t="str">
        <f t="shared" si="32"/>
        <v>#N/A</v>
      </c>
      <c r="L706" s="172" t="str">
        <f t="shared" si="33"/>
        <v>#N/A</v>
      </c>
    </row>
    <row r="707" spans="10:12" ht="30" customHeight="1" x14ac:dyDescent="0.25">
      <c r="J707" s="172" t="str">
        <f t="shared" si="34"/>
        <v xml:space="preserve"> - </v>
      </c>
      <c r="K707" s="172" t="str">
        <f t="shared" ref="K707:K744" si="35">IFERROR(IF(VLOOKUP(E:E,N:O,2,0)="","",VLOOKUP(E:E,N:O,2,0)),"#N/A")</f>
        <v>#N/A</v>
      </c>
      <c r="L707" s="172" t="str">
        <f t="shared" ref="L707:L744" si="36">IFERROR(IF(VLOOKUP(E:E,N:P,3,0)="","#N/A",VLOOKUP(E:E,N:P,3,0)),"#N/A")</f>
        <v>#N/A</v>
      </c>
    </row>
    <row r="708" spans="10:12" ht="30" customHeight="1" x14ac:dyDescent="0.25">
      <c r="J708" s="172" t="str">
        <f t="shared" ref="J708:J744" si="37">I708&amp;" - "&amp;E708</f>
        <v xml:space="preserve"> - </v>
      </c>
      <c r="K708" s="172" t="str">
        <f t="shared" si="35"/>
        <v>#N/A</v>
      </c>
      <c r="L708" s="172" t="str">
        <f t="shared" si="36"/>
        <v>#N/A</v>
      </c>
    </row>
    <row r="709" spans="10:12" ht="30" customHeight="1" x14ac:dyDescent="0.25">
      <c r="J709" s="172" t="str">
        <f t="shared" si="37"/>
        <v xml:space="preserve"> - </v>
      </c>
      <c r="K709" s="172" t="str">
        <f t="shared" si="35"/>
        <v>#N/A</v>
      </c>
      <c r="L709" s="172" t="str">
        <f t="shared" si="36"/>
        <v>#N/A</v>
      </c>
    </row>
    <row r="710" spans="10:12" ht="30" customHeight="1" x14ac:dyDescent="0.25">
      <c r="J710" s="172" t="str">
        <f t="shared" si="37"/>
        <v xml:space="preserve"> - </v>
      </c>
      <c r="K710" s="172" t="str">
        <f t="shared" si="35"/>
        <v>#N/A</v>
      </c>
      <c r="L710" s="172" t="str">
        <f t="shared" si="36"/>
        <v>#N/A</v>
      </c>
    </row>
    <row r="711" spans="10:12" ht="30" customHeight="1" x14ac:dyDescent="0.25">
      <c r="J711" s="172" t="str">
        <f t="shared" si="37"/>
        <v xml:space="preserve"> - </v>
      </c>
      <c r="K711" s="172" t="str">
        <f t="shared" si="35"/>
        <v>#N/A</v>
      </c>
      <c r="L711" s="172" t="str">
        <f t="shared" si="36"/>
        <v>#N/A</v>
      </c>
    </row>
    <row r="712" spans="10:12" ht="30" customHeight="1" x14ac:dyDescent="0.25">
      <c r="J712" s="172" t="str">
        <f t="shared" si="37"/>
        <v xml:space="preserve"> - </v>
      </c>
      <c r="K712" s="172" t="str">
        <f t="shared" si="35"/>
        <v>#N/A</v>
      </c>
      <c r="L712" s="172" t="str">
        <f t="shared" si="36"/>
        <v>#N/A</v>
      </c>
    </row>
    <row r="713" spans="10:12" ht="30" customHeight="1" x14ac:dyDescent="0.25">
      <c r="J713" s="172" t="str">
        <f t="shared" si="37"/>
        <v xml:space="preserve"> - </v>
      </c>
      <c r="K713" s="172" t="str">
        <f t="shared" si="35"/>
        <v>#N/A</v>
      </c>
      <c r="L713" s="172" t="str">
        <f t="shared" si="36"/>
        <v>#N/A</v>
      </c>
    </row>
    <row r="714" spans="10:12" ht="30" customHeight="1" x14ac:dyDescent="0.25">
      <c r="J714" s="172" t="str">
        <f t="shared" si="37"/>
        <v xml:space="preserve"> - </v>
      </c>
      <c r="K714" s="172" t="str">
        <f t="shared" si="35"/>
        <v>#N/A</v>
      </c>
      <c r="L714" s="172" t="str">
        <f t="shared" si="36"/>
        <v>#N/A</v>
      </c>
    </row>
    <row r="715" spans="10:12" ht="30" customHeight="1" x14ac:dyDescent="0.25">
      <c r="J715" s="172" t="str">
        <f t="shared" si="37"/>
        <v xml:space="preserve"> - </v>
      </c>
      <c r="K715" s="172" t="str">
        <f t="shared" si="35"/>
        <v>#N/A</v>
      </c>
      <c r="L715" s="172" t="str">
        <f t="shared" si="36"/>
        <v>#N/A</v>
      </c>
    </row>
    <row r="716" spans="10:12" ht="30" customHeight="1" x14ac:dyDescent="0.25">
      <c r="J716" s="172" t="str">
        <f t="shared" si="37"/>
        <v xml:space="preserve"> - </v>
      </c>
      <c r="K716" s="172" t="str">
        <f t="shared" si="35"/>
        <v>#N/A</v>
      </c>
      <c r="L716" s="172" t="str">
        <f t="shared" si="36"/>
        <v>#N/A</v>
      </c>
    </row>
    <row r="717" spans="10:12" ht="30" customHeight="1" x14ac:dyDescent="0.25">
      <c r="J717" s="172" t="str">
        <f t="shared" si="37"/>
        <v xml:space="preserve"> - </v>
      </c>
      <c r="K717" s="172" t="str">
        <f t="shared" si="35"/>
        <v>#N/A</v>
      </c>
      <c r="L717" s="172" t="str">
        <f t="shared" si="36"/>
        <v>#N/A</v>
      </c>
    </row>
    <row r="718" spans="10:12" ht="30" customHeight="1" x14ac:dyDescent="0.25">
      <c r="J718" s="172" t="str">
        <f t="shared" si="37"/>
        <v xml:space="preserve"> - </v>
      </c>
      <c r="K718" s="172" t="str">
        <f t="shared" si="35"/>
        <v>#N/A</v>
      </c>
      <c r="L718" s="172" t="str">
        <f t="shared" si="36"/>
        <v>#N/A</v>
      </c>
    </row>
    <row r="719" spans="10:12" ht="30" customHeight="1" x14ac:dyDescent="0.25">
      <c r="J719" s="172" t="str">
        <f t="shared" si="37"/>
        <v xml:space="preserve"> - </v>
      </c>
      <c r="K719" s="172" t="str">
        <f t="shared" si="35"/>
        <v>#N/A</v>
      </c>
      <c r="L719" s="172" t="str">
        <f t="shared" si="36"/>
        <v>#N/A</v>
      </c>
    </row>
    <row r="720" spans="10:12" ht="30" customHeight="1" x14ac:dyDescent="0.25">
      <c r="J720" s="172" t="str">
        <f t="shared" si="37"/>
        <v xml:space="preserve"> - </v>
      </c>
      <c r="K720" s="172" t="str">
        <f t="shared" si="35"/>
        <v>#N/A</v>
      </c>
      <c r="L720" s="172" t="str">
        <f t="shared" si="36"/>
        <v>#N/A</v>
      </c>
    </row>
    <row r="721" spans="10:12" ht="30" customHeight="1" x14ac:dyDescent="0.25">
      <c r="J721" s="172" t="str">
        <f t="shared" si="37"/>
        <v xml:space="preserve"> - </v>
      </c>
      <c r="K721" s="172" t="str">
        <f t="shared" si="35"/>
        <v>#N/A</v>
      </c>
      <c r="L721" s="172" t="str">
        <f t="shared" si="36"/>
        <v>#N/A</v>
      </c>
    </row>
    <row r="722" spans="10:12" ht="30" customHeight="1" x14ac:dyDescent="0.25">
      <c r="J722" s="172" t="str">
        <f t="shared" si="37"/>
        <v xml:space="preserve"> - </v>
      </c>
      <c r="K722" s="172" t="str">
        <f t="shared" si="35"/>
        <v>#N/A</v>
      </c>
      <c r="L722" s="172" t="str">
        <f t="shared" si="36"/>
        <v>#N/A</v>
      </c>
    </row>
    <row r="723" spans="10:12" ht="30" customHeight="1" x14ac:dyDescent="0.25">
      <c r="J723" s="172" t="str">
        <f t="shared" si="37"/>
        <v xml:space="preserve"> - </v>
      </c>
      <c r="K723" s="172" t="str">
        <f t="shared" si="35"/>
        <v>#N/A</v>
      </c>
      <c r="L723" s="172" t="str">
        <f t="shared" si="36"/>
        <v>#N/A</v>
      </c>
    </row>
    <row r="724" spans="10:12" ht="30" customHeight="1" x14ac:dyDescent="0.25">
      <c r="J724" s="172" t="str">
        <f t="shared" si="37"/>
        <v xml:space="preserve"> - </v>
      </c>
      <c r="K724" s="172" t="str">
        <f t="shared" si="35"/>
        <v>#N/A</v>
      </c>
      <c r="L724" s="172" t="str">
        <f t="shared" si="36"/>
        <v>#N/A</v>
      </c>
    </row>
    <row r="725" spans="10:12" ht="30" customHeight="1" x14ac:dyDescent="0.25">
      <c r="J725" s="172" t="str">
        <f t="shared" si="37"/>
        <v xml:space="preserve"> - </v>
      </c>
      <c r="K725" s="172" t="str">
        <f t="shared" si="35"/>
        <v>#N/A</v>
      </c>
      <c r="L725" s="172" t="str">
        <f t="shared" si="36"/>
        <v>#N/A</v>
      </c>
    </row>
    <row r="726" spans="10:12" ht="30" customHeight="1" x14ac:dyDescent="0.25">
      <c r="J726" s="172" t="str">
        <f t="shared" si="37"/>
        <v xml:space="preserve"> - </v>
      </c>
      <c r="K726" s="172" t="str">
        <f t="shared" si="35"/>
        <v>#N/A</v>
      </c>
      <c r="L726" s="172" t="str">
        <f t="shared" si="36"/>
        <v>#N/A</v>
      </c>
    </row>
    <row r="727" spans="10:12" ht="30" customHeight="1" x14ac:dyDescent="0.25">
      <c r="J727" s="172" t="str">
        <f t="shared" si="37"/>
        <v xml:space="preserve"> - </v>
      </c>
      <c r="K727" s="172" t="str">
        <f t="shared" si="35"/>
        <v>#N/A</v>
      </c>
      <c r="L727" s="172" t="str">
        <f t="shared" si="36"/>
        <v>#N/A</v>
      </c>
    </row>
    <row r="728" spans="10:12" ht="30" customHeight="1" x14ac:dyDescent="0.25">
      <c r="J728" s="172" t="str">
        <f t="shared" si="37"/>
        <v xml:space="preserve"> - </v>
      </c>
      <c r="K728" s="172" t="str">
        <f t="shared" si="35"/>
        <v>#N/A</v>
      </c>
      <c r="L728" s="172" t="str">
        <f t="shared" si="36"/>
        <v>#N/A</v>
      </c>
    </row>
    <row r="729" spans="10:12" ht="30" customHeight="1" x14ac:dyDescent="0.25">
      <c r="J729" s="172" t="str">
        <f t="shared" si="37"/>
        <v xml:space="preserve"> - </v>
      </c>
      <c r="K729" s="172" t="str">
        <f t="shared" si="35"/>
        <v>#N/A</v>
      </c>
      <c r="L729" s="172" t="str">
        <f t="shared" si="36"/>
        <v>#N/A</v>
      </c>
    </row>
    <row r="730" spans="10:12" ht="30" customHeight="1" x14ac:dyDescent="0.25">
      <c r="J730" s="172" t="str">
        <f t="shared" si="37"/>
        <v xml:space="preserve"> - </v>
      </c>
      <c r="K730" s="172" t="str">
        <f t="shared" si="35"/>
        <v>#N/A</v>
      </c>
      <c r="L730" s="172" t="str">
        <f t="shared" si="36"/>
        <v>#N/A</v>
      </c>
    </row>
    <row r="731" spans="10:12" ht="30" customHeight="1" x14ac:dyDescent="0.25">
      <c r="J731" s="172" t="str">
        <f t="shared" si="37"/>
        <v xml:space="preserve"> - </v>
      </c>
      <c r="K731" s="172" t="str">
        <f t="shared" si="35"/>
        <v>#N/A</v>
      </c>
      <c r="L731" s="172" t="str">
        <f t="shared" si="36"/>
        <v>#N/A</v>
      </c>
    </row>
    <row r="732" spans="10:12" ht="30" customHeight="1" x14ac:dyDescent="0.25">
      <c r="J732" s="172" t="str">
        <f t="shared" si="37"/>
        <v xml:space="preserve"> - </v>
      </c>
      <c r="K732" s="172" t="str">
        <f t="shared" si="35"/>
        <v>#N/A</v>
      </c>
      <c r="L732" s="172" t="str">
        <f t="shared" si="36"/>
        <v>#N/A</v>
      </c>
    </row>
    <row r="733" spans="10:12" ht="30" customHeight="1" x14ac:dyDescent="0.25">
      <c r="J733" s="172" t="str">
        <f t="shared" si="37"/>
        <v xml:space="preserve"> - </v>
      </c>
      <c r="K733" s="172" t="str">
        <f t="shared" si="35"/>
        <v>#N/A</v>
      </c>
      <c r="L733" s="172" t="str">
        <f t="shared" si="36"/>
        <v>#N/A</v>
      </c>
    </row>
    <row r="734" spans="10:12" ht="30" customHeight="1" x14ac:dyDescent="0.25">
      <c r="J734" s="172" t="str">
        <f t="shared" si="37"/>
        <v xml:space="preserve"> - </v>
      </c>
      <c r="K734" s="172" t="str">
        <f t="shared" si="35"/>
        <v>#N/A</v>
      </c>
      <c r="L734" s="172" t="str">
        <f t="shared" si="36"/>
        <v>#N/A</v>
      </c>
    </row>
    <row r="735" spans="10:12" ht="30" customHeight="1" x14ac:dyDescent="0.25">
      <c r="J735" s="172" t="str">
        <f t="shared" si="37"/>
        <v xml:space="preserve"> - </v>
      </c>
      <c r="K735" s="172" t="str">
        <f t="shared" si="35"/>
        <v>#N/A</v>
      </c>
      <c r="L735" s="172" t="str">
        <f t="shared" si="36"/>
        <v>#N/A</v>
      </c>
    </row>
    <row r="736" spans="10:12" ht="30" customHeight="1" x14ac:dyDescent="0.25">
      <c r="J736" s="172" t="str">
        <f t="shared" si="37"/>
        <v xml:space="preserve"> - </v>
      </c>
      <c r="K736" s="172" t="str">
        <f t="shared" si="35"/>
        <v>#N/A</v>
      </c>
      <c r="L736" s="172" t="str">
        <f t="shared" si="36"/>
        <v>#N/A</v>
      </c>
    </row>
    <row r="737" spans="10:12" ht="30" customHeight="1" x14ac:dyDescent="0.25">
      <c r="J737" s="172" t="str">
        <f t="shared" si="37"/>
        <v xml:space="preserve"> - </v>
      </c>
      <c r="K737" s="172" t="str">
        <f t="shared" si="35"/>
        <v>#N/A</v>
      </c>
      <c r="L737" s="172" t="str">
        <f t="shared" si="36"/>
        <v>#N/A</v>
      </c>
    </row>
    <row r="738" spans="10:12" ht="30" customHeight="1" x14ac:dyDescent="0.25">
      <c r="J738" s="172" t="str">
        <f t="shared" si="37"/>
        <v xml:space="preserve"> - </v>
      </c>
      <c r="K738" s="172" t="str">
        <f t="shared" si="35"/>
        <v>#N/A</v>
      </c>
      <c r="L738" s="172" t="str">
        <f t="shared" si="36"/>
        <v>#N/A</v>
      </c>
    </row>
    <row r="739" spans="10:12" ht="30" customHeight="1" x14ac:dyDescent="0.25">
      <c r="J739" s="172" t="str">
        <f t="shared" si="37"/>
        <v xml:space="preserve"> - </v>
      </c>
      <c r="K739" s="172" t="str">
        <f t="shared" si="35"/>
        <v>#N/A</v>
      </c>
      <c r="L739" s="172" t="str">
        <f t="shared" si="36"/>
        <v>#N/A</v>
      </c>
    </row>
    <row r="740" spans="10:12" ht="30" customHeight="1" x14ac:dyDescent="0.25">
      <c r="J740" s="172" t="str">
        <f t="shared" si="37"/>
        <v xml:space="preserve"> - </v>
      </c>
      <c r="K740" s="172" t="str">
        <f t="shared" si="35"/>
        <v>#N/A</v>
      </c>
      <c r="L740" s="172" t="str">
        <f t="shared" si="36"/>
        <v>#N/A</v>
      </c>
    </row>
    <row r="741" spans="10:12" ht="30" customHeight="1" x14ac:dyDescent="0.25">
      <c r="J741" s="172" t="str">
        <f t="shared" si="37"/>
        <v xml:space="preserve"> - </v>
      </c>
      <c r="K741" s="172" t="str">
        <f t="shared" si="35"/>
        <v>#N/A</v>
      </c>
      <c r="L741" s="172" t="str">
        <f t="shared" si="36"/>
        <v>#N/A</v>
      </c>
    </row>
    <row r="742" spans="10:12" ht="30" customHeight="1" x14ac:dyDescent="0.25">
      <c r="J742" s="172" t="str">
        <f t="shared" si="37"/>
        <v xml:space="preserve"> - </v>
      </c>
      <c r="K742" s="172" t="str">
        <f t="shared" si="35"/>
        <v>#N/A</v>
      </c>
      <c r="L742" s="172" t="str">
        <f t="shared" si="36"/>
        <v>#N/A</v>
      </c>
    </row>
    <row r="743" spans="10:12" ht="30" customHeight="1" x14ac:dyDescent="0.25">
      <c r="J743" s="172" t="str">
        <f t="shared" si="37"/>
        <v xml:space="preserve"> - </v>
      </c>
      <c r="K743" s="172" t="str">
        <f t="shared" si="35"/>
        <v>#N/A</v>
      </c>
      <c r="L743" s="172" t="str">
        <f t="shared" si="36"/>
        <v>#N/A</v>
      </c>
    </row>
    <row r="744" spans="10:12" ht="30" customHeight="1" x14ac:dyDescent="0.25">
      <c r="J744" s="172" t="str">
        <f t="shared" si="37"/>
        <v xml:space="preserve"> - </v>
      </c>
      <c r="K744" s="172" t="str">
        <f t="shared" si="35"/>
        <v>#N/A</v>
      </c>
      <c r="L744" s="172" t="str">
        <f t="shared" si="36"/>
        <v>#N/A</v>
      </c>
    </row>
  </sheetData>
  <autoFilter ref="AB2:AG50">
    <filterColumn colId="4">
      <filters>
        <filter val="Please re-select dependent coverage in BCBS if needed"/>
      </filters>
    </filterColumn>
  </autoFilter>
  <sortState ref="D2:K311">
    <sortCondition ref="E1"/>
  </sortState>
  <customSheetViews>
    <customSheetView guid="{2F0EE798-70DA-460A-B90E-645A10A87AEC}" topLeftCell="A4">
      <selection activeCell="E15" sqref="E15"/>
      <pageMargins left="0.7" right="0.7" top="0.75" bottom="0.75" header="0.3" footer="0.3"/>
    </customSheetView>
    <customSheetView guid="{D3F78401-2A5B-4AA3-A27D-A6F2A4AC0172}">
      <selection activeCell="F2" sqref="F2:F13"/>
      <pageMargins left="0.7" right="0.7" top="0.75" bottom="0.75" header="0.3" footer="0.3"/>
    </customSheetView>
  </customSheetView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98"/>
  <sheetViews>
    <sheetView showGridLines="0" topLeftCell="AE1" zoomScale="80" zoomScaleNormal="80" workbookViewId="0">
      <selection activeCell="AJ13" sqref="AJ13"/>
    </sheetView>
  </sheetViews>
  <sheetFormatPr defaultColWidth="9.140625" defaultRowHeight="15" x14ac:dyDescent="0.25"/>
  <cols>
    <col min="1" max="1" width="30.7109375" style="1" customWidth="1"/>
    <col min="2" max="2" width="29.5703125" style="1" customWidth="1"/>
    <col min="3" max="3" width="29.42578125" style="1" customWidth="1"/>
    <col min="4" max="4" width="27.28515625" style="1" customWidth="1"/>
    <col min="5" max="5" width="25.7109375" style="1" bestFit="1" customWidth="1"/>
    <col min="6" max="7" width="25.7109375" style="1" customWidth="1"/>
    <col min="8" max="8" width="26.140625" style="1" bestFit="1" customWidth="1"/>
    <col min="9" max="9" width="26.140625" style="1" customWidth="1"/>
    <col min="10" max="10" width="24.5703125" style="1" customWidth="1"/>
    <col min="11" max="11" width="26.140625" style="1" bestFit="1" customWidth="1"/>
    <col min="12" max="12" width="40.42578125" style="1" customWidth="1"/>
    <col min="13" max="13" width="16.85546875" customWidth="1"/>
    <col min="14" max="14" width="26.140625" style="1" bestFit="1" customWidth="1"/>
    <col min="15" max="16" width="32.7109375" style="1" customWidth="1"/>
    <col min="17" max="17" width="34.5703125" style="1" customWidth="1"/>
    <col min="18" max="19" width="30.85546875" style="1" customWidth="1"/>
    <col min="20" max="21" width="34.7109375" style="1" customWidth="1"/>
    <col min="22" max="22" width="27.85546875" style="1" customWidth="1"/>
    <col min="23" max="24" width="33.28515625" style="1" customWidth="1"/>
    <col min="25" max="25" width="40.42578125" style="1" customWidth="1"/>
    <col min="26" max="26" width="35.85546875" style="1" customWidth="1"/>
    <col min="27" max="27" width="31.7109375" style="1" customWidth="1"/>
    <col min="28" max="33" width="20.5703125" style="1" customWidth="1"/>
    <col min="34" max="35" width="27.140625" style="1" customWidth="1"/>
    <col min="36" max="37" width="24.7109375" style="1" customWidth="1"/>
    <col min="38" max="38" width="24.85546875" style="1" bestFit="1" customWidth="1"/>
    <col min="39" max="40" width="27.140625" style="1" customWidth="1"/>
    <col min="41" max="41" width="20.5703125" style="1" customWidth="1"/>
    <col min="42" max="42" width="27.7109375" style="1" customWidth="1"/>
    <col min="43" max="43" width="31.42578125" style="1" customWidth="1"/>
    <col min="44" max="44" width="30.85546875" style="1" bestFit="1" customWidth="1"/>
    <col min="45" max="45" width="19" style="1" customWidth="1"/>
    <col min="46" max="46" width="27" style="1" customWidth="1"/>
    <col min="47" max="47" width="29.42578125" style="1" bestFit="1" customWidth="1"/>
    <col min="48" max="16384" width="9.140625" style="1"/>
  </cols>
  <sheetData>
    <row r="1" spans="1:47" x14ac:dyDescent="0.25">
      <c r="A1" s="12"/>
      <c r="B1" s="14" t="s">
        <v>2161</v>
      </c>
    </row>
    <row r="2" spans="1:47" x14ac:dyDescent="0.25">
      <c r="A2" s="20"/>
      <c r="B2" s="14" t="s">
        <v>2162</v>
      </c>
    </row>
    <row r="3" spans="1:47" x14ac:dyDescent="0.25">
      <c r="A3" s="9" t="s">
        <v>1853</v>
      </c>
      <c r="B3" s="14" t="s">
        <v>2163</v>
      </c>
    </row>
    <row r="4" spans="1:47" x14ac:dyDescent="0.25">
      <c r="A4" s="185"/>
      <c r="B4" s="14" t="s">
        <v>2195</v>
      </c>
    </row>
    <row r="5" spans="1:47" x14ac:dyDescent="0.25">
      <c r="A5" s="86"/>
      <c r="B5" s="14" t="s">
        <v>2217</v>
      </c>
    </row>
    <row r="6" spans="1:47" x14ac:dyDescent="0.25">
      <c r="A6" s="18"/>
      <c r="B6" s="18"/>
    </row>
    <row r="7" spans="1:47" x14ac:dyDescent="0.25">
      <c r="B7" s="1" t="s">
        <v>463</v>
      </c>
      <c r="C7" s="1" t="s">
        <v>463</v>
      </c>
      <c r="D7" s="1" t="s">
        <v>463</v>
      </c>
      <c r="E7" s="1" t="s">
        <v>463</v>
      </c>
      <c r="H7" s="1" t="s">
        <v>560</v>
      </c>
      <c r="J7" s="1" t="s">
        <v>463</v>
      </c>
      <c r="K7" s="1" t="s">
        <v>463</v>
      </c>
      <c r="L7" s="1" t="s">
        <v>463</v>
      </c>
      <c r="N7" s="1" t="s">
        <v>560</v>
      </c>
      <c r="O7" s="1" t="s">
        <v>560</v>
      </c>
      <c r="Q7" s="1" t="s">
        <v>560</v>
      </c>
      <c r="R7" s="1" t="s">
        <v>560</v>
      </c>
      <c r="T7" s="1" t="s">
        <v>463</v>
      </c>
      <c r="V7" s="1" t="s">
        <v>463</v>
      </c>
      <c r="W7" s="1" t="s">
        <v>464</v>
      </c>
      <c r="Y7" s="1" t="s">
        <v>465</v>
      </c>
      <c r="Z7" s="1" t="s">
        <v>465</v>
      </c>
      <c r="AA7" s="1" t="s">
        <v>465</v>
      </c>
      <c r="AB7" s="1" t="s">
        <v>515</v>
      </c>
      <c r="AO7" s="1" t="s">
        <v>515</v>
      </c>
      <c r="AP7" s="1" t="s">
        <v>515</v>
      </c>
      <c r="AQ7" s="1" t="s">
        <v>515</v>
      </c>
    </row>
    <row r="8" spans="1:47" x14ac:dyDescent="0.25">
      <c r="B8" s="14" t="s">
        <v>29</v>
      </c>
      <c r="C8" s="14" t="s">
        <v>29</v>
      </c>
      <c r="D8" s="14" t="s">
        <v>550</v>
      </c>
      <c r="E8" s="14" t="s">
        <v>29</v>
      </c>
      <c r="F8" s="14" t="s">
        <v>29</v>
      </c>
      <c r="G8" s="14" t="s">
        <v>29</v>
      </c>
      <c r="H8" s="14" t="s">
        <v>29</v>
      </c>
      <c r="I8" s="14" t="s">
        <v>29</v>
      </c>
      <c r="J8" s="14" t="s">
        <v>29</v>
      </c>
      <c r="K8" s="14" t="s">
        <v>29</v>
      </c>
      <c r="L8" s="14" t="s">
        <v>29</v>
      </c>
      <c r="M8" s="14" t="s">
        <v>29</v>
      </c>
      <c r="N8" s="14" t="s">
        <v>29</v>
      </c>
      <c r="O8" s="14" t="s">
        <v>29</v>
      </c>
      <c r="P8" s="14" t="s">
        <v>29</v>
      </c>
      <c r="Q8" s="14" t="s">
        <v>558</v>
      </c>
      <c r="R8" s="14" t="s">
        <v>558</v>
      </c>
      <c r="S8" s="14"/>
      <c r="T8" s="14" t="s">
        <v>29</v>
      </c>
      <c r="U8" s="14" t="s">
        <v>29</v>
      </c>
      <c r="V8" s="14" t="s">
        <v>29</v>
      </c>
      <c r="W8" s="14" t="s">
        <v>29</v>
      </c>
      <c r="X8" s="14" t="s">
        <v>29</v>
      </c>
      <c r="Y8" s="14" t="s">
        <v>561</v>
      </c>
      <c r="Z8" s="14" t="s">
        <v>561</v>
      </c>
      <c r="AA8" s="14" t="s">
        <v>561</v>
      </c>
      <c r="AB8" s="14" t="s">
        <v>29</v>
      </c>
      <c r="AC8" s="14"/>
      <c r="AD8" s="14"/>
      <c r="AE8" s="14"/>
      <c r="AF8" s="14"/>
      <c r="AG8" s="14"/>
      <c r="AH8" s="14"/>
      <c r="AI8" s="14"/>
      <c r="AJ8" s="14"/>
      <c r="AK8" s="14"/>
      <c r="AL8" s="14"/>
      <c r="AM8" s="14"/>
      <c r="AN8" s="14"/>
      <c r="AO8" s="14" t="s">
        <v>29</v>
      </c>
      <c r="AP8" s="14" t="s">
        <v>561</v>
      </c>
      <c r="AQ8" s="14" t="s">
        <v>561</v>
      </c>
      <c r="AR8" s="14" t="s">
        <v>29</v>
      </c>
      <c r="AS8" s="14" t="s">
        <v>29</v>
      </c>
      <c r="AT8" s="14" t="s">
        <v>2160</v>
      </c>
      <c r="AU8" s="14" t="s">
        <v>29</v>
      </c>
    </row>
    <row r="9" spans="1:47" ht="45" x14ac:dyDescent="0.25">
      <c r="A9" s="101" t="s">
        <v>516</v>
      </c>
      <c r="B9" s="12" t="s">
        <v>90</v>
      </c>
      <c r="C9" s="12" t="s">
        <v>91</v>
      </c>
      <c r="D9" s="20" t="s">
        <v>473</v>
      </c>
      <c r="E9" s="20" t="s">
        <v>474</v>
      </c>
      <c r="F9" s="9" t="s">
        <v>1853</v>
      </c>
      <c r="G9" s="9" t="s">
        <v>1870</v>
      </c>
      <c r="H9" s="12" t="s">
        <v>2</v>
      </c>
      <c r="I9" s="9" t="s">
        <v>1873</v>
      </c>
      <c r="J9" s="3" t="s">
        <v>99</v>
      </c>
      <c r="K9" s="12" t="s">
        <v>101</v>
      </c>
      <c r="L9" s="12" t="s">
        <v>102</v>
      </c>
      <c r="M9" s="12" t="s">
        <v>484</v>
      </c>
      <c r="N9" s="12" t="s">
        <v>486</v>
      </c>
      <c r="O9" s="12" t="s">
        <v>487</v>
      </c>
      <c r="P9" s="9" t="s">
        <v>1874</v>
      </c>
      <c r="Q9" s="12" t="s">
        <v>488</v>
      </c>
      <c r="R9" s="12" t="s">
        <v>492</v>
      </c>
      <c r="S9" s="9" t="s">
        <v>2098</v>
      </c>
      <c r="T9" s="20" t="s">
        <v>442</v>
      </c>
      <c r="U9" s="9" t="s">
        <v>2145</v>
      </c>
      <c r="V9" s="12" t="s">
        <v>106</v>
      </c>
      <c r="W9" s="12" t="s">
        <v>114</v>
      </c>
      <c r="X9" s="9" t="s">
        <v>2181</v>
      </c>
      <c r="Y9" s="13" t="s">
        <v>23</v>
      </c>
      <c r="Z9" s="13" t="s">
        <v>514</v>
      </c>
      <c r="AA9" s="13" t="s">
        <v>513</v>
      </c>
      <c r="AB9" s="13" t="s">
        <v>2878</v>
      </c>
      <c r="AC9" s="10" t="s">
        <v>2877</v>
      </c>
      <c r="AD9" s="13" t="s">
        <v>1655</v>
      </c>
      <c r="AE9" s="9" t="s">
        <v>1656</v>
      </c>
      <c r="AF9" s="9" t="s">
        <v>1657</v>
      </c>
      <c r="AG9" s="9" t="s">
        <v>1658</v>
      </c>
      <c r="AH9" s="13" t="s">
        <v>1655</v>
      </c>
      <c r="AI9" s="13" t="s">
        <v>2883</v>
      </c>
      <c r="AJ9" s="13" t="s">
        <v>2882</v>
      </c>
      <c r="AK9" s="13" t="s">
        <v>1655</v>
      </c>
      <c r="AL9" s="13" t="s">
        <v>2879</v>
      </c>
      <c r="AM9" s="13" t="s">
        <v>2881</v>
      </c>
      <c r="AN9" s="13" t="s">
        <v>2880</v>
      </c>
      <c r="AO9" s="19" t="s">
        <v>440</v>
      </c>
      <c r="AP9" s="19" t="s">
        <v>537</v>
      </c>
      <c r="AQ9" s="19" t="s">
        <v>508</v>
      </c>
      <c r="AR9" s="184" t="s">
        <v>2166</v>
      </c>
      <c r="AS9" s="184" t="s">
        <v>1198</v>
      </c>
      <c r="AT9" s="184" t="s">
        <v>1615</v>
      </c>
      <c r="AU9" s="184" t="s">
        <v>2144</v>
      </c>
    </row>
    <row r="10" spans="1:47" ht="30" x14ac:dyDescent="0.25">
      <c r="B10" s="86" t="s">
        <v>39</v>
      </c>
      <c r="C10" s="82"/>
      <c r="D10" s="14" t="s">
        <v>75</v>
      </c>
      <c r="E10" s="82" t="s">
        <v>76</v>
      </c>
      <c r="F10" s="14" t="s">
        <v>2106</v>
      </c>
      <c r="G10" s="14" t="s">
        <v>1868</v>
      </c>
      <c r="H10" s="82"/>
      <c r="I10" s="14" t="s">
        <v>475</v>
      </c>
      <c r="J10" s="14" t="s">
        <v>475</v>
      </c>
      <c r="K10" s="85" t="s">
        <v>58</v>
      </c>
      <c r="L10" s="14" t="s">
        <v>76</v>
      </c>
      <c r="M10" s="14" t="s">
        <v>2165</v>
      </c>
      <c r="N10" s="14" t="s">
        <v>2165</v>
      </c>
      <c r="O10" s="14" t="s">
        <v>2165</v>
      </c>
      <c r="P10" s="14" t="s">
        <v>475</v>
      </c>
      <c r="Q10" s="1" t="s">
        <v>490</v>
      </c>
      <c r="R10" s="82" t="s">
        <v>493</v>
      </c>
      <c r="S10" s="82" t="s">
        <v>2164</v>
      </c>
      <c r="T10" s="82"/>
      <c r="U10" s="82" t="s">
        <v>2182</v>
      </c>
      <c r="V10" s="82" t="s">
        <v>2182</v>
      </c>
      <c r="W10" s="82"/>
      <c r="X10" s="82"/>
      <c r="Y10" s="14" t="s">
        <v>2196</v>
      </c>
      <c r="Z10" s="14" t="s">
        <v>75</v>
      </c>
      <c r="AA10" s="14" t="s">
        <v>75</v>
      </c>
      <c r="AB10" s="14"/>
      <c r="AC10" s="14"/>
      <c r="AD10" s="14"/>
      <c r="AE10" s="14"/>
      <c r="AF10" s="14"/>
      <c r="AG10" s="14"/>
      <c r="AH10" s="14"/>
      <c r="AI10" s="14"/>
      <c r="AJ10" s="14"/>
      <c r="AK10" s="14"/>
      <c r="AL10" s="14"/>
      <c r="AM10" s="14"/>
      <c r="AN10" s="14"/>
      <c r="AO10" s="85"/>
      <c r="AP10" s="14" t="s">
        <v>75</v>
      </c>
      <c r="AQ10" s="14" t="s">
        <v>75</v>
      </c>
      <c r="AR10" s="14" t="s">
        <v>600</v>
      </c>
      <c r="AS10" s="14" t="s">
        <v>1882</v>
      </c>
      <c r="AT10" s="125" t="s">
        <v>1355</v>
      </c>
      <c r="AU10" s="125" t="s">
        <v>1139</v>
      </c>
    </row>
    <row r="11" spans="1:47" ht="45" x14ac:dyDescent="0.25">
      <c r="A11" s="15"/>
      <c r="B11" s="14" t="s">
        <v>31</v>
      </c>
      <c r="C11" s="14" t="s">
        <v>57</v>
      </c>
      <c r="D11" s="85" t="s">
        <v>76</v>
      </c>
      <c r="E11" s="85" t="s">
        <v>85</v>
      </c>
      <c r="F11" s="82" t="s">
        <v>1854</v>
      </c>
      <c r="G11" s="14" t="s">
        <v>1869</v>
      </c>
      <c r="H11" s="14" t="s">
        <v>461</v>
      </c>
      <c r="I11" s="14" t="s">
        <v>455</v>
      </c>
      <c r="J11" s="14" t="s">
        <v>455</v>
      </c>
      <c r="K11" s="14" t="s">
        <v>32</v>
      </c>
      <c r="L11" s="14" t="s">
        <v>85</v>
      </c>
      <c r="P11" s="14" t="s">
        <v>490</v>
      </c>
      <c r="Q11" s="14" t="s">
        <v>491</v>
      </c>
      <c r="R11" s="82" t="s">
        <v>494</v>
      </c>
      <c r="T11" s="82" t="s">
        <v>569</v>
      </c>
      <c r="U11" s="18"/>
      <c r="W11" s="14" t="s">
        <v>61</v>
      </c>
      <c r="X11" s="14" t="s">
        <v>436</v>
      </c>
      <c r="Y11" s="14" t="s">
        <v>2197</v>
      </c>
      <c r="Z11" s="14" t="s">
        <v>76</v>
      </c>
      <c r="AA11" s="14" t="s">
        <v>76</v>
      </c>
      <c r="AB11" s="14" t="s">
        <v>84</v>
      </c>
      <c r="AC11" s="82" t="s">
        <v>84</v>
      </c>
      <c r="AD11" s="82" t="s">
        <v>84</v>
      </c>
      <c r="AE11" s="82" t="s">
        <v>75</v>
      </c>
      <c r="AF11" s="82" t="s">
        <v>75</v>
      </c>
      <c r="AG11" s="82" t="str">
        <f>AE11&amp;AF11</f>
        <v>YesYes</v>
      </c>
      <c r="AH11" s="186" t="s">
        <v>2216</v>
      </c>
      <c r="AI11" s="186" t="s">
        <v>84</v>
      </c>
      <c r="AJ11" s="274" t="s">
        <v>77</v>
      </c>
      <c r="AK11" s="168" t="s">
        <v>2900</v>
      </c>
      <c r="AL11" s="186" t="s">
        <v>2186</v>
      </c>
      <c r="AM11" s="186" t="s">
        <v>2186</v>
      </c>
      <c r="AN11" s="186" t="s">
        <v>2186</v>
      </c>
      <c r="AO11" s="14" t="s">
        <v>458</v>
      </c>
      <c r="AP11" s="88" t="s">
        <v>76</v>
      </c>
      <c r="AQ11" s="88" t="s">
        <v>76</v>
      </c>
      <c r="AR11" s="14" t="s">
        <v>601</v>
      </c>
      <c r="AS11" s="14" t="s">
        <v>1143</v>
      </c>
      <c r="AT11" s="125" t="s">
        <v>1356</v>
      </c>
      <c r="AU11" s="125" t="s">
        <v>1140</v>
      </c>
    </row>
    <row r="12" spans="1:47" x14ac:dyDescent="0.25">
      <c r="B12" s="14" t="s">
        <v>32</v>
      </c>
      <c r="C12" s="14" t="s">
        <v>41</v>
      </c>
      <c r="E12" s="14" t="s">
        <v>75</v>
      </c>
      <c r="F12" s="14" t="s">
        <v>1855</v>
      </c>
      <c r="G12" s="14"/>
      <c r="H12" s="14" t="s">
        <v>462</v>
      </c>
      <c r="I12" s="14" t="s">
        <v>481</v>
      </c>
      <c r="J12" s="14" t="s">
        <v>481</v>
      </c>
      <c r="K12" s="14" t="s">
        <v>234</v>
      </c>
      <c r="L12" s="14" t="s">
        <v>75</v>
      </c>
      <c r="P12" s="14" t="s">
        <v>1875</v>
      </c>
      <c r="Q12" s="85" t="s">
        <v>475</v>
      </c>
      <c r="R12" s="14" t="s">
        <v>495</v>
      </c>
      <c r="T12" s="14" t="s">
        <v>570</v>
      </c>
      <c r="U12" s="18"/>
      <c r="W12" s="14" t="s">
        <v>59</v>
      </c>
      <c r="X12" s="14" t="s">
        <v>2186</v>
      </c>
      <c r="AB12" s="14" t="s">
        <v>77</v>
      </c>
      <c r="AC12" s="82" t="s">
        <v>77</v>
      </c>
      <c r="AD12" s="82" t="s">
        <v>77</v>
      </c>
      <c r="AE12" s="82" t="s">
        <v>75</v>
      </c>
      <c r="AF12" s="82" t="s">
        <v>76</v>
      </c>
      <c r="AG12" s="82" t="str">
        <f>AE12&amp;AF12</f>
        <v>YesNo</v>
      </c>
      <c r="AH12" s="14" t="s">
        <v>79</v>
      </c>
      <c r="AI12" s="186" t="s">
        <v>1671</v>
      </c>
      <c r="AJ12" s="274" t="s">
        <v>1659</v>
      </c>
      <c r="AK12" s="168" t="s">
        <v>2900</v>
      </c>
      <c r="AL12" s="186" t="s">
        <v>2185</v>
      </c>
      <c r="AM12" s="186" t="s">
        <v>2183</v>
      </c>
      <c r="AN12" s="186" t="s">
        <v>2183</v>
      </c>
      <c r="AO12" s="15"/>
      <c r="AR12" s="14" t="s">
        <v>602</v>
      </c>
      <c r="AS12" s="14" t="s">
        <v>1883</v>
      </c>
      <c r="AT12" s="125" t="s">
        <v>1357</v>
      </c>
      <c r="AU12" s="125" t="s">
        <v>1141</v>
      </c>
    </row>
    <row r="13" spans="1:47" ht="30" x14ac:dyDescent="0.25">
      <c r="B13" s="14" t="s">
        <v>33</v>
      </c>
      <c r="C13" s="14" t="s">
        <v>42</v>
      </c>
      <c r="D13" s="18"/>
      <c r="E13" s="18"/>
      <c r="F13" s="14" t="s">
        <v>2107</v>
      </c>
      <c r="G13" s="18"/>
      <c r="I13" s="14" t="s">
        <v>482</v>
      </c>
      <c r="J13" s="14" t="s">
        <v>482</v>
      </c>
      <c r="P13" s="14" t="s">
        <v>1876</v>
      </c>
      <c r="R13" s="14" t="s">
        <v>496</v>
      </c>
      <c r="T13" s="85" t="s">
        <v>502</v>
      </c>
      <c r="U13" s="18"/>
      <c r="W13" s="14" t="s">
        <v>60</v>
      </c>
      <c r="X13" s="14" t="s">
        <v>2183</v>
      </c>
      <c r="AB13" s="14" t="s">
        <v>78</v>
      </c>
      <c r="AC13" s="165" t="s">
        <v>78</v>
      </c>
      <c r="AD13" s="165" t="s">
        <v>78</v>
      </c>
      <c r="AE13" s="82" t="s">
        <v>76</v>
      </c>
      <c r="AF13" s="82" t="s">
        <v>75</v>
      </c>
      <c r="AG13" s="82" t="str">
        <f>AE13&amp;AF13</f>
        <v>NoYes</v>
      </c>
      <c r="AH13" s="164" t="s">
        <v>80</v>
      </c>
      <c r="AI13" s="186" t="s">
        <v>81</v>
      </c>
      <c r="AJ13" s="274" t="s">
        <v>1660</v>
      </c>
      <c r="AK13" s="168" t="s">
        <v>2900</v>
      </c>
      <c r="AL13" s="186" t="s">
        <v>2184</v>
      </c>
      <c r="AM13" s="273"/>
      <c r="AN13" s="186" t="s">
        <v>2876</v>
      </c>
      <c r="AR13" s="14" t="s">
        <v>603</v>
      </c>
      <c r="AS13" s="14" t="s">
        <v>1884</v>
      </c>
      <c r="AT13" s="125" t="s">
        <v>1358</v>
      </c>
      <c r="AU13" s="125" t="s">
        <v>1142</v>
      </c>
    </row>
    <row r="14" spans="1:47" ht="30" x14ac:dyDescent="0.25">
      <c r="B14" s="14" t="s">
        <v>34</v>
      </c>
      <c r="C14" s="14" t="s">
        <v>43</v>
      </c>
      <c r="D14" s="18"/>
      <c r="E14" s="18"/>
      <c r="F14" s="14" t="s">
        <v>1856</v>
      </c>
      <c r="G14" s="18"/>
      <c r="I14" s="14" t="s">
        <v>483</v>
      </c>
      <c r="J14" s="14" t="s">
        <v>483</v>
      </c>
      <c r="K14" s="15"/>
      <c r="P14" s="14" t="s">
        <v>1877</v>
      </c>
      <c r="R14" s="14" t="s">
        <v>497</v>
      </c>
      <c r="S14" s="18"/>
      <c r="T14" s="18"/>
      <c r="U14" s="18"/>
      <c r="X14" s="14" t="s">
        <v>2185</v>
      </c>
      <c r="AB14" s="14" t="s">
        <v>79</v>
      </c>
      <c r="AC14" s="82" t="s">
        <v>79</v>
      </c>
      <c r="AD14" s="82" t="s">
        <v>79</v>
      </c>
      <c r="AE14" s="82" t="s">
        <v>76</v>
      </c>
      <c r="AF14" s="82" t="s">
        <v>76</v>
      </c>
      <c r="AG14" s="82" t="str">
        <f>AE14&amp;AF14</f>
        <v>NoNo</v>
      </c>
      <c r="AH14" s="164" t="s">
        <v>78</v>
      </c>
      <c r="AJ14" s="274" t="s">
        <v>1661</v>
      </c>
      <c r="AK14" s="168" t="s">
        <v>2900</v>
      </c>
      <c r="AL14" s="273"/>
      <c r="AM14" s="273"/>
      <c r="AN14" s="273"/>
      <c r="AR14" s="14" t="s">
        <v>604</v>
      </c>
      <c r="AS14" s="14" t="s">
        <v>1885</v>
      </c>
      <c r="AT14" s="125" t="s">
        <v>1359</v>
      </c>
      <c r="AU14" s="125" t="s">
        <v>1143</v>
      </c>
    </row>
    <row r="15" spans="1:47" x14ac:dyDescent="0.25">
      <c r="B15" s="14" t="s">
        <v>35</v>
      </c>
      <c r="C15" s="14" t="s">
        <v>44</v>
      </c>
      <c r="D15" s="18"/>
      <c r="E15" s="18"/>
      <c r="F15" s="14" t="s">
        <v>1857</v>
      </c>
      <c r="G15" s="18"/>
      <c r="I15" s="14" t="s">
        <v>81</v>
      </c>
      <c r="P15" s="14" t="s">
        <v>1878</v>
      </c>
      <c r="R15" s="14" t="s">
        <v>498</v>
      </c>
      <c r="S15" s="18"/>
      <c r="T15" s="18"/>
      <c r="U15" s="18"/>
      <c r="X15" s="14" t="s">
        <v>2876</v>
      </c>
      <c r="AB15" s="14" t="s">
        <v>80</v>
      </c>
      <c r="AC15" s="82" t="s">
        <v>80</v>
      </c>
      <c r="AD15" s="82" t="s">
        <v>80</v>
      </c>
      <c r="AJ15" s="274" t="s">
        <v>1662</v>
      </c>
      <c r="AK15" s="168" t="s">
        <v>2900</v>
      </c>
      <c r="AR15" s="14" t="s">
        <v>605</v>
      </c>
      <c r="AS15" s="14" t="s">
        <v>1139</v>
      </c>
      <c r="AT15" s="125" t="s">
        <v>1360</v>
      </c>
      <c r="AU15" s="125" t="s">
        <v>1144</v>
      </c>
    </row>
    <row r="16" spans="1:47" ht="30" x14ac:dyDescent="0.25">
      <c r="B16" s="14" t="s">
        <v>36</v>
      </c>
      <c r="C16" s="14" t="s">
        <v>45</v>
      </c>
      <c r="D16" s="18"/>
      <c r="E16" s="18"/>
      <c r="F16" s="14" t="s">
        <v>1858</v>
      </c>
      <c r="G16" s="18"/>
      <c r="I16" s="14" t="s">
        <v>1871</v>
      </c>
      <c r="P16" s="14" t="s">
        <v>1879</v>
      </c>
      <c r="R16" s="14" t="s">
        <v>499</v>
      </c>
      <c r="S16" s="18"/>
      <c r="T16" s="18"/>
      <c r="U16" s="18"/>
      <c r="X16" s="14" t="s">
        <v>2184</v>
      </c>
      <c r="AB16" s="14" t="s">
        <v>81</v>
      </c>
      <c r="AC16" s="82" t="s">
        <v>81</v>
      </c>
      <c r="AD16" s="82" t="s">
        <v>81</v>
      </c>
      <c r="AJ16" s="274" t="s">
        <v>1663</v>
      </c>
      <c r="AK16" s="168" t="s">
        <v>2900</v>
      </c>
      <c r="AR16" s="14" t="s">
        <v>606</v>
      </c>
      <c r="AS16" s="14" t="s">
        <v>1886</v>
      </c>
      <c r="AT16" s="125" t="s">
        <v>1361</v>
      </c>
      <c r="AU16" s="125" t="s">
        <v>1145</v>
      </c>
    </row>
    <row r="17" spans="2:47" ht="30" x14ac:dyDescent="0.25">
      <c r="B17" s="14" t="s">
        <v>37</v>
      </c>
      <c r="C17" s="14" t="s">
        <v>46</v>
      </c>
      <c r="D17" s="18"/>
      <c r="E17" s="18"/>
      <c r="F17" s="14" t="s">
        <v>1859</v>
      </c>
      <c r="G17" s="18"/>
      <c r="I17" s="14" t="s">
        <v>1872</v>
      </c>
      <c r="P17" s="14" t="s">
        <v>1880</v>
      </c>
      <c r="R17" s="85" t="s">
        <v>475</v>
      </c>
      <c r="S17" s="91"/>
      <c r="AB17" s="14" t="s">
        <v>82</v>
      </c>
      <c r="AC17" s="82" t="s">
        <v>82</v>
      </c>
      <c r="AD17" s="82" t="s">
        <v>82</v>
      </c>
      <c r="AR17" s="14" t="s">
        <v>607</v>
      </c>
      <c r="AS17" s="14" t="s">
        <v>1887</v>
      </c>
      <c r="AT17" s="125" t="s">
        <v>707</v>
      </c>
      <c r="AU17" s="125" t="s">
        <v>1146</v>
      </c>
    </row>
    <row r="18" spans="2:47" x14ac:dyDescent="0.25">
      <c r="B18" s="14" t="s">
        <v>38</v>
      </c>
      <c r="C18" s="14" t="s">
        <v>47</v>
      </c>
      <c r="D18" s="18"/>
      <c r="E18" s="18"/>
      <c r="F18" s="14" t="s">
        <v>1860</v>
      </c>
      <c r="G18" s="18"/>
      <c r="P18" s="14" t="s">
        <v>1881</v>
      </c>
      <c r="AB18" s="14" t="s">
        <v>83</v>
      </c>
      <c r="AC18" s="82" t="s">
        <v>83</v>
      </c>
      <c r="AD18" s="82" t="s">
        <v>83</v>
      </c>
      <c r="AR18" s="14" t="s">
        <v>608</v>
      </c>
      <c r="AS18" s="14" t="s">
        <v>1888</v>
      </c>
      <c r="AT18" s="125" t="s">
        <v>1362</v>
      </c>
      <c r="AU18" s="125" t="s">
        <v>1147</v>
      </c>
    </row>
    <row r="19" spans="2:47" x14ac:dyDescent="0.25">
      <c r="C19" s="14" t="s">
        <v>48</v>
      </c>
      <c r="D19" s="18"/>
      <c r="E19" s="18"/>
      <c r="F19" s="14" t="s">
        <v>1861</v>
      </c>
      <c r="G19" s="18"/>
      <c r="AC19" s="82" t="s">
        <v>1659</v>
      </c>
      <c r="AD19" s="168" t="s">
        <v>2215</v>
      </c>
      <c r="AR19" s="14" t="s">
        <v>609</v>
      </c>
      <c r="AS19" s="14" t="s">
        <v>1889</v>
      </c>
      <c r="AT19" s="125" t="s">
        <v>1363</v>
      </c>
      <c r="AU19" s="125" t="s">
        <v>1148</v>
      </c>
    </row>
    <row r="20" spans="2:47" x14ac:dyDescent="0.25">
      <c r="C20" s="14" t="s">
        <v>49</v>
      </c>
      <c r="D20" s="18"/>
      <c r="E20" s="18"/>
      <c r="F20" s="14" t="s">
        <v>1158</v>
      </c>
      <c r="G20" s="18"/>
      <c r="AC20" s="82" t="s">
        <v>1660</v>
      </c>
      <c r="AD20" s="168" t="s">
        <v>2215</v>
      </c>
      <c r="AR20" s="14" t="s">
        <v>610</v>
      </c>
      <c r="AS20" s="14" t="s">
        <v>1890</v>
      </c>
      <c r="AT20" s="125" t="s">
        <v>1364</v>
      </c>
      <c r="AU20" s="125" t="s">
        <v>1149</v>
      </c>
    </row>
    <row r="21" spans="2:47" x14ac:dyDescent="0.25">
      <c r="C21" s="14" t="s">
        <v>40</v>
      </c>
      <c r="D21" s="18"/>
      <c r="E21" s="18"/>
      <c r="F21" s="14" t="s">
        <v>1862</v>
      </c>
      <c r="G21" s="18"/>
      <c r="AC21" s="164" t="s">
        <v>1661</v>
      </c>
      <c r="AD21" s="168" t="s">
        <v>2215</v>
      </c>
      <c r="AR21" s="14" t="s">
        <v>611</v>
      </c>
      <c r="AS21" s="14" t="s">
        <v>1891</v>
      </c>
      <c r="AT21" s="125" t="s">
        <v>1365</v>
      </c>
      <c r="AU21" s="125" t="s">
        <v>1150</v>
      </c>
    </row>
    <row r="22" spans="2:47" x14ac:dyDescent="0.25">
      <c r="C22" s="14" t="s">
        <v>50</v>
      </c>
      <c r="D22" s="18"/>
      <c r="E22" s="18"/>
      <c r="F22" s="14" t="s">
        <v>1863</v>
      </c>
      <c r="G22" s="18"/>
      <c r="AC22" s="164" t="s">
        <v>1662</v>
      </c>
      <c r="AD22" s="168" t="s">
        <v>2215</v>
      </c>
      <c r="AR22" s="14" t="s">
        <v>612</v>
      </c>
      <c r="AS22" s="14" t="s">
        <v>1142</v>
      </c>
      <c r="AT22" s="125" t="s">
        <v>1366</v>
      </c>
      <c r="AU22" s="125" t="s">
        <v>1151</v>
      </c>
    </row>
    <row r="23" spans="2:47" x14ac:dyDescent="0.25">
      <c r="C23" s="14" t="s">
        <v>51</v>
      </c>
      <c r="D23" s="18"/>
      <c r="E23" s="18"/>
      <c r="F23" s="14" t="s">
        <v>1864</v>
      </c>
      <c r="G23" s="18"/>
      <c r="AC23" s="164" t="s">
        <v>1663</v>
      </c>
      <c r="AD23" s="168" t="s">
        <v>2215</v>
      </c>
      <c r="AR23" s="14" t="s">
        <v>613</v>
      </c>
      <c r="AS23" s="14" t="s">
        <v>1892</v>
      </c>
      <c r="AT23" s="125" t="s">
        <v>1367</v>
      </c>
      <c r="AU23" s="125" t="s">
        <v>1152</v>
      </c>
    </row>
    <row r="24" spans="2:47" x14ac:dyDescent="0.25">
      <c r="C24" s="14" t="s">
        <v>52</v>
      </c>
      <c r="D24" s="18"/>
      <c r="E24" s="18"/>
      <c r="F24" s="14" t="s">
        <v>1865</v>
      </c>
      <c r="G24" s="18"/>
      <c r="AR24" s="14" t="s">
        <v>614</v>
      </c>
      <c r="AS24" s="14" t="s">
        <v>1893</v>
      </c>
      <c r="AT24" s="125" t="s">
        <v>1368</v>
      </c>
      <c r="AU24" s="125" t="s">
        <v>1153</v>
      </c>
    </row>
    <row r="25" spans="2:47" x14ac:dyDescent="0.25">
      <c r="C25" s="14" t="s">
        <v>53</v>
      </c>
      <c r="D25" s="18"/>
      <c r="E25" s="18"/>
      <c r="F25" s="14" t="s">
        <v>1866</v>
      </c>
      <c r="G25" s="18"/>
      <c r="AR25" s="14" t="s">
        <v>615</v>
      </c>
      <c r="AS25" s="14" t="s">
        <v>1894</v>
      </c>
      <c r="AT25" s="125" t="s">
        <v>1369</v>
      </c>
      <c r="AU25" s="125" t="s">
        <v>1154</v>
      </c>
    </row>
    <row r="26" spans="2:47" x14ac:dyDescent="0.25">
      <c r="C26" s="14" t="s">
        <v>54</v>
      </c>
      <c r="D26" s="18"/>
      <c r="E26" s="18"/>
      <c r="F26" s="14" t="s">
        <v>1867</v>
      </c>
      <c r="G26" s="18"/>
      <c r="AR26" s="14" t="s">
        <v>616</v>
      </c>
      <c r="AS26" s="14" t="s">
        <v>1895</v>
      </c>
      <c r="AT26" s="125" t="s">
        <v>1370</v>
      </c>
      <c r="AU26" s="125" t="s">
        <v>1155</v>
      </c>
    </row>
    <row r="27" spans="2:47" x14ac:dyDescent="0.25">
      <c r="C27" s="14" t="s">
        <v>55</v>
      </c>
      <c r="D27" s="18"/>
      <c r="E27" s="18"/>
      <c r="F27" s="18"/>
      <c r="G27" s="18"/>
      <c r="AR27" s="14" t="s">
        <v>617</v>
      </c>
      <c r="AS27" s="14" t="s">
        <v>1141</v>
      </c>
      <c r="AT27" s="125" t="s">
        <v>1371</v>
      </c>
      <c r="AU27" s="125" t="s">
        <v>1156</v>
      </c>
    </row>
    <row r="28" spans="2:47" x14ac:dyDescent="0.25">
      <c r="C28" s="14" t="s">
        <v>56</v>
      </c>
      <c r="D28" s="18"/>
      <c r="E28" s="18"/>
      <c r="F28" s="18"/>
      <c r="G28" s="18"/>
      <c r="AR28" s="14" t="s">
        <v>618</v>
      </c>
      <c r="AS28" s="14" t="s">
        <v>1896</v>
      </c>
      <c r="AT28" s="125" t="s">
        <v>1372</v>
      </c>
      <c r="AU28" s="125" t="s">
        <v>1157</v>
      </c>
    </row>
    <row r="29" spans="2:47" x14ac:dyDescent="0.25">
      <c r="AR29" s="14" t="s">
        <v>619</v>
      </c>
      <c r="AS29" s="14" t="s">
        <v>1897</v>
      </c>
      <c r="AT29" s="125" t="s">
        <v>1373</v>
      </c>
      <c r="AU29" s="125" t="s">
        <v>1158</v>
      </c>
    </row>
    <row r="30" spans="2:47" x14ac:dyDescent="0.25">
      <c r="AR30" s="14" t="s">
        <v>620</v>
      </c>
      <c r="AS30" s="14" t="s">
        <v>1898</v>
      </c>
      <c r="AT30" s="125" t="s">
        <v>1374</v>
      </c>
      <c r="AU30" s="125" t="s">
        <v>1159</v>
      </c>
    </row>
    <row r="31" spans="2:47" x14ac:dyDescent="0.25">
      <c r="AR31" s="14" t="s">
        <v>621</v>
      </c>
      <c r="AS31" s="14" t="s">
        <v>1899</v>
      </c>
      <c r="AT31" s="125" t="s">
        <v>1375</v>
      </c>
      <c r="AU31" s="125" t="s">
        <v>1160</v>
      </c>
    </row>
    <row r="32" spans="2:47" x14ac:dyDescent="0.25">
      <c r="AR32" s="14" t="s">
        <v>622</v>
      </c>
      <c r="AS32" s="14" t="s">
        <v>1900</v>
      </c>
      <c r="AT32" s="125" t="s">
        <v>1376</v>
      </c>
      <c r="AU32" s="125" t="s">
        <v>1161</v>
      </c>
    </row>
    <row r="33" spans="44:47" x14ac:dyDescent="0.25">
      <c r="AR33" s="14" t="s">
        <v>623</v>
      </c>
      <c r="AS33" s="14" t="s">
        <v>1901</v>
      </c>
      <c r="AT33" s="125" t="s">
        <v>1377</v>
      </c>
      <c r="AU33" s="125" t="s">
        <v>1162</v>
      </c>
    </row>
    <row r="34" spans="44:47" ht="30" x14ac:dyDescent="0.25">
      <c r="AR34" s="14" t="s">
        <v>624</v>
      </c>
      <c r="AS34" s="14" t="s">
        <v>1902</v>
      </c>
      <c r="AT34" s="125" t="s">
        <v>1378</v>
      </c>
      <c r="AU34" s="125" t="s">
        <v>1163</v>
      </c>
    </row>
    <row r="35" spans="44:47" x14ac:dyDescent="0.25">
      <c r="AR35" s="14" t="s">
        <v>625</v>
      </c>
      <c r="AS35" s="14" t="s">
        <v>1903</v>
      </c>
      <c r="AT35" s="125" t="s">
        <v>1379</v>
      </c>
      <c r="AU35" s="125" t="s">
        <v>1164</v>
      </c>
    </row>
    <row r="36" spans="44:47" x14ac:dyDescent="0.25">
      <c r="AR36" s="14" t="s">
        <v>626</v>
      </c>
      <c r="AS36" s="14" t="s">
        <v>1904</v>
      </c>
      <c r="AT36" s="125" t="s">
        <v>1380</v>
      </c>
      <c r="AU36" s="125" t="s">
        <v>1165</v>
      </c>
    </row>
    <row r="37" spans="44:47" ht="30" x14ac:dyDescent="0.25">
      <c r="AR37" s="14" t="s">
        <v>627</v>
      </c>
      <c r="AS37" s="14" t="s">
        <v>1905</v>
      </c>
      <c r="AT37" s="125" t="s">
        <v>1381</v>
      </c>
      <c r="AU37" s="125" t="s">
        <v>1166</v>
      </c>
    </row>
    <row r="38" spans="44:47" x14ac:dyDescent="0.25">
      <c r="AR38" s="14" t="s">
        <v>628</v>
      </c>
      <c r="AS38" s="14" t="s">
        <v>1906</v>
      </c>
      <c r="AT38" s="125" t="s">
        <v>1382</v>
      </c>
      <c r="AU38" s="125" t="s">
        <v>1167</v>
      </c>
    </row>
    <row r="39" spans="44:47" x14ac:dyDescent="0.25">
      <c r="AR39" s="14" t="s">
        <v>629</v>
      </c>
      <c r="AS39" s="14" t="s">
        <v>1907</v>
      </c>
      <c r="AT39" s="125" t="s">
        <v>1383</v>
      </c>
      <c r="AU39" s="125" t="s">
        <v>1168</v>
      </c>
    </row>
    <row r="40" spans="44:47" x14ac:dyDescent="0.25">
      <c r="AR40" s="14" t="s">
        <v>630</v>
      </c>
      <c r="AS40" s="14" t="s">
        <v>1908</v>
      </c>
      <c r="AT40" s="125" t="s">
        <v>1384</v>
      </c>
      <c r="AU40" s="125" t="s">
        <v>1169</v>
      </c>
    </row>
    <row r="41" spans="44:47" x14ac:dyDescent="0.25">
      <c r="AR41" s="14" t="s">
        <v>631</v>
      </c>
      <c r="AS41" s="14" t="s">
        <v>1909</v>
      </c>
      <c r="AT41" s="125" t="s">
        <v>1385</v>
      </c>
      <c r="AU41" s="125" t="s">
        <v>1170</v>
      </c>
    </row>
    <row r="42" spans="44:47" x14ac:dyDescent="0.25">
      <c r="AR42" s="14" t="s">
        <v>632</v>
      </c>
      <c r="AS42" s="14" t="s">
        <v>1910</v>
      </c>
      <c r="AT42" s="125" t="s">
        <v>1386</v>
      </c>
      <c r="AU42" s="125" t="s">
        <v>1171</v>
      </c>
    </row>
    <row r="43" spans="44:47" x14ac:dyDescent="0.25">
      <c r="AR43" s="14" t="s">
        <v>633</v>
      </c>
      <c r="AS43" s="14" t="s">
        <v>1911</v>
      </c>
      <c r="AT43" s="125" t="s">
        <v>1387</v>
      </c>
      <c r="AU43" s="125" t="s">
        <v>1172</v>
      </c>
    </row>
    <row r="44" spans="44:47" x14ac:dyDescent="0.25">
      <c r="AR44" s="14" t="s">
        <v>634</v>
      </c>
      <c r="AS44" s="14" t="s">
        <v>1912</v>
      </c>
      <c r="AT44" s="125" t="s">
        <v>1388</v>
      </c>
      <c r="AU44" s="125" t="s">
        <v>1173</v>
      </c>
    </row>
    <row r="45" spans="44:47" x14ac:dyDescent="0.25">
      <c r="AR45" s="14" t="s">
        <v>635</v>
      </c>
      <c r="AS45" s="14" t="s">
        <v>1913</v>
      </c>
      <c r="AT45" s="125" t="s">
        <v>1389</v>
      </c>
      <c r="AU45" s="125" t="s">
        <v>1174</v>
      </c>
    </row>
    <row r="46" spans="44:47" x14ac:dyDescent="0.25">
      <c r="AR46" s="14" t="s">
        <v>636</v>
      </c>
      <c r="AS46" s="14" t="s">
        <v>1914</v>
      </c>
      <c r="AT46" s="125" t="s">
        <v>1390</v>
      </c>
      <c r="AU46" s="125" t="s">
        <v>1175</v>
      </c>
    </row>
    <row r="47" spans="44:47" x14ac:dyDescent="0.25">
      <c r="AR47" s="14" t="s">
        <v>637</v>
      </c>
      <c r="AS47" s="14" t="s">
        <v>1915</v>
      </c>
      <c r="AT47" s="125" t="s">
        <v>1391</v>
      </c>
      <c r="AU47" s="125" t="s">
        <v>1176</v>
      </c>
    </row>
    <row r="48" spans="44:47" x14ac:dyDescent="0.25">
      <c r="AR48" s="14" t="s">
        <v>638</v>
      </c>
      <c r="AS48" s="14" t="s">
        <v>1916</v>
      </c>
      <c r="AT48" s="125" t="s">
        <v>1392</v>
      </c>
      <c r="AU48" s="125" t="s">
        <v>1177</v>
      </c>
    </row>
    <row r="49" spans="44:47" x14ac:dyDescent="0.25">
      <c r="AR49" s="14" t="s">
        <v>639</v>
      </c>
      <c r="AS49" s="14" t="s">
        <v>1917</v>
      </c>
      <c r="AT49" s="125" t="s">
        <v>1393</v>
      </c>
      <c r="AU49" s="125" t="s">
        <v>1178</v>
      </c>
    </row>
    <row r="50" spans="44:47" x14ac:dyDescent="0.25">
      <c r="AR50" s="14" t="s">
        <v>640</v>
      </c>
      <c r="AS50" s="14" t="s">
        <v>1918</v>
      </c>
      <c r="AT50" s="125" t="s">
        <v>1394</v>
      </c>
      <c r="AU50" s="125" t="s">
        <v>1179</v>
      </c>
    </row>
    <row r="51" spans="44:47" x14ac:dyDescent="0.25">
      <c r="AR51" s="14" t="s">
        <v>641</v>
      </c>
      <c r="AS51" s="14" t="s">
        <v>1155</v>
      </c>
      <c r="AT51" s="125" t="s">
        <v>1395</v>
      </c>
      <c r="AU51" s="125" t="s">
        <v>1180</v>
      </c>
    </row>
    <row r="52" spans="44:47" x14ac:dyDescent="0.25">
      <c r="AR52" s="14" t="s">
        <v>642</v>
      </c>
      <c r="AS52" s="14" t="s">
        <v>1919</v>
      </c>
      <c r="AT52" s="125" t="s">
        <v>1396</v>
      </c>
      <c r="AU52" s="125" t="s">
        <v>1181</v>
      </c>
    </row>
    <row r="53" spans="44:47" x14ac:dyDescent="0.25">
      <c r="AR53" s="14" t="s">
        <v>643</v>
      </c>
      <c r="AS53" s="14" t="s">
        <v>1920</v>
      </c>
      <c r="AT53" s="125" t="s">
        <v>1397</v>
      </c>
      <c r="AU53" s="125" t="s">
        <v>1182</v>
      </c>
    </row>
    <row r="54" spans="44:47" x14ac:dyDescent="0.25">
      <c r="AR54" s="14" t="s">
        <v>644</v>
      </c>
      <c r="AS54" s="14" t="s">
        <v>1921</v>
      </c>
      <c r="AT54" s="125" t="s">
        <v>1398</v>
      </c>
      <c r="AU54" s="125" t="s">
        <v>1183</v>
      </c>
    </row>
    <row r="55" spans="44:47" x14ac:dyDescent="0.25">
      <c r="AR55" s="14" t="s">
        <v>645</v>
      </c>
      <c r="AS55" s="14" t="s">
        <v>1922</v>
      </c>
      <c r="AT55" s="125" t="s">
        <v>1399</v>
      </c>
      <c r="AU55" s="125" t="s">
        <v>1184</v>
      </c>
    </row>
    <row r="56" spans="44:47" x14ac:dyDescent="0.25">
      <c r="AR56" s="14" t="s">
        <v>646</v>
      </c>
      <c r="AS56" s="14" t="s">
        <v>1923</v>
      </c>
      <c r="AT56" s="125" t="s">
        <v>1400</v>
      </c>
      <c r="AU56" s="125" t="s">
        <v>1185</v>
      </c>
    </row>
    <row r="57" spans="44:47" x14ac:dyDescent="0.25">
      <c r="AR57" s="14" t="s">
        <v>647</v>
      </c>
      <c r="AS57" s="14" t="s">
        <v>1924</v>
      </c>
      <c r="AT57" s="125" t="s">
        <v>1401</v>
      </c>
      <c r="AU57" s="125" t="s">
        <v>1186</v>
      </c>
    </row>
    <row r="58" spans="44:47" x14ac:dyDescent="0.25">
      <c r="AR58" s="14" t="s">
        <v>648</v>
      </c>
      <c r="AS58" s="14" t="s">
        <v>1144</v>
      </c>
      <c r="AT58" s="125" t="s">
        <v>1402</v>
      </c>
      <c r="AU58" s="125" t="s">
        <v>1187</v>
      </c>
    </row>
    <row r="59" spans="44:47" x14ac:dyDescent="0.25">
      <c r="AR59" s="14" t="s">
        <v>649</v>
      </c>
      <c r="AS59" s="14" t="s">
        <v>1925</v>
      </c>
      <c r="AT59" s="125" t="s">
        <v>1403</v>
      </c>
      <c r="AU59" s="125" t="s">
        <v>1188</v>
      </c>
    </row>
    <row r="60" spans="44:47" x14ac:dyDescent="0.25">
      <c r="AR60" s="14" t="s">
        <v>650</v>
      </c>
      <c r="AS60" s="14" t="s">
        <v>1926</v>
      </c>
    </row>
    <row r="61" spans="44:47" x14ac:dyDescent="0.25">
      <c r="AR61" s="14" t="s">
        <v>651</v>
      </c>
      <c r="AS61" s="14" t="s">
        <v>1927</v>
      </c>
    </row>
    <row r="62" spans="44:47" x14ac:dyDescent="0.25">
      <c r="AR62" s="14" t="s">
        <v>652</v>
      </c>
      <c r="AS62" s="14" t="s">
        <v>1928</v>
      </c>
    </row>
    <row r="63" spans="44:47" x14ac:dyDescent="0.25">
      <c r="AR63" s="14" t="s">
        <v>653</v>
      </c>
      <c r="AS63" s="14" t="s">
        <v>1929</v>
      </c>
    </row>
    <row r="64" spans="44:47" x14ac:dyDescent="0.25">
      <c r="AR64" s="14" t="s">
        <v>654</v>
      </c>
      <c r="AS64" s="14" t="s">
        <v>1930</v>
      </c>
    </row>
    <row r="65" spans="44:45" x14ac:dyDescent="0.25">
      <c r="AR65" s="14" t="s">
        <v>655</v>
      </c>
      <c r="AS65" s="14" t="s">
        <v>1931</v>
      </c>
    </row>
    <row r="66" spans="44:45" x14ac:dyDescent="0.25">
      <c r="AR66" s="14" t="s">
        <v>656</v>
      </c>
      <c r="AS66" s="14" t="s">
        <v>1932</v>
      </c>
    </row>
    <row r="67" spans="44:45" x14ac:dyDescent="0.25">
      <c r="AR67" s="14" t="s">
        <v>657</v>
      </c>
      <c r="AS67" s="14" t="s">
        <v>1933</v>
      </c>
    </row>
    <row r="68" spans="44:45" x14ac:dyDescent="0.25">
      <c r="AR68" s="14" t="s">
        <v>658</v>
      </c>
      <c r="AS68" s="14" t="s">
        <v>1934</v>
      </c>
    </row>
    <row r="69" spans="44:45" ht="30" x14ac:dyDescent="0.25">
      <c r="AR69" s="14" t="s">
        <v>659</v>
      </c>
      <c r="AS69" s="14" t="s">
        <v>1935</v>
      </c>
    </row>
    <row r="70" spans="44:45" x14ac:dyDescent="0.25">
      <c r="AR70" s="14" t="s">
        <v>660</v>
      </c>
      <c r="AS70" s="14" t="s">
        <v>1936</v>
      </c>
    </row>
    <row r="71" spans="44:45" x14ac:dyDescent="0.25">
      <c r="AR71" s="14" t="s">
        <v>661</v>
      </c>
      <c r="AS71" s="14" t="s">
        <v>1937</v>
      </c>
    </row>
    <row r="72" spans="44:45" x14ac:dyDescent="0.25">
      <c r="AR72" s="14" t="s">
        <v>662</v>
      </c>
      <c r="AS72" s="14" t="s">
        <v>1938</v>
      </c>
    </row>
    <row r="73" spans="44:45" x14ac:dyDescent="0.25">
      <c r="AR73" s="14" t="s">
        <v>663</v>
      </c>
      <c r="AS73" s="14" t="s">
        <v>1939</v>
      </c>
    </row>
    <row r="74" spans="44:45" x14ac:dyDescent="0.25">
      <c r="AR74" s="14" t="s">
        <v>664</v>
      </c>
      <c r="AS74" s="14" t="s">
        <v>1940</v>
      </c>
    </row>
    <row r="75" spans="44:45" x14ac:dyDescent="0.25">
      <c r="AR75" s="14" t="s">
        <v>665</v>
      </c>
      <c r="AS75" s="14" t="s">
        <v>1941</v>
      </c>
    </row>
    <row r="76" spans="44:45" x14ac:dyDescent="0.25">
      <c r="AR76" s="14" t="s">
        <v>666</v>
      </c>
      <c r="AS76" s="14" t="s">
        <v>1942</v>
      </c>
    </row>
    <row r="77" spans="44:45" x14ac:dyDescent="0.25">
      <c r="AR77" s="14" t="s">
        <v>667</v>
      </c>
      <c r="AS77" s="14" t="s">
        <v>1943</v>
      </c>
    </row>
    <row r="78" spans="44:45" x14ac:dyDescent="0.25">
      <c r="AR78" s="14" t="s">
        <v>668</v>
      </c>
      <c r="AS78" s="14" t="s">
        <v>1944</v>
      </c>
    </row>
    <row r="79" spans="44:45" x14ac:dyDescent="0.25">
      <c r="AR79" s="14" t="s">
        <v>669</v>
      </c>
      <c r="AS79" s="14" t="s">
        <v>1945</v>
      </c>
    </row>
    <row r="80" spans="44:45" x14ac:dyDescent="0.25">
      <c r="AR80" s="14" t="s">
        <v>670</v>
      </c>
      <c r="AS80" s="14" t="s">
        <v>1946</v>
      </c>
    </row>
    <row r="81" spans="44:45" x14ac:dyDescent="0.25">
      <c r="AR81" s="14" t="s">
        <v>671</v>
      </c>
      <c r="AS81" s="14" t="s">
        <v>1947</v>
      </c>
    </row>
    <row r="82" spans="44:45" ht="30" x14ac:dyDescent="0.25">
      <c r="AR82" s="14" t="s">
        <v>672</v>
      </c>
      <c r="AS82" s="14" t="s">
        <v>1948</v>
      </c>
    </row>
    <row r="83" spans="44:45" x14ac:dyDescent="0.25">
      <c r="AR83" s="14" t="s">
        <v>673</v>
      </c>
      <c r="AS83" s="14" t="s">
        <v>1949</v>
      </c>
    </row>
    <row r="84" spans="44:45" x14ac:dyDescent="0.25">
      <c r="AR84" s="14" t="s">
        <v>674</v>
      </c>
      <c r="AS84" s="14" t="s">
        <v>1950</v>
      </c>
    </row>
    <row r="85" spans="44:45" x14ac:dyDescent="0.25">
      <c r="AR85" s="14" t="s">
        <v>675</v>
      </c>
      <c r="AS85" s="14" t="s">
        <v>1951</v>
      </c>
    </row>
    <row r="86" spans="44:45" x14ac:dyDescent="0.25">
      <c r="AR86" s="14" t="s">
        <v>676</v>
      </c>
      <c r="AS86" s="14" t="s">
        <v>1952</v>
      </c>
    </row>
    <row r="87" spans="44:45" x14ac:dyDescent="0.25">
      <c r="AR87" s="14" t="s">
        <v>677</v>
      </c>
      <c r="AS87" s="14" t="s">
        <v>1953</v>
      </c>
    </row>
    <row r="88" spans="44:45" x14ac:dyDescent="0.25">
      <c r="AR88" s="14" t="s">
        <v>678</v>
      </c>
      <c r="AS88" s="14" t="s">
        <v>1954</v>
      </c>
    </row>
    <row r="89" spans="44:45" x14ac:dyDescent="0.25">
      <c r="AR89" s="14" t="s">
        <v>679</v>
      </c>
      <c r="AS89" s="14" t="s">
        <v>1955</v>
      </c>
    </row>
    <row r="90" spans="44:45" x14ac:dyDescent="0.25">
      <c r="AR90" s="14" t="s">
        <v>680</v>
      </c>
      <c r="AS90" s="14" t="s">
        <v>1148</v>
      </c>
    </row>
    <row r="91" spans="44:45" x14ac:dyDescent="0.25">
      <c r="AR91" s="14" t="s">
        <v>681</v>
      </c>
      <c r="AS91" s="14" t="s">
        <v>1956</v>
      </c>
    </row>
    <row r="92" spans="44:45" x14ac:dyDescent="0.25">
      <c r="AR92" s="14" t="s">
        <v>682</v>
      </c>
      <c r="AS92" s="14" t="s">
        <v>1146</v>
      </c>
    </row>
    <row r="93" spans="44:45" x14ac:dyDescent="0.25">
      <c r="AR93" s="14" t="s">
        <v>683</v>
      </c>
      <c r="AS93" s="14" t="s">
        <v>1957</v>
      </c>
    </row>
    <row r="94" spans="44:45" x14ac:dyDescent="0.25">
      <c r="AR94" s="14" t="s">
        <v>684</v>
      </c>
      <c r="AS94" s="14" t="s">
        <v>1958</v>
      </c>
    </row>
    <row r="95" spans="44:45" x14ac:dyDescent="0.25">
      <c r="AR95" s="14" t="s">
        <v>685</v>
      </c>
      <c r="AS95" s="14" t="s">
        <v>1959</v>
      </c>
    </row>
    <row r="96" spans="44:45" ht="30" x14ac:dyDescent="0.25">
      <c r="AR96" s="14" t="s">
        <v>686</v>
      </c>
      <c r="AS96" s="14" t="s">
        <v>1960</v>
      </c>
    </row>
    <row r="97" spans="44:45" x14ac:dyDescent="0.25">
      <c r="AR97" s="14" t="s">
        <v>687</v>
      </c>
      <c r="AS97" s="14" t="s">
        <v>1961</v>
      </c>
    </row>
    <row r="98" spans="44:45" x14ac:dyDescent="0.25">
      <c r="AR98" s="14" t="s">
        <v>688</v>
      </c>
      <c r="AS98" s="14" t="s">
        <v>1962</v>
      </c>
    </row>
    <row r="99" spans="44:45" ht="30" x14ac:dyDescent="0.25">
      <c r="AR99" s="14" t="s">
        <v>689</v>
      </c>
      <c r="AS99" s="14" t="s">
        <v>1963</v>
      </c>
    </row>
    <row r="100" spans="44:45" x14ac:dyDescent="0.25">
      <c r="AR100" s="14" t="s">
        <v>690</v>
      </c>
      <c r="AS100" s="14" t="s">
        <v>1964</v>
      </c>
    </row>
    <row r="101" spans="44:45" x14ac:dyDescent="0.25">
      <c r="AR101" s="14" t="s">
        <v>691</v>
      </c>
      <c r="AS101" s="14" t="s">
        <v>1965</v>
      </c>
    </row>
    <row r="102" spans="44:45" x14ac:dyDescent="0.25">
      <c r="AR102" s="14" t="s">
        <v>692</v>
      </c>
      <c r="AS102" s="14" t="s">
        <v>1966</v>
      </c>
    </row>
    <row r="103" spans="44:45" x14ac:dyDescent="0.25">
      <c r="AR103" s="14" t="s">
        <v>693</v>
      </c>
      <c r="AS103" s="14" t="s">
        <v>1967</v>
      </c>
    </row>
    <row r="104" spans="44:45" x14ac:dyDescent="0.25">
      <c r="AR104" s="14" t="s">
        <v>694</v>
      </c>
      <c r="AS104" s="14" t="s">
        <v>1968</v>
      </c>
    </row>
    <row r="105" spans="44:45" x14ac:dyDescent="0.25">
      <c r="AR105" s="14" t="s">
        <v>695</v>
      </c>
      <c r="AS105" s="14" t="s">
        <v>1969</v>
      </c>
    </row>
    <row r="106" spans="44:45" x14ac:dyDescent="0.25">
      <c r="AR106" s="14" t="s">
        <v>696</v>
      </c>
      <c r="AS106" s="14" t="s">
        <v>1970</v>
      </c>
    </row>
    <row r="107" spans="44:45" ht="30" x14ac:dyDescent="0.25">
      <c r="AR107" s="14" t="s">
        <v>697</v>
      </c>
      <c r="AS107" s="14" t="s">
        <v>1971</v>
      </c>
    </row>
    <row r="108" spans="44:45" ht="30" x14ac:dyDescent="0.25">
      <c r="AR108" s="14" t="s">
        <v>698</v>
      </c>
      <c r="AS108" s="14" t="s">
        <v>1972</v>
      </c>
    </row>
    <row r="109" spans="44:45" ht="30" x14ac:dyDescent="0.25">
      <c r="AR109" s="14" t="s">
        <v>699</v>
      </c>
      <c r="AS109" s="14" t="s">
        <v>1973</v>
      </c>
    </row>
    <row r="110" spans="44:45" x14ac:dyDescent="0.25">
      <c r="AR110" s="14" t="s">
        <v>700</v>
      </c>
      <c r="AS110" s="14" t="s">
        <v>1152</v>
      </c>
    </row>
    <row r="111" spans="44:45" x14ac:dyDescent="0.25">
      <c r="AR111" s="14" t="s">
        <v>701</v>
      </c>
      <c r="AS111" s="14" t="s">
        <v>1150</v>
      </c>
    </row>
    <row r="112" spans="44:45" x14ac:dyDescent="0.25">
      <c r="AR112" s="14" t="s">
        <v>702</v>
      </c>
      <c r="AS112" s="14" t="s">
        <v>1974</v>
      </c>
    </row>
    <row r="113" spans="44:45" x14ac:dyDescent="0.25">
      <c r="AR113" s="14" t="s">
        <v>703</v>
      </c>
      <c r="AS113" s="14" t="s">
        <v>1975</v>
      </c>
    </row>
    <row r="114" spans="44:45" x14ac:dyDescent="0.25">
      <c r="AR114" s="14" t="s">
        <v>704</v>
      </c>
      <c r="AS114" s="14" t="s">
        <v>1976</v>
      </c>
    </row>
    <row r="115" spans="44:45" x14ac:dyDescent="0.25">
      <c r="AR115" s="14" t="s">
        <v>705</v>
      </c>
      <c r="AS115" s="14" t="s">
        <v>1977</v>
      </c>
    </row>
    <row r="116" spans="44:45" x14ac:dyDescent="0.25">
      <c r="AR116" s="14" t="s">
        <v>706</v>
      </c>
      <c r="AS116" s="14" t="s">
        <v>1151</v>
      </c>
    </row>
    <row r="117" spans="44:45" x14ac:dyDescent="0.25">
      <c r="AR117" s="14" t="s">
        <v>707</v>
      </c>
      <c r="AS117" s="14" t="s">
        <v>1978</v>
      </c>
    </row>
    <row r="118" spans="44:45" x14ac:dyDescent="0.25">
      <c r="AR118" s="14" t="s">
        <v>708</v>
      </c>
      <c r="AS118" s="14" t="s">
        <v>1979</v>
      </c>
    </row>
    <row r="119" spans="44:45" x14ac:dyDescent="0.25">
      <c r="AR119" s="14" t="s">
        <v>709</v>
      </c>
      <c r="AS119" s="14" t="s">
        <v>1980</v>
      </c>
    </row>
    <row r="120" spans="44:45" x14ac:dyDescent="0.25">
      <c r="AR120" s="14" t="s">
        <v>710</v>
      </c>
      <c r="AS120" s="14" t="s">
        <v>1981</v>
      </c>
    </row>
    <row r="121" spans="44:45" x14ac:dyDescent="0.25">
      <c r="AR121" s="14" t="s">
        <v>711</v>
      </c>
      <c r="AS121" s="14" t="s">
        <v>1982</v>
      </c>
    </row>
    <row r="122" spans="44:45" x14ac:dyDescent="0.25">
      <c r="AR122" s="14" t="s">
        <v>712</v>
      </c>
      <c r="AS122" s="14" t="s">
        <v>1983</v>
      </c>
    </row>
    <row r="123" spans="44:45" x14ac:dyDescent="0.25">
      <c r="AR123" s="14" t="s">
        <v>713</v>
      </c>
      <c r="AS123" s="14" t="s">
        <v>1984</v>
      </c>
    </row>
    <row r="124" spans="44:45" x14ac:dyDescent="0.25">
      <c r="AR124" s="14" t="s">
        <v>714</v>
      </c>
      <c r="AS124" s="14" t="s">
        <v>1985</v>
      </c>
    </row>
    <row r="125" spans="44:45" x14ac:dyDescent="0.25">
      <c r="AR125" s="14" t="s">
        <v>715</v>
      </c>
      <c r="AS125" s="14" t="s">
        <v>1986</v>
      </c>
    </row>
    <row r="126" spans="44:45" x14ac:dyDescent="0.25">
      <c r="AR126" s="14" t="s">
        <v>716</v>
      </c>
      <c r="AS126" s="14" t="s">
        <v>1987</v>
      </c>
    </row>
    <row r="127" spans="44:45" x14ac:dyDescent="0.25">
      <c r="AR127" s="14" t="s">
        <v>717</v>
      </c>
      <c r="AS127" s="14" t="s">
        <v>1156</v>
      </c>
    </row>
    <row r="128" spans="44:45" x14ac:dyDescent="0.25">
      <c r="AR128" s="14" t="s">
        <v>718</v>
      </c>
      <c r="AS128" s="14" t="s">
        <v>1988</v>
      </c>
    </row>
    <row r="129" spans="44:45" x14ac:dyDescent="0.25">
      <c r="AR129" s="14" t="s">
        <v>719</v>
      </c>
      <c r="AS129" s="14" t="s">
        <v>1989</v>
      </c>
    </row>
    <row r="130" spans="44:45" x14ac:dyDescent="0.25">
      <c r="AR130" s="14" t="s">
        <v>720</v>
      </c>
      <c r="AS130" s="14" t="s">
        <v>1990</v>
      </c>
    </row>
    <row r="131" spans="44:45" x14ac:dyDescent="0.25">
      <c r="AR131" s="14" t="s">
        <v>721</v>
      </c>
      <c r="AS131" s="14" t="s">
        <v>1991</v>
      </c>
    </row>
    <row r="132" spans="44:45" x14ac:dyDescent="0.25">
      <c r="AR132" s="14" t="s">
        <v>722</v>
      </c>
      <c r="AS132" s="14" t="s">
        <v>1992</v>
      </c>
    </row>
    <row r="133" spans="44:45" x14ac:dyDescent="0.25">
      <c r="AR133" s="14" t="s">
        <v>485</v>
      </c>
      <c r="AS133" s="14" t="s">
        <v>1993</v>
      </c>
    </row>
    <row r="134" spans="44:45" x14ac:dyDescent="0.25">
      <c r="AR134" s="14" t="s">
        <v>723</v>
      </c>
      <c r="AS134" s="14" t="s">
        <v>1994</v>
      </c>
    </row>
    <row r="135" spans="44:45" x14ac:dyDescent="0.25">
      <c r="AR135" s="14" t="s">
        <v>724</v>
      </c>
      <c r="AS135" s="14" t="s">
        <v>1995</v>
      </c>
    </row>
    <row r="136" spans="44:45" x14ac:dyDescent="0.25">
      <c r="AR136" s="14" t="s">
        <v>725</v>
      </c>
      <c r="AS136" s="14" t="s">
        <v>1163</v>
      </c>
    </row>
    <row r="137" spans="44:45" x14ac:dyDescent="0.25">
      <c r="AR137" s="14" t="s">
        <v>726</v>
      </c>
      <c r="AS137" s="14" t="s">
        <v>1996</v>
      </c>
    </row>
    <row r="138" spans="44:45" x14ac:dyDescent="0.25">
      <c r="AR138" s="14" t="s">
        <v>727</v>
      </c>
      <c r="AS138" s="14" t="s">
        <v>1997</v>
      </c>
    </row>
    <row r="139" spans="44:45" x14ac:dyDescent="0.25">
      <c r="AR139" s="14" t="s">
        <v>728</v>
      </c>
      <c r="AS139" s="14" t="s">
        <v>1998</v>
      </c>
    </row>
    <row r="140" spans="44:45" x14ac:dyDescent="0.25">
      <c r="AR140" s="14" t="s">
        <v>729</v>
      </c>
      <c r="AS140" s="14" t="s">
        <v>1999</v>
      </c>
    </row>
    <row r="141" spans="44:45" x14ac:dyDescent="0.25">
      <c r="AR141" s="14" t="s">
        <v>730</v>
      </c>
      <c r="AS141" s="14" t="s">
        <v>1158</v>
      </c>
    </row>
    <row r="142" spans="44:45" x14ac:dyDescent="0.25">
      <c r="AR142" s="14" t="s">
        <v>731</v>
      </c>
      <c r="AS142" s="14" t="s">
        <v>2000</v>
      </c>
    </row>
    <row r="143" spans="44:45" x14ac:dyDescent="0.25">
      <c r="AR143" s="14" t="s">
        <v>732</v>
      </c>
      <c r="AS143" s="14" t="s">
        <v>1164</v>
      </c>
    </row>
    <row r="144" spans="44:45" x14ac:dyDescent="0.25">
      <c r="AR144" s="14" t="s">
        <v>733</v>
      </c>
      <c r="AS144" s="14" t="s">
        <v>2001</v>
      </c>
    </row>
    <row r="145" spans="44:45" x14ac:dyDescent="0.25">
      <c r="AR145" s="14" t="s">
        <v>734</v>
      </c>
      <c r="AS145" s="14" t="s">
        <v>2002</v>
      </c>
    </row>
    <row r="146" spans="44:45" x14ac:dyDescent="0.25">
      <c r="AR146" s="14" t="s">
        <v>735</v>
      </c>
      <c r="AS146" s="14" t="s">
        <v>2003</v>
      </c>
    </row>
    <row r="147" spans="44:45" x14ac:dyDescent="0.25">
      <c r="AR147" s="14" t="s">
        <v>736</v>
      </c>
      <c r="AS147" s="14" t="s">
        <v>2004</v>
      </c>
    </row>
    <row r="148" spans="44:45" x14ac:dyDescent="0.25">
      <c r="AR148" s="14" t="s">
        <v>737</v>
      </c>
      <c r="AS148" s="14" t="s">
        <v>2005</v>
      </c>
    </row>
    <row r="149" spans="44:45" x14ac:dyDescent="0.25">
      <c r="AR149" s="14" t="s">
        <v>738</v>
      </c>
      <c r="AS149" s="14" t="s">
        <v>2006</v>
      </c>
    </row>
    <row r="150" spans="44:45" x14ac:dyDescent="0.25">
      <c r="AR150" s="14" t="s">
        <v>739</v>
      </c>
      <c r="AS150" s="14" t="s">
        <v>2007</v>
      </c>
    </row>
    <row r="151" spans="44:45" x14ac:dyDescent="0.25">
      <c r="AR151" s="14" t="s">
        <v>740</v>
      </c>
      <c r="AS151" s="14" t="s">
        <v>1161</v>
      </c>
    </row>
    <row r="152" spans="44:45" x14ac:dyDescent="0.25">
      <c r="AR152" s="14" t="s">
        <v>741</v>
      </c>
      <c r="AS152" s="14" t="s">
        <v>1157</v>
      </c>
    </row>
    <row r="153" spans="44:45" x14ac:dyDescent="0.25">
      <c r="AR153" s="14" t="s">
        <v>742</v>
      </c>
      <c r="AS153" s="14" t="s">
        <v>1162</v>
      </c>
    </row>
    <row r="154" spans="44:45" x14ac:dyDescent="0.25">
      <c r="AR154" s="14" t="s">
        <v>743</v>
      </c>
      <c r="AS154" s="14" t="s">
        <v>1159</v>
      </c>
    </row>
    <row r="155" spans="44:45" x14ac:dyDescent="0.25">
      <c r="AR155" s="14" t="s">
        <v>744</v>
      </c>
      <c r="AS155" s="14" t="s">
        <v>2008</v>
      </c>
    </row>
    <row r="156" spans="44:45" x14ac:dyDescent="0.25">
      <c r="AR156" s="14" t="s">
        <v>745</v>
      </c>
      <c r="AS156" s="14" t="s">
        <v>477</v>
      </c>
    </row>
    <row r="157" spans="44:45" x14ac:dyDescent="0.25">
      <c r="AR157" s="14" t="s">
        <v>746</v>
      </c>
      <c r="AS157" s="14" t="s">
        <v>2009</v>
      </c>
    </row>
    <row r="158" spans="44:45" x14ac:dyDescent="0.25">
      <c r="AR158" s="14" t="s">
        <v>747</v>
      </c>
      <c r="AS158" s="14" t="s">
        <v>2010</v>
      </c>
    </row>
    <row r="159" spans="44:45" x14ac:dyDescent="0.25">
      <c r="AR159" s="14" t="s">
        <v>748</v>
      </c>
      <c r="AS159" s="14" t="s">
        <v>2011</v>
      </c>
    </row>
    <row r="160" spans="44:45" x14ac:dyDescent="0.25">
      <c r="AR160" s="14" t="s">
        <v>749</v>
      </c>
      <c r="AS160" s="14" t="s">
        <v>2012</v>
      </c>
    </row>
    <row r="161" spans="44:45" x14ac:dyDescent="0.25">
      <c r="AR161" s="14" t="s">
        <v>750</v>
      </c>
      <c r="AS161" s="14" t="s">
        <v>2013</v>
      </c>
    </row>
    <row r="162" spans="44:45" x14ac:dyDescent="0.25">
      <c r="AR162" s="14" t="s">
        <v>751</v>
      </c>
      <c r="AS162" s="14" t="s">
        <v>1171</v>
      </c>
    </row>
    <row r="163" spans="44:45" x14ac:dyDescent="0.25">
      <c r="AR163" s="14" t="s">
        <v>752</v>
      </c>
      <c r="AS163" s="14" t="s">
        <v>2014</v>
      </c>
    </row>
    <row r="164" spans="44:45" x14ac:dyDescent="0.25">
      <c r="AR164" s="14" t="s">
        <v>753</v>
      </c>
      <c r="AS164" s="14" t="s">
        <v>2015</v>
      </c>
    </row>
    <row r="165" spans="44:45" x14ac:dyDescent="0.25">
      <c r="AR165" s="14" t="s">
        <v>754</v>
      </c>
      <c r="AS165" s="14" t="s">
        <v>1165</v>
      </c>
    </row>
    <row r="166" spans="44:45" x14ac:dyDescent="0.25">
      <c r="AR166" s="14" t="s">
        <v>755</v>
      </c>
      <c r="AS166" s="14" t="s">
        <v>2016</v>
      </c>
    </row>
    <row r="167" spans="44:45" x14ac:dyDescent="0.25">
      <c r="AR167" s="14" t="s">
        <v>756</v>
      </c>
      <c r="AS167" s="14" t="s">
        <v>2017</v>
      </c>
    </row>
    <row r="168" spans="44:45" x14ac:dyDescent="0.25">
      <c r="AR168" s="14" t="s">
        <v>757</v>
      </c>
      <c r="AS168" s="14" t="s">
        <v>2018</v>
      </c>
    </row>
    <row r="169" spans="44:45" x14ac:dyDescent="0.25">
      <c r="AR169" s="14" t="s">
        <v>758</v>
      </c>
      <c r="AS169" s="14" t="s">
        <v>2019</v>
      </c>
    </row>
    <row r="170" spans="44:45" x14ac:dyDescent="0.25">
      <c r="AR170" s="14" t="s">
        <v>759</v>
      </c>
      <c r="AS170" s="14" t="s">
        <v>2020</v>
      </c>
    </row>
    <row r="171" spans="44:45" x14ac:dyDescent="0.25">
      <c r="AR171" s="14" t="s">
        <v>760</v>
      </c>
      <c r="AS171" s="14" t="s">
        <v>2021</v>
      </c>
    </row>
    <row r="172" spans="44:45" x14ac:dyDescent="0.25">
      <c r="AR172" s="14" t="s">
        <v>761</v>
      </c>
      <c r="AS172" s="14" t="s">
        <v>2022</v>
      </c>
    </row>
    <row r="173" spans="44:45" x14ac:dyDescent="0.25">
      <c r="AR173" s="14" t="s">
        <v>762</v>
      </c>
      <c r="AS173" s="14" t="s">
        <v>2023</v>
      </c>
    </row>
    <row r="174" spans="44:45" x14ac:dyDescent="0.25">
      <c r="AR174" s="14" t="s">
        <v>763</v>
      </c>
      <c r="AS174" s="14" t="s">
        <v>2024</v>
      </c>
    </row>
    <row r="175" spans="44:45" x14ac:dyDescent="0.25">
      <c r="AR175" s="14" t="s">
        <v>764</v>
      </c>
      <c r="AS175" s="14" t="s">
        <v>1176</v>
      </c>
    </row>
    <row r="176" spans="44:45" x14ac:dyDescent="0.25">
      <c r="AR176" s="14" t="s">
        <v>765</v>
      </c>
      <c r="AS176" s="14" t="s">
        <v>2025</v>
      </c>
    </row>
    <row r="177" spans="44:45" x14ac:dyDescent="0.25">
      <c r="AR177" s="14" t="s">
        <v>766</v>
      </c>
      <c r="AS177" s="14" t="s">
        <v>2026</v>
      </c>
    </row>
    <row r="178" spans="44:45" x14ac:dyDescent="0.25">
      <c r="AR178" s="14" t="s">
        <v>767</v>
      </c>
      <c r="AS178" s="14" t="s">
        <v>2027</v>
      </c>
    </row>
    <row r="179" spans="44:45" x14ac:dyDescent="0.25">
      <c r="AR179" s="14" t="s">
        <v>768</v>
      </c>
      <c r="AS179" s="14" t="s">
        <v>2028</v>
      </c>
    </row>
    <row r="180" spans="44:45" x14ac:dyDescent="0.25">
      <c r="AR180" s="14" t="s">
        <v>769</v>
      </c>
      <c r="AS180" s="14" t="s">
        <v>2029</v>
      </c>
    </row>
    <row r="181" spans="44:45" x14ac:dyDescent="0.25">
      <c r="AR181" s="14" t="s">
        <v>770</v>
      </c>
      <c r="AS181" s="14" t="s">
        <v>2030</v>
      </c>
    </row>
    <row r="182" spans="44:45" x14ac:dyDescent="0.25">
      <c r="AR182" s="14" t="s">
        <v>771</v>
      </c>
      <c r="AS182" s="14" t="s">
        <v>2031</v>
      </c>
    </row>
    <row r="183" spans="44:45" x14ac:dyDescent="0.25">
      <c r="AR183" s="14" t="s">
        <v>772</v>
      </c>
      <c r="AS183" s="14" t="s">
        <v>2032</v>
      </c>
    </row>
    <row r="184" spans="44:45" x14ac:dyDescent="0.25">
      <c r="AR184" s="14" t="s">
        <v>773</v>
      </c>
      <c r="AS184" s="14" t="s">
        <v>2033</v>
      </c>
    </row>
    <row r="185" spans="44:45" x14ac:dyDescent="0.25">
      <c r="AR185" s="14" t="s">
        <v>774</v>
      </c>
      <c r="AS185" s="14" t="s">
        <v>2034</v>
      </c>
    </row>
    <row r="186" spans="44:45" x14ac:dyDescent="0.25">
      <c r="AR186" s="14" t="s">
        <v>775</v>
      </c>
      <c r="AS186" s="14" t="s">
        <v>2035</v>
      </c>
    </row>
    <row r="187" spans="44:45" x14ac:dyDescent="0.25">
      <c r="AR187" s="14" t="s">
        <v>776</v>
      </c>
      <c r="AS187" s="14" t="s">
        <v>2036</v>
      </c>
    </row>
    <row r="188" spans="44:45" x14ac:dyDescent="0.25">
      <c r="AR188" s="14" t="s">
        <v>777</v>
      </c>
      <c r="AS188" s="14" t="s">
        <v>2037</v>
      </c>
    </row>
    <row r="189" spans="44:45" x14ac:dyDescent="0.25">
      <c r="AR189" s="14" t="s">
        <v>778</v>
      </c>
      <c r="AS189" s="14" t="s">
        <v>2038</v>
      </c>
    </row>
    <row r="190" spans="44:45" x14ac:dyDescent="0.25">
      <c r="AR190" s="14" t="s">
        <v>779</v>
      </c>
      <c r="AS190" s="14" t="s">
        <v>2039</v>
      </c>
    </row>
    <row r="191" spans="44:45" x14ac:dyDescent="0.25">
      <c r="AR191" s="14" t="s">
        <v>780</v>
      </c>
      <c r="AS191" s="14" t="s">
        <v>2040</v>
      </c>
    </row>
    <row r="192" spans="44:45" x14ac:dyDescent="0.25">
      <c r="AR192" s="14" t="s">
        <v>781</v>
      </c>
      <c r="AS192" s="14" t="s">
        <v>2041</v>
      </c>
    </row>
    <row r="193" spans="44:45" x14ac:dyDescent="0.25">
      <c r="AR193" s="14" t="s">
        <v>782</v>
      </c>
      <c r="AS193" s="14" t="s">
        <v>2042</v>
      </c>
    </row>
    <row r="194" spans="44:45" x14ac:dyDescent="0.25">
      <c r="AR194" s="14" t="s">
        <v>783</v>
      </c>
      <c r="AS194" s="14" t="s">
        <v>2043</v>
      </c>
    </row>
    <row r="195" spans="44:45" x14ac:dyDescent="0.25">
      <c r="AR195" s="14" t="s">
        <v>784</v>
      </c>
      <c r="AS195" s="14" t="s">
        <v>2044</v>
      </c>
    </row>
    <row r="196" spans="44:45" x14ac:dyDescent="0.25">
      <c r="AR196" s="14" t="s">
        <v>785</v>
      </c>
      <c r="AS196" s="14" t="s">
        <v>2045</v>
      </c>
    </row>
    <row r="197" spans="44:45" x14ac:dyDescent="0.25">
      <c r="AR197" s="14" t="s">
        <v>786</v>
      </c>
      <c r="AS197" s="14" t="s">
        <v>2046</v>
      </c>
    </row>
    <row r="198" spans="44:45" x14ac:dyDescent="0.25">
      <c r="AR198" s="14" t="s">
        <v>787</v>
      </c>
      <c r="AS198" s="14" t="s">
        <v>2047</v>
      </c>
    </row>
    <row r="199" spans="44:45" x14ac:dyDescent="0.25">
      <c r="AR199" s="14" t="s">
        <v>788</v>
      </c>
      <c r="AS199" s="14" t="s">
        <v>2048</v>
      </c>
    </row>
    <row r="200" spans="44:45" x14ac:dyDescent="0.25">
      <c r="AR200" s="14" t="s">
        <v>789</v>
      </c>
      <c r="AS200" s="14" t="s">
        <v>2049</v>
      </c>
    </row>
    <row r="201" spans="44:45" x14ac:dyDescent="0.25">
      <c r="AR201" s="14" t="s">
        <v>790</v>
      </c>
      <c r="AS201" s="14" t="s">
        <v>2050</v>
      </c>
    </row>
    <row r="202" spans="44:45" ht="30" x14ac:dyDescent="0.25">
      <c r="AR202" s="14" t="s">
        <v>791</v>
      </c>
      <c r="AS202" s="14" t="s">
        <v>1178</v>
      </c>
    </row>
    <row r="203" spans="44:45" x14ac:dyDescent="0.25">
      <c r="AR203" s="14" t="s">
        <v>792</v>
      </c>
      <c r="AS203" s="14" t="s">
        <v>2051</v>
      </c>
    </row>
    <row r="204" spans="44:45" x14ac:dyDescent="0.25">
      <c r="AR204" s="14" t="s">
        <v>793</v>
      </c>
      <c r="AS204" s="14" t="s">
        <v>2052</v>
      </c>
    </row>
    <row r="205" spans="44:45" x14ac:dyDescent="0.25">
      <c r="AR205" s="14" t="s">
        <v>794</v>
      </c>
      <c r="AS205" s="14" t="s">
        <v>2053</v>
      </c>
    </row>
    <row r="206" spans="44:45" x14ac:dyDescent="0.25">
      <c r="AR206" s="14" t="s">
        <v>795</v>
      </c>
      <c r="AS206" s="14" t="s">
        <v>2054</v>
      </c>
    </row>
    <row r="207" spans="44:45" x14ac:dyDescent="0.25">
      <c r="AR207" s="14" t="s">
        <v>796</v>
      </c>
      <c r="AS207" s="14" t="s">
        <v>2055</v>
      </c>
    </row>
    <row r="208" spans="44:45" x14ac:dyDescent="0.25">
      <c r="AR208" s="14" t="s">
        <v>797</v>
      </c>
      <c r="AS208" s="14" t="s">
        <v>2056</v>
      </c>
    </row>
    <row r="209" spans="44:45" x14ac:dyDescent="0.25">
      <c r="AR209" s="14" t="s">
        <v>798</v>
      </c>
      <c r="AS209" s="14" t="s">
        <v>2057</v>
      </c>
    </row>
    <row r="210" spans="44:45" x14ac:dyDescent="0.25">
      <c r="AR210" s="14" t="s">
        <v>799</v>
      </c>
      <c r="AS210" s="14" t="s">
        <v>2058</v>
      </c>
    </row>
    <row r="211" spans="44:45" x14ac:dyDescent="0.25">
      <c r="AR211" s="14" t="s">
        <v>800</v>
      </c>
      <c r="AS211" s="14" t="s">
        <v>2059</v>
      </c>
    </row>
    <row r="212" spans="44:45" x14ac:dyDescent="0.25">
      <c r="AR212" s="14" t="s">
        <v>801</v>
      </c>
      <c r="AS212" s="14" t="s">
        <v>2060</v>
      </c>
    </row>
    <row r="213" spans="44:45" x14ac:dyDescent="0.25">
      <c r="AR213" s="14" t="s">
        <v>802</v>
      </c>
      <c r="AS213" s="14" t="s">
        <v>2061</v>
      </c>
    </row>
    <row r="214" spans="44:45" x14ac:dyDescent="0.25">
      <c r="AR214" s="14" t="s">
        <v>803</v>
      </c>
      <c r="AS214" s="14" t="s">
        <v>1179</v>
      </c>
    </row>
    <row r="215" spans="44:45" x14ac:dyDescent="0.25">
      <c r="AR215" s="14" t="s">
        <v>804</v>
      </c>
      <c r="AS215" s="14" t="s">
        <v>2062</v>
      </c>
    </row>
    <row r="216" spans="44:45" x14ac:dyDescent="0.25">
      <c r="AR216" s="14" t="s">
        <v>805</v>
      </c>
      <c r="AS216" s="14" t="s">
        <v>2063</v>
      </c>
    </row>
    <row r="217" spans="44:45" x14ac:dyDescent="0.25">
      <c r="AR217" s="14" t="s">
        <v>806</v>
      </c>
      <c r="AS217" s="14" t="s">
        <v>2064</v>
      </c>
    </row>
    <row r="218" spans="44:45" x14ac:dyDescent="0.25">
      <c r="AR218" s="14" t="s">
        <v>807</v>
      </c>
      <c r="AS218" s="14" t="s">
        <v>2065</v>
      </c>
    </row>
    <row r="219" spans="44:45" x14ac:dyDescent="0.25">
      <c r="AR219" s="14" t="s">
        <v>808</v>
      </c>
      <c r="AS219" s="14" t="s">
        <v>2066</v>
      </c>
    </row>
    <row r="220" spans="44:45" x14ac:dyDescent="0.25">
      <c r="AR220" s="14" t="s">
        <v>809</v>
      </c>
      <c r="AS220" s="14" t="s">
        <v>2067</v>
      </c>
    </row>
    <row r="221" spans="44:45" x14ac:dyDescent="0.25">
      <c r="AR221" s="14" t="s">
        <v>810</v>
      </c>
      <c r="AS221" s="14" t="s">
        <v>2068</v>
      </c>
    </row>
    <row r="222" spans="44:45" x14ac:dyDescent="0.25">
      <c r="AR222" s="14" t="s">
        <v>811</v>
      </c>
      <c r="AS222" s="14" t="s">
        <v>2069</v>
      </c>
    </row>
    <row r="223" spans="44:45" x14ac:dyDescent="0.25">
      <c r="AR223" s="14" t="s">
        <v>812</v>
      </c>
      <c r="AS223" s="14" t="s">
        <v>2070</v>
      </c>
    </row>
    <row r="224" spans="44:45" x14ac:dyDescent="0.25">
      <c r="AR224" s="14" t="s">
        <v>813</v>
      </c>
      <c r="AS224" s="14" t="s">
        <v>2071</v>
      </c>
    </row>
    <row r="225" spans="44:45" x14ac:dyDescent="0.25">
      <c r="AR225" s="14" t="s">
        <v>814</v>
      </c>
      <c r="AS225" s="14" t="s">
        <v>2072</v>
      </c>
    </row>
    <row r="226" spans="44:45" x14ac:dyDescent="0.25">
      <c r="AR226" s="14" t="s">
        <v>815</v>
      </c>
      <c r="AS226" s="14" t="s">
        <v>2073</v>
      </c>
    </row>
    <row r="227" spans="44:45" x14ac:dyDescent="0.25">
      <c r="AR227" s="14" t="s">
        <v>816</v>
      </c>
      <c r="AS227" s="14" t="s">
        <v>2074</v>
      </c>
    </row>
    <row r="228" spans="44:45" x14ac:dyDescent="0.25">
      <c r="AR228" s="14" t="s">
        <v>817</v>
      </c>
      <c r="AS228" s="14" t="s">
        <v>2075</v>
      </c>
    </row>
    <row r="229" spans="44:45" x14ac:dyDescent="0.25">
      <c r="AR229" s="14" t="s">
        <v>818</v>
      </c>
      <c r="AS229" s="14" t="s">
        <v>2076</v>
      </c>
    </row>
    <row r="230" spans="44:45" x14ac:dyDescent="0.25">
      <c r="AR230" s="14" t="s">
        <v>819</v>
      </c>
      <c r="AS230" s="14" t="s">
        <v>2077</v>
      </c>
    </row>
    <row r="231" spans="44:45" x14ac:dyDescent="0.25">
      <c r="AR231" s="14" t="s">
        <v>820</v>
      </c>
      <c r="AS231" s="14" t="s">
        <v>2078</v>
      </c>
    </row>
    <row r="232" spans="44:45" x14ac:dyDescent="0.25">
      <c r="AR232" s="14" t="s">
        <v>821</v>
      </c>
      <c r="AS232" s="14" t="s">
        <v>1180</v>
      </c>
    </row>
    <row r="233" spans="44:45" x14ac:dyDescent="0.25">
      <c r="AR233" s="14" t="s">
        <v>822</v>
      </c>
      <c r="AS233" s="14" t="s">
        <v>2079</v>
      </c>
    </row>
    <row r="234" spans="44:45" x14ac:dyDescent="0.25">
      <c r="AR234" s="14" t="s">
        <v>823</v>
      </c>
      <c r="AS234" s="14" t="s">
        <v>2080</v>
      </c>
    </row>
    <row r="235" spans="44:45" x14ac:dyDescent="0.25">
      <c r="AR235" s="14" t="s">
        <v>824</v>
      </c>
      <c r="AS235" s="14" t="s">
        <v>2081</v>
      </c>
    </row>
    <row r="236" spans="44:45" x14ac:dyDescent="0.25">
      <c r="AR236" s="14" t="s">
        <v>825</v>
      </c>
      <c r="AS236" s="14" t="s">
        <v>2082</v>
      </c>
    </row>
    <row r="237" spans="44:45" x14ac:dyDescent="0.25">
      <c r="AR237" s="14" t="s">
        <v>826</v>
      </c>
      <c r="AS237" s="14" t="s">
        <v>2083</v>
      </c>
    </row>
    <row r="238" spans="44:45" x14ac:dyDescent="0.25">
      <c r="AR238" s="14" t="s">
        <v>827</v>
      </c>
      <c r="AS238" s="14" t="s">
        <v>2084</v>
      </c>
    </row>
    <row r="239" spans="44:45" x14ac:dyDescent="0.25">
      <c r="AR239" s="14" t="s">
        <v>828</v>
      </c>
      <c r="AS239" s="14" t="s">
        <v>2085</v>
      </c>
    </row>
    <row r="240" spans="44:45" x14ac:dyDescent="0.25">
      <c r="AR240" s="14" t="s">
        <v>829</v>
      </c>
      <c r="AS240" s="14" t="s">
        <v>2086</v>
      </c>
    </row>
    <row r="241" spans="44:45" x14ac:dyDescent="0.25">
      <c r="AR241" s="14" t="s">
        <v>830</v>
      </c>
      <c r="AS241" s="14" t="s">
        <v>2087</v>
      </c>
    </row>
    <row r="242" spans="44:45" x14ac:dyDescent="0.25">
      <c r="AR242" s="14" t="s">
        <v>831</v>
      </c>
      <c r="AS242" s="14" t="s">
        <v>2088</v>
      </c>
    </row>
    <row r="243" spans="44:45" x14ac:dyDescent="0.25">
      <c r="AR243" s="14" t="s">
        <v>832</v>
      </c>
      <c r="AS243" s="14" t="s">
        <v>2089</v>
      </c>
    </row>
    <row r="244" spans="44:45" x14ac:dyDescent="0.25">
      <c r="AR244" s="14" t="s">
        <v>833</v>
      </c>
      <c r="AS244" s="14" t="s">
        <v>1184</v>
      </c>
    </row>
    <row r="245" spans="44:45" x14ac:dyDescent="0.25">
      <c r="AR245" s="14" t="s">
        <v>834</v>
      </c>
      <c r="AS245" s="14" t="s">
        <v>2090</v>
      </c>
    </row>
    <row r="246" spans="44:45" x14ac:dyDescent="0.25">
      <c r="AR246" s="14" t="s">
        <v>835</v>
      </c>
      <c r="AS246" s="14" t="s">
        <v>2091</v>
      </c>
    </row>
    <row r="247" spans="44:45" x14ac:dyDescent="0.25">
      <c r="AR247" s="14" t="s">
        <v>836</v>
      </c>
      <c r="AS247" s="14" t="s">
        <v>2092</v>
      </c>
    </row>
    <row r="248" spans="44:45" x14ac:dyDescent="0.25">
      <c r="AR248" s="14" t="s">
        <v>837</v>
      </c>
      <c r="AS248" s="14" t="s">
        <v>2093</v>
      </c>
    </row>
    <row r="249" spans="44:45" x14ac:dyDescent="0.25">
      <c r="AR249" s="14" t="s">
        <v>838</v>
      </c>
      <c r="AS249" s="14" t="s">
        <v>2094</v>
      </c>
    </row>
    <row r="250" spans="44:45" x14ac:dyDescent="0.25">
      <c r="AR250" s="14" t="s">
        <v>839</v>
      </c>
      <c r="AS250" s="14" t="s">
        <v>2095</v>
      </c>
    </row>
    <row r="251" spans="44:45" x14ac:dyDescent="0.25">
      <c r="AR251" s="14" t="s">
        <v>840</v>
      </c>
      <c r="AS251" s="14" t="s">
        <v>2096</v>
      </c>
    </row>
    <row r="252" spans="44:45" x14ac:dyDescent="0.25">
      <c r="AR252" s="14" t="s">
        <v>841</v>
      </c>
      <c r="AS252" s="14" t="s">
        <v>2097</v>
      </c>
    </row>
    <row r="253" spans="44:45" x14ac:dyDescent="0.25">
      <c r="AR253" s="14" t="s">
        <v>842</v>
      </c>
      <c r="AS253" s="14"/>
    </row>
    <row r="254" spans="44:45" x14ac:dyDescent="0.25">
      <c r="AR254" s="14" t="s">
        <v>843</v>
      </c>
      <c r="AS254" s="14"/>
    </row>
    <row r="255" spans="44:45" x14ac:dyDescent="0.25">
      <c r="AR255" s="14" t="s">
        <v>844</v>
      </c>
      <c r="AS255" s="14"/>
    </row>
    <row r="256" spans="44:45" x14ac:dyDescent="0.25">
      <c r="AR256" s="14" t="s">
        <v>845</v>
      </c>
      <c r="AS256" s="14"/>
    </row>
    <row r="257" spans="44:45" x14ac:dyDescent="0.25">
      <c r="AR257" s="14" t="s">
        <v>846</v>
      </c>
      <c r="AS257" s="14"/>
    </row>
    <row r="258" spans="44:45" x14ac:dyDescent="0.25">
      <c r="AR258" s="14" t="s">
        <v>847</v>
      </c>
      <c r="AS258" s="14"/>
    </row>
    <row r="259" spans="44:45" x14ac:dyDescent="0.25">
      <c r="AR259" s="14" t="s">
        <v>848</v>
      </c>
      <c r="AS259" s="14"/>
    </row>
    <row r="260" spans="44:45" ht="30" x14ac:dyDescent="0.25">
      <c r="AR260" s="14" t="s">
        <v>849</v>
      </c>
      <c r="AS260" s="14"/>
    </row>
    <row r="261" spans="44:45" x14ac:dyDescent="0.25">
      <c r="AR261" s="14" t="s">
        <v>850</v>
      </c>
      <c r="AS261" s="14"/>
    </row>
    <row r="262" spans="44:45" x14ac:dyDescent="0.25">
      <c r="AR262" s="14" t="s">
        <v>851</v>
      </c>
      <c r="AS262" s="14"/>
    </row>
    <row r="263" spans="44:45" x14ac:dyDescent="0.25">
      <c r="AR263" s="14" t="s">
        <v>852</v>
      </c>
      <c r="AS263" s="14"/>
    </row>
    <row r="264" spans="44:45" x14ac:dyDescent="0.25">
      <c r="AR264" s="14" t="s">
        <v>853</v>
      </c>
      <c r="AS264" s="14"/>
    </row>
    <row r="265" spans="44:45" x14ac:dyDescent="0.25">
      <c r="AR265" s="14" t="s">
        <v>854</v>
      </c>
      <c r="AS265" s="14"/>
    </row>
    <row r="266" spans="44:45" x14ac:dyDescent="0.25">
      <c r="AR266" s="14" t="s">
        <v>855</v>
      </c>
      <c r="AS266" s="14"/>
    </row>
    <row r="267" spans="44:45" x14ac:dyDescent="0.25">
      <c r="AR267" s="14" t="s">
        <v>856</v>
      </c>
      <c r="AS267" s="14"/>
    </row>
    <row r="268" spans="44:45" x14ac:dyDescent="0.25">
      <c r="AR268" s="14" t="s">
        <v>857</v>
      </c>
      <c r="AS268" s="14"/>
    </row>
    <row r="269" spans="44:45" x14ac:dyDescent="0.25">
      <c r="AR269" s="14" t="s">
        <v>858</v>
      </c>
      <c r="AS269" s="14"/>
    </row>
    <row r="270" spans="44:45" x14ac:dyDescent="0.25">
      <c r="AR270" s="14" t="s">
        <v>859</v>
      </c>
      <c r="AS270" s="14"/>
    </row>
    <row r="271" spans="44:45" x14ac:dyDescent="0.25">
      <c r="AR271" s="14" t="s">
        <v>860</v>
      </c>
      <c r="AS271" s="14"/>
    </row>
    <row r="272" spans="44:45" x14ac:dyDescent="0.25">
      <c r="AR272" s="14" t="s">
        <v>861</v>
      </c>
      <c r="AS272" s="14"/>
    </row>
    <row r="273" spans="44:45" x14ac:dyDescent="0.25">
      <c r="AR273" s="14" t="s">
        <v>862</v>
      </c>
      <c r="AS273" s="14"/>
    </row>
    <row r="274" spans="44:45" x14ac:dyDescent="0.25">
      <c r="AR274" s="14" t="s">
        <v>863</v>
      </c>
      <c r="AS274" s="14"/>
    </row>
    <row r="275" spans="44:45" x14ac:dyDescent="0.25">
      <c r="AR275" s="14" t="s">
        <v>864</v>
      </c>
      <c r="AS275" s="14"/>
    </row>
    <row r="276" spans="44:45" x14ac:dyDescent="0.25">
      <c r="AR276" s="14" t="s">
        <v>865</v>
      </c>
      <c r="AS276" s="14"/>
    </row>
    <row r="277" spans="44:45" x14ac:dyDescent="0.25">
      <c r="AR277" s="14" t="s">
        <v>866</v>
      </c>
      <c r="AS277" s="14"/>
    </row>
    <row r="278" spans="44:45" x14ac:dyDescent="0.25">
      <c r="AR278" s="14" t="s">
        <v>867</v>
      </c>
      <c r="AS278" s="14"/>
    </row>
    <row r="279" spans="44:45" x14ac:dyDescent="0.25">
      <c r="AR279" s="14" t="s">
        <v>868</v>
      </c>
      <c r="AS279" s="14"/>
    </row>
    <row r="280" spans="44:45" x14ac:dyDescent="0.25">
      <c r="AR280" s="14" t="s">
        <v>869</v>
      </c>
      <c r="AS280" s="14"/>
    </row>
    <row r="281" spans="44:45" x14ac:dyDescent="0.25">
      <c r="AR281" s="14" t="s">
        <v>870</v>
      </c>
      <c r="AS281" s="14"/>
    </row>
    <row r="282" spans="44:45" x14ac:dyDescent="0.25">
      <c r="AR282" s="14" t="s">
        <v>871</v>
      </c>
      <c r="AS282" s="14"/>
    </row>
    <row r="283" spans="44:45" x14ac:dyDescent="0.25">
      <c r="AR283" s="14" t="s">
        <v>872</v>
      </c>
      <c r="AS283" s="14"/>
    </row>
    <row r="284" spans="44:45" x14ac:dyDescent="0.25">
      <c r="AR284" s="14" t="s">
        <v>873</v>
      </c>
      <c r="AS284" s="14"/>
    </row>
    <row r="285" spans="44:45" x14ac:dyDescent="0.25">
      <c r="AR285" s="14" t="s">
        <v>874</v>
      </c>
      <c r="AS285" s="14"/>
    </row>
    <row r="286" spans="44:45" x14ac:dyDescent="0.25">
      <c r="AR286" s="14" t="s">
        <v>875</v>
      </c>
      <c r="AS286" s="14"/>
    </row>
    <row r="287" spans="44:45" x14ac:dyDescent="0.25">
      <c r="AR287" s="14" t="s">
        <v>876</v>
      </c>
      <c r="AS287" s="14"/>
    </row>
    <row r="288" spans="44:45" x14ac:dyDescent="0.25">
      <c r="AR288" s="14" t="s">
        <v>877</v>
      </c>
      <c r="AS288" s="14"/>
    </row>
    <row r="289" spans="44:45" x14ac:dyDescent="0.25">
      <c r="AR289" s="14" t="s">
        <v>878</v>
      </c>
      <c r="AS289" s="14"/>
    </row>
    <row r="290" spans="44:45" x14ac:dyDescent="0.25">
      <c r="AR290" s="14" t="s">
        <v>879</v>
      </c>
      <c r="AS290" s="14"/>
    </row>
    <row r="291" spans="44:45" x14ac:dyDescent="0.25">
      <c r="AR291" s="14" t="s">
        <v>880</v>
      </c>
      <c r="AS291" s="14"/>
    </row>
    <row r="292" spans="44:45" x14ac:dyDescent="0.25">
      <c r="AR292" s="14" t="s">
        <v>881</v>
      </c>
      <c r="AS292" s="14"/>
    </row>
    <row r="293" spans="44:45" x14ac:dyDescent="0.25">
      <c r="AR293" s="14" t="s">
        <v>882</v>
      </c>
      <c r="AS293" s="14"/>
    </row>
    <row r="294" spans="44:45" x14ac:dyDescent="0.25">
      <c r="AR294" s="14" t="s">
        <v>883</v>
      </c>
      <c r="AS294" s="14"/>
    </row>
    <row r="295" spans="44:45" x14ac:dyDescent="0.25">
      <c r="AR295" s="14" t="s">
        <v>884</v>
      </c>
      <c r="AS295" s="14"/>
    </row>
    <row r="296" spans="44:45" x14ac:dyDescent="0.25">
      <c r="AR296" s="14" t="s">
        <v>885</v>
      </c>
      <c r="AS296" s="14"/>
    </row>
    <row r="297" spans="44:45" x14ac:dyDescent="0.25">
      <c r="AR297" s="14" t="s">
        <v>886</v>
      </c>
      <c r="AS297" s="14"/>
    </row>
    <row r="298" spans="44:45" x14ac:dyDescent="0.25">
      <c r="AR298" s="14" t="s">
        <v>887</v>
      </c>
      <c r="AS298" s="14"/>
    </row>
    <row r="299" spans="44:45" x14ac:dyDescent="0.25">
      <c r="AR299" s="14" t="s">
        <v>888</v>
      </c>
      <c r="AS299" s="14"/>
    </row>
    <row r="300" spans="44:45" x14ac:dyDescent="0.25">
      <c r="AR300" s="14" t="s">
        <v>889</v>
      </c>
      <c r="AS300" s="14"/>
    </row>
    <row r="301" spans="44:45" x14ac:dyDescent="0.25">
      <c r="AR301" s="14" t="s">
        <v>890</v>
      </c>
      <c r="AS301" s="14"/>
    </row>
    <row r="302" spans="44:45" x14ac:dyDescent="0.25">
      <c r="AR302" s="14" t="s">
        <v>891</v>
      </c>
      <c r="AS302" s="14"/>
    </row>
    <row r="303" spans="44:45" x14ac:dyDescent="0.25">
      <c r="AR303" s="14" t="s">
        <v>892</v>
      </c>
      <c r="AS303" s="14"/>
    </row>
    <row r="304" spans="44:45" x14ac:dyDescent="0.25">
      <c r="AR304" s="14" t="s">
        <v>893</v>
      </c>
      <c r="AS304" s="14"/>
    </row>
    <row r="305" spans="44:45" x14ac:dyDescent="0.25">
      <c r="AR305" s="14" t="s">
        <v>894</v>
      </c>
      <c r="AS305" s="14"/>
    </row>
    <row r="306" spans="44:45" x14ac:dyDescent="0.25">
      <c r="AR306" s="14" t="s">
        <v>895</v>
      </c>
      <c r="AS306" s="14"/>
    </row>
    <row r="307" spans="44:45" x14ac:dyDescent="0.25">
      <c r="AR307" s="14" t="s">
        <v>896</v>
      </c>
      <c r="AS307" s="14"/>
    </row>
    <row r="308" spans="44:45" x14ac:dyDescent="0.25">
      <c r="AR308" s="14" t="s">
        <v>897</v>
      </c>
      <c r="AS308" s="14"/>
    </row>
    <row r="309" spans="44:45" x14ac:dyDescent="0.25">
      <c r="AR309" s="14" t="s">
        <v>898</v>
      </c>
      <c r="AS309" s="14"/>
    </row>
    <row r="310" spans="44:45" x14ac:dyDescent="0.25">
      <c r="AR310" s="14" t="s">
        <v>899</v>
      </c>
      <c r="AS310" s="14"/>
    </row>
    <row r="311" spans="44:45" x14ac:dyDescent="0.25">
      <c r="AR311" s="14" t="s">
        <v>900</v>
      </c>
      <c r="AS311" s="14"/>
    </row>
    <row r="312" spans="44:45" x14ac:dyDescent="0.25">
      <c r="AR312" s="14" t="s">
        <v>901</v>
      </c>
      <c r="AS312" s="14"/>
    </row>
    <row r="313" spans="44:45" x14ac:dyDescent="0.25">
      <c r="AR313" s="14" t="s">
        <v>902</v>
      </c>
      <c r="AS313" s="14"/>
    </row>
    <row r="314" spans="44:45" x14ac:dyDescent="0.25">
      <c r="AR314" s="14" t="s">
        <v>903</v>
      </c>
      <c r="AS314" s="14"/>
    </row>
    <row r="315" spans="44:45" x14ac:dyDescent="0.25">
      <c r="AR315" s="14" t="s">
        <v>904</v>
      </c>
      <c r="AS315" s="14"/>
    </row>
    <row r="316" spans="44:45" x14ac:dyDescent="0.25">
      <c r="AR316" s="14" t="s">
        <v>905</v>
      </c>
      <c r="AS316" s="14"/>
    </row>
    <row r="317" spans="44:45" x14ac:dyDescent="0.25">
      <c r="AR317" s="14" t="s">
        <v>906</v>
      </c>
      <c r="AS317" s="14"/>
    </row>
    <row r="318" spans="44:45" x14ac:dyDescent="0.25">
      <c r="AR318" s="14" t="s">
        <v>907</v>
      </c>
      <c r="AS318" s="14"/>
    </row>
    <row r="319" spans="44:45" x14ac:dyDescent="0.25">
      <c r="AR319" s="14" t="s">
        <v>908</v>
      </c>
      <c r="AS319" s="14"/>
    </row>
    <row r="320" spans="44:45" x14ac:dyDescent="0.25">
      <c r="AR320" s="14" t="s">
        <v>909</v>
      </c>
      <c r="AS320" s="14"/>
    </row>
    <row r="321" spans="44:45" x14ac:dyDescent="0.25">
      <c r="AR321" s="14" t="s">
        <v>910</v>
      </c>
      <c r="AS321" s="14"/>
    </row>
    <row r="322" spans="44:45" x14ac:dyDescent="0.25">
      <c r="AR322" s="14" t="s">
        <v>911</v>
      </c>
      <c r="AS322" s="14"/>
    </row>
    <row r="323" spans="44:45" x14ac:dyDescent="0.25">
      <c r="AR323" s="14" t="s">
        <v>912</v>
      </c>
      <c r="AS323" s="14"/>
    </row>
    <row r="324" spans="44:45" x14ac:dyDescent="0.25">
      <c r="AR324" s="14" t="s">
        <v>913</v>
      </c>
      <c r="AS324" s="14"/>
    </row>
    <row r="325" spans="44:45" ht="30" x14ac:dyDescent="0.25">
      <c r="AR325" s="14" t="s">
        <v>914</v>
      </c>
      <c r="AS325" s="14"/>
    </row>
    <row r="326" spans="44:45" x14ac:dyDescent="0.25">
      <c r="AR326" s="14" t="s">
        <v>915</v>
      </c>
      <c r="AS326" s="14"/>
    </row>
    <row r="327" spans="44:45" x14ac:dyDescent="0.25">
      <c r="AR327" s="14" t="s">
        <v>916</v>
      </c>
      <c r="AS327" s="14"/>
    </row>
    <row r="328" spans="44:45" ht="30" x14ac:dyDescent="0.25">
      <c r="AR328" s="14" t="s">
        <v>917</v>
      </c>
      <c r="AS328" s="14"/>
    </row>
    <row r="329" spans="44:45" x14ac:dyDescent="0.25">
      <c r="AR329" s="14" t="s">
        <v>918</v>
      </c>
      <c r="AS329" s="14"/>
    </row>
    <row r="330" spans="44:45" x14ac:dyDescent="0.25">
      <c r="AR330" s="14" t="s">
        <v>919</v>
      </c>
      <c r="AS330" s="14"/>
    </row>
    <row r="331" spans="44:45" x14ac:dyDescent="0.25">
      <c r="AR331" s="14" t="s">
        <v>920</v>
      </c>
      <c r="AS331" s="14"/>
    </row>
    <row r="332" spans="44:45" ht="30" x14ac:dyDescent="0.25">
      <c r="AR332" s="14" t="s">
        <v>921</v>
      </c>
      <c r="AS332" s="14"/>
    </row>
    <row r="333" spans="44:45" x14ac:dyDescent="0.25">
      <c r="AR333" s="14" t="s">
        <v>922</v>
      </c>
      <c r="AS333" s="14"/>
    </row>
    <row r="334" spans="44:45" x14ac:dyDescent="0.25">
      <c r="AR334" s="14" t="s">
        <v>923</v>
      </c>
      <c r="AS334" s="14"/>
    </row>
    <row r="335" spans="44:45" x14ac:dyDescent="0.25">
      <c r="AR335" s="14" t="s">
        <v>924</v>
      </c>
      <c r="AS335" s="14"/>
    </row>
    <row r="336" spans="44:45" x14ac:dyDescent="0.25">
      <c r="AR336" s="14" t="s">
        <v>925</v>
      </c>
      <c r="AS336" s="14"/>
    </row>
    <row r="337" spans="44:45" x14ac:dyDescent="0.25">
      <c r="AR337" s="14" t="s">
        <v>926</v>
      </c>
      <c r="AS337" s="14"/>
    </row>
    <row r="338" spans="44:45" x14ac:dyDescent="0.25">
      <c r="AR338" s="14" t="s">
        <v>927</v>
      </c>
      <c r="AS338" s="14"/>
    </row>
    <row r="339" spans="44:45" x14ac:dyDescent="0.25">
      <c r="AR339" s="14" t="s">
        <v>928</v>
      </c>
      <c r="AS339" s="14"/>
    </row>
    <row r="340" spans="44:45" ht="30" x14ac:dyDescent="0.25">
      <c r="AR340" s="14" t="s">
        <v>929</v>
      </c>
      <c r="AS340" s="14"/>
    </row>
    <row r="341" spans="44:45" x14ac:dyDescent="0.25">
      <c r="AR341" s="14" t="s">
        <v>930</v>
      </c>
      <c r="AS341" s="14"/>
    </row>
    <row r="342" spans="44:45" x14ac:dyDescent="0.25">
      <c r="AR342" s="14" t="s">
        <v>931</v>
      </c>
      <c r="AS342" s="14"/>
    </row>
    <row r="343" spans="44:45" x14ac:dyDescent="0.25">
      <c r="AR343" s="14" t="s">
        <v>932</v>
      </c>
      <c r="AS343" s="14"/>
    </row>
    <row r="344" spans="44:45" x14ac:dyDescent="0.25">
      <c r="AR344" s="14" t="s">
        <v>933</v>
      </c>
      <c r="AS344" s="14"/>
    </row>
    <row r="345" spans="44:45" x14ac:dyDescent="0.25">
      <c r="AR345" s="14" t="s">
        <v>934</v>
      </c>
      <c r="AS345" s="14"/>
    </row>
    <row r="346" spans="44:45" x14ac:dyDescent="0.25">
      <c r="AR346" s="14" t="s">
        <v>935</v>
      </c>
      <c r="AS346" s="14"/>
    </row>
    <row r="347" spans="44:45" x14ac:dyDescent="0.25">
      <c r="AR347" s="14" t="s">
        <v>936</v>
      </c>
      <c r="AS347" s="14"/>
    </row>
    <row r="348" spans="44:45" x14ac:dyDescent="0.25">
      <c r="AR348" s="14" t="s">
        <v>937</v>
      </c>
      <c r="AS348" s="14"/>
    </row>
    <row r="349" spans="44:45" x14ac:dyDescent="0.25">
      <c r="AR349" s="14" t="s">
        <v>938</v>
      </c>
      <c r="AS349" s="14"/>
    </row>
    <row r="350" spans="44:45" x14ac:dyDescent="0.25">
      <c r="AR350" s="14" t="s">
        <v>939</v>
      </c>
      <c r="AS350" s="14"/>
    </row>
    <row r="351" spans="44:45" x14ac:dyDescent="0.25">
      <c r="AR351" s="14" t="s">
        <v>940</v>
      </c>
      <c r="AS351" s="14"/>
    </row>
    <row r="352" spans="44:45" x14ac:dyDescent="0.25">
      <c r="AR352" s="14" t="s">
        <v>941</v>
      </c>
      <c r="AS352" s="14"/>
    </row>
    <row r="353" spans="44:45" x14ac:dyDescent="0.25">
      <c r="AR353" s="14" t="s">
        <v>942</v>
      </c>
      <c r="AS353" s="14"/>
    </row>
    <row r="354" spans="44:45" x14ac:dyDescent="0.25">
      <c r="AR354" s="14" t="s">
        <v>943</v>
      </c>
      <c r="AS354" s="14"/>
    </row>
    <row r="355" spans="44:45" x14ac:dyDescent="0.25">
      <c r="AR355" s="14" t="s">
        <v>944</v>
      </c>
      <c r="AS355" s="14"/>
    </row>
    <row r="356" spans="44:45" x14ac:dyDescent="0.25">
      <c r="AR356" s="14" t="s">
        <v>945</v>
      </c>
      <c r="AS356" s="14"/>
    </row>
    <row r="357" spans="44:45" x14ac:dyDescent="0.25">
      <c r="AR357" s="14" t="s">
        <v>946</v>
      </c>
      <c r="AS357" s="14"/>
    </row>
    <row r="358" spans="44:45" x14ac:dyDescent="0.25">
      <c r="AR358" s="14" t="s">
        <v>947</v>
      </c>
      <c r="AS358" s="14"/>
    </row>
    <row r="359" spans="44:45" x14ac:dyDescent="0.25">
      <c r="AR359" s="14" t="s">
        <v>948</v>
      </c>
      <c r="AS359" s="14"/>
    </row>
    <row r="360" spans="44:45" x14ac:dyDescent="0.25">
      <c r="AR360" s="14" t="s">
        <v>949</v>
      </c>
      <c r="AS360" s="14"/>
    </row>
    <row r="361" spans="44:45" x14ac:dyDescent="0.25">
      <c r="AR361" s="14" t="s">
        <v>950</v>
      </c>
      <c r="AS361" s="14"/>
    </row>
    <row r="362" spans="44:45" x14ac:dyDescent="0.25">
      <c r="AR362" s="14" t="s">
        <v>951</v>
      </c>
      <c r="AS362" s="14"/>
    </row>
    <row r="363" spans="44:45" x14ac:dyDescent="0.25">
      <c r="AR363" s="14" t="s">
        <v>952</v>
      </c>
      <c r="AS363" s="14"/>
    </row>
    <row r="364" spans="44:45" x14ac:dyDescent="0.25">
      <c r="AR364" s="14" t="s">
        <v>953</v>
      </c>
      <c r="AS364" s="14"/>
    </row>
    <row r="365" spans="44:45" ht="30" x14ac:dyDescent="0.25">
      <c r="AR365" s="14" t="s">
        <v>954</v>
      </c>
      <c r="AS365" s="14"/>
    </row>
    <row r="366" spans="44:45" x14ac:dyDescent="0.25">
      <c r="AR366" s="14" t="s">
        <v>955</v>
      </c>
      <c r="AS366" s="14"/>
    </row>
    <row r="367" spans="44:45" x14ac:dyDescent="0.25">
      <c r="AR367" s="14" t="s">
        <v>956</v>
      </c>
      <c r="AS367" s="14"/>
    </row>
    <row r="368" spans="44:45" x14ac:dyDescent="0.25">
      <c r="AR368" s="14" t="s">
        <v>957</v>
      </c>
      <c r="AS368" s="14"/>
    </row>
    <row r="369" spans="44:45" x14ac:dyDescent="0.25">
      <c r="AR369" s="14" t="s">
        <v>958</v>
      </c>
      <c r="AS369" s="14"/>
    </row>
    <row r="370" spans="44:45" x14ac:dyDescent="0.25">
      <c r="AR370" s="14" t="s">
        <v>959</v>
      </c>
      <c r="AS370" s="14"/>
    </row>
    <row r="371" spans="44:45" x14ac:dyDescent="0.25">
      <c r="AR371" s="14" t="s">
        <v>960</v>
      </c>
      <c r="AS371" s="14"/>
    </row>
    <row r="372" spans="44:45" x14ac:dyDescent="0.25">
      <c r="AR372" s="14" t="s">
        <v>961</v>
      </c>
      <c r="AS372" s="14"/>
    </row>
    <row r="373" spans="44:45" x14ac:dyDescent="0.25">
      <c r="AR373" s="14" t="s">
        <v>962</v>
      </c>
      <c r="AS373" s="14"/>
    </row>
    <row r="374" spans="44:45" x14ac:dyDescent="0.25">
      <c r="AR374" s="14" t="s">
        <v>963</v>
      </c>
      <c r="AS374" s="14"/>
    </row>
    <row r="375" spans="44:45" x14ac:dyDescent="0.25">
      <c r="AR375" s="14" t="s">
        <v>964</v>
      </c>
      <c r="AS375" s="14"/>
    </row>
    <row r="376" spans="44:45" x14ac:dyDescent="0.25">
      <c r="AR376" s="14" t="s">
        <v>965</v>
      </c>
      <c r="AS376" s="14"/>
    </row>
    <row r="377" spans="44:45" x14ac:dyDescent="0.25">
      <c r="AR377" s="14" t="s">
        <v>966</v>
      </c>
      <c r="AS377" s="14"/>
    </row>
    <row r="378" spans="44:45" x14ac:dyDescent="0.25">
      <c r="AR378" s="14" t="s">
        <v>967</v>
      </c>
      <c r="AS378" s="14"/>
    </row>
    <row r="379" spans="44:45" x14ac:dyDescent="0.25">
      <c r="AR379" s="14" t="s">
        <v>968</v>
      </c>
      <c r="AS379" s="14"/>
    </row>
    <row r="380" spans="44:45" x14ac:dyDescent="0.25">
      <c r="AR380" s="14" t="s">
        <v>969</v>
      </c>
      <c r="AS380" s="14"/>
    </row>
    <row r="381" spans="44:45" x14ac:dyDescent="0.25">
      <c r="AR381" s="14" t="s">
        <v>970</v>
      </c>
      <c r="AS381" s="14"/>
    </row>
    <row r="382" spans="44:45" x14ac:dyDescent="0.25">
      <c r="AR382" s="14" t="s">
        <v>971</v>
      </c>
      <c r="AS382" s="14"/>
    </row>
    <row r="383" spans="44:45" x14ac:dyDescent="0.25">
      <c r="AR383" s="14" t="s">
        <v>972</v>
      </c>
      <c r="AS383" s="14"/>
    </row>
    <row r="384" spans="44:45" x14ac:dyDescent="0.25">
      <c r="AR384" s="14" t="s">
        <v>973</v>
      </c>
      <c r="AS384" s="14"/>
    </row>
    <row r="385" spans="44:45" x14ac:dyDescent="0.25">
      <c r="AR385" s="14" t="s">
        <v>974</v>
      </c>
      <c r="AS385" s="14"/>
    </row>
    <row r="386" spans="44:45" x14ac:dyDescent="0.25">
      <c r="AR386" s="14" t="s">
        <v>975</v>
      </c>
      <c r="AS386" s="14"/>
    </row>
    <row r="387" spans="44:45" x14ac:dyDescent="0.25">
      <c r="AR387" s="14" t="s">
        <v>976</v>
      </c>
      <c r="AS387" s="14"/>
    </row>
    <row r="388" spans="44:45" x14ac:dyDescent="0.25">
      <c r="AR388" s="14" t="s">
        <v>977</v>
      </c>
      <c r="AS388" s="14"/>
    </row>
    <row r="389" spans="44:45" x14ac:dyDescent="0.25">
      <c r="AR389" s="14" t="s">
        <v>978</v>
      </c>
      <c r="AS389" s="14"/>
    </row>
    <row r="390" spans="44:45" x14ac:dyDescent="0.25">
      <c r="AR390" s="14" t="s">
        <v>979</v>
      </c>
      <c r="AS390" s="14"/>
    </row>
    <row r="391" spans="44:45" x14ac:dyDescent="0.25">
      <c r="AR391" s="14" t="s">
        <v>980</v>
      </c>
      <c r="AS391" s="14"/>
    </row>
    <row r="392" spans="44:45" x14ac:dyDescent="0.25">
      <c r="AR392" s="14" t="s">
        <v>981</v>
      </c>
      <c r="AS392" s="14"/>
    </row>
    <row r="393" spans="44:45" x14ac:dyDescent="0.25">
      <c r="AR393" s="14" t="s">
        <v>982</v>
      </c>
      <c r="AS393" s="14"/>
    </row>
    <row r="394" spans="44:45" x14ac:dyDescent="0.25">
      <c r="AR394" s="14" t="s">
        <v>983</v>
      </c>
      <c r="AS394" s="14"/>
    </row>
    <row r="395" spans="44:45" x14ac:dyDescent="0.25">
      <c r="AR395" s="14" t="s">
        <v>984</v>
      </c>
      <c r="AS395" s="14"/>
    </row>
    <row r="396" spans="44:45" x14ac:dyDescent="0.25">
      <c r="AR396" s="14" t="s">
        <v>985</v>
      </c>
      <c r="AS396" s="14"/>
    </row>
    <row r="397" spans="44:45" x14ac:dyDescent="0.25">
      <c r="AR397" s="14" t="s">
        <v>986</v>
      </c>
      <c r="AS397" s="14"/>
    </row>
    <row r="398" spans="44:45" x14ac:dyDescent="0.25">
      <c r="AR398" s="14" t="s">
        <v>987</v>
      </c>
      <c r="AS398" s="14"/>
    </row>
    <row r="399" spans="44:45" x14ac:dyDescent="0.25">
      <c r="AR399" s="14" t="s">
        <v>988</v>
      </c>
      <c r="AS399" s="14"/>
    </row>
    <row r="400" spans="44:45" x14ac:dyDescent="0.25">
      <c r="AR400" s="14" t="s">
        <v>989</v>
      </c>
      <c r="AS400" s="14"/>
    </row>
    <row r="401" spans="44:45" x14ac:dyDescent="0.25">
      <c r="AR401" s="14" t="s">
        <v>990</v>
      </c>
      <c r="AS401" s="14"/>
    </row>
    <row r="402" spans="44:45" x14ac:dyDescent="0.25">
      <c r="AR402" s="14" t="s">
        <v>991</v>
      </c>
      <c r="AS402" s="14"/>
    </row>
    <row r="403" spans="44:45" x14ac:dyDescent="0.25">
      <c r="AR403" s="14" t="s">
        <v>992</v>
      </c>
      <c r="AS403" s="14"/>
    </row>
    <row r="404" spans="44:45" x14ac:dyDescent="0.25">
      <c r="AR404" s="14" t="s">
        <v>993</v>
      </c>
      <c r="AS404" s="14"/>
    </row>
    <row r="405" spans="44:45" x14ac:dyDescent="0.25">
      <c r="AR405" s="14" t="s">
        <v>994</v>
      </c>
      <c r="AS405" s="14"/>
    </row>
    <row r="406" spans="44:45" x14ac:dyDescent="0.25">
      <c r="AR406" s="14" t="s">
        <v>995</v>
      </c>
      <c r="AS406" s="14"/>
    </row>
    <row r="407" spans="44:45" x14ac:dyDescent="0.25">
      <c r="AR407" s="14" t="s">
        <v>996</v>
      </c>
      <c r="AS407" s="14"/>
    </row>
    <row r="408" spans="44:45" x14ac:dyDescent="0.25">
      <c r="AR408" s="14" t="s">
        <v>997</v>
      </c>
      <c r="AS408" s="14"/>
    </row>
    <row r="409" spans="44:45" x14ac:dyDescent="0.25">
      <c r="AR409" s="14" t="s">
        <v>998</v>
      </c>
      <c r="AS409" s="14"/>
    </row>
    <row r="410" spans="44:45" x14ac:dyDescent="0.25">
      <c r="AR410" s="14" t="s">
        <v>999</v>
      </c>
      <c r="AS410" s="14"/>
    </row>
    <row r="411" spans="44:45" x14ac:dyDescent="0.25">
      <c r="AR411" s="14" t="s">
        <v>1000</v>
      </c>
      <c r="AS411" s="14"/>
    </row>
    <row r="412" spans="44:45" x14ac:dyDescent="0.25">
      <c r="AR412" s="14" t="s">
        <v>1001</v>
      </c>
      <c r="AS412" s="14"/>
    </row>
    <row r="413" spans="44:45" x14ac:dyDescent="0.25">
      <c r="AR413" s="14" t="s">
        <v>1002</v>
      </c>
      <c r="AS413" s="14"/>
    </row>
    <row r="414" spans="44:45" ht="30" x14ac:dyDescent="0.25">
      <c r="AR414" s="14" t="s">
        <v>1003</v>
      </c>
      <c r="AS414" s="14"/>
    </row>
    <row r="415" spans="44:45" x14ac:dyDescent="0.25">
      <c r="AR415" s="14" t="s">
        <v>1004</v>
      </c>
      <c r="AS415" s="14"/>
    </row>
    <row r="416" spans="44:45" x14ac:dyDescent="0.25">
      <c r="AR416" s="14" t="s">
        <v>1005</v>
      </c>
      <c r="AS416" s="14"/>
    </row>
    <row r="417" spans="44:45" x14ac:dyDescent="0.25">
      <c r="AR417" s="14" t="s">
        <v>1006</v>
      </c>
      <c r="AS417" s="14"/>
    </row>
    <row r="418" spans="44:45" x14ac:dyDescent="0.25">
      <c r="AR418" s="14" t="s">
        <v>1007</v>
      </c>
      <c r="AS418" s="14"/>
    </row>
    <row r="419" spans="44:45" x14ac:dyDescent="0.25">
      <c r="AR419" s="14" t="s">
        <v>1008</v>
      </c>
      <c r="AS419" s="14"/>
    </row>
    <row r="420" spans="44:45" x14ac:dyDescent="0.25">
      <c r="AR420" s="14" t="s">
        <v>1009</v>
      </c>
      <c r="AS420" s="14"/>
    </row>
    <row r="421" spans="44:45" x14ac:dyDescent="0.25">
      <c r="AR421" s="14" t="s">
        <v>1010</v>
      </c>
      <c r="AS421" s="14"/>
    </row>
    <row r="422" spans="44:45" x14ac:dyDescent="0.25">
      <c r="AR422" s="14" t="s">
        <v>1011</v>
      </c>
      <c r="AS422" s="14"/>
    </row>
    <row r="423" spans="44:45" x14ac:dyDescent="0.25">
      <c r="AR423" s="14" t="s">
        <v>1012</v>
      </c>
      <c r="AS423" s="14"/>
    </row>
    <row r="424" spans="44:45" x14ac:dyDescent="0.25">
      <c r="AR424" s="14" t="s">
        <v>1013</v>
      </c>
      <c r="AS424" s="14"/>
    </row>
    <row r="425" spans="44:45" x14ac:dyDescent="0.25">
      <c r="AR425" s="14" t="s">
        <v>1014</v>
      </c>
      <c r="AS425" s="14"/>
    </row>
    <row r="426" spans="44:45" x14ac:dyDescent="0.25">
      <c r="AR426" s="14" t="s">
        <v>1015</v>
      </c>
      <c r="AS426" s="14"/>
    </row>
    <row r="427" spans="44:45" ht="30" x14ac:dyDescent="0.25">
      <c r="AR427" s="14" t="s">
        <v>1016</v>
      </c>
      <c r="AS427" s="14"/>
    </row>
    <row r="428" spans="44:45" x14ac:dyDescent="0.25">
      <c r="AR428" s="14" t="s">
        <v>1017</v>
      </c>
      <c r="AS428" s="14"/>
    </row>
    <row r="429" spans="44:45" x14ac:dyDescent="0.25">
      <c r="AR429" s="14" t="s">
        <v>1018</v>
      </c>
      <c r="AS429" s="14"/>
    </row>
    <row r="430" spans="44:45" x14ac:dyDescent="0.25">
      <c r="AR430" s="14" t="s">
        <v>1019</v>
      </c>
      <c r="AS430" s="14"/>
    </row>
    <row r="431" spans="44:45" x14ac:dyDescent="0.25">
      <c r="AR431" s="14" t="s">
        <v>1020</v>
      </c>
      <c r="AS431" s="14"/>
    </row>
    <row r="432" spans="44:45" x14ac:dyDescent="0.25">
      <c r="AR432" s="14" t="s">
        <v>1021</v>
      </c>
      <c r="AS432" s="14"/>
    </row>
    <row r="433" spans="44:45" x14ac:dyDescent="0.25">
      <c r="AR433" s="14" t="s">
        <v>1022</v>
      </c>
      <c r="AS433" s="14"/>
    </row>
    <row r="434" spans="44:45" x14ac:dyDescent="0.25">
      <c r="AR434" s="14" t="s">
        <v>1023</v>
      </c>
      <c r="AS434" s="14"/>
    </row>
    <row r="435" spans="44:45" x14ac:dyDescent="0.25">
      <c r="AR435" s="14" t="s">
        <v>1024</v>
      </c>
      <c r="AS435" s="14"/>
    </row>
    <row r="436" spans="44:45" x14ac:dyDescent="0.25">
      <c r="AR436" s="14" t="s">
        <v>1025</v>
      </c>
      <c r="AS436" s="14"/>
    </row>
    <row r="437" spans="44:45" x14ac:dyDescent="0.25">
      <c r="AR437" s="14" t="s">
        <v>1026</v>
      </c>
      <c r="AS437" s="14"/>
    </row>
    <row r="438" spans="44:45" x14ac:dyDescent="0.25">
      <c r="AR438" s="14" t="s">
        <v>1027</v>
      </c>
      <c r="AS438" s="14"/>
    </row>
    <row r="439" spans="44:45" x14ac:dyDescent="0.25">
      <c r="AR439" s="14" t="s">
        <v>1028</v>
      </c>
      <c r="AS439" s="14"/>
    </row>
    <row r="440" spans="44:45" x14ac:dyDescent="0.25">
      <c r="AR440" s="14" t="s">
        <v>1029</v>
      </c>
      <c r="AS440" s="14"/>
    </row>
    <row r="441" spans="44:45" x14ac:dyDescent="0.25">
      <c r="AR441" s="14" t="s">
        <v>1030</v>
      </c>
      <c r="AS441" s="14"/>
    </row>
    <row r="442" spans="44:45" x14ac:dyDescent="0.25">
      <c r="AR442" s="14" t="s">
        <v>1031</v>
      </c>
      <c r="AS442" s="14"/>
    </row>
    <row r="443" spans="44:45" x14ac:dyDescent="0.25">
      <c r="AR443" s="14" t="s">
        <v>1032</v>
      </c>
      <c r="AS443" s="14"/>
    </row>
    <row r="444" spans="44:45" x14ac:dyDescent="0.25">
      <c r="AR444" s="14" t="s">
        <v>1033</v>
      </c>
      <c r="AS444" s="14"/>
    </row>
    <row r="445" spans="44:45" x14ac:dyDescent="0.25">
      <c r="AR445" s="14" t="s">
        <v>1034</v>
      </c>
      <c r="AS445" s="14"/>
    </row>
    <row r="446" spans="44:45" x14ac:dyDescent="0.25">
      <c r="AR446" s="14" t="s">
        <v>1035</v>
      </c>
      <c r="AS446" s="14"/>
    </row>
    <row r="447" spans="44:45" x14ac:dyDescent="0.25">
      <c r="AR447" s="14" t="s">
        <v>1036</v>
      </c>
      <c r="AS447" s="14"/>
    </row>
    <row r="448" spans="44:45" x14ac:dyDescent="0.25">
      <c r="AR448" s="14" t="s">
        <v>1037</v>
      </c>
      <c r="AS448" s="14"/>
    </row>
    <row r="449" spans="44:45" x14ac:dyDescent="0.25">
      <c r="AR449" s="14" t="s">
        <v>1038</v>
      </c>
      <c r="AS449" s="14"/>
    </row>
    <row r="450" spans="44:45" x14ac:dyDescent="0.25">
      <c r="AR450" s="14" t="s">
        <v>1039</v>
      </c>
      <c r="AS450" s="14"/>
    </row>
    <row r="451" spans="44:45" x14ac:dyDescent="0.25">
      <c r="AR451" s="14" t="s">
        <v>1040</v>
      </c>
      <c r="AS451" s="14"/>
    </row>
    <row r="452" spans="44:45" x14ac:dyDescent="0.25">
      <c r="AR452" s="14" t="s">
        <v>1041</v>
      </c>
      <c r="AS452" s="14"/>
    </row>
    <row r="453" spans="44:45" x14ac:dyDescent="0.25">
      <c r="AR453" s="14" t="s">
        <v>1042</v>
      </c>
      <c r="AS453" s="14"/>
    </row>
    <row r="454" spans="44:45" x14ac:dyDescent="0.25">
      <c r="AR454" s="14" t="s">
        <v>1043</v>
      </c>
      <c r="AS454" s="14"/>
    </row>
    <row r="455" spans="44:45" x14ac:dyDescent="0.25">
      <c r="AR455" s="14" t="s">
        <v>1044</v>
      </c>
      <c r="AS455" s="14"/>
    </row>
    <row r="456" spans="44:45" x14ac:dyDescent="0.25">
      <c r="AR456" s="14" t="s">
        <v>1045</v>
      </c>
      <c r="AS456" s="14"/>
    </row>
    <row r="457" spans="44:45" x14ac:dyDescent="0.25">
      <c r="AR457" s="14" t="s">
        <v>1046</v>
      </c>
      <c r="AS457" s="14"/>
    </row>
    <row r="458" spans="44:45" x14ac:dyDescent="0.25">
      <c r="AR458" s="14" t="s">
        <v>1047</v>
      </c>
      <c r="AS458" s="14"/>
    </row>
    <row r="459" spans="44:45" x14ac:dyDescent="0.25">
      <c r="AR459" s="14" t="s">
        <v>1048</v>
      </c>
      <c r="AS459" s="14"/>
    </row>
    <row r="460" spans="44:45" x14ac:dyDescent="0.25">
      <c r="AR460" s="14" t="s">
        <v>1049</v>
      </c>
      <c r="AS460" s="14"/>
    </row>
    <row r="461" spans="44:45" x14ac:dyDescent="0.25">
      <c r="AR461" s="14" t="s">
        <v>1050</v>
      </c>
      <c r="AS461" s="14"/>
    </row>
    <row r="462" spans="44:45" x14ac:dyDescent="0.25">
      <c r="AR462" s="14" t="s">
        <v>1051</v>
      </c>
      <c r="AS462" s="14"/>
    </row>
    <row r="463" spans="44:45" x14ac:dyDescent="0.25">
      <c r="AR463" s="14" t="s">
        <v>1052</v>
      </c>
      <c r="AS463" s="14"/>
    </row>
    <row r="464" spans="44:45" x14ac:dyDescent="0.25">
      <c r="AR464" s="14" t="s">
        <v>1053</v>
      </c>
      <c r="AS464" s="14"/>
    </row>
    <row r="465" spans="44:45" x14ac:dyDescent="0.25">
      <c r="AR465" s="14" t="s">
        <v>1054</v>
      </c>
      <c r="AS465" s="14"/>
    </row>
    <row r="466" spans="44:45" x14ac:dyDescent="0.25">
      <c r="AR466" s="14" t="s">
        <v>1055</v>
      </c>
      <c r="AS466" s="14"/>
    </row>
    <row r="467" spans="44:45" x14ac:dyDescent="0.25">
      <c r="AR467" s="14" t="s">
        <v>1056</v>
      </c>
      <c r="AS467" s="14"/>
    </row>
    <row r="468" spans="44:45" x14ac:dyDescent="0.25">
      <c r="AR468" s="14" t="s">
        <v>475</v>
      </c>
      <c r="AS468" s="14"/>
    </row>
    <row r="469" spans="44:45" x14ac:dyDescent="0.25">
      <c r="AR469" s="14" t="s">
        <v>1057</v>
      </c>
      <c r="AS469" s="14"/>
    </row>
    <row r="470" spans="44:45" x14ac:dyDescent="0.25">
      <c r="AR470" s="14" t="s">
        <v>1058</v>
      </c>
      <c r="AS470" s="14"/>
    </row>
    <row r="471" spans="44:45" x14ac:dyDescent="0.25">
      <c r="AR471" s="14" t="s">
        <v>1059</v>
      </c>
      <c r="AS471" s="14"/>
    </row>
    <row r="472" spans="44:45" x14ac:dyDescent="0.25">
      <c r="AR472" s="14" t="s">
        <v>1060</v>
      </c>
      <c r="AS472" s="14"/>
    </row>
    <row r="473" spans="44:45" x14ac:dyDescent="0.25">
      <c r="AR473" s="14" t="s">
        <v>1061</v>
      </c>
      <c r="AS473" s="14"/>
    </row>
    <row r="474" spans="44:45" x14ac:dyDescent="0.25">
      <c r="AR474" s="14" t="s">
        <v>1062</v>
      </c>
      <c r="AS474" s="14"/>
    </row>
    <row r="475" spans="44:45" x14ac:dyDescent="0.25">
      <c r="AR475" s="14" t="s">
        <v>1063</v>
      </c>
      <c r="AS475" s="14"/>
    </row>
    <row r="476" spans="44:45" x14ac:dyDescent="0.25">
      <c r="AR476" s="14" t="s">
        <v>1064</v>
      </c>
      <c r="AS476" s="14"/>
    </row>
    <row r="477" spans="44:45" x14ac:dyDescent="0.25">
      <c r="AR477" s="14" t="s">
        <v>1065</v>
      </c>
      <c r="AS477" s="14"/>
    </row>
    <row r="478" spans="44:45" x14ac:dyDescent="0.25">
      <c r="AR478" s="14" t="s">
        <v>1066</v>
      </c>
      <c r="AS478" s="14"/>
    </row>
    <row r="479" spans="44:45" x14ac:dyDescent="0.25">
      <c r="AR479" s="14" t="s">
        <v>1067</v>
      </c>
      <c r="AS479" s="14"/>
    </row>
    <row r="480" spans="44:45" x14ac:dyDescent="0.25">
      <c r="AR480" s="14" t="s">
        <v>1068</v>
      </c>
      <c r="AS480" s="14"/>
    </row>
    <row r="481" spans="44:45" x14ac:dyDescent="0.25">
      <c r="AR481" s="14" t="s">
        <v>1069</v>
      </c>
      <c r="AS481" s="14"/>
    </row>
    <row r="482" spans="44:45" x14ac:dyDescent="0.25">
      <c r="AR482" s="14" t="s">
        <v>1070</v>
      </c>
      <c r="AS482" s="14"/>
    </row>
    <row r="483" spans="44:45" x14ac:dyDescent="0.25">
      <c r="AR483" s="14" t="s">
        <v>1071</v>
      </c>
      <c r="AS483" s="14"/>
    </row>
    <row r="484" spans="44:45" x14ac:dyDescent="0.25">
      <c r="AR484" s="14" t="s">
        <v>1072</v>
      </c>
      <c r="AS484" s="14"/>
    </row>
    <row r="485" spans="44:45" x14ac:dyDescent="0.25">
      <c r="AR485" s="14" t="s">
        <v>1073</v>
      </c>
      <c r="AS485" s="14"/>
    </row>
    <row r="486" spans="44:45" x14ac:dyDescent="0.25">
      <c r="AR486" s="14" t="s">
        <v>1074</v>
      </c>
      <c r="AS486" s="14"/>
    </row>
    <row r="487" spans="44:45" x14ac:dyDescent="0.25">
      <c r="AR487" s="14" t="s">
        <v>1075</v>
      </c>
      <c r="AS487" s="14"/>
    </row>
    <row r="488" spans="44:45" x14ac:dyDescent="0.25">
      <c r="AR488" s="14" t="s">
        <v>1076</v>
      </c>
      <c r="AS488" s="14"/>
    </row>
    <row r="489" spans="44:45" x14ac:dyDescent="0.25">
      <c r="AR489" s="14" t="s">
        <v>1077</v>
      </c>
      <c r="AS489" s="14"/>
    </row>
    <row r="490" spans="44:45" x14ac:dyDescent="0.25">
      <c r="AR490" s="14" t="s">
        <v>1078</v>
      </c>
      <c r="AS490" s="14"/>
    </row>
    <row r="491" spans="44:45" x14ac:dyDescent="0.25">
      <c r="AR491" s="14" t="s">
        <v>1079</v>
      </c>
      <c r="AS491" s="14"/>
    </row>
    <row r="492" spans="44:45" x14ac:dyDescent="0.25">
      <c r="AR492" s="14" t="s">
        <v>1080</v>
      </c>
      <c r="AS492" s="14"/>
    </row>
    <row r="493" spans="44:45" x14ac:dyDescent="0.25">
      <c r="AR493" s="14" t="s">
        <v>1081</v>
      </c>
      <c r="AS493" s="14"/>
    </row>
    <row r="494" spans="44:45" ht="30" x14ac:dyDescent="0.25">
      <c r="AR494" s="14" t="s">
        <v>1082</v>
      </c>
      <c r="AS494" s="14"/>
    </row>
    <row r="495" spans="44:45" x14ac:dyDescent="0.25">
      <c r="AR495" s="14" t="s">
        <v>1083</v>
      </c>
      <c r="AS495" s="14"/>
    </row>
    <row r="496" spans="44:45" x14ac:dyDescent="0.25">
      <c r="AR496" s="14" t="s">
        <v>1084</v>
      </c>
      <c r="AS496" s="14"/>
    </row>
    <row r="497" spans="44:45" x14ac:dyDescent="0.25">
      <c r="AR497" s="14" t="s">
        <v>1085</v>
      </c>
      <c r="AS497" s="14"/>
    </row>
    <row r="498" spans="44:45" x14ac:dyDescent="0.25">
      <c r="AR498" s="14" t="s">
        <v>1086</v>
      </c>
      <c r="AS498" s="14"/>
    </row>
  </sheetData>
  <customSheetViews>
    <customSheetView guid="{2F0EE798-70DA-460A-B90E-645A10A87AEC}" scale="80" showGridLines="0" topLeftCell="S1">
      <selection activeCell="Z7" sqref="Z7"/>
      <pageMargins left="0.7" right="0.7" top="0.75" bottom="0.75" header="0.3" footer="0.3"/>
      <pageSetup orientation="portrait" r:id="rId1"/>
    </customSheetView>
    <customSheetView guid="{D3F78401-2A5B-4AA3-A27D-A6F2A4AC0172}" showGridLines="0" topLeftCell="A16">
      <selection activeCell="D32" sqref="D32"/>
      <pageMargins left="0.7" right="0.7" top="0.75" bottom="0.75" header="0.3" footer="0.3"/>
      <pageSetup orientation="portrait" r:id="rId2"/>
    </customSheetView>
  </customSheetViews>
  <conditionalFormatting sqref="AT13:AU59">
    <cfRule type="containsErrors" dxfId="65" priority="1">
      <formula>ISERROR(AT13)</formula>
    </cfRule>
    <cfRule type="containsText" dxfId="64" priority="2" operator="containsText" text="#N/A">
      <formula>NOT(ISERROR(SEARCH("#N/A",AT13)))</formula>
    </cfRule>
  </conditionalFormatting>
  <conditionalFormatting sqref="AT10:AU12">
    <cfRule type="containsErrors" dxfId="63" priority="3">
      <formula>ISERROR(AT10)</formula>
    </cfRule>
    <cfRule type="containsText" dxfId="62" priority="4" operator="containsText" text="#N/A">
      <formula>NOT(ISERROR(SEARCH("#N/A",AT10)))</formula>
    </cfRule>
  </conditionalFormatting>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5"/>
  <sheetViews>
    <sheetView workbookViewId="0">
      <selection activeCell="D18" sqref="D18"/>
    </sheetView>
  </sheetViews>
  <sheetFormatPr defaultColWidth="8.85546875" defaultRowHeight="15" outlineLevelCol="1" x14ac:dyDescent="0.25"/>
  <cols>
    <col min="1" max="1" width="1.85546875" style="7" customWidth="1"/>
    <col min="2" max="2" width="40.7109375" style="40" customWidth="1"/>
    <col min="3" max="4" width="40.7109375" style="1" customWidth="1"/>
    <col min="5" max="6" width="40.7109375" style="1" customWidth="1" outlineLevel="1"/>
    <col min="7" max="7" width="40.7109375" style="1" customWidth="1"/>
    <col min="8" max="8" width="48.85546875" style="1" customWidth="1"/>
    <col min="9" max="9" width="57.42578125" style="1" customWidth="1"/>
    <col min="10" max="10" width="40.7109375" style="1" customWidth="1"/>
    <col min="11" max="11" width="46.5703125" style="1" bestFit="1" customWidth="1"/>
    <col min="12" max="12" width="47.5703125" style="1" bestFit="1" customWidth="1" outlineLevel="1"/>
    <col min="13" max="16384" width="8.85546875" style="7"/>
  </cols>
  <sheetData>
    <row r="1" spans="2:12" x14ac:dyDescent="0.25">
      <c r="D1" s="23" t="s">
        <v>128</v>
      </c>
      <c r="G1" s="1" t="s">
        <v>129</v>
      </c>
      <c r="H1" s="23" t="s">
        <v>130</v>
      </c>
      <c r="J1" s="4" t="s">
        <v>131</v>
      </c>
    </row>
    <row r="2" spans="2:12" s="45" customFormat="1" ht="18.75" x14ac:dyDescent="0.25">
      <c r="B2" s="41" t="s">
        <v>132</v>
      </c>
      <c r="C2" s="24" t="s">
        <v>133</v>
      </c>
      <c r="D2" s="24" t="s">
        <v>134</v>
      </c>
      <c r="E2" s="25" t="s">
        <v>135</v>
      </c>
      <c r="F2" s="26" t="s">
        <v>136</v>
      </c>
      <c r="G2" s="24" t="s">
        <v>137</v>
      </c>
      <c r="H2" s="24" t="s">
        <v>138</v>
      </c>
      <c r="I2" s="27" t="s">
        <v>139</v>
      </c>
      <c r="J2" s="24" t="s">
        <v>140</v>
      </c>
      <c r="K2" s="24" t="s">
        <v>141</v>
      </c>
      <c r="L2" s="26" t="s">
        <v>142</v>
      </c>
    </row>
    <row r="3" spans="2:12" x14ac:dyDescent="0.25">
      <c r="B3" s="46" t="s">
        <v>9</v>
      </c>
      <c r="C3" s="47" t="s">
        <v>143</v>
      </c>
      <c r="D3" s="47"/>
      <c r="E3" s="47" t="s">
        <v>144</v>
      </c>
      <c r="F3" s="47" t="s">
        <v>144</v>
      </c>
      <c r="G3" s="47"/>
      <c r="H3" s="47"/>
      <c r="I3" s="48" t="s">
        <v>145</v>
      </c>
      <c r="J3" s="47" t="s">
        <v>146</v>
      </c>
      <c r="K3" s="47"/>
      <c r="L3" s="47"/>
    </row>
    <row r="4" spans="2:12" ht="30" x14ac:dyDescent="0.25">
      <c r="B4" s="46" t="s">
        <v>10</v>
      </c>
      <c r="C4" s="47" t="s">
        <v>10</v>
      </c>
      <c r="D4" s="47" t="s">
        <v>147</v>
      </c>
      <c r="E4" s="47" t="s">
        <v>148</v>
      </c>
      <c r="F4" s="47" t="s">
        <v>148</v>
      </c>
      <c r="G4" s="47" t="s">
        <v>149</v>
      </c>
      <c r="H4" s="47" t="s">
        <v>147</v>
      </c>
      <c r="I4" s="48" t="s">
        <v>150</v>
      </c>
      <c r="J4" s="47" t="s">
        <v>151</v>
      </c>
      <c r="K4" s="48" t="s">
        <v>152</v>
      </c>
      <c r="L4" s="47" t="s">
        <v>151</v>
      </c>
    </row>
    <row r="5" spans="2:12" s="1" customFormat="1" x14ac:dyDescent="0.25">
      <c r="B5" s="42" t="s">
        <v>153</v>
      </c>
      <c r="C5" s="29"/>
      <c r="D5" s="29"/>
      <c r="E5" s="29"/>
      <c r="F5" s="29"/>
      <c r="G5" s="29"/>
      <c r="H5" s="29"/>
      <c r="I5" s="29"/>
      <c r="J5" s="29"/>
      <c r="K5" s="42" t="s">
        <v>154</v>
      </c>
      <c r="L5" s="29"/>
    </row>
    <row r="6" spans="2:12" s="78" customFormat="1" x14ac:dyDescent="0.25">
      <c r="B6" s="46" t="s">
        <v>155</v>
      </c>
      <c r="C6" s="47"/>
      <c r="D6" s="47"/>
      <c r="E6" s="47"/>
      <c r="F6" s="47"/>
      <c r="G6" s="47"/>
      <c r="H6" s="47"/>
      <c r="I6" s="48" t="s">
        <v>156</v>
      </c>
      <c r="J6" s="47"/>
      <c r="K6" s="48" t="s">
        <v>157</v>
      </c>
      <c r="L6" s="47"/>
    </row>
    <row r="7" spans="2:12" s="78" customFormat="1" ht="30" x14ac:dyDescent="0.25">
      <c r="B7" s="46" t="s">
        <v>158</v>
      </c>
      <c r="C7" s="47" t="s">
        <v>159</v>
      </c>
      <c r="D7" s="47" t="s">
        <v>160</v>
      </c>
      <c r="E7" s="47" t="s">
        <v>160</v>
      </c>
      <c r="F7" s="47" t="s">
        <v>161</v>
      </c>
      <c r="G7" s="47" t="s">
        <v>162</v>
      </c>
      <c r="H7" s="52" t="s">
        <v>163</v>
      </c>
      <c r="I7" s="47" t="s">
        <v>164</v>
      </c>
      <c r="J7" s="47"/>
      <c r="K7" s="47"/>
      <c r="L7" s="47" t="s">
        <v>165</v>
      </c>
    </row>
    <row r="8" spans="2:12" s="78" customFormat="1" x14ac:dyDescent="0.25">
      <c r="B8" s="46" t="s">
        <v>166</v>
      </c>
      <c r="C8" s="47" t="s">
        <v>167</v>
      </c>
      <c r="D8" s="47" t="s">
        <v>168</v>
      </c>
      <c r="E8" s="47" t="s">
        <v>169</v>
      </c>
      <c r="F8" s="47"/>
      <c r="G8" s="47"/>
      <c r="H8" s="47"/>
      <c r="I8" s="47"/>
      <c r="J8" s="47"/>
      <c r="K8" s="47"/>
      <c r="L8" s="47" t="s">
        <v>169</v>
      </c>
    </row>
    <row r="9" spans="2:12" ht="45" x14ac:dyDescent="0.25">
      <c r="B9" s="46" t="s">
        <v>170</v>
      </c>
      <c r="C9" s="47"/>
      <c r="D9" s="47"/>
      <c r="E9" s="47"/>
      <c r="F9" s="47" t="s">
        <v>171</v>
      </c>
      <c r="G9" s="47" t="s">
        <v>171</v>
      </c>
      <c r="H9" s="47"/>
      <c r="I9" s="47" t="s">
        <v>172</v>
      </c>
      <c r="J9" s="47" t="s">
        <v>173</v>
      </c>
      <c r="K9" s="47"/>
      <c r="L9" s="47" t="s">
        <v>170</v>
      </c>
    </row>
    <row r="10" spans="2:12" x14ac:dyDescent="0.25">
      <c r="B10" s="46" t="s">
        <v>15</v>
      </c>
      <c r="C10" s="49" t="s">
        <v>174</v>
      </c>
      <c r="D10" s="47" t="s">
        <v>175</v>
      </c>
      <c r="E10" s="47" t="s">
        <v>176</v>
      </c>
      <c r="F10" s="47" t="s">
        <v>177</v>
      </c>
      <c r="G10" s="47" t="s">
        <v>178</v>
      </c>
      <c r="H10" s="47" t="s">
        <v>179</v>
      </c>
      <c r="I10" s="47" t="s">
        <v>180</v>
      </c>
      <c r="J10" s="49"/>
      <c r="K10" s="49"/>
      <c r="L10" s="33" t="s">
        <v>181</v>
      </c>
    </row>
    <row r="11" spans="2:12" s="1" customFormat="1" x14ac:dyDescent="0.25">
      <c r="B11" s="42" t="s">
        <v>182</v>
      </c>
      <c r="C11" s="29" t="s">
        <v>183</v>
      </c>
      <c r="D11" s="29"/>
      <c r="E11" s="29"/>
      <c r="F11" s="29"/>
      <c r="G11" s="29"/>
      <c r="H11" s="29"/>
      <c r="I11" s="29" t="s">
        <v>184</v>
      </c>
      <c r="J11" s="29"/>
      <c r="K11" s="29"/>
      <c r="L11" s="29"/>
    </row>
    <row r="12" spans="2:12" s="78" customFormat="1" x14ac:dyDescent="0.25">
      <c r="B12" s="46" t="s">
        <v>185</v>
      </c>
      <c r="C12" s="47"/>
      <c r="D12" s="47"/>
      <c r="E12" s="47" t="s">
        <v>185</v>
      </c>
      <c r="F12" s="47"/>
      <c r="G12" s="47"/>
      <c r="H12" s="47"/>
      <c r="I12" s="47"/>
      <c r="J12" s="47"/>
      <c r="K12" s="47"/>
      <c r="L12" s="52" t="s">
        <v>186</v>
      </c>
    </row>
    <row r="13" spans="2:12" s="1" customFormat="1" ht="30" x14ac:dyDescent="0.25">
      <c r="B13" s="42" t="s">
        <v>187</v>
      </c>
      <c r="C13" s="29"/>
      <c r="D13" s="29" t="s">
        <v>188</v>
      </c>
      <c r="E13" s="29" t="s">
        <v>189</v>
      </c>
      <c r="F13" s="29"/>
      <c r="G13" s="29" t="s">
        <v>190</v>
      </c>
      <c r="H13" s="29" t="s">
        <v>191</v>
      </c>
      <c r="I13" s="29" t="s">
        <v>192</v>
      </c>
      <c r="J13" s="29"/>
      <c r="K13" s="29"/>
      <c r="L13" s="29"/>
    </row>
    <row r="14" spans="2:12" x14ac:dyDescent="0.25">
      <c r="B14" s="46" t="s">
        <v>3</v>
      </c>
      <c r="C14" s="47"/>
      <c r="D14" s="47" t="s">
        <v>3</v>
      </c>
      <c r="E14" s="47"/>
      <c r="F14" s="47"/>
      <c r="G14" s="47" t="s">
        <v>3</v>
      </c>
      <c r="H14" s="47" t="s">
        <v>3</v>
      </c>
      <c r="I14" s="48" t="s">
        <v>193</v>
      </c>
      <c r="J14" s="47"/>
      <c r="K14" s="48" t="s">
        <v>194</v>
      </c>
      <c r="L14" s="47" t="s">
        <v>195</v>
      </c>
    </row>
    <row r="15" spans="2:12" x14ac:dyDescent="0.25">
      <c r="B15" s="46" t="s">
        <v>196</v>
      </c>
      <c r="C15" s="47"/>
      <c r="D15" s="47"/>
      <c r="E15" s="47"/>
      <c r="F15" s="47"/>
      <c r="G15" s="47"/>
      <c r="H15" s="47"/>
      <c r="I15" s="48" t="s">
        <v>197</v>
      </c>
      <c r="J15" s="48"/>
      <c r="K15" s="50" t="s">
        <v>198</v>
      </c>
      <c r="L15" s="47" t="s">
        <v>199</v>
      </c>
    </row>
    <row r="16" spans="2:12" x14ac:dyDescent="0.25">
      <c r="B16" s="46" t="s">
        <v>200</v>
      </c>
      <c r="C16" s="47"/>
      <c r="D16" s="47"/>
      <c r="E16" s="47"/>
      <c r="F16" s="47"/>
      <c r="G16" s="47"/>
      <c r="H16" s="47"/>
      <c r="I16" s="48"/>
      <c r="J16" s="48"/>
      <c r="K16" s="50" t="s">
        <v>201</v>
      </c>
      <c r="L16" s="47"/>
    </row>
    <row r="17" spans="2:12" x14ac:dyDescent="0.25">
      <c r="B17" s="46" t="s">
        <v>202</v>
      </c>
      <c r="C17" s="47"/>
      <c r="D17" s="47"/>
      <c r="E17" s="47"/>
      <c r="F17" s="47"/>
      <c r="G17" s="47"/>
      <c r="H17" s="47"/>
      <c r="I17" s="48" t="s">
        <v>203</v>
      </c>
      <c r="J17" s="48"/>
      <c r="K17" s="47" t="s">
        <v>204</v>
      </c>
      <c r="L17" s="47" t="s">
        <v>202</v>
      </c>
    </row>
    <row r="18" spans="2:12" s="1" customFormat="1" x14ac:dyDescent="0.25">
      <c r="B18" s="42" t="s">
        <v>205</v>
      </c>
      <c r="C18" s="29"/>
      <c r="D18" s="29"/>
      <c r="E18" s="29"/>
      <c r="F18" s="29"/>
      <c r="G18" s="29"/>
      <c r="H18" s="29"/>
      <c r="I18" s="43" t="s">
        <v>206</v>
      </c>
      <c r="J18" s="43"/>
      <c r="K18" s="43" t="s">
        <v>207</v>
      </c>
      <c r="L18" s="29" t="s">
        <v>205</v>
      </c>
    </row>
    <row r="19" spans="2:12" s="1" customFormat="1" x14ac:dyDescent="0.25">
      <c r="B19" s="42" t="s">
        <v>208</v>
      </c>
      <c r="C19" s="29"/>
      <c r="D19" s="29"/>
      <c r="E19" s="29"/>
      <c r="F19" s="29"/>
      <c r="G19" s="29"/>
      <c r="H19" s="29"/>
      <c r="I19" s="43" t="s">
        <v>209</v>
      </c>
      <c r="J19" s="44"/>
      <c r="K19" s="43" t="s">
        <v>210</v>
      </c>
      <c r="L19" s="29" t="s">
        <v>208</v>
      </c>
    </row>
    <row r="20" spans="2:12" s="1" customFormat="1" x14ac:dyDescent="0.25">
      <c r="B20" s="42" t="s">
        <v>211</v>
      </c>
      <c r="C20" s="29"/>
      <c r="D20" s="29"/>
      <c r="E20" s="29"/>
      <c r="F20" s="29"/>
      <c r="G20" s="29"/>
      <c r="H20" s="34"/>
      <c r="I20" s="43" t="s">
        <v>212</v>
      </c>
      <c r="J20" s="44"/>
      <c r="K20" s="44" t="s">
        <v>213</v>
      </c>
      <c r="L20" s="29" t="s">
        <v>211</v>
      </c>
    </row>
    <row r="21" spans="2:12" x14ac:dyDescent="0.25">
      <c r="B21" s="46" t="s">
        <v>2</v>
      </c>
      <c r="C21" s="47"/>
      <c r="D21" s="47"/>
      <c r="E21" s="47"/>
      <c r="F21" s="47"/>
      <c r="G21" s="47"/>
      <c r="H21" s="51"/>
      <c r="I21" s="48" t="s">
        <v>214</v>
      </c>
      <c r="J21" s="47"/>
      <c r="K21" s="48" t="s">
        <v>215</v>
      </c>
      <c r="L21" s="47" t="s">
        <v>27</v>
      </c>
    </row>
    <row r="22" spans="2:12" x14ac:dyDescent="0.25">
      <c r="B22" s="46" t="s">
        <v>4</v>
      </c>
      <c r="C22" s="47"/>
      <c r="D22" s="47"/>
      <c r="E22" s="47"/>
      <c r="F22" s="47"/>
      <c r="G22" s="47"/>
      <c r="H22" s="51"/>
      <c r="I22" s="48" t="s">
        <v>216</v>
      </c>
      <c r="J22" s="47"/>
      <c r="K22" s="48" t="s">
        <v>217</v>
      </c>
      <c r="L22" s="47" t="s">
        <v>8</v>
      </c>
    </row>
    <row r="23" spans="2:12" x14ac:dyDescent="0.25">
      <c r="B23" s="46" t="s">
        <v>0</v>
      </c>
      <c r="C23" s="47"/>
      <c r="D23" s="47"/>
      <c r="E23" s="47"/>
      <c r="F23" s="47"/>
      <c r="G23" s="47"/>
      <c r="H23" s="51"/>
      <c r="I23" s="47"/>
      <c r="J23" s="47"/>
      <c r="K23" s="48" t="s">
        <v>218</v>
      </c>
      <c r="L23" s="47"/>
    </row>
    <row r="24" spans="2:12" s="1" customFormat="1" x14ac:dyDescent="0.25">
      <c r="B24" s="42" t="s">
        <v>219</v>
      </c>
      <c r="C24" s="29"/>
      <c r="D24" s="29"/>
      <c r="E24" s="29"/>
      <c r="F24" s="29"/>
      <c r="G24" s="29"/>
      <c r="H24" s="34"/>
      <c r="I24" s="43" t="s">
        <v>220</v>
      </c>
      <c r="J24" s="44"/>
      <c r="K24" s="43" t="s">
        <v>221</v>
      </c>
      <c r="L24" s="29" t="s">
        <v>219</v>
      </c>
    </row>
    <row r="25" spans="2:12" x14ac:dyDescent="0.25">
      <c r="B25" s="46" t="s">
        <v>16</v>
      </c>
      <c r="C25" s="47"/>
      <c r="D25" s="47"/>
      <c r="E25" s="47"/>
      <c r="F25" s="47"/>
      <c r="G25" s="47"/>
      <c r="H25" s="51"/>
      <c r="I25" s="48" t="s">
        <v>222</v>
      </c>
      <c r="J25" s="47"/>
      <c r="K25" s="48" t="s">
        <v>223</v>
      </c>
      <c r="L25" s="47" t="s">
        <v>224</v>
      </c>
    </row>
    <row r="26" spans="2:12" s="1" customFormat="1" x14ac:dyDescent="0.25">
      <c r="B26" s="42" t="s">
        <v>225</v>
      </c>
      <c r="C26" s="34"/>
      <c r="D26" s="34"/>
      <c r="E26" s="34"/>
      <c r="F26" s="34"/>
      <c r="G26" s="34"/>
      <c r="H26" s="34"/>
      <c r="I26" s="44"/>
      <c r="J26" s="44"/>
      <c r="K26" s="42" t="s">
        <v>226</v>
      </c>
      <c r="L26" s="29"/>
    </row>
    <row r="27" spans="2:12" s="1" customFormat="1" x14ac:dyDescent="0.25">
      <c r="B27" s="42" t="s">
        <v>227</v>
      </c>
      <c r="C27" s="34"/>
      <c r="D27" s="34"/>
      <c r="E27" s="34"/>
      <c r="F27" s="34"/>
      <c r="G27" s="34"/>
      <c r="H27" s="34"/>
      <c r="I27" s="44"/>
      <c r="J27" s="44"/>
      <c r="K27" s="42" t="s">
        <v>228</v>
      </c>
      <c r="L27" s="29"/>
    </row>
    <row r="28" spans="2:12" s="1" customFormat="1" x14ac:dyDescent="0.25">
      <c r="B28" s="42" t="s">
        <v>229</v>
      </c>
      <c r="C28" s="34"/>
      <c r="D28" s="34"/>
      <c r="E28" s="34"/>
      <c r="F28" s="34"/>
      <c r="G28" s="34"/>
      <c r="H28" s="34"/>
      <c r="I28" s="44"/>
      <c r="J28" s="44"/>
      <c r="K28" s="42" t="s">
        <v>230</v>
      </c>
      <c r="L28" s="29" t="s">
        <v>231</v>
      </c>
    </row>
    <row r="29" spans="2:12" s="1" customFormat="1" x14ac:dyDescent="0.25">
      <c r="B29" s="42" t="s">
        <v>232</v>
      </c>
      <c r="C29" s="34"/>
      <c r="D29" s="34"/>
      <c r="E29" s="34"/>
      <c r="F29" s="34"/>
      <c r="G29" s="34"/>
      <c r="H29" s="34"/>
      <c r="I29" s="44"/>
      <c r="J29" s="44"/>
      <c r="K29" s="42" t="s">
        <v>233</v>
      </c>
      <c r="L29" s="29"/>
    </row>
    <row r="30" spans="2:12" s="1" customFormat="1" x14ac:dyDescent="0.25">
      <c r="B30" s="42" t="s">
        <v>234</v>
      </c>
      <c r="C30" s="34"/>
      <c r="D30" s="34"/>
      <c r="E30" s="34"/>
      <c r="F30" s="34"/>
      <c r="G30" s="34"/>
      <c r="H30" s="34"/>
      <c r="I30" s="44"/>
      <c r="J30" s="44"/>
      <c r="K30" s="42" t="s">
        <v>235</v>
      </c>
      <c r="L30" s="29"/>
    </row>
    <row r="31" spans="2:12" s="1" customFormat="1" x14ac:dyDescent="0.25">
      <c r="B31" s="42" t="s">
        <v>236</v>
      </c>
      <c r="C31" s="34"/>
      <c r="D31" s="34"/>
      <c r="E31" s="34"/>
      <c r="F31" s="34"/>
      <c r="G31" s="34"/>
      <c r="H31" s="34"/>
      <c r="I31" s="44"/>
      <c r="J31" s="44"/>
      <c r="K31" s="42" t="s">
        <v>237</v>
      </c>
      <c r="L31" s="29"/>
    </row>
    <row r="32" spans="2:12" s="1" customFormat="1" x14ac:dyDescent="0.25">
      <c r="B32" s="42" t="s">
        <v>238</v>
      </c>
      <c r="C32" s="34"/>
      <c r="D32" s="34"/>
      <c r="E32" s="34"/>
      <c r="F32" s="34"/>
      <c r="G32" s="34"/>
      <c r="H32" s="34"/>
      <c r="I32" s="44"/>
      <c r="J32" s="44"/>
      <c r="K32" s="42" t="s">
        <v>239</v>
      </c>
      <c r="L32" s="29"/>
    </row>
    <row r="33" spans="2:12" s="1" customFormat="1" x14ac:dyDescent="0.25">
      <c r="B33" s="42" t="s">
        <v>240</v>
      </c>
      <c r="C33" s="34"/>
      <c r="D33" s="34"/>
      <c r="E33" s="34"/>
      <c r="F33" s="34"/>
      <c r="G33" s="34"/>
      <c r="H33" s="34"/>
      <c r="I33" s="44"/>
      <c r="J33" s="44"/>
      <c r="K33" s="42" t="s">
        <v>241</v>
      </c>
      <c r="L33" s="29"/>
    </row>
    <row r="34" spans="2:12" s="1" customFormat="1" x14ac:dyDescent="0.25">
      <c r="B34" s="42" t="s">
        <v>242</v>
      </c>
      <c r="C34" s="34"/>
      <c r="D34" s="34"/>
      <c r="E34" s="34"/>
      <c r="F34" s="34"/>
      <c r="G34" s="34"/>
      <c r="H34" s="34"/>
      <c r="I34" s="44"/>
      <c r="J34" s="44"/>
      <c r="K34" s="42" t="s">
        <v>243</v>
      </c>
      <c r="L34" s="29"/>
    </row>
    <row r="35" spans="2:12" s="1" customFormat="1" x14ac:dyDescent="0.25">
      <c r="B35" s="42" t="s">
        <v>244</v>
      </c>
      <c r="C35" s="29"/>
      <c r="D35" s="29"/>
      <c r="E35" s="29"/>
      <c r="F35" s="29"/>
      <c r="G35" s="29"/>
      <c r="H35" s="29"/>
      <c r="I35" s="44"/>
      <c r="J35" s="44"/>
      <c r="K35" s="42" t="s">
        <v>245</v>
      </c>
      <c r="L35" s="29"/>
    </row>
    <row r="36" spans="2:12" s="1" customFormat="1" x14ac:dyDescent="0.25">
      <c r="B36" s="42" t="s">
        <v>246</v>
      </c>
      <c r="C36" s="29"/>
      <c r="D36" s="29"/>
      <c r="E36" s="29"/>
      <c r="F36" s="29"/>
      <c r="G36" s="29"/>
      <c r="H36" s="29"/>
      <c r="I36" s="44"/>
      <c r="J36" s="44"/>
      <c r="K36" s="42" t="s">
        <v>247</v>
      </c>
      <c r="L36" s="29"/>
    </row>
    <row r="37" spans="2:12" s="1" customFormat="1" x14ac:dyDescent="0.25">
      <c r="B37" s="42" t="s">
        <v>248</v>
      </c>
      <c r="C37" s="29"/>
      <c r="D37" s="29"/>
      <c r="E37" s="29"/>
      <c r="F37" s="29"/>
      <c r="G37" s="29"/>
      <c r="H37" s="29"/>
      <c r="I37" s="44"/>
      <c r="J37" s="44"/>
      <c r="K37" s="42" t="s">
        <v>249</v>
      </c>
      <c r="L37" s="29"/>
    </row>
    <row r="38" spans="2:12" s="1" customFormat="1" x14ac:dyDescent="0.25">
      <c r="B38" s="42" t="s">
        <v>250</v>
      </c>
      <c r="C38" s="29"/>
      <c r="D38" s="29"/>
      <c r="E38" s="29"/>
      <c r="F38" s="29"/>
      <c r="G38" s="29"/>
      <c r="H38" s="29"/>
      <c r="I38" s="44"/>
      <c r="J38" s="44"/>
      <c r="K38" s="42" t="s">
        <v>251</v>
      </c>
      <c r="L38" s="29"/>
    </row>
    <row r="39" spans="2:12" s="1" customFormat="1" x14ac:dyDescent="0.25">
      <c r="B39" s="42" t="s">
        <v>252</v>
      </c>
      <c r="C39" s="29"/>
      <c r="D39" s="29"/>
      <c r="E39" s="29"/>
      <c r="F39" s="29"/>
      <c r="G39" s="29"/>
      <c r="H39" s="29"/>
      <c r="I39" s="44"/>
      <c r="J39" s="44"/>
      <c r="K39" s="42" t="s">
        <v>253</v>
      </c>
      <c r="L39" s="29"/>
    </row>
    <row r="40" spans="2:12" s="1" customFormat="1" x14ac:dyDescent="0.25">
      <c r="B40" s="42" t="s">
        <v>254</v>
      </c>
      <c r="C40" s="29"/>
      <c r="D40" s="29"/>
      <c r="E40" s="29"/>
      <c r="F40" s="29"/>
      <c r="G40" s="29"/>
      <c r="H40" s="29"/>
      <c r="I40" s="44"/>
      <c r="J40" s="44"/>
      <c r="K40" s="42" t="s">
        <v>255</v>
      </c>
      <c r="L40" s="29"/>
    </row>
    <row r="41" spans="2:12" s="1" customFormat="1" x14ac:dyDescent="0.25">
      <c r="B41" s="42" t="s">
        <v>256</v>
      </c>
      <c r="C41" s="29"/>
      <c r="D41" s="29"/>
      <c r="E41" s="29"/>
      <c r="F41" s="29"/>
      <c r="G41" s="29"/>
      <c r="H41" s="29"/>
      <c r="I41" s="44"/>
      <c r="J41" s="44"/>
      <c r="K41" s="42" t="s">
        <v>257</v>
      </c>
      <c r="L41" s="29"/>
    </row>
    <row r="42" spans="2:12" x14ac:dyDescent="0.25">
      <c r="B42" s="46" t="s">
        <v>258</v>
      </c>
      <c r="C42" s="47"/>
      <c r="D42" s="47"/>
      <c r="E42" s="47"/>
      <c r="F42" s="47"/>
      <c r="G42" s="47"/>
      <c r="H42" s="47"/>
      <c r="I42" s="47"/>
      <c r="J42" s="47"/>
      <c r="K42" s="46" t="s">
        <v>259</v>
      </c>
      <c r="L42" s="47"/>
    </row>
    <row r="43" spans="2:12" s="1" customFormat="1" x14ac:dyDescent="0.25">
      <c r="B43" s="42" t="s">
        <v>260</v>
      </c>
      <c r="C43" s="29"/>
      <c r="D43" s="29"/>
      <c r="E43" s="29"/>
      <c r="F43" s="29"/>
      <c r="G43" s="29"/>
      <c r="H43" s="29"/>
      <c r="I43" s="44"/>
      <c r="J43" s="44"/>
      <c r="K43" s="42" t="s">
        <v>261</v>
      </c>
      <c r="L43" s="29"/>
    </row>
    <row r="44" spans="2:12" s="1" customFormat="1" x14ac:dyDescent="0.25">
      <c r="B44" s="42" t="s">
        <v>262</v>
      </c>
      <c r="C44" s="29"/>
      <c r="D44" s="29"/>
      <c r="E44" s="29"/>
      <c r="F44" s="29"/>
      <c r="G44" s="29"/>
      <c r="H44" s="29"/>
      <c r="I44" s="44"/>
      <c r="J44" s="44"/>
      <c r="K44" s="42" t="s">
        <v>263</v>
      </c>
      <c r="L44" s="29"/>
    </row>
    <row r="45" spans="2:12" s="1" customFormat="1" x14ac:dyDescent="0.25">
      <c r="B45" s="42" t="s">
        <v>264</v>
      </c>
      <c r="C45" s="29"/>
      <c r="D45" s="29"/>
      <c r="E45" s="29"/>
      <c r="F45" s="29"/>
      <c r="G45" s="29"/>
      <c r="H45" s="29"/>
      <c r="I45" s="44"/>
      <c r="J45" s="44"/>
      <c r="K45" s="42" t="s">
        <v>265</v>
      </c>
      <c r="L45" s="29"/>
    </row>
    <row r="46" spans="2:12" s="1" customFormat="1" x14ac:dyDescent="0.25">
      <c r="B46" s="42" t="s">
        <v>266</v>
      </c>
      <c r="C46" s="29"/>
      <c r="D46" s="29"/>
      <c r="E46" s="29"/>
      <c r="F46" s="29"/>
      <c r="G46" s="29"/>
      <c r="H46" s="29"/>
      <c r="I46" s="44"/>
      <c r="J46" s="44"/>
      <c r="K46" s="42" t="s">
        <v>267</v>
      </c>
      <c r="L46" s="29"/>
    </row>
    <row r="47" spans="2:12" s="1" customFormat="1" x14ac:dyDescent="0.25">
      <c r="B47" s="42" t="s">
        <v>268</v>
      </c>
      <c r="C47" s="29"/>
      <c r="D47" s="29"/>
      <c r="E47" s="29"/>
      <c r="F47" s="29"/>
      <c r="G47" s="29"/>
      <c r="H47" s="29"/>
      <c r="I47" s="44"/>
      <c r="J47" s="44"/>
      <c r="K47" s="42" t="s">
        <v>269</v>
      </c>
      <c r="L47" s="29"/>
    </row>
    <row r="48" spans="2:12" s="1" customFormat="1" x14ac:dyDescent="0.25">
      <c r="B48" s="42" t="s">
        <v>270</v>
      </c>
      <c r="C48" s="29"/>
      <c r="D48" s="29"/>
      <c r="E48" s="29"/>
      <c r="F48" s="29"/>
      <c r="G48" s="29"/>
      <c r="H48" s="29"/>
      <c r="I48" s="43" t="s">
        <v>271</v>
      </c>
      <c r="J48" s="44"/>
      <c r="K48" s="42" t="s">
        <v>272</v>
      </c>
      <c r="L48" s="29" t="s">
        <v>273</v>
      </c>
    </row>
    <row r="49" spans="2:12" s="1" customFormat="1" x14ac:dyDescent="0.25">
      <c r="B49" s="42" t="s">
        <v>274</v>
      </c>
      <c r="C49" s="29"/>
      <c r="D49" s="29"/>
      <c r="E49" s="29"/>
      <c r="F49" s="29"/>
      <c r="G49" s="29"/>
      <c r="H49" s="29"/>
      <c r="I49" s="43"/>
      <c r="J49" s="44"/>
      <c r="K49" s="42" t="s">
        <v>275</v>
      </c>
      <c r="L49" s="29"/>
    </row>
    <row r="50" spans="2:12" s="1" customFormat="1" x14ac:dyDescent="0.25">
      <c r="B50" s="42" t="s">
        <v>276</v>
      </c>
      <c r="C50" s="29"/>
      <c r="D50" s="29"/>
      <c r="E50" s="29"/>
      <c r="F50" s="29"/>
      <c r="G50" s="29"/>
      <c r="H50" s="29"/>
      <c r="I50" s="43"/>
      <c r="J50" s="44"/>
      <c r="K50" s="42" t="s">
        <v>277</v>
      </c>
      <c r="L50" s="29"/>
    </row>
    <row r="51" spans="2:12" s="1" customFormat="1" ht="30" x14ac:dyDescent="0.25">
      <c r="B51" s="42" t="s">
        <v>278</v>
      </c>
      <c r="C51" s="29"/>
      <c r="D51" s="29"/>
      <c r="E51" s="29"/>
      <c r="F51" s="29"/>
      <c r="G51" s="29"/>
      <c r="H51" s="29"/>
      <c r="I51" s="43"/>
      <c r="J51" s="44"/>
      <c r="K51" s="42" t="s">
        <v>279</v>
      </c>
      <c r="L51" s="29"/>
    </row>
    <row r="52" spans="2:12" s="1" customFormat="1" x14ac:dyDescent="0.25">
      <c r="B52" s="42" t="s">
        <v>280</v>
      </c>
      <c r="C52" s="29"/>
      <c r="D52" s="29"/>
      <c r="E52" s="29"/>
      <c r="F52" s="29"/>
      <c r="G52" s="29"/>
      <c r="H52" s="29"/>
      <c r="I52" s="43"/>
      <c r="J52" s="44"/>
      <c r="K52" s="42" t="s">
        <v>281</v>
      </c>
      <c r="L52" s="29"/>
    </row>
    <row r="53" spans="2:12" s="1" customFormat="1" x14ac:dyDescent="0.25">
      <c r="B53" s="42" t="s">
        <v>282</v>
      </c>
      <c r="C53" s="29"/>
      <c r="D53" s="29"/>
      <c r="E53" s="29"/>
      <c r="F53" s="29"/>
      <c r="G53" s="29"/>
      <c r="H53" s="29"/>
      <c r="I53" s="43"/>
      <c r="J53" s="44"/>
      <c r="K53" s="42" t="s">
        <v>283</v>
      </c>
      <c r="L53" s="29"/>
    </row>
    <row r="54" spans="2:12" s="1" customFormat="1" x14ac:dyDescent="0.25">
      <c r="B54" s="42" t="s">
        <v>284</v>
      </c>
      <c r="C54" s="29"/>
      <c r="D54" s="29"/>
      <c r="E54" s="29"/>
      <c r="F54" s="29"/>
      <c r="G54" s="29"/>
      <c r="H54" s="29"/>
      <c r="I54" s="43"/>
      <c r="J54" s="44"/>
      <c r="K54" s="42" t="s">
        <v>285</v>
      </c>
      <c r="L54" s="29"/>
    </row>
    <row r="55" spans="2:12" s="1" customFormat="1" x14ac:dyDescent="0.25">
      <c r="B55" s="42" t="s">
        <v>286</v>
      </c>
      <c r="C55" s="29"/>
      <c r="D55" s="29"/>
      <c r="E55" s="29"/>
      <c r="F55" s="29"/>
      <c r="G55" s="29"/>
      <c r="H55" s="29"/>
      <c r="I55" s="43"/>
      <c r="J55" s="44"/>
      <c r="K55" s="42" t="s">
        <v>287</v>
      </c>
      <c r="L55" s="29"/>
    </row>
    <row r="56" spans="2:12" s="1" customFormat="1" x14ac:dyDescent="0.25">
      <c r="B56" s="42" t="s">
        <v>288</v>
      </c>
      <c r="C56" s="29"/>
      <c r="D56" s="29"/>
      <c r="E56" s="29"/>
      <c r="F56" s="29"/>
      <c r="G56" s="29"/>
      <c r="H56" s="29"/>
      <c r="I56" s="43"/>
      <c r="J56" s="44"/>
      <c r="K56" s="42" t="s">
        <v>289</v>
      </c>
      <c r="L56" s="29"/>
    </row>
    <row r="57" spans="2:12" s="1" customFormat="1" ht="30" x14ac:dyDescent="0.25">
      <c r="B57" s="42" t="s">
        <v>290</v>
      </c>
      <c r="C57" s="29"/>
      <c r="D57" s="29"/>
      <c r="E57" s="29"/>
      <c r="F57" s="29"/>
      <c r="G57" s="29"/>
      <c r="H57" s="29"/>
      <c r="I57" s="43"/>
      <c r="J57" s="44"/>
      <c r="K57" s="42" t="s">
        <v>291</v>
      </c>
      <c r="L57" s="29"/>
    </row>
    <row r="58" spans="2:12" s="1" customFormat="1" x14ac:dyDescent="0.25">
      <c r="B58" s="42" t="s">
        <v>292</v>
      </c>
      <c r="C58" s="29"/>
      <c r="D58" s="29"/>
      <c r="E58" s="29"/>
      <c r="F58" s="29"/>
      <c r="G58" s="29"/>
      <c r="H58" s="29"/>
      <c r="I58" s="43"/>
      <c r="J58" s="44"/>
      <c r="K58" s="42" t="s">
        <v>293</v>
      </c>
      <c r="L58" s="29"/>
    </row>
    <row r="59" spans="2:12" s="1" customFormat="1" x14ac:dyDescent="0.25">
      <c r="B59" s="42" t="s">
        <v>294</v>
      </c>
      <c r="C59" s="29"/>
      <c r="D59" s="29"/>
      <c r="E59" s="29"/>
      <c r="F59" s="29"/>
      <c r="G59" s="29"/>
      <c r="H59" s="29"/>
      <c r="I59" s="43"/>
      <c r="J59" s="43"/>
      <c r="K59" s="42" t="s">
        <v>295</v>
      </c>
      <c r="L59" s="29"/>
    </row>
    <row r="60" spans="2:12" s="1" customFormat="1" x14ac:dyDescent="0.25">
      <c r="B60" s="42" t="s">
        <v>296</v>
      </c>
      <c r="C60" s="29"/>
      <c r="D60" s="29"/>
      <c r="E60" s="29"/>
      <c r="F60" s="29"/>
      <c r="G60" s="29"/>
      <c r="H60" s="29"/>
      <c r="I60" s="44"/>
      <c r="J60" s="44"/>
      <c r="K60" s="44" t="s">
        <v>297</v>
      </c>
      <c r="L60" s="29" t="s">
        <v>298</v>
      </c>
    </row>
    <row r="61" spans="2:12" s="8" customFormat="1" x14ac:dyDescent="0.25">
      <c r="B61" s="46" t="s">
        <v>17</v>
      </c>
      <c r="C61" s="47"/>
      <c r="D61" s="47"/>
      <c r="E61" s="47"/>
      <c r="F61" s="47"/>
      <c r="G61" s="47"/>
      <c r="H61" s="47"/>
      <c r="I61" s="48" t="s">
        <v>299</v>
      </c>
      <c r="J61" s="47"/>
      <c r="K61" s="52" t="s">
        <v>300</v>
      </c>
      <c r="L61" s="47" t="s">
        <v>301</v>
      </c>
    </row>
    <row r="62" spans="2:12" x14ac:dyDescent="0.25">
      <c r="B62" s="46" t="s">
        <v>18</v>
      </c>
      <c r="C62" s="47"/>
      <c r="D62" s="47"/>
      <c r="E62" s="47"/>
      <c r="F62" s="47"/>
      <c r="G62" s="47"/>
      <c r="H62" s="47"/>
      <c r="I62" s="48" t="s">
        <v>302</v>
      </c>
      <c r="J62" s="47"/>
      <c r="K62" s="52" t="s">
        <v>303</v>
      </c>
      <c r="L62" s="47"/>
    </row>
    <row r="63" spans="2:12" x14ac:dyDescent="0.25">
      <c r="B63" s="46" t="s">
        <v>6</v>
      </c>
      <c r="C63" s="47"/>
      <c r="D63" s="47"/>
      <c r="E63" s="47"/>
      <c r="F63" s="47"/>
      <c r="G63" s="47"/>
      <c r="H63" s="47"/>
      <c r="I63" s="48" t="s">
        <v>304</v>
      </c>
      <c r="J63" s="47"/>
      <c r="K63" s="52" t="s">
        <v>305</v>
      </c>
      <c r="L63" s="47"/>
    </row>
    <row r="64" spans="2:12" x14ac:dyDescent="0.25">
      <c r="B64" s="46" t="s">
        <v>7</v>
      </c>
      <c r="C64" s="47"/>
      <c r="D64" s="47"/>
      <c r="E64" s="47"/>
      <c r="F64" s="47"/>
      <c r="G64" s="47"/>
      <c r="H64" s="47"/>
      <c r="I64" s="48" t="s">
        <v>306</v>
      </c>
      <c r="J64" s="47"/>
      <c r="K64" s="52" t="s">
        <v>307</v>
      </c>
      <c r="L64" s="47"/>
    </row>
    <row r="65" spans="2:12" x14ac:dyDescent="0.25">
      <c r="B65" s="46" t="s">
        <v>19</v>
      </c>
      <c r="C65" s="47"/>
      <c r="D65" s="47"/>
      <c r="E65" s="47"/>
      <c r="F65" s="47"/>
      <c r="G65" s="47"/>
      <c r="H65" s="47"/>
      <c r="I65" s="48" t="s">
        <v>308</v>
      </c>
      <c r="J65" s="47"/>
      <c r="K65" s="52" t="s">
        <v>309</v>
      </c>
      <c r="L65" s="47"/>
    </row>
    <row r="66" spans="2:12" x14ac:dyDescent="0.25">
      <c r="B66" s="42" t="s">
        <v>310</v>
      </c>
      <c r="C66" s="44"/>
      <c r="D66" s="44"/>
      <c r="E66" s="44"/>
      <c r="F66" s="44"/>
      <c r="G66" s="44"/>
      <c r="H66" s="44"/>
      <c r="I66" s="43" t="s">
        <v>311</v>
      </c>
      <c r="J66" s="44"/>
      <c r="K66" s="44"/>
      <c r="L66" s="44"/>
    </row>
    <row r="67" spans="2:12" s="1" customFormat="1" x14ac:dyDescent="0.25">
      <c r="B67" s="43" t="s">
        <v>312</v>
      </c>
      <c r="C67" s="29"/>
      <c r="D67" s="29"/>
      <c r="E67" s="29"/>
      <c r="F67" s="29"/>
      <c r="G67" s="29"/>
      <c r="H67" s="29"/>
      <c r="I67" s="43" t="s">
        <v>313</v>
      </c>
      <c r="J67" s="44"/>
      <c r="K67" s="43" t="s">
        <v>314</v>
      </c>
      <c r="L67" s="29"/>
    </row>
    <row r="68" spans="2:12" s="1" customFormat="1" x14ac:dyDescent="0.25">
      <c r="B68" s="42" t="s">
        <v>315</v>
      </c>
      <c r="C68" s="29"/>
      <c r="D68" s="29"/>
      <c r="E68" s="29"/>
      <c r="F68" s="29"/>
      <c r="G68" s="29"/>
      <c r="H68" s="29"/>
      <c r="I68" s="44"/>
      <c r="J68" s="44"/>
      <c r="K68" s="42" t="s">
        <v>316</v>
      </c>
      <c r="L68" s="29"/>
    </row>
    <row r="69" spans="2:12" x14ac:dyDescent="0.25">
      <c r="B69" s="46" t="s">
        <v>5</v>
      </c>
      <c r="C69" s="47"/>
      <c r="D69" s="47"/>
      <c r="E69" s="47"/>
      <c r="F69" s="47"/>
      <c r="G69" s="47"/>
      <c r="H69" s="47"/>
      <c r="I69" s="48" t="s">
        <v>317</v>
      </c>
      <c r="J69" s="47"/>
      <c r="K69" s="48" t="s">
        <v>318</v>
      </c>
      <c r="L69" s="47"/>
    </row>
    <row r="70" spans="2:12" s="1" customFormat="1" x14ac:dyDescent="0.25">
      <c r="B70" s="42" t="s">
        <v>319</v>
      </c>
      <c r="C70" s="29"/>
      <c r="D70" s="29"/>
      <c r="E70" s="29"/>
      <c r="F70" s="29"/>
      <c r="G70" s="29"/>
      <c r="H70" s="29"/>
      <c r="I70" s="44"/>
      <c r="J70" s="44"/>
      <c r="K70" s="42" t="s">
        <v>320</v>
      </c>
      <c r="L70" s="29"/>
    </row>
    <row r="71" spans="2:12" s="1" customFormat="1" x14ac:dyDescent="0.25">
      <c r="B71" s="42" t="s">
        <v>321</v>
      </c>
      <c r="C71" s="29"/>
      <c r="D71" s="29"/>
      <c r="E71" s="29"/>
      <c r="F71" s="29"/>
      <c r="G71" s="29"/>
      <c r="H71" s="29"/>
      <c r="I71" s="44"/>
      <c r="J71" s="44"/>
      <c r="K71" s="42" t="s">
        <v>322</v>
      </c>
      <c r="L71" s="29"/>
    </row>
    <row r="72" spans="2:12" s="1" customFormat="1" x14ac:dyDescent="0.25">
      <c r="B72" s="42" t="s">
        <v>323</v>
      </c>
      <c r="C72" s="29"/>
      <c r="D72" s="29"/>
      <c r="E72" s="29"/>
      <c r="F72" s="29"/>
      <c r="G72" s="29"/>
      <c r="H72" s="29"/>
      <c r="I72" s="44"/>
      <c r="J72" s="44"/>
      <c r="K72" s="42" t="s">
        <v>324</v>
      </c>
      <c r="L72" s="29"/>
    </row>
    <row r="73" spans="2:12" s="1" customFormat="1" x14ac:dyDescent="0.25">
      <c r="B73" s="42" t="s">
        <v>325</v>
      </c>
      <c r="C73" s="29"/>
      <c r="D73" s="29"/>
      <c r="E73" s="29"/>
      <c r="F73" s="29"/>
      <c r="G73" s="29"/>
      <c r="H73" s="29"/>
      <c r="I73" s="44"/>
      <c r="J73" s="44"/>
      <c r="K73" s="42" t="s">
        <v>326</v>
      </c>
      <c r="L73" s="29"/>
    </row>
    <row r="74" spans="2:12" s="1" customFormat="1" x14ac:dyDescent="0.25">
      <c r="B74" s="42" t="s">
        <v>327</v>
      </c>
      <c r="C74" s="29"/>
      <c r="D74" s="29"/>
      <c r="E74" s="29"/>
      <c r="F74" s="29"/>
      <c r="G74" s="29"/>
      <c r="H74" s="29"/>
      <c r="I74" s="44"/>
      <c r="J74" s="44"/>
      <c r="K74" s="42" t="s">
        <v>328</v>
      </c>
      <c r="L74" s="29"/>
    </row>
    <row r="75" spans="2:12" s="1" customFormat="1" x14ac:dyDescent="0.25">
      <c r="B75" s="42" t="s">
        <v>329</v>
      </c>
      <c r="C75" s="29"/>
      <c r="D75" s="29"/>
      <c r="E75" s="29"/>
      <c r="F75" s="29"/>
      <c r="G75" s="29"/>
      <c r="H75" s="29"/>
      <c r="I75" s="44"/>
      <c r="J75" s="44"/>
      <c r="K75" s="42" t="s">
        <v>330</v>
      </c>
      <c r="L75" s="29"/>
    </row>
    <row r="76" spans="2:12" s="1" customFormat="1" x14ac:dyDescent="0.25">
      <c r="B76" s="42" t="s">
        <v>331</v>
      </c>
      <c r="C76" s="29"/>
      <c r="D76" s="29"/>
      <c r="E76" s="29"/>
      <c r="F76" s="29"/>
      <c r="G76" s="29"/>
      <c r="H76" s="29"/>
      <c r="I76" s="44"/>
      <c r="J76" s="44"/>
      <c r="K76" s="42" t="s">
        <v>332</v>
      </c>
      <c r="L76" s="29"/>
    </row>
    <row r="77" spans="2:12" x14ac:dyDescent="0.25">
      <c r="B77" s="46" t="s">
        <v>20</v>
      </c>
      <c r="C77" s="47"/>
      <c r="D77" s="47"/>
      <c r="E77" s="47"/>
      <c r="F77" s="47"/>
      <c r="G77" s="47"/>
      <c r="H77" s="47"/>
      <c r="I77" s="48" t="s">
        <v>333</v>
      </c>
      <c r="J77" s="47"/>
      <c r="K77" s="52" t="s">
        <v>334</v>
      </c>
      <c r="L77" s="47"/>
    </row>
    <row r="78" spans="2:12" ht="30" x14ac:dyDescent="0.25">
      <c r="B78" s="46" t="s">
        <v>21</v>
      </c>
      <c r="C78" s="47"/>
      <c r="D78" s="47"/>
      <c r="E78" s="47"/>
      <c r="F78" s="47"/>
      <c r="G78" s="47"/>
      <c r="H78" s="47"/>
      <c r="I78" s="48" t="s">
        <v>335</v>
      </c>
      <c r="J78" s="47"/>
      <c r="K78" s="52" t="s">
        <v>336</v>
      </c>
      <c r="L78" s="52" t="s">
        <v>337</v>
      </c>
    </row>
    <row r="79" spans="2:12" s="1" customFormat="1" ht="45" x14ac:dyDescent="0.25">
      <c r="B79" s="42" t="s">
        <v>338</v>
      </c>
      <c r="C79" s="29"/>
      <c r="D79" s="29"/>
      <c r="E79" s="29"/>
      <c r="F79" s="29"/>
      <c r="G79" s="29"/>
      <c r="H79" s="29"/>
      <c r="I79" s="44" t="s">
        <v>339</v>
      </c>
      <c r="J79" s="44" t="s">
        <v>340</v>
      </c>
      <c r="K79" s="44"/>
      <c r="L79" s="32" t="s">
        <v>338</v>
      </c>
    </row>
    <row r="80" spans="2:12" s="1" customFormat="1" x14ac:dyDescent="0.25">
      <c r="B80" s="42" t="s">
        <v>341</v>
      </c>
      <c r="C80" s="29"/>
      <c r="D80" s="29"/>
      <c r="E80" s="29"/>
      <c r="F80" s="29"/>
      <c r="G80" s="29"/>
      <c r="H80" s="29"/>
      <c r="I80" s="44" t="s">
        <v>342</v>
      </c>
      <c r="J80" s="44" t="s">
        <v>342</v>
      </c>
      <c r="K80" s="44"/>
      <c r="L80" s="29"/>
    </row>
    <row r="81" spans="2:12" s="1" customFormat="1" ht="30" x14ac:dyDescent="0.25">
      <c r="B81" s="42" t="s">
        <v>343</v>
      </c>
      <c r="C81" s="29"/>
      <c r="D81" s="29"/>
      <c r="E81" s="29"/>
      <c r="F81" s="29"/>
      <c r="G81" s="29" t="s">
        <v>343</v>
      </c>
      <c r="H81" s="29"/>
      <c r="I81" s="44" t="s">
        <v>344</v>
      </c>
      <c r="J81" s="44" t="s">
        <v>345</v>
      </c>
      <c r="K81" s="44"/>
      <c r="L81" s="29" t="s">
        <v>343</v>
      </c>
    </row>
    <row r="82" spans="2:12" s="1" customFormat="1" x14ac:dyDescent="0.25">
      <c r="B82" s="42" t="s">
        <v>346</v>
      </c>
      <c r="C82" s="29"/>
      <c r="D82" s="29"/>
      <c r="E82" s="29"/>
      <c r="F82" s="29"/>
      <c r="G82" s="29" t="s">
        <v>347</v>
      </c>
      <c r="H82" s="29"/>
      <c r="I82" s="44"/>
      <c r="J82" s="44"/>
      <c r="K82" s="44"/>
      <c r="L82" s="29"/>
    </row>
    <row r="83" spans="2:12" ht="45" x14ac:dyDescent="0.25">
      <c r="B83" s="46" t="s">
        <v>11</v>
      </c>
      <c r="C83" s="47"/>
      <c r="D83" s="47"/>
      <c r="E83" s="47"/>
      <c r="F83" s="47"/>
      <c r="G83" s="47" t="s">
        <v>348</v>
      </c>
      <c r="H83" s="47"/>
      <c r="I83" s="47" t="s">
        <v>349</v>
      </c>
      <c r="J83" s="47" t="s">
        <v>350</v>
      </c>
      <c r="K83" s="47"/>
      <c r="L83" s="47" t="s">
        <v>351</v>
      </c>
    </row>
    <row r="84" spans="2:12" s="1" customFormat="1" ht="30" x14ac:dyDescent="0.25">
      <c r="B84" s="42" t="s">
        <v>352</v>
      </c>
      <c r="C84" s="29"/>
      <c r="D84" s="29"/>
      <c r="E84" s="29"/>
      <c r="F84" s="29"/>
      <c r="G84" s="29" t="s">
        <v>353</v>
      </c>
      <c r="H84" s="29"/>
      <c r="I84" s="44"/>
      <c r="J84" s="44" t="s">
        <v>354</v>
      </c>
      <c r="K84" s="44"/>
      <c r="L84" s="32" t="s">
        <v>355</v>
      </c>
    </row>
    <row r="85" spans="2:12" s="1" customFormat="1" x14ac:dyDescent="0.25">
      <c r="B85" s="42" t="s">
        <v>356</v>
      </c>
      <c r="C85" s="29"/>
      <c r="D85" s="29"/>
      <c r="E85" s="29"/>
      <c r="F85" s="29"/>
      <c r="G85" s="29"/>
      <c r="H85" s="29"/>
      <c r="I85" s="43" t="s">
        <v>357</v>
      </c>
      <c r="J85" s="44"/>
      <c r="K85" s="44"/>
      <c r="L85" s="29"/>
    </row>
    <row r="86" spans="2:12" s="1" customFormat="1" ht="45" x14ac:dyDescent="0.25">
      <c r="B86" s="42" t="s">
        <v>358</v>
      </c>
      <c r="C86" s="29"/>
      <c r="D86" s="29"/>
      <c r="E86" s="29"/>
      <c r="F86" s="29" t="s">
        <v>14</v>
      </c>
      <c r="G86" s="29" t="s">
        <v>359</v>
      </c>
      <c r="H86" s="44" t="s">
        <v>360</v>
      </c>
      <c r="I86" s="44"/>
      <c r="J86" s="44"/>
      <c r="K86" s="44"/>
      <c r="L86" s="29"/>
    </row>
    <row r="87" spans="2:12" s="1" customFormat="1" x14ac:dyDescent="0.25">
      <c r="B87" s="42" t="s">
        <v>361</v>
      </c>
      <c r="C87" s="29"/>
      <c r="D87" s="29"/>
      <c r="E87" s="29"/>
      <c r="F87" s="29" t="s">
        <v>362</v>
      </c>
      <c r="G87" s="29" t="s">
        <v>362</v>
      </c>
      <c r="H87" s="29" t="s">
        <v>363</v>
      </c>
      <c r="I87" s="44"/>
      <c r="J87" s="44"/>
      <c r="K87" s="44"/>
      <c r="L87" s="29"/>
    </row>
    <row r="88" spans="2:12" s="78" customFormat="1" x14ac:dyDescent="0.25">
      <c r="B88" s="46" t="s">
        <v>364</v>
      </c>
      <c r="C88" s="47"/>
      <c r="D88" s="47"/>
      <c r="E88" s="47"/>
      <c r="F88" s="47" t="s">
        <v>365</v>
      </c>
      <c r="G88" s="47" t="s">
        <v>365</v>
      </c>
      <c r="H88" s="47" t="s">
        <v>366</v>
      </c>
      <c r="I88" s="47"/>
      <c r="J88" s="47"/>
      <c r="K88" s="47"/>
      <c r="L88" s="47"/>
    </row>
    <row r="89" spans="2:12" s="1" customFormat="1" x14ac:dyDescent="0.25">
      <c r="B89" s="42" t="s">
        <v>367</v>
      </c>
      <c r="C89" s="29"/>
      <c r="D89" s="29"/>
      <c r="E89" s="29"/>
      <c r="F89" s="29"/>
      <c r="G89" s="29"/>
      <c r="H89" s="29" t="s">
        <v>368</v>
      </c>
      <c r="I89" s="44"/>
      <c r="J89" s="44"/>
      <c r="K89" s="44"/>
      <c r="L89" s="29"/>
    </row>
    <row r="90" spans="2:12" s="78" customFormat="1" ht="30" x14ac:dyDescent="0.25">
      <c r="B90" s="46" t="s">
        <v>369</v>
      </c>
      <c r="C90" s="47"/>
      <c r="D90" s="47"/>
      <c r="E90" s="47"/>
      <c r="F90" s="47"/>
      <c r="G90" s="47"/>
      <c r="H90" s="47"/>
      <c r="I90" s="47" t="s">
        <v>370</v>
      </c>
      <c r="J90" s="47" t="s">
        <v>371</v>
      </c>
      <c r="K90" s="47"/>
      <c r="L90" s="47" t="s">
        <v>372</v>
      </c>
    </row>
    <row r="91" spans="2:12" ht="30" x14ac:dyDescent="0.25">
      <c r="B91" s="42" t="s">
        <v>12</v>
      </c>
      <c r="C91" s="44"/>
      <c r="D91" s="44"/>
      <c r="E91" s="44"/>
      <c r="F91" s="44"/>
      <c r="G91" s="44"/>
      <c r="H91" s="44"/>
      <c r="I91" s="44" t="s">
        <v>373</v>
      </c>
      <c r="J91" s="44"/>
      <c r="K91" s="44"/>
      <c r="L91" s="44"/>
    </row>
    <row r="92" spans="2:12" s="1" customFormat="1" ht="45" x14ac:dyDescent="0.25">
      <c r="B92" s="42" t="s">
        <v>374</v>
      </c>
      <c r="C92" s="29"/>
      <c r="D92" s="29"/>
      <c r="E92" s="29"/>
      <c r="F92" s="29"/>
      <c r="G92" s="29"/>
      <c r="H92" s="29"/>
      <c r="I92" s="44"/>
      <c r="J92" s="44" t="s">
        <v>375</v>
      </c>
      <c r="K92" s="44"/>
      <c r="L92" s="29"/>
    </row>
    <row r="93" spans="2:12" s="1" customFormat="1" x14ac:dyDescent="0.25">
      <c r="B93" s="42" t="s">
        <v>376</v>
      </c>
      <c r="C93" s="29"/>
      <c r="D93" s="29"/>
      <c r="E93" s="29"/>
      <c r="F93" s="29"/>
      <c r="G93" s="29"/>
      <c r="H93" s="29"/>
      <c r="I93" s="44"/>
      <c r="J93" s="44" t="s">
        <v>377</v>
      </c>
      <c r="K93" s="44"/>
      <c r="L93" s="32" t="s">
        <v>378</v>
      </c>
    </row>
    <row r="94" spans="2:12" s="1" customFormat="1" x14ac:dyDescent="0.25">
      <c r="B94" s="42" t="s">
        <v>379</v>
      </c>
      <c r="C94" s="29"/>
      <c r="D94" s="29"/>
      <c r="E94" s="29"/>
      <c r="F94" s="29"/>
      <c r="G94" s="29"/>
      <c r="H94" s="29"/>
      <c r="I94" s="44"/>
      <c r="J94" s="44" t="s">
        <v>380</v>
      </c>
      <c r="K94" s="44"/>
      <c r="L94" s="29"/>
    </row>
    <row r="95" spans="2:12" s="1" customFormat="1" x14ac:dyDescent="0.25">
      <c r="B95" s="42" t="s">
        <v>381</v>
      </c>
      <c r="C95" s="29"/>
      <c r="D95" s="29"/>
      <c r="E95" s="29"/>
      <c r="F95" s="29"/>
      <c r="G95" s="29"/>
      <c r="H95" s="29"/>
      <c r="I95" s="44"/>
      <c r="J95" s="42" t="s">
        <v>382</v>
      </c>
      <c r="K95" s="44"/>
      <c r="L95" s="29"/>
    </row>
    <row r="96" spans="2:12" s="1" customFormat="1" ht="30" x14ac:dyDescent="0.25">
      <c r="B96" s="42" t="s">
        <v>383</v>
      </c>
      <c r="C96" s="29"/>
      <c r="D96" s="29"/>
      <c r="E96" s="29"/>
      <c r="F96" s="29"/>
      <c r="G96" s="29"/>
      <c r="H96" s="29"/>
      <c r="I96" s="44"/>
      <c r="J96" s="44" t="s">
        <v>384</v>
      </c>
      <c r="K96" s="44"/>
      <c r="L96" s="29"/>
    </row>
    <row r="97" spans="1:12" s="1" customFormat="1" x14ac:dyDescent="0.25">
      <c r="B97" s="42" t="s">
        <v>385</v>
      </c>
      <c r="C97" s="29"/>
      <c r="D97" s="29"/>
      <c r="E97" s="29"/>
      <c r="F97" s="29"/>
      <c r="G97" s="29"/>
      <c r="H97" s="29"/>
      <c r="I97" s="42" t="s">
        <v>386</v>
      </c>
      <c r="J97" s="44"/>
      <c r="K97" s="44"/>
      <c r="L97" s="29"/>
    </row>
    <row r="98" spans="1:12" s="1" customFormat="1" ht="30" x14ac:dyDescent="0.25">
      <c r="B98" s="42" t="s">
        <v>387</v>
      </c>
      <c r="C98" s="29"/>
      <c r="D98" s="29"/>
      <c r="E98" s="29"/>
      <c r="F98" s="29"/>
      <c r="G98" s="29"/>
      <c r="H98" s="29"/>
      <c r="I98" s="42" t="s">
        <v>388</v>
      </c>
      <c r="J98" s="44"/>
      <c r="K98" s="44"/>
      <c r="L98" s="29"/>
    </row>
    <row r="99" spans="1:12" s="1" customFormat="1" ht="30" x14ac:dyDescent="0.25">
      <c r="B99" s="42" t="s">
        <v>389</v>
      </c>
      <c r="C99" s="29"/>
      <c r="D99" s="29"/>
      <c r="E99" s="29"/>
      <c r="F99" s="29"/>
      <c r="G99" s="29"/>
      <c r="H99" s="29"/>
      <c r="I99" s="42" t="s">
        <v>390</v>
      </c>
      <c r="J99" s="44"/>
      <c r="K99" s="44"/>
      <c r="L99" s="29"/>
    </row>
    <row r="100" spans="1:12" x14ac:dyDescent="0.25">
      <c r="B100" s="46" t="s">
        <v>24</v>
      </c>
      <c r="C100" s="47"/>
      <c r="D100" s="47"/>
      <c r="E100" s="47"/>
      <c r="F100" s="47"/>
      <c r="G100" s="47"/>
      <c r="H100" s="47"/>
      <c r="I100" s="47"/>
      <c r="J100" s="47"/>
      <c r="K100" s="47"/>
      <c r="L100" s="46" t="s">
        <v>24</v>
      </c>
    </row>
    <row r="101" spans="1:12" s="1" customFormat="1" x14ac:dyDescent="0.25">
      <c r="B101" s="42" t="s">
        <v>391</v>
      </c>
      <c r="C101" s="29"/>
      <c r="D101" s="29"/>
      <c r="E101" s="29"/>
      <c r="F101" s="29"/>
      <c r="G101" s="29"/>
      <c r="H101" s="29"/>
      <c r="I101" s="44"/>
      <c r="J101" s="44"/>
      <c r="K101" s="44"/>
      <c r="L101" s="31" t="s">
        <v>391</v>
      </c>
    </row>
    <row r="102" spans="1:12" s="37" customFormat="1" x14ac:dyDescent="0.25">
      <c r="A102" s="35" t="s">
        <v>392</v>
      </c>
      <c r="B102" s="44"/>
      <c r="C102" s="36"/>
      <c r="D102" s="36"/>
      <c r="E102" s="36"/>
      <c r="F102" s="36"/>
      <c r="G102" s="36"/>
      <c r="H102" s="36"/>
      <c r="I102" s="36"/>
      <c r="J102" s="36"/>
      <c r="K102" s="36"/>
      <c r="L102" s="36"/>
    </row>
    <row r="103" spans="1:12" ht="45" x14ac:dyDescent="0.25">
      <c r="B103" s="46" t="s">
        <v>25</v>
      </c>
      <c r="C103" s="47"/>
      <c r="D103" s="47"/>
      <c r="E103" s="47" t="s">
        <v>393</v>
      </c>
      <c r="F103" s="47"/>
      <c r="G103" s="47"/>
      <c r="H103" s="47" t="s">
        <v>393</v>
      </c>
      <c r="I103" s="48" t="s">
        <v>394</v>
      </c>
      <c r="J103" s="47" t="s">
        <v>395</v>
      </c>
      <c r="K103" s="47" t="s">
        <v>395</v>
      </c>
      <c r="L103" s="47" t="s">
        <v>28</v>
      </c>
    </row>
    <row r="104" spans="1:12" s="78" customFormat="1" x14ac:dyDescent="0.25">
      <c r="B104" s="46" t="s">
        <v>155</v>
      </c>
      <c r="C104" s="47"/>
      <c r="D104" s="47"/>
      <c r="E104" s="47"/>
      <c r="F104" s="47"/>
      <c r="G104" s="47"/>
      <c r="H104" s="47"/>
      <c r="I104" s="48" t="s">
        <v>396</v>
      </c>
      <c r="J104" s="47"/>
      <c r="K104" s="48"/>
      <c r="L104" s="47"/>
    </row>
    <row r="105" spans="1:12" x14ac:dyDescent="0.25">
      <c r="B105" s="46" t="s">
        <v>8</v>
      </c>
      <c r="C105" s="47"/>
      <c r="D105" s="47"/>
      <c r="E105" s="47"/>
      <c r="F105" s="47"/>
      <c r="G105" s="47"/>
      <c r="H105" s="47"/>
      <c r="I105" s="48" t="s">
        <v>397</v>
      </c>
      <c r="J105" s="47"/>
      <c r="K105" s="48" t="s">
        <v>398</v>
      </c>
      <c r="L105" s="47" t="s">
        <v>8</v>
      </c>
    </row>
    <row r="106" spans="1:12" s="1" customFormat="1" x14ac:dyDescent="0.25">
      <c r="B106" s="42" t="s">
        <v>0</v>
      </c>
      <c r="C106" s="29"/>
      <c r="D106" s="29"/>
      <c r="E106" s="29"/>
      <c r="F106" s="29"/>
      <c r="G106" s="29"/>
      <c r="H106" s="29"/>
      <c r="I106" s="43"/>
      <c r="J106" s="44"/>
      <c r="K106" s="44" t="s">
        <v>399</v>
      </c>
      <c r="L106" s="34"/>
    </row>
    <row r="107" spans="1:12" x14ac:dyDescent="0.25">
      <c r="B107" s="46" t="s">
        <v>3</v>
      </c>
      <c r="C107" s="47"/>
      <c r="D107" s="47"/>
      <c r="E107" s="47"/>
      <c r="F107" s="47"/>
      <c r="G107" s="47"/>
      <c r="H107" s="47"/>
      <c r="I107" s="48" t="s">
        <v>400</v>
      </c>
      <c r="J107" s="47"/>
      <c r="K107" s="48" t="s">
        <v>401</v>
      </c>
      <c r="L107" s="47" t="s">
        <v>3</v>
      </c>
    </row>
    <row r="108" spans="1:12" ht="30" x14ac:dyDescent="0.25">
      <c r="B108" s="46" t="s">
        <v>26</v>
      </c>
      <c r="C108" s="47"/>
      <c r="D108" s="47"/>
      <c r="E108" s="47"/>
      <c r="F108" s="47"/>
      <c r="G108" s="47"/>
      <c r="H108" s="47"/>
      <c r="I108" s="48" t="s">
        <v>402</v>
      </c>
      <c r="J108" s="47" t="s">
        <v>403</v>
      </c>
      <c r="K108" s="48" t="s">
        <v>404</v>
      </c>
      <c r="L108" s="47" t="s">
        <v>26</v>
      </c>
    </row>
    <row r="109" spans="1:12" ht="30" x14ac:dyDescent="0.25">
      <c r="B109" s="46" t="s">
        <v>27</v>
      </c>
      <c r="C109" s="47"/>
      <c r="D109" s="47"/>
      <c r="E109" s="47"/>
      <c r="F109" s="47"/>
      <c r="G109" s="47"/>
      <c r="H109" s="47"/>
      <c r="I109" s="48" t="s">
        <v>405</v>
      </c>
      <c r="J109" s="47"/>
      <c r="K109" s="48" t="s">
        <v>406</v>
      </c>
      <c r="L109" s="47" t="s">
        <v>27</v>
      </c>
    </row>
    <row r="110" spans="1:12" s="1" customFormat="1" x14ac:dyDescent="0.25">
      <c r="B110" s="42" t="s">
        <v>407</v>
      </c>
      <c r="C110" s="29"/>
      <c r="D110" s="29"/>
      <c r="E110" s="29"/>
      <c r="F110" s="29"/>
      <c r="G110" s="29"/>
      <c r="H110" s="29"/>
      <c r="I110" s="43"/>
      <c r="J110" s="44"/>
      <c r="K110" s="44" t="s">
        <v>408</v>
      </c>
      <c r="L110" s="34"/>
    </row>
    <row r="111" spans="1:12" s="1" customFormat="1" x14ac:dyDescent="0.25">
      <c r="B111" s="42" t="s">
        <v>409</v>
      </c>
      <c r="C111" s="29"/>
      <c r="D111" s="29"/>
      <c r="E111" s="29"/>
      <c r="F111" s="29"/>
      <c r="G111" s="29"/>
      <c r="H111" s="29"/>
      <c r="I111" s="43" t="s">
        <v>410</v>
      </c>
      <c r="J111" s="44"/>
      <c r="K111" s="43"/>
      <c r="L111" s="29"/>
    </row>
    <row r="112" spans="1:12" s="1" customFormat="1" x14ac:dyDescent="0.25">
      <c r="B112" s="42" t="s">
        <v>356</v>
      </c>
      <c r="C112" s="29"/>
      <c r="D112" s="29"/>
      <c r="E112" s="29"/>
      <c r="F112" s="29"/>
      <c r="G112" s="29"/>
      <c r="H112" s="29"/>
      <c r="I112" s="30" t="s">
        <v>411</v>
      </c>
      <c r="J112" s="29"/>
      <c r="K112" s="29"/>
      <c r="L112" s="29"/>
    </row>
    <row r="113" spans="2:12" s="1" customFormat="1" x14ac:dyDescent="0.25">
      <c r="B113" s="42" t="s">
        <v>412</v>
      </c>
      <c r="C113" s="29"/>
      <c r="D113" s="29"/>
      <c r="E113" s="29"/>
      <c r="F113" s="29"/>
      <c r="G113" s="29"/>
      <c r="H113" s="29"/>
      <c r="I113" s="29" t="s">
        <v>413</v>
      </c>
      <c r="J113" s="29"/>
      <c r="K113" s="29"/>
      <c r="L113" s="29"/>
    </row>
    <row r="114" spans="2:12" s="1" customFormat="1" ht="30" x14ac:dyDescent="0.25">
      <c r="B114" s="42" t="s">
        <v>414</v>
      </c>
      <c r="C114" s="29"/>
      <c r="D114" s="29"/>
      <c r="E114" s="29"/>
      <c r="F114" s="29"/>
      <c r="G114" s="29"/>
      <c r="H114" s="29"/>
      <c r="I114" s="29" t="s">
        <v>415</v>
      </c>
      <c r="J114" s="29"/>
      <c r="K114" s="29"/>
      <c r="L114" s="29"/>
    </row>
    <row r="115" spans="2:12" s="1" customFormat="1" ht="30" x14ac:dyDescent="0.25">
      <c r="B115" s="42" t="s">
        <v>416</v>
      </c>
      <c r="C115" s="29"/>
      <c r="D115" s="29"/>
      <c r="E115" s="29"/>
      <c r="F115" s="29"/>
      <c r="G115" s="29"/>
      <c r="H115" s="29"/>
      <c r="I115" s="29" t="s">
        <v>417</v>
      </c>
      <c r="J115" s="29"/>
      <c r="K115" s="29"/>
      <c r="L115" s="29"/>
    </row>
    <row r="116" spans="2:12" s="1" customFormat="1" ht="30" x14ac:dyDescent="0.25">
      <c r="B116" s="42" t="s">
        <v>6</v>
      </c>
      <c r="C116" s="29"/>
      <c r="D116" s="29"/>
      <c r="E116" s="29"/>
      <c r="F116" s="29"/>
      <c r="G116" s="29"/>
      <c r="H116" s="29"/>
      <c r="I116" s="29" t="s">
        <v>418</v>
      </c>
      <c r="J116" s="29"/>
      <c r="K116" s="29"/>
      <c r="L116" s="29"/>
    </row>
    <row r="117" spans="2:12" s="1" customFormat="1" ht="30" x14ac:dyDescent="0.25">
      <c r="B117" s="42" t="s">
        <v>7</v>
      </c>
      <c r="C117" s="29"/>
      <c r="D117" s="29"/>
      <c r="E117" s="29"/>
      <c r="F117" s="29"/>
      <c r="G117" s="29"/>
      <c r="H117" s="29"/>
      <c r="I117" s="29" t="s">
        <v>419</v>
      </c>
      <c r="J117" s="29"/>
      <c r="K117" s="29"/>
      <c r="L117" s="29"/>
    </row>
    <row r="118" spans="2:12" s="1" customFormat="1" ht="30" x14ac:dyDescent="0.25">
      <c r="B118" s="42" t="s">
        <v>19</v>
      </c>
      <c r="C118" s="29"/>
      <c r="D118" s="29"/>
      <c r="E118" s="29"/>
      <c r="F118" s="29"/>
      <c r="G118" s="29"/>
      <c r="H118" s="29"/>
      <c r="I118" s="29" t="s">
        <v>420</v>
      </c>
      <c r="J118" s="29"/>
      <c r="K118" s="29"/>
      <c r="L118" s="29"/>
    </row>
    <row r="119" spans="2:12" s="28" customFormat="1" x14ac:dyDescent="0.25">
      <c r="B119" s="42" t="s">
        <v>421</v>
      </c>
      <c r="C119" s="29"/>
      <c r="D119" s="29"/>
      <c r="E119" s="29"/>
      <c r="F119" s="29"/>
      <c r="G119" s="29"/>
      <c r="H119" s="29"/>
      <c r="I119" s="42" t="s">
        <v>422</v>
      </c>
      <c r="J119" s="44"/>
      <c r="K119" s="29"/>
      <c r="L119" s="29"/>
    </row>
    <row r="120" spans="2:12" s="28" customFormat="1" ht="30" x14ac:dyDescent="0.25">
      <c r="B120" s="42" t="s">
        <v>423</v>
      </c>
      <c r="C120" s="29"/>
      <c r="D120" s="29"/>
      <c r="E120" s="29"/>
      <c r="F120" s="29"/>
      <c r="G120" s="29"/>
      <c r="H120" s="29"/>
      <c r="I120" s="42" t="s">
        <v>424</v>
      </c>
      <c r="J120" s="44"/>
      <c r="K120" s="29"/>
      <c r="L120" s="29"/>
    </row>
    <row r="121" spans="2:12" s="28" customFormat="1" ht="30" x14ac:dyDescent="0.25">
      <c r="B121" s="42" t="s">
        <v>425</v>
      </c>
      <c r="C121" s="29"/>
      <c r="D121" s="29"/>
      <c r="E121" s="29"/>
      <c r="F121" s="29"/>
      <c r="G121" s="29"/>
      <c r="H121" s="29"/>
      <c r="I121" s="42" t="s">
        <v>426</v>
      </c>
      <c r="J121" s="44"/>
      <c r="K121" s="29"/>
      <c r="L121" s="29"/>
    </row>
    <row r="122" spans="2:12" s="79" customFormat="1" x14ac:dyDescent="0.25">
      <c r="B122" s="46" t="s">
        <v>427</v>
      </c>
      <c r="C122" s="47"/>
      <c r="D122" s="47"/>
      <c r="E122" s="47"/>
      <c r="F122" s="47"/>
      <c r="G122" s="47"/>
      <c r="H122" s="47"/>
      <c r="I122" s="47"/>
      <c r="J122" s="46" t="s">
        <v>428</v>
      </c>
      <c r="K122" s="47"/>
      <c r="L122" s="47"/>
    </row>
    <row r="123" spans="2:12" s="1" customFormat="1" ht="30" x14ac:dyDescent="0.25">
      <c r="B123" s="42" t="s">
        <v>429</v>
      </c>
      <c r="C123" s="34"/>
      <c r="D123" s="34"/>
      <c r="E123" s="34"/>
      <c r="F123" s="34"/>
      <c r="G123" s="34"/>
      <c r="H123" s="34"/>
      <c r="I123" s="38" t="s">
        <v>429</v>
      </c>
      <c r="J123" s="34"/>
      <c r="K123" s="34"/>
      <c r="L123" s="34"/>
    </row>
    <row r="124" spans="2:12" s="1" customFormat="1" ht="30" x14ac:dyDescent="0.25">
      <c r="B124" s="42" t="s">
        <v>430</v>
      </c>
      <c r="C124" s="34"/>
      <c r="D124" s="34"/>
      <c r="E124" s="34"/>
      <c r="F124" s="34"/>
      <c r="G124" s="34"/>
      <c r="H124" s="34"/>
      <c r="I124" s="39" t="s">
        <v>430</v>
      </c>
      <c r="J124" s="34"/>
      <c r="K124" s="34"/>
      <c r="L124" s="34"/>
    </row>
    <row r="125" spans="2:12" s="1" customFormat="1" ht="30" x14ac:dyDescent="0.25">
      <c r="B125" s="42" t="s">
        <v>431</v>
      </c>
      <c r="C125" s="34"/>
      <c r="D125" s="34"/>
      <c r="E125" s="34"/>
      <c r="F125" s="34"/>
      <c r="G125" s="34"/>
      <c r="H125" s="34"/>
      <c r="I125" s="38" t="s">
        <v>431</v>
      </c>
      <c r="J125" s="34"/>
      <c r="K125" s="34"/>
      <c r="L125" s="34"/>
    </row>
  </sheetData>
  <customSheetViews>
    <customSheetView guid="{2F0EE798-70DA-460A-B90E-645A10A87AEC}" filter="1" showAutoFilter="1">
      <pane ySplit="111" topLeftCell="A113" activePane="bottomLeft" state="frozen"/>
      <selection pane="bottomLeft" activeCell="B113" sqref="B113"/>
      <pageMargins left="0.7" right="0.7" top="0.75" bottom="0.75" header="0.3" footer="0.3"/>
      <autoFilter ref="A2:L125">
        <filterColumn colId="1">
          <filters>
            <filter val="Medicare Eligible"/>
          </filters>
        </filterColumn>
      </autoFilter>
    </customSheetView>
    <customSheetView guid="{D3F78401-2A5B-4AA3-A27D-A6F2A4AC0172}" filter="1" showAutoFilter="1">
      <pane ySplit="111" topLeftCell="A113" activePane="bottomLeft" state="frozen"/>
      <selection pane="bottomLeft" activeCell="B113" sqref="B113"/>
      <pageMargins left="0.7" right="0.7" top="0.75" bottom="0.75" header="0.3" footer="0.3"/>
      <autoFilter ref="A2:L125">
        <filterColumn colId="1">
          <filters>
            <filter val="Medicare Eligible"/>
          </filters>
        </filterColumn>
      </autoFilter>
    </customSheetView>
  </customSheetView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8EEE330B86274EA0D3D6E188913412" ma:contentTypeVersion="26" ma:contentTypeDescription="Create a new document." ma:contentTypeScope="" ma:versionID="1256cd5928e9c1aba0eedb361010f3bb">
  <xsd:schema xmlns:xsd="http://www.w3.org/2001/XMLSchema" xmlns:xs="http://www.w3.org/2001/XMLSchema" xmlns:p="http://schemas.microsoft.com/office/2006/metadata/properties" xmlns:ns1="http://schemas.microsoft.com/sharepoint/v3" xmlns:ns2="b7ee0dc0-3e79-4d38-8cf1-87f346146b13" xmlns:ns3="42b34247-24dc-4868-8c47-80c0cd8a6940" targetNamespace="http://schemas.microsoft.com/office/2006/metadata/properties" ma:root="true" ma:fieldsID="9745a21e675a185323de61a0709e0064" ns1:_="" ns2:_="" ns3:_="">
    <xsd:import namespace="http://schemas.microsoft.com/sharepoint/v3"/>
    <xsd:import namespace="b7ee0dc0-3e79-4d38-8cf1-87f346146b13"/>
    <xsd:import namespace="42b34247-24dc-4868-8c47-80c0cd8a6940"/>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DateTaken" minOccurs="0"/>
                <xsd:element ref="ns1:_ip_UnifiedCompliancePolicyProperties" minOccurs="0"/>
                <xsd:element ref="ns1:_ip_UnifiedCompliancePolicyUIAction" minOccurs="0"/>
                <xsd:element ref="ns3:MediaServiceEventHashCode" minOccurs="0"/>
                <xsd:element ref="ns3:MediaServiceGenerationTime" minOccurs="0"/>
                <xsd:element ref="ns3:MediaServiceOCR"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SearchProperties" minOccurs="0"/>
                <xsd:element ref="ns3:MediaServiceObjectDetectorVersion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ma:readOnly="false">
      <xsd:simpleType>
        <xsd:restriction base="dms:Note"/>
      </xsd:simpleType>
    </xsd:element>
    <xsd:element name="_ip_UnifiedCompliancePolicyUIAction" ma:index="17"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ee0dc0-3e79-4d38-8cf1-87f346146b13" elementFormDefault="qualified">
    <xsd:import namespace="http://schemas.microsoft.com/office/2006/documentManagement/types"/>
    <xsd:import namespace="http://schemas.microsoft.com/office/infopath/2007/PartnerControls"/>
    <xsd:element name="SharedWithUsers" ma:index="8" nillable="true" ma:displayName="Shared With" ma:description=""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hidden="true" ma:internalName="SharedWithDetails" ma:readOnly="true">
      <xsd:simpleType>
        <xsd:restriction base="dms:Note"/>
      </xsd:simpleType>
    </xsd:element>
    <xsd:element name="LastSharedByUser" ma:index="10" nillable="true" ma:displayName="Last Shared By User" ma:description="" ma:hidden="true" ma:internalName="LastSharedByUser" ma:readOnly="true">
      <xsd:simpleType>
        <xsd:restriction base="dms:Note"/>
      </xsd:simpleType>
    </xsd:element>
    <xsd:element name="LastSharedByTime" ma:index="11" nillable="true" ma:displayName="Last Shared By Time" ma:description="" ma:hidden="true" ma:internalName="LastSharedByTime" ma:readOnly="true">
      <xsd:simpleType>
        <xsd:restriction base="dms:DateTime"/>
      </xsd:simpleType>
    </xsd:element>
    <xsd:element name="TaxCatchAll" ma:index="26" nillable="true" ma:displayName="Taxonomy Catch All Column" ma:hidden="true" ma:list="{728224f5-0242-4223-8afd-4bdcdc5c191e}" ma:internalName="TaxCatchAll" ma:showField="CatchAllData" ma:web="b7ee0dc0-3e79-4d38-8cf1-87f346146b1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2b34247-24dc-4868-8c47-80c0cd8a6940"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hidden="true" ma:internalName="MediaServiceAutoTags"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OCR" ma:index="20" nillable="true" ma:displayName="Extracted Text" ma:hidden="true" ma:internalName="MediaServiceOCR" ma:readOnly="true">
      <xsd:simpleType>
        <xsd:restriction base="dms:Note"/>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hidden="true" ma:internalName="MediaServiceKeyPoints" ma:readOnly="true">
      <xsd:simpleType>
        <xsd:restriction base="dms:Note"/>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f8f7e2c4-d129-418e-a7c7-968ad538c406" ma:termSetId="09814cd3-568e-fe90-9814-8d621ff8fb84" ma:anchorId="fba54fb3-c3e1-fe81-a776-ca4b69148c4d" ma:open="true" ma:isKeyword="false">
      <xsd:complexType>
        <xsd:sequence>
          <xsd:element ref="pc:Terms" minOccurs="0" maxOccurs="1"/>
        </xsd:sequence>
      </xsd:complex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Location" ma:index="29"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2b34247-24dc-4868-8c47-80c0cd8a6940">
      <Terms xmlns="http://schemas.microsoft.com/office/infopath/2007/PartnerControls"/>
    </lcf76f155ced4ddcb4097134ff3c332f>
    <TaxCatchAll xmlns="b7ee0dc0-3e79-4d38-8cf1-87f346146b1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F90546-CF4C-4DE4-B325-C94F0C85C1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ee0dc0-3e79-4d38-8cf1-87f346146b13"/>
    <ds:schemaRef ds:uri="42b34247-24dc-4868-8c47-80c0cd8a69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D77021-1226-416C-9CE4-0F4148D7A50C}">
  <ds:schemaRefs>
    <ds:schemaRef ds:uri="http://purl.org/dc/terms/"/>
    <ds:schemaRef ds:uri="b7ee0dc0-3e79-4d38-8cf1-87f346146b13"/>
    <ds:schemaRef ds:uri="http://schemas.microsoft.com/office/2006/documentManagement/types"/>
    <ds:schemaRef ds:uri="42b34247-24dc-4868-8c47-80c0cd8a6940"/>
    <ds:schemaRef ds:uri="http://purl.org/dc/elements/1.1/"/>
    <ds:schemaRef ds:uri="http://schemas.microsoft.com/office/2006/metadata/properties"/>
    <ds:schemaRef ds:uri="http://schemas.microsoft.com/office/infopath/2007/PartnerControls"/>
    <ds:schemaRef ds:uri="http://schemas.microsoft.com/sharepoint/v3"/>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77E0EE79-9E24-475B-A89A-6660A2AE25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Capture Template</vt:lpstr>
      <vt:lpstr>Config</vt:lpstr>
      <vt:lpstr>Dropdown list</vt:lpstr>
      <vt:lpstr>Data Allocation in 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Guo</dc:creator>
  <cp:lastModifiedBy>Catherine Guo</cp:lastModifiedBy>
  <dcterms:created xsi:type="dcterms:W3CDTF">2015-06-05T18:17:20Z</dcterms:created>
  <dcterms:modified xsi:type="dcterms:W3CDTF">2024-05-07T02:35:50Z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0x010100458EEE330B86274EA0D3D6E188913412</vt:lpwstr>
  </property>
  <property fmtid="{D5CDD505-2E9C-101B-9397-08002B2CF9AE}" pid="3" name="MediaServiceImageTags">
    <vt:lpwstr/>
  </property>
</Properties>
</file>