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ettypaniagua/Documents/"/>
    </mc:Choice>
  </mc:AlternateContent>
  <xr:revisionPtr revIDLastSave="0" documentId="8_{324F1937-66F9-5548-A2BE-82F887E8D9AC}" xr6:coauthVersionLast="47" xr6:coauthVersionMax="47" xr10:uidLastSave="{00000000-0000-0000-0000-000000000000}"/>
  <bookViews>
    <workbookView xWindow="3500" yWindow="740" windowWidth="25900" windowHeight="17040" activeTab="5" xr2:uid="{00000000-000D-0000-FFFF-FFFF00000000}"/>
  </bookViews>
  <sheets>
    <sheet name="Crowdfunding" sheetId="1" r:id="rId1"/>
    <sheet name="Parent Category Table" sheetId="3" r:id="rId2"/>
    <sheet name="Subcategory Table" sheetId="4" r:id="rId3"/>
    <sheet name="Months Table" sheetId="5" r:id="rId4"/>
    <sheet name="Crowdfuding Goal Analysis" sheetId="6" r:id="rId5"/>
    <sheet name="Summary Statistics Table" sheetId="7" r:id="rId6"/>
  </sheets>
  <definedNames>
    <definedName name="_xlnm._FilterDatabase" localSheetId="0" hidden="1">Crowdfunding!$A$1:$T$1001</definedName>
    <definedName name="_xlnm._FilterDatabase" localSheetId="5" hidden="1">'Summary Statistics Table'!$A$1:$B$566</definedName>
  </definedNames>
  <calcPr calcId="191029"/>
  <pivotCaches>
    <pivotCache cacheId="2" r:id="rId7"/>
    <pivotCache cacheId="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7" l="1"/>
  <c r="J6" i="7"/>
  <c r="J5" i="7"/>
  <c r="J4" i="7"/>
  <c r="J3" i="7"/>
  <c r="J2" i="7"/>
  <c r="H7" i="7"/>
  <c r="H6" i="7"/>
  <c r="H4" i="7"/>
  <c r="H3" i="7"/>
  <c r="H2" i="7"/>
  <c r="H5" i="7"/>
  <c r="D12" i="6"/>
  <c r="D11" i="6"/>
  <c r="D10" i="6"/>
  <c r="D9" i="6"/>
  <c r="D8" i="6"/>
  <c r="D7" i="6"/>
  <c r="D6" i="6"/>
  <c r="D5" i="6"/>
  <c r="D4" i="6"/>
  <c r="D3" i="6"/>
  <c r="D2" i="6"/>
  <c r="C12" i="6"/>
  <c r="C11" i="6"/>
  <c r="C10" i="6"/>
  <c r="C9" i="6"/>
  <c r="C8" i="6"/>
  <c r="C7" i="6"/>
  <c r="C6" i="6"/>
  <c r="C5" i="6"/>
  <c r="C4" i="6"/>
  <c r="C3" i="6"/>
  <c r="C2" i="6"/>
  <c r="B12" i="6"/>
  <c r="B11" i="6"/>
  <c r="B10" i="6"/>
  <c r="B9" i="6"/>
  <c r="B8" i="6"/>
  <c r="B7" i="6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3" i="1"/>
  <c r="F4" i="1"/>
  <c r="F5" i="1"/>
  <c r="F2" i="1"/>
  <c r="E5" i="6" l="1"/>
  <c r="E6" i="6"/>
  <c r="H6" i="6" s="1"/>
  <c r="E10" i="6"/>
  <c r="G10" i="6" s="1"/>
  <c r="H5" i="6"/>
  <c r="G5" i="6"/>
  <c r="G6" i="6"/>
  <c r="H12" i="6"/>
  <c r="E9" i="6"/>
  <c r="H9" i="6" s="1"/>
  <c r="F5" i="6"/>
  <c r="E8" i="6"/>
  <c r="G8" i="6" s="1"/>
  <c r="F6" i="6"/>
  <c r="E7" i="6"/>
  <c r="H7" i="6" s="1"/>
  <c r="E2" i="6"/>
  <c r="H2" i="6" s="1"/>
  <c r="E12" i="6"/>
  <c r="F12" i="6" s="1"/>
  <c r="E4" i="6"/>
  <c r="H4" i="6" s="1"/>
  <c r="F10" i="6"/>
  <c r="E11" i="6"/>
  <c r="F11" i="6" s="1"/>
  <c r="E3" i="6"/>
  <c r="F3" i="6" s="1"/>
  <c r="H11" i="6" l="1"/>
  <c r="F8" i="6"/>
  <c r="G11" i="6"/>
  <c r="F2" i="6"/>
  <c r="G9" i="6"/>
  <c r="F9" i="6"/>
  <c r="H10" i="6"/>
  <c r="G2" i="6"/>
  <c r="G12" i="6"/>
  <c r="G4" i="6"/>
  <c r="H3" i="6"/>
  <c r="F7" i="6"/>
  <c r="F4" i="6"/>
  <c r="H8" i="6"/>
  <c r="G3" i="6"/>
  <c r="G7" i="6"/>
</calcChain>
</file>

<file path=xl/sharedStrings.xml><?xml version="1.0" encoding="utf-8"?>
<sst xmlns="http://schemas.openxmlformats.org/spreadsheetml/2006/main" count="9070" uniqueCount="2117">
  <si>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</si>
  <si>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</si>
  <si>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</si>
  <si>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</si>
  <si>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</si>
  <si>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</si>
  <si>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</si>
  <si>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</si>
  <si>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</si>
  <si>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</si>
  <si>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</si>
  <si>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</si>
  <si>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</si>
  <si>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</si>
  <si>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</si>
  <si>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</si>
  <si>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</si>
  <si>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</si>
  <si>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</si>
  <si>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</si>
  <si>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</si>
  <si>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</si>
  <si>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</si>
  <si>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</si>
  <si>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</si>
  <si>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</si>
  <si>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</si>
  <si>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</si>
  <si>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</si>
  <si>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</si>
  <si>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</si>
  <si>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</si>
  <si>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</si>
  <si>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</si>
  <si>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</si>
  <si>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</si>
  <si>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</si>
  <si>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</si>
  <si>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</si>
  <si>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</si>
  <si>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</si>
  <si>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</si>
  <si>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</si>
  <si>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</si>
  <si>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</si>
  <si>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</si>
  <si>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</si>
  <si>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</si>
  <si>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</si>
  <si>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</si>
  <si>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</si>
  <si>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</si>
  <si>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</si>
  <si>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</si>
  <si>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</si>
  <si>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</si>
  <si>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</si>
  <si>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</si>
  <si>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</si>
  <si>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</si>
  <si>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</si>
  <si>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</si>
  <si>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</si>
  <si>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</si>
  <si>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</si>
  <si>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</si>
  <si>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</si>
  <si>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</si>
  <si>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</si>
  <si>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</si>
  <si>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</si>
  <si>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</si>
  <si>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</si>
  <si>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</si>
  <si>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</si>
  <si>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</si>
  <si>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</si>
  <si>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</si>
  <si>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</si>
  <si>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</si>
  <si>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</si>
  <si>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</si>
  <si>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</si>
  <si>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</si>
  <si>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</si>
  <si>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</si>
  <si>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</si>
  <si>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</si>
  <si>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</si>
  <si>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</si>
  <si>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</si>
  <si>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</si>
  <si>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</si>
  <si>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</si>
  <si>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</si>
  <si>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</si>
  <si>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</si>
  <si>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</si>
  <si>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</si>
  <si>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</si>
  <si>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</si>
  <si>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</si>
  <si>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</si>
  <si>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</si>
  <si>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</si>
  <si>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</si>
  <si>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</si>
  <si>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</si>
  <si>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</si>
  <si>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</si>
  <si>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</si>
  <si>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</si>
  <si>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</si>
  <si>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</si>
  <si>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</si>
  <si>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</si>
  <si>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</si>
  <si>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</si>
  <si>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</si>
  <si>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</si>
  <si>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</si>
  <si>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</si>
  <si>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</si>
  <si>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</si>
  <si>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</si>
  <si>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</si>
  <si>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</si>
  <si>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</si>
  <si>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</si>
  <si>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</si>
  <si>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</si>
  <si>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</si>
  <si>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</si>
  <si>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</si>
  <si>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</si>
  <si>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</si>
  <si>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</si>
  <si>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</si>
  <si>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</si>
  <si>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</si>
  <si>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</si>
  <si>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</si>
  <si>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</si>
  <si>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</si>
  <si>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</si>
  <si>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</si>
  <si>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</si>
  <si>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</si>
  <si>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</si>
  <si>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</si>
  <si>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</si>
  <si>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</si>
  <si>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</si>
  <si>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</si>
  <si>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</si>
  <si>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</si>
  <si>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</si>
  <si>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</si>
  <si>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</si>
  <si>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</si>
  <si>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</si>
  <si>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</si>
  <si>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</si>
  <si>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</si>
  <si>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</si>
  <si>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</si>
  <si>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</si>
  <si>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</si>
  <si>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</si>
  <si>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</si>
  <si>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</si>
  <si>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</si>
  <si>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</si>
  <si>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</si>
  <si>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</si>
  <si>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</si>
  <si>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</si>
  <si>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</si>
  <si>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</si>
  <si>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</si>
  <si>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</si>
  <si>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</si>
  <si>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</si>
  <si>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</si>
  <si>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</si>
  <si>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</si>
  <si>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</si>
  <si>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</si>
  <si>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</si>
  <si>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</si>
  <si>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</si>
  <si>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</si>
  <si>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</si>
  <si>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</si>
  <si>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</si>
  <si>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</si>
  <si>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</si>
  <si>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</si>
  <si>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</si>
  <si>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</si>
  <si>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</si>
  <si>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</si>
  <si>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</si>
  <si>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</si>
  <si>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</si>
  <si>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</si>
  <si>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</si>
  <si>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</si>
  <si>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</si>
  <si>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</si>
  <si>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</si>
  <si>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</si>
  <si>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</si>
  <si>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</si>
  <si>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</si>
  <si>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</si>
  <si>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</si>
  <si>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</si>
  <si>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</si>
  <si>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</si>
  <si>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</si>
  <si>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</si>
  <si>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</si>
  <si>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</si>
  <si>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</si>
  <si>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</si>
  <si>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</si>
  <si>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</si>
  <si>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</si>
  <si>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</si>
  <si>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</si>
  <si>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</si>
  <si>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</si>
  <si>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</si>
  <si>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</si>
  <si>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</si>
  <si>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</si>
  <si>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</si>
  <si>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</si>
  <si>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</si>
  <si>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</si>
  <si>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</si>
  <si>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</si>
  <si>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</si>
  <si>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</si>
  <si>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</si>
  <si>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</si>
  <si>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</si>
  <si>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</si>
  <si>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</si>
  <si>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</si>
  <si>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</si>
  <si>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</si>
  <si>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</si>
  <si>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</si>
  <si>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</si>
  <si>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</si>
  <si>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</si>
  <si>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</si>
  <si>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</si>
  <si>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</si>
  <si>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</si>
  <si>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</si>
  <si>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</si>
  <si>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</si>
  <si>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</si>
  <si>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</si>
  <si>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</si>
  <si>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</si>
  <si>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</si>
  <si>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</si>
  <si>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</si>
  <si>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</si>
  <si>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</si>
  <si>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</si>
  <si>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</si>
  <si>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</si>
  <si>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</si>
  <si>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</si>
  <si>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</si>
  <si>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</si>
  <si>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</si>
  <si>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</si>
  <si>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</si>
  <si>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</si>
  <si>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</si>
  <si>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</si>
  <si>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</si>
  <si>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</si>
  <si>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</si>
  <si>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</si>
  <si>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</si>
  <si>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</si>
  <si>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</si>
  <si>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</si>
  <si>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</si>
  <si>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</si>
  <si>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</si>
  <si>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</si>
  <si>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</si>
  <si>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</si>
  <si>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</si>
  <si>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</si>
  <si>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</si>
  <si>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</si>
  <si>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</si>
  <si>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</si>
  <si>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</si>
  <si>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</si>
  <si>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</si>
  <si>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</si>
  <si>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</si>
  <si>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</si>
  <si>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</si>
  <si>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</si>
  <si>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</si>
  <si>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</si>
  <si>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</si>
  <si>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</si>
  <si>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</si>
  <si>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</si>
  <si>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</si>
  <si>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</si>
  <si>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</si>
  <si>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</si>
  <si>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</si>
  <si>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</si>
  <si>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</si>
  <si>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</si>
  <si>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</si>
  <si>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</si>
  <si>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</si>
  <si>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</si>
  <si>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</si>
  <si>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</si>
  <si>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</si>
  <si>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</si>
  <si>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</si>
  <si>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</si>
  <si>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</si>
  <si>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</si>
  <si>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</si>
  <si>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</si>
  <si>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</si>
  <si>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</si>
  <si>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</si>
  <si>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</si>
  <si>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</si>
  <si>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</si>
  <si>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</si>
  <si>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</si>
  <si>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</si>
  <si>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</si>
  <si>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</si>
  <si>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</si>
  <si>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</si>
  <si>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</si>
  <si>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</si>
  <si>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</si>
  <si>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</si>
  <si>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</si>
  <si>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</si>
  <si>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</si>
  <si>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</si>
  <si>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</si>
  <si>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</si>
  <si>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</si>
  <si>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</si>
  <si>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</si>
  <si>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</si>
  <si>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</si>
  <si>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</si>
  <si>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</si>
  <si>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</si>
  <si>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</si>
  <si>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</si>
  <si>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</si>
  <si>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</si>
  <si>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</si>
  <si>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</si>
  <si>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</si>
  <si>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</si>
  <si>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</si>
  <si>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</si>
  <si>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</si>
  <si>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</si>
  <si>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</si>
  <si>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</si>
  <si>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</si>
  <si>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</si>
  <si>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</si>
  <si>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</si>
  <si>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</si>
  <si>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</si>
  <si>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</si>
  <si>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</si>
  <si>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</si>
  <si>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</si>
  <si>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</si>
  <si>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</si>
  <si>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</si>
  <si>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</si>
  <si>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</si>
  <si>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</si>
  <si>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</si>
  <si>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</si>
  <si>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</si>
  <si>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</si>
  <si>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</si>
  <si>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</si>
  <si>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</si>
  <si>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</si>
  <si>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</si>
  <si>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</si>
  <si>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</si>
  <si>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</si>
  <si>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</si>
  <si>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</si>
  <si>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</si>
  <si>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</si>
  <si>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</si>
  <si>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</si>
  <si>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</si>
  <si>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</si>
  <si>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</si>
  <si>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</si>
  <si>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</si>
  <si>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</si>
  <si>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</si>
  <si>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</si>
  <si>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</si>
  <si>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</si>
  <si>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</si>
  <si>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</si>
  <si>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</si>
  <si>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</si>
  <si>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</si>
  <si>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</si>
  <si>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</si>
  <si>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</si>
  <si>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</si>
  <si>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</si>
  <si>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</si>
  <si>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</si>
  <si>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</si>
  <si>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</si>
  <si>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</si>
  <si>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</si>
  <si>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</si>
  <si>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</si>
  <si>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</si>
  <si>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</si>
  <si>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</si>
  <si>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</si>
  <si>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</si>
  <si>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</si>
  <si>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</si>
  <si>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</si>
  <si>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</si>
  <si>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</si>
  <si>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</si>
  <si>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</si>
  <si>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</si>
  <si>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</si>
  <si>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</si>
  <si>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</si>
  <si>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</si>
  <si>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</si>
  <si>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</si>
  <si>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</si>
  <si>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</si>
  <si>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</si>
  <si>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</si>
  <si>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</si>
  <si>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</si>
  <si>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</si>
  <si>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</si>
  <si>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</si>
  <si>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</si>
  <si>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</si>
  <si>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</si>
  <si>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</si>
  <si>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</si>
  <si>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</si>
  <si>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</si>
  <si>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</si>
  <si>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</si>
  <si>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</si>
  <si>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</si>
  <si>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</si>
  <si>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</si>
  <si>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</si>
  <si>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</si>
  <si>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</si>
  <si>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</si>
  <si>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</si>
  <si>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</si>
  <si>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</si>
  <si>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</si>
  <si>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</si>
  <si>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</si>
  <si>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</si>
  <si>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</si>
  <si>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</si>
  <si>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</si>
  <si>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</si>
  <si>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</si>
  <si>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</si>
  <si>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</si>
  <si>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</si>
  <si>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</si>
  <si>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</si>
  <si>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</si>
  <si>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</si>
  <si>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</si>
  <si>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</si>
  <si>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</si>
  <si>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</si>
  <si>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</si>
  <si>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</si>
  <si>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</si>
  <si>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</si>
  <si>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</si>
  <si>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</si>
  <si>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</si>
  <si>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</si>
  <si>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</si>
  <si>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</si>
  <si>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</si>
  <si>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</si>
  <si>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</si>
  <si>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</si>
  <si>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</si>
  <si>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</si>
  <si>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</si>
  <si>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</si>
  <si>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</si>
  <si>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</si>
  <si>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</si>
  <si>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</si>
  <si>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</si>
  <si>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</si>
  <si>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</si>
  <si>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</si>
  <si>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</si>
  <si>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</si>
  <si>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</si>
  <si>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</si>
  <si>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</si>
  <si>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</si>
  <si>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</si>
  <si>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</si>
  <si>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</si>
  <si>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</si>
  <si>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</si>
  <si>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</si>
  <si>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</si>
  <si>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</si>
  <si>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</si>
  <si>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</si>
  <si>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</si>
  <si>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</si>
  <si>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</si>
  <si>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</si>
  <si>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</si>
  <si>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</si>
  <si>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</si>
  <si>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</si>
  <si>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</si>
  <si>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</si>
  <si>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</si>
  <si>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</si>
  <si>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</si>
  <si>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</si>
  <si>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</si>
  <si>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</si>
  <si>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</si>
  <si>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</si>
  <si>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</si>
  <si>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</si>
  <si>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</si>
  <si>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</si>
  <si>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</si>
  <si>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</si>
  <si>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</si>
  <si>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</si>
  <si>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</si>
  <si>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</si>
  <si>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</si>
  <si>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</si>
  <si>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</si>
  <si>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</si>
  <si>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</si>
  <si>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</si>
  <si>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</si>
  <si>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</si>
  <si>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</si>
  <si>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</si>
  <si>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</si>
  <si>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</si>
  <si>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</si>
  <si>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</si>
  <si>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</si>
  <si>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</si>
  <si>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</si>
  <si>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</si>
  <si>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</si>
  <si>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</si>
  <si>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</si>
  <si>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</si>
  <si>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</si>
  <si>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</si>
  <si>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</si>
  <si>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</si>
  <si>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</si>
  <si>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</si>
  <si>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</si>
  <si>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</si>
  <si>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</si>
  <si>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</si>
  <si>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</si>
  <si>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</si>
  <si>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</si>
  <si>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</si>
  <si>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</si>
  <si>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</si>
  <si>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</si>
  <si>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</si>
  <si>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</si>
  <si>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</si>
  <si>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</si>
  <si>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</si>
  <si>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</si>
  <si>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</si>
  <si>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</si>
  <si>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</si>
  <si>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</si>
  <si>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</si>
  <si>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</si>
  <si>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</si>
  <si>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</si>
  <si>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</si>
  <si>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</si>
  <si>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</si>
  <si>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</si>
  <si>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</si>
  <si>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</si>
  <si>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</si>
  <si>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</si>
  <si>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</si>
  <si>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</si>
  <si>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</si>
  <si>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</si>
  <si>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</si>
  <si>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</si>
  <si>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</si>
  <si>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</si>
  <si>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</si>
  <si>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</si>
  <si>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</si>
  <si>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</si>
  <si>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</si>
  <si>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</si>
  <si>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</si>
  <si>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</si>
  <si>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</si>
  <si>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</si>
  <si>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</si>
  <si>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</si>
  <si>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</si>
  <si>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</si>
  <si>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</si>
  <si>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</si>
  <si>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</si>
  <si>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</si>
  <si>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</si>
  <si>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</si>
  <si>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</si>
  <si>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</si>
  <si>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</si>
  <si>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</si>
  <si>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</si>
  <si>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</si>
  <si>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</si>
  <si>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</si>
  <si>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</si>
  <si>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</si>
  <si>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</si>
  <si>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</si>
  <si>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</si>
  <si>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</si>
  <si>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</si>
  <si>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</si>
  <si>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</si>
  <si>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</si>
  <si>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</si>
  <si>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</si>
  <si>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</si>
  <si>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</si>
  <si>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</si>
  <si>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</si>
  <si>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</si>
  <si>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</si>
  <si>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</si>
  <si>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</si>
  <si>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</si>
  <si>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</si>
  <si>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</si>
  <si>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</si>
  <si>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</si>
  <si>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</si>
  <si>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</si>
  <si>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</si>
  <si>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</si>
  <si>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</si>
  <si>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</si>
  <si>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</si>
  <si>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</si>
  <si>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</si>
  <si>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</si>
  <si>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</si>
  <si>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</si>
  <si>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</si>
  <si>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</si>
  <si>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</si>
  <si>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</si>
  <si>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</si>
  <si>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</si>
  <si>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</si>
  <si>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</si>
  <si>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</si>
  <si>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</si>
  <si>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</si>
  <si>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</si>
  <si>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</si>
  <si>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</si>
  <si>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</si>
  <si>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</si>
  <si>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</si>
  <si>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</si>
  <si>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</si>
  <si>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</si>
  <si>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</si>
  <si>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</si>
  <si>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</si>
  <si>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</si>
  <si>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</si>
  <si>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</si>
  <si>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</si>
  <si>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</si>
  <si>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</si>
  <si>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</si>
  <si>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</si>
  <si>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</si>
  <si>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</si>
  <si>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</si>
  <si>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</si>
  <si>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</si>
  <si>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</si>
  <si>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</si>
  <si>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</si>
  <si>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</si>
  <si>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</si>
  <si>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</si>
  <si>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</si>
  <si>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</si>
  <si>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</si>
  <si>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</si>
  <si>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</si>
  <si>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</si>
  <si>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</si>
  <si>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</si>
  <si>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</si>
  <si>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</si>
  <si>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</si>
  <si>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</si>
  <si>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</si>
  <si>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</si>
  <si>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</si>
  <si>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</si>
  <si>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</si>
  <si>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</si>
  <si>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</si>
  <si>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</si>
  <si>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</si>
  <si>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</si>
  <si>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</si>
  <si>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</si>
  <si>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</si>
  <si>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</si>
  <si>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</si>
  <si>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</si>
  <si>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</si>
  <si>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</si>
  <si>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</si>
  <si>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</si>
  <si>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</si>
  <si>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</si>
  <si>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</si>
  <si>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</si>
  <si>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</si>
  <si>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</si>
  <si>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</si>
  <si>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</si>
  <si>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</si>
  <si>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</si>
  <si>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</si>
  <si>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</si>
  <si>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</si>
  <si>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</si>
  <si>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</si>
  <si>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</si>
  <si>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</si>
  <si>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</si>
  <si>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</si>
  <si>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</si>
  <si>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</si>
  <si>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</si>
  <si>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</si>
  <si>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</si>
  <si>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</si>
  <si>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</si>
  <si>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</si>
  <si>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</si>
  <si>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</si>
  <si>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</si>
  <si>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</si>
  <si>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</si>
  <si>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</si>
  <si>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</si>
  <si>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</si>
  <si>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</si>
  <si>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</si>
  <si>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</si>
  <si>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</si>
  <si>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</si>
  <si>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</si>
  <si>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</si>
  <si>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</si>
  <si>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</si>
  <si>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</si>
  <si>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</si>
  <si>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</si>
  <si>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</si>
  <si>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</si>
  <si>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</si>
  <si>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</si>
  <si>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</si>
  <si>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</si>
  <si>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</si>
  <si>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</si>
  <si>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</si>
  <si>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</si>
  <si>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</si>
  <si>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</si>
  <si>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</si>
  <si>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</si>
  <si>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</si>
  <si>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</si>
  <si>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</si>
  <si>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</si>
  <si>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</si>
  <si>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</si>
  <si>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</si>
  <si>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</si>
  <si>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</si>
  <si>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</si>
  <si>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</si>
  <si>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</si>
  <si>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</si>
  <si>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</si>
  <si>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</si>
  <si>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</si>
  <si>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</si>
  <si>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</si>
  <si>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</si>
  <si>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</si>
  <si>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</si>
  <si>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</si>
  <si>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</si>
  <si>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</si>
  <si>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</si>
  <si>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</si>
  <si>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</si>
  <si>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</si>
  <si>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</si>
  <si>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</si>
  <si>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</si>
  <si>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</si>
  <si>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</si>
  <si>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</si>
  <si>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</si>
  <si>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</si>
  <si>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</si>
  <si>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</si>
  <si>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</si>
  <si>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</si>
  <si>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</si>
  <si>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</si>
  <si>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</si>
  <si>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</si>
  <si>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</si>
  <si>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</si>
  <si>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</si>
  <si>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</si>
  <si>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</si>
  <si>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</si>
  <si>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</si>
  <si>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</si>
  <si>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</si>
  <si>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</si>
  <si>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</si>
  <si>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</si>
  <si>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</si>
  <si>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</si>
  <si>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</si>
  <si>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</si>
  <si>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</si>
  <si>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</si>
  <si>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</si>
  <si>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</si>
  <si>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</si>
  <si>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</si>
  <si>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</si>
  <si>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</si>
  <si>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</si>
  <si>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</si>
  <si>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</si>
  <si>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</si>
  <si>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</si>
  <si>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</si>
  <si>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</si>
  <si>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</si>
  <si>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</si>
  <si>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</si>
  <si>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</si>
  <si>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</si>
  <si>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</si>
  <si>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</si>
  <si>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</si>
  <si>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</si>
  <si>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</si>
  <si>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</si>
  <si>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</si>
  <si>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</si>
  <si>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</si>
  <si>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</si>
  <si>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</si>
  <si>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</si>
  <si>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</si>
  <si>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</si>
  <si>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</si>
  <si>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</si>
  <si>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</si>
  <si>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</si>
  <si>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</si>
  <si>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</si>
  <si>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</si>
  <si>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</si>
  <si>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</si>
  <si>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</si>
  <si>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</si>
  <si>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</si>
  <si>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</si>
  <si>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</si>
  <si>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</si>
  <si>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</si>
  <si>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</si>
  <si>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</si>
  <si>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</si>
  <si>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</si>
  <si>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</si>
  <si>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</si>
  <si>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</si>
  <si>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</si>
  <si>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</si>
  <si>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</si>
  <si>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</si>
  <si>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</si>
  <si>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</si>
  <si>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</si>
  <si>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</si>
  <si>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</si>
  <si>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</si>
  <si>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</si>
  <si>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</si>
  <si>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</si>
  <si>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</si>
  <si>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</si>
  <si>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</si>
  <si>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</si>
  <si>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</si>
  <si>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</si>
  <si>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</si>
  <si>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</si>
  <si>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</si>
  <si>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</si>
  <si>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</si>
  <si>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</si>
  <si>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</si>
  <si>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</si>
  <si>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</si>
  <si>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</si>
  <si>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</si>
  <si>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</si>
  <si>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</si>
  <si>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</si>
  <si>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</si>
  <si>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</si>
  <si>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</si>
  <si>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</si>
  <si>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</si>
  <si>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</si>
  <si>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</si>
  <si>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</si>
  <si>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</si>
  <si>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</si>
  <si>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</si>
  <si>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</si>
  <si>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</si>
  <si>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</si>
  <si>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</si>
  <si>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</si>
  <si>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</si>
  <si>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</si>
  <si>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</si>
  <si>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</si>
  <si>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</si>
  <si>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</si>
  <si>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</si>
  <si>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</si>
  <si>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</si>
  <si>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</si>
  <si>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</si>
  <si>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</si>
  <si>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</si>
  <si>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</si>
  <si>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</si>
  <si>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</si>
  <si>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</si>
  <si>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</si>
  <si>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</si>
  <si>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</si>
  <si>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</si>
  <si>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</si>
  <si>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</si>
  <si>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</si>
  <si>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</si>
  <si>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</si>
  <si>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</si>
  <si>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</si>
  <si>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</si>
  <si>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</si>
  <si>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</si>
  <si>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</si>
  <si>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</si>
  <si>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</si>
  <si>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</si>
  <si>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</si>
  <si>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</si>
  <si>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</si>
  <si>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</si>
  <si>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</si>
  <si>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</si>
  <si>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</si>
  <si>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</si>
  <si>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</si>
  <si>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</si>
  <si>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</si>
  <si>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</si>
  <si>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</si>
  <si>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</si>
  <si>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</si>
  <si>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</si>
  <si>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</si>
  <si>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</si>
  <si>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</si>
  <si>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</si>
  <si>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</si>
  <si>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</si>
  <si>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</si>
  <si>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</si>
  <si>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</si>
  <si>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</si>
  <si>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</si>
  <si>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</si>
  <si>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</si>
  <si>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</si>
  <si>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</si>
  <si>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</si>
  <si>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</si>
  <si>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</si>
  <si>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</si>
  <si>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</si>
  <si>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</si>
  <si>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</si>
  <si>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</si>
  <si>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</si>
  <si>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</si>
  <si>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</si>
  <si>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</si>
  <si>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</si>
  <si>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</si>
  <si>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</si>
  <si>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</si>
  <si>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</si>
  <si>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</si>
  <si>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</si>
  <si>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</si>
  <si>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</si>
  <si>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</si>
  <si>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</si>
  <si>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</si>
  <si>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</si>
  <si>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</si>
  <si>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</si>
  <si>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</si>
  <si>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</si>
  <si>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</si>
  <si>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</si>
  <si>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</si>
  <si>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</si>
  <si>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</si>
  <si>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</si>
  <si>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</si>
  <si>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</si>
  <si>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</si>
  <si>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</si>
  <si>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</si>
  <si>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</si>
  <si>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</si>
  <si>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</si>
  <si>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</si>
  <si>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</si>
  <si>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</si>
  <si>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</si>
  <si>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</si>
  <si>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</si>
  <si>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</si>
  <si>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</si>
  <si>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</si>
  <si>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</si>
  <si>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</si>
  <si>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</si>
  <si>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</si>
  <si>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</si>
  <si>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</si>
  <si>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</si>
  <si>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</si>
  <si>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</si>
  <si>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</si>
  <si>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</si>
  <si>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</si>
  <si>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</si>
  <si>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</si>
  <si>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</si>
  <si>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</si>
  <si>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</si>
  <si>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</si>
  <si>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</si>
  <si>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</si>
  <si>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</si>
  <si>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</si>
  <si>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</si>
  <si>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</si>
  <si>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</si>
  <si>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</si>
  <si>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</si>
  <si>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</si>
  <si>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</si>
  <si>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</si>
  <si>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</si>
  <si>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</si>
  <si>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</si>
  <si>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</si>
  <si>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</si>
  <si>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</si>
  <si>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</si>
  <si>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</si>
  <si>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</si>
  <si>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</si>
  <si>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</si>
  <si>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</si>
  <si>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</si>
  <si>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</si>
  <si>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</si>
  <si>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</si>
  <si>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</si>
  <si>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</si>
  <si>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</si>
  <si>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</si>
  <si>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</si>
  <si>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</si>
  <si>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</si>
  <si>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</si>
  <si>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</si>
  <si>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</si>
  <si>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</si>
  <si>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</si>
  <si>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</si>
  <si>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</si>
  <si>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</si>
  <si>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</si>
  <si>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</si>
  <si>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</si>
  <si>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</si>
  <si>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</si>
  <si>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</si>
  <si>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</si>
  <si>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</si>
  <si>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</si>
  <si>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</si>
  <si>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</si>
  <si>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</si>
  <si>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</si>
  <si>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</si>
  <si>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</si>
  <si>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</si>
  <si>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</si>
  <si>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</si>
  <si>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</si>
  <si>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</si>
  <si>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</si>
  <si>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</si>
  <si>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</si>
  <si>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</si>
  <si>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</si>
  <si>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</si>
  <si>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</si>
  <si>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</si>
  <si>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</si>
  <si>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</si>
  <si>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</si>
  <si>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</si>
  <si>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</si>
  <si>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</si>
  <si>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</si>
  <si>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</si>
  <si>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</si>
  <si>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</si>
  <si>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</si>
  <si>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</si>
  <si>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</si>
  <si>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</si>
  <si>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</si>
  <si>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</si>
  <si>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</si>
  <si>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</si>
  <si>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</si>
  <si>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</si>
  <si>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</si>
  <si>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</si>
  <si>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</si>
  <si>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</si>
  <si>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</si>
  <si>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</si>
  <si>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</si>
  <si>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</si>
  <si>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</si>
  <si>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</si>
  <si>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</si>
  <si>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</si>
  <si>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</si>
  <si>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</si>
  <si>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</si>
  <si>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</si>
  <si>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</si>
  <si>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</si>
  <si>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</si>
  <si>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</si>
  <si>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</si>
  <si>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</si>
  <si>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</si>
  <si>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</si>
  <si>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</si>
  <si>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</si>
  <si>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</si>
  <si>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</si>
  <si>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</si>
  <si>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</si>
  <si>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</si>
  <si>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</si>
  <si>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</si>
  <si>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</si>
  <si>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</si>
  <si>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</si>
  <si>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</si>
  <si>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</si>
  <si>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</si>
  <si>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</si>
  <si>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</si>
  <si>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</si>
  <si>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</si>
  <si>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</si>
  <si>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</si>
  <si>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</si>
  <si>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</si>
  <si>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</si>
  <si>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</si>
  <si>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</si>
  <si>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</si>
  <si>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</si>
  <si>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</si>
  <si>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</si>
  <si>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</si>
  <si>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</si>
  <si>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</si>
  <si>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</si>
  <si>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</si>
  <si>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</si>
  <si>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</si>
  <si>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</si>
  <si>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</si>
  <si>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</si>
  <si>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</si>
  <si>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</si>
  <si>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</si>
  <si>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</si>
  <si>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</si>
  <si>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</si>
  <si>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</si>
  <si>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</si>
  <si>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</si>
  <si>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</si>
  <si>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</si>
  <si>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</si>
  <si>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</si>
  <si>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</si>
  <si>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</si>
  <si>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</si>
  <si>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</si>
  <si>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</si>
  <si>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</si>
  <si>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</si>
  <si>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</si>
  <si>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</si>
  <si>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</si>
  <si>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</si>
  <si>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</si>
  <si>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</si>
  <si>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</si>
  <si>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</si>
  <si>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</si>
  <si>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</si>
  <si>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</si>
  <si>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</si>
  <si>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</si>
  <si>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</si>
  <si>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</si>
  <si>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</si>
  <si>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</si>
  <si>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</si>
  <si>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</si>
  <si>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</si>
  <si>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</si>
  <si>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</si>
  <si>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</si>
  <si>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</si>
  <si>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</si>
  <si>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</si>
  <si>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</si>
  <si>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</si>
  <si>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</si>
  <si>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</si>
  <si>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</si>
  <si>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</si>
  <si>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</si>
  <si>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</si>
  <si>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</si>
  <si>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</si>
  <si>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</si>
  <si>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</si>
  <si>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</si>
  <si>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</si>
  <si>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</si>
  <si>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</si>
  <si>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</si>
  <si>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</si>
  <si>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</si>
  <si>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</si>
  <si>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</si>
  <si>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</si>
  <si>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</si>
  <si>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</si>
  <si>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</si>
  <si>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</si>
  <si>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</si>
  <si>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</si>
  <si>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</si>
  <si>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</si>
  <si>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</si>
  <si>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</si>
  <si>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</si>
  <si>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</si>
  <si>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</si>
  <si>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</si>
  <si>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</si>
  <si>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</si>
  <si>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</si>
  <si>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</si>
  <si>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</si>
  <si>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</si>
  <si>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</si>
  <si>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</si>
  <si>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</si>
  <si>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</si>
  <si>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</si>
  <si>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</si>
  <si>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</si>
  <si>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</si>
  <si>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</si>
  <si>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</si>
  <si>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</si>
  <si>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</si>
  <si>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</si>
  <si>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</si>
  <si>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</si>
  <si>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</si>
  <si>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</si>
  <si>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</si>
  <si>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</si>
  <si>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</si>
  <si>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</si>
  <si>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</si>
  <si>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</si>
  <si>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</si>
  <si>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</si>
  <si>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</si>
  <si>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</si>
  <si>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</si>
  <si>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</si>
  <si>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</si>
  <si>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</si>
  <si>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</si>
  <si>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</si>
  <si>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</si>
  <si>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</si>
  <si>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</si>
  <si>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</si>
  <si>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</si>
  <si>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</si>
  <si>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</si>
  <si>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</si>
  <si>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</si>
  <si>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</si>
  <si>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</si>
  <si>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</si>
  <si>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</si>
  <si>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</si>
  <si>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</si>
  <si>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</si>
  <si>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</si>
  <si>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</si>
  <si>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</si>
  <si>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</si>
  <si>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</si>
  <si>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</si>
  <si>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</si>
  <si>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</si>
  <si>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</si>
  <si>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</si>
  <si>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</si>
  <si>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</si>
  <si>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</si>
  <si>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</si>
  <si>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</si>
  <si>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</si>
  <si>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</si>
  <si>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</si>
  <si>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</si>
  <si>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</si>
  <si>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</si>
  <si>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</si>
  <si>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</si>
  <si>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</si>
  <si>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</si>
  <si>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</si>
  <si>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</si>
  <si>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</si>
  <si>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</si>
  <si>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</si>
  <si>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</si>
  <si>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</si>
  <si>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</si>
  <si>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</si>
  <si>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</si>
  <si>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</si>
  <si>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</si>
  <si>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</si>
  <si>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</si>
  <si>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</si>
  <si>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</si>
  <si>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</si>
  <si>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</si>
  <si>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</si>
  <si>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</si>
  <si>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</si>
  <si>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</si>
  <si>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</si>
  <si>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</si>
  <si>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</si>
  <si>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</si>
  <si>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</si>
  <si>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</si>
  <si>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</si>
  <si>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</si>
  <si>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</si>
  <si>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</si>
  <si>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</si>
  <si>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</si>
  <si>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</si>
  <si>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</si>
  <si>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</si>
  <si>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</si>
  <si>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</si>
  <si>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</si>
  <si>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</si>
  <si>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</si>
  <si>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</si>
  <si>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</si>
  <si>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</si>
  <si>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</si>
  <si>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</si>
  <si>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</si>
  <si>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</si>
  <si>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</si>
  <si>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</si>
  <si>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</si>
  <si>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</si>
  <si>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</si>
  <si>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</si>
  <si>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</si>
  <si>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</si>
  <si>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</si>
  <si>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</si>
  <si>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</si>
  <si>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</si>
  <si>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</si>
  <si>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</si>
  <si>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</si>
  <si>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</si>
  <si>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</si>
  <si>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</si>
  <si>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</si>
  <si>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</si>
  <si>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</si>
  <si>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</si>
  <si>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</si>
  <si>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</si>
  <si>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</si>
  <si>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</si>
  <si>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</si>
  <si>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</si>
  <si>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</si>
  <si>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</si>
  <si>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</si>
  <si>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</si>
  <si>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</si>
  <si>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</si>
  <si>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</si>
  <si>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</si>
  <si>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</si>
  <si>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</si>
  <si>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</si>
  <si>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</si>
  <si>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</si>
  <si>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</si>
  <si>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</si>
  <si>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</si>
  <si>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</si>
  <si>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</si>
  <si>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</si>
  <si>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</si>
  <si>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</si>
  <si>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</si>
  <si>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</si>
  <si>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</si>
  <si>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</si>
  <si>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</si>
  <si>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</si>
  <si>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</si>
  <si>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</si>
  <si>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</si>
  <si>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</si>
  <si>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</si>
  <si>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</si>
  <si>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</si>
  <si>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</si>
  <si>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</si>
  <si>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</si>
  <si>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</si>
  <si>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</si>
  <si>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</si>
  <si>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</si>
  <si>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</si>
  <si>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</si>
  <si>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</si>
  <si>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</si>
  <si>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</si>
  <si>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</si>
  <si>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</si>
  <si>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</si>
  <si>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</si>
  <si>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</si>
  <si>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</si>
  <si>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</si>
  <si>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</si>
  <si>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</si>
  <si>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</si>
  <si>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</si>
  <si>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</si>
  <si>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</si>
  <si>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</si>
  <si>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</si>
  <si>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</si>
  <si>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</si>
  <si>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</si>
  <si>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</si>
  <si>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</si>
  <si>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</si>
  <si>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</si>
  <si>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</si>
  <si>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</si>
  <si>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</si>
  <si>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</si>
  <si>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</si>
  <si>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</si>
  <si>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</si>
  <si>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</si>
  <si>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</si>
  <si>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</si>
  <si>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</si>
  <si>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</si>
  <si>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</si>
  <si>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</si>
  <si>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</si>
  <si>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</si>
  <si>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</si>
  <si>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</si>
  <si>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</si>
  <si>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</si>
  <si>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</si>
  <si>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</si>
  <si>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</si>
  <si>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</si>
  <si>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</si>
  <si>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</si>
  <si>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</si>
  <si>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</si>
  <si>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</si>
  <si>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</si>
  <si>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</si>
  <si>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</si>
  <si>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</si>
  <si>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</si>
  <si>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</si>
  <si>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</si>
  <si>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</si>
  <si>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</si>
  <si>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</si>
  <si>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</si>
  <si>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</si>
  <si>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</si>
  <si>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</si>
  <si>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</si>
  <si>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</si>
  <si>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</si>
  <si>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</si>
  <si>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</si>
  <si>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</si>
  <si>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</si>
  <si>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</si>
  <si>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</si>
  <si>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</si>
  <si>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</si>
  <si>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</si>
  <si>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</si>
  <si>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</si>
  <si>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</si>
  <si>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</si>
  <si>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</si>
  <si>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</si>
  <si>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</si>
  <si>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</si>
  <si>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</si>
  <si>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</si>
  <si>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</si>
  <si>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</si>
  <si>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</si>
  <si>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</si>
  <si>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</si>
  <si>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</si>
  <si>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</si>
  <si>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</si>
  <si>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</si>
  <si>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</si>
  <si>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</si>
  <si>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</si>
  <si>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</si>
  <si>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</si>
  <si>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</si>
  <si>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</si>
  <si>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</si>
  <si>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</si>
  <si>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</si>
  <si>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</si>
  <si>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</si>
  <si>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</si>
  <si>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</si>
  <si>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</si>
  <si>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</si>
  <si>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</si>
  <si>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</si>
  <si>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</si>
  <si>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</si>
  <si>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</si>
  <si>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</si>
  <si>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</si>
  <si>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</si>
  <si>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</si>
  <si>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</si>
  <si>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</si>
  <si>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</si>
  <si>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</si>
  <si>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</si>
  <si>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</si>
  <si>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</si>
  <si>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</si>
  <si>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</si>
  <si>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</si>
  <si>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</si>
  <si>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</si>
  <si>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</si>
  <si>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</si>
  <si>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</si>
  <si>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</si>
  <si>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</si>
  <si>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</si>
  <si>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</si>
  <si>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</si>
  <si>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</si>
  <si>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</si>
  <si>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</si>
  <si>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</si>
  <si>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</si>
  <si>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</si>
  <si>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</si>
  <si>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</si>
  <si>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</si>
  <si>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</si>
  <si>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</si>
  <si>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</si>
  <si>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</si>
  <si>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</si>
  <si>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</si>
  <si>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</si>
  <si>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</si>
  <si>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</si>
  <si>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</si>
  <si>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</si>
  <si>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</si>
  <si>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</si>
  <si>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</si>
  <si>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</si>
  <si>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</si>
  <si>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</si>
  <si>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</si>
  <si>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</si>
  <si>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</si>
  <si>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</si>
  <si>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</si>
  <si>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</si>
  <si>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</si>
  <si>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</si>
  <si>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</si>
  <si>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</si>
  <si>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</si>
  <si>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</si>
  <si>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</si>
  <si>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</si>
  <si>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</si>
  <si>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</si>
  <si>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</si>
  <si>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</si>
  <si>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</si>
  <si>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</si>
  <si>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</si>
  <si>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</si>
  <si>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</si>
  <si>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</si>
  <si>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</si>
  <si>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</si>
  <si>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</si>
  <si>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</si>
  <si>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</si>
  <si>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</si>
  <si>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</si>
  <si>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</si>
  <si>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</si>
  <si>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</si>
  <si>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</si>
  <si>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</si>
  <si>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</si>
  <si>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</si>
  <si>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</si>
  <si>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</si>
  <si>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</si>
  <si>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</si>
  <si>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</si>
  <si>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</si>
  <si>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</si>
  <si>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</si>
  <si>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</si>
  <si>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</si>
  <si>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</si>
  <si>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</si>
  <si>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</si>
  <si>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</si>
  <si>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</si>
  <si>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</si>
  <si>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</si>
  <si>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</si>
  <si>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</si>
  <si>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</si>
  <si>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</si>
  <si>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</si>
  <si>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</si>
  <si>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</si>
  <si>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</si>
  <si>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</si>
  <si>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</si>
  <si>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</si>
  <si>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</si>
  <si>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</si>
  <si>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</si>
  <si>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</si>
  <si>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</si>
  <si>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</si>
  <si>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</si>
  <si>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</si>
  <si>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</si>
  <si>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</si>
  <si>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</si>
  <si>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</si>
  <si>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</si>
  <si>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</si>
  <si>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</si>
  <si>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</si>
  <si>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</si>
  <si>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</si>
  <si>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</si>
  <si>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</si>
  <si>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</si>
  <si>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</si>
  <si>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</si>
  <si>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</si>
  <si>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</si>
  <si>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</si>
  <si>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</si>
  <si>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</si>
  <si>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</si>
  <si>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</si>
  <si>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</si>
  <si>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</si>
  <si>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</si>
  <si>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</si>
  <si>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</si>
  <si>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</si>
  <si>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</si>
  <si>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</si>
  <si>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</si>
  <si>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</si>
  <si>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</si>
  <si>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</si>
  <si>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</si>
  <si>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</si>
  <si>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</si>
  <si>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</si>
  <si>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</si>
  <si>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</si>
  <si>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</si>
  <si>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</si>
  <si>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</si>
  <si>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</si>
  <si>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</si>
  <si>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</si>
  <si>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</si>
  <si>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</si>
  <si>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</si>
  <si>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</si>
  <si>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</si>
  <si>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</si>
  <si>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</si>
  <si>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</si>
  <si>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</si>
  <si>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</si>
  <si>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</si>
  <si>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</si>
  <si>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</si>
  <si>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</si>
  <si>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</si>
  <si>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</si>
  <si>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</si>
  <si>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</si>
  <si>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</si>
  <si>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</si>
  <si>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</si>
  <si>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</si>
  <si>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</si>
  <si>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</si>
  <si>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</si>
  <si>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</si>
  <si>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</si>
  <si>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</si>
  <si>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</si>
  <si>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</si>
  <si>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</si>
  <si>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</si>
  <si>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</si>
  <si>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</si>
  <si>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</si>
  <si>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</si>
  <si>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</si>
  <si>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</si>
  <si>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</si>
  <si>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</si>
  <si>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</si>
  <si>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</si>
  <si>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</si>
  <si>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</si>
  <si>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</si>
  <si>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</si>
  <si>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</si>
  <si>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</si>
  <si>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</si>
  <si>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</si>
  <si>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</si>
  <si>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</si>
  <si>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</si>
  <si>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</si>
  <si>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</si>
  <si>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</si>
  <si>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</si>
  <si>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</si>
  <si>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</si>
  <si>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</si>
  <si>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</si>
  <si>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</si>
  <si>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</si>
  <si>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</si>
  <si>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</si>
  <si>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</si>
  <si>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</si>
  <si>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</si>
  <si>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</si>
  <si>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</si>
  <si>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</si>
  <si>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</si>
  <si>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</si>
  <si>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</si>
  <si>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</si>
  <si>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</si>
  <si>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</si>
  <si>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</si>
  <si>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</si>
  <si>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</si>
  <si>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</si>
  <si>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</si>
  <si>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</si>
  <si>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</si>
  <si>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</si>
  <si>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</si>
  <si>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</si>
  <si>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</si>
  <si>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</si>
  <si>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</si>
  <si>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</si>
  <si>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</si>
  <si>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</si>
  <si>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</si>
  <si>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</si>
  <si>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</si>
  <si>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</si>
  <si>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</si>
  <si>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</si>
  <si>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</si>
  <si>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</si>
  <si>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</si>
  <si>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</si>
  <si>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</si>
  <si>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</si>
  <si>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</si>
  <si>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</si>
  <si>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</si>
  <si>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</si>
  <si>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</si>
  <si>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</si>
  <si>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</si>
  <si>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</si>
  <si>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</si>
  <si>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</si>
  <si>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</si>
  <si>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</si>
  <si>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</si>
  <si>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</si>
  <si>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</si>
  <si>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</si>
  <si>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</si>
  <si>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</si>
  <si>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</si>
  <si>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</si>
  <si>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</si>
  <si>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</si>
  <si>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</si>
  <si>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</si>
  <si>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</si>
  <si>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</si>
  <si>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</si>
  <si>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</si>
  <si>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</si>
  <si>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</si>
  <si>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</si>
  <si>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</si>
  <si>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</si>
  <si>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</si>
  <si>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</si>
  <si>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</si>
  <si>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</si>
  <si>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</si>
  <si>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</si>
  <si>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</si>
  <si>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</si>
  <si>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</si>
  <si>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</si>
  <si>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</si>
  <si>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</si>
  <si>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</si>
  <si>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</si>
  <si>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</si>
  <si>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</si>
  <si>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</si>
  <si>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</si>
  <si>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</si>
  <si>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</si>
  <si>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</si>
  <si>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</si>
  <si>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</si>
  <si>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</si>
  <si>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</si>
  <si>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</si>
  <si>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</si>
  <si>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</si>
  <si>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</si>
  <si>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</si>
  <si>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</si>
  <si>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</si>
  <si>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</si>
  <si>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</si>
  <si>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</si>
  <si>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</si>
  <si>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</si>
  <si>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</si>
  <si>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</si>
  <si>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</si>
  <si>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</si>
  <si>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</si>
  <si>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Count of outcome</t>
  </si>
  <si>
    <t>Row Labels</t>
  </si>
  <si>
    <t>Grand Total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</si>
  <si>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</si>
  <si>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</si>
  <si>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</si>
  <si>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</si>
  <si>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</si>
  <si>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</si>
  <si>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</si>
  <si>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</si>
  <si>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</si>
  <si>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</si>
  <si>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</si>
  <si>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</si>
  <si>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</si>
  <si>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</si>
  <si>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</si>
  <si>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</si>
  <si>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</si>
  <si>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</si>
  <si>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</si>
  <si>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</si>
  <si>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</si>
  <si>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</si>
  <si>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Percentange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</si>
  <si>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</si>
  <si>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</si>
  <si>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</si>
  <si>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</si>
  <si>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</si>
  <si>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</si>
  <si>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25000 to 29999</t>
  </si>
  <si>
    <t>30000 to 34999</t>
  </si>
  <si>
    <t>40000 to 44999</t>
  </si>
  <si>
    <t>45000 to 50000</t>
  </si>
  <si>
    <t>10000 to 19999</t>
  </si>
  <si>
    <t>20000 to 24999</t>
  </si>
  <si>
    <t>35000 to 39999</t>
  </si>
  <si>
    <t>Outcome</t>
  </si>
  <si>
    <t>Backers_count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</si>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</sst>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42" applyFont="1"/>
    <xf numFmtId="0" fontId="0" fillId="0" borderId="0" xfId="0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C8FF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C8FF"/>
        </patternFill>
      </fill>
    </dxf>
  </dxfs>
  <tableStyles count="0" defaultTableStyle="TableStyleMedium2" defaultPivotStyle="PivotStyleLight16"/>
  <colors>
    <mruColors>
      <color rgb="FFFF0000"/>
      <color rgb="FF00C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Betty Paniagua.xlsx]Parent Category Table!PivotTable7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6-F844-8B03-906AC35FA0CA}"/>
            </c:ext>
          </c:extLst>
        </c:ser>
        <c:ser>
          <c:idx val="1"/>
          <c:order val="1"/>
          <c:tx>
            <c:strRef>
              <c:f>'Parent Category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6-F844-8B03-906AC35FA0CA}"/>
            </c:ext>
          </c:extLst>
        </c:ser>
        <c:ser>
          <c:idx val="2"/>
          <c:order val="2"/>
          <c:tx>
            <c:strRef>
              <c:f>'Parent Category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6-F844-8B03-906AC35FA0CA}"/>
            </c:ext>
          </c:extLst>
        </c:ser>
        <c:ser>
          <c:idx val="3"/>
          <c:order val="3"/>
          <c:tx>
            <c:strRef>
              <c:f>'Parent Category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B6-F844-8B03-906AC35FA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324848"/>
        <c:axId val="686814256"/>
      </c:barChart>
      <c:catAx>
        <c:axId val="6863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814256"/>
        <c:crosses val="autoZero"/>
        <c:auto val="1"/>
        <c:lblAlgn val="ctr"/>
        <c:lblOffset val="100"/>
        <c:noMultiLvlLbl val="0"/>
      </c:catAx>
      <c:valAx>
        <c:axId val="686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3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Betty Paniagua.xlsx]Subcategory Table!PivotTable8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D-C240-94B8-BA9B44109C11}"/>
            </c:ext>
          </c:extLst>
        </c:ser>
        <c:ser>
          <c:idx val="1"/>
          <c:order val="1"/>
          <c:tx>
            <c:strRef>
              <c:f>'Subcategory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D-C240-94B8-BA9B44109C11}"/>
            </c:ext>
          </c:extLst>
        </c:ser>
        <c:ser>
          <c:idx val="2"/>
          <c:order val="2"/>
          <c:tx>
            <c:strRef>
              <c:f>'Subcategory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D-C240-94B8-BA9B44109C11}"/>
            </c:ext>
          </c:extLst>
        </c:ser>
        <c:ser>
          <c:idx val="3"/>
          <c:order val="3"/>
          <c:tx>
            <c:strRef>
              <c:f>'Subcategory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'Subcategory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D-C240-94B8-BA9B4410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173792"/>
        <c:axId val="413585280"/>
      </c:barChart>
      <c:catAx>
        <c:axId val="1301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85280"/>
        <c:crosses val="autoZero"/>
        <c:auto val="1"/>
        <c:lblAlgn val="ctr"/>
        <c:lblOffset val="100"/>
        <c:noMultiLvlLbl val="0"/>
      </c:catAx>
      <c:valAx>
        <c:axId val="4135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Betty Paniagua.xlsx]Months Table!PivotTable9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'Months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'Months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E-C248-A8FA-E811D6570266}"/>
            </c:ext>
          </c:extLst>
        </c:ser>
        <c:ser>
          <c:idx val="1"/>
          <c:order val="1"/>
          <c:tx>
            <c:strRef>
              <c:f>'Months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'Months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65-A141-88A2-C6590BC8A1C0}"/>
            </c:ext>
          </c:extLst>
        </c:ser>
        <c:ser>
          <c:idx val="2"/>
          <c:order val="2"/>
          <c:tx>
            <c:strRef>
              <c:f>'Months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'Months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Table'!$D$6:$D$18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65-A141-88A2-C6590BC8A1C0}"/>
            </c:ext>
          </c:extLst>
        </c:ser>
        <c:ser>
          <c:idx val="3"/>
          <c:order val="3"/>
          <c:tx>
            <c:strRef>
              <c:f>'Months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'Months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'Months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65-A141-88A2-C6590BC8A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388192"/>
        <c:axId val="253221728"/>
      </c:lineChart>
      <c:catAx>
        <c:axId val="2883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221728"/>
        <c:crosses val="autoZero"/>
        <c:auto val="1"/>
        <c:lblAlgn val="ctr"/>
        <c:lblOffset val="100"/>
        <c:noMultiLvlLbl val="0"/>
      </c:catAx>
      <c:valAx>
        <c:axId val="2532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'Crowdfuding Goal Analysis'!$F$1</c:f>
              <c:strCache>
                <c:ptCount val="1"/>
                <c:pt idx="0">
                  <c:v>Percentange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</c:strCache>
            </c:strRef>
          </c:cat>
          <c:val>
            <c:numRef>
              <c:f>'Crowdfuding Goal Analysis'!$F$2:$F$12</c:f>
              <c:numCache>
                <c:formatCode>0%</c:formatCode>
                <c:ptCount val="11"/>
                <c:pt idx="0">
                  <c:v>0.57692307692307687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0.73684210526315785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90-A943-95DB-E70469A189A6}"/>
            </c:ext>
          </c:extLst>
        </c:ser>
        <c:ser>
          <c:idx val="5"/>
          <c:order val="1"/>
          <c:tx>
            <c:strRef>
              <c:f>'Crowdfuding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'Crowdfuding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</c:strCache>
            </c:strRef>
          </c:cat>
          <c:val>
            <c:numRef>
              <c:f>'Crowdfuding Goal Analysis'!$G$2:$G$12</c:f>
              <c:numCache>
                <c:formatCode>0%</c:formatCode>
                <c:ptCount val="11"/>
                <c:pt idx="0">
                  <c:v>0.40384615384615385</c:v>
                </c:pt>
                <c:pt idx="1">
                  <c:v>0.16450216450216451</c:v>
                </c:pt>
                <c:pt idx="2">
                  <c:v>0.4</c:v>
                </c:pt>
                <c:pt idx="3">
                  <c:v>0.26315789473684209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90-A943-95DB-E70469A189A6}"/>
            </c:ext>
          </c:extLst>
        </c:ser>
        <c:ser>
          <c:idx val="6"/>
          <c:order val="2"/>
          <c:tx>
            <c:strRef>
              <c:f>'Crowdfuding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'Crowdfuding Goal Analysis'!$A$2:$A$12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19999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50000</c:v>
                </c:pt>
              </c:strCache>
            </c:strRef>
          </c:cat>
          <c:val>
            <c:numRef>
              <c:f>'Crowdfuding Goal Analysis'!$H$2:$H$12</c:f>
              <c:numCache>
                <c:formatCode>0%</c:formatCode>
                <c:ptCount val="11"/>
                <c:pt idx="0">
                  <c:v>1.9230769230769232E-2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90-A943-95DB-E70469A1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158575"/>
        <c:axId val="2099938767"/>
      </c:lineChart>
      <c:catAx>
        <c:axId val="204515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38767"/>
        <c:crosses val="autoZero"/>
        <c:auto val="1"/>
        <c:lblAlgn val="ctr"/>
        <c:lblOffset val="100"/>
        <c:noMultiLvlLbl val="0"/>
      </c:catAx>
      <c:valAx>
        <c:axId val="209993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</xdr:rowOff>
    </xdr:from>
    <xdr:to>
      <xdr:col>15</xdr:col>
      <xdr:colOff>12700</xdr:colOff>
      <xdr:row>24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701CD-D5B1-35CD-3EC9-69CCEDC03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15</xdr:col>
      <xdr:colOff>1104900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256C8-43EE-AAC1-06C6-730334DFF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196850</xdr:rowOff>
    </xdr:from>
    <xdr:to>
      <xdr:col>14</xdr:col>
      <xdr:colOff>673100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88208-5E37-54F4-049E-1F419132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146050</xdr:rowOff>
    </xdr:from>
    <xdr:to>
      <xdr:col>5</xdr:col>
      <xdr:colOff>1320800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B198B-B822-0691-0DD1-F42DEA4BC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leem" refreshedDate="45277.964749652776" createdVersion="8" refreshedVersion="8" minRefreshableVersion="3" recordCount="1000" xr:uid="{148F27B2-AC97-CC43-A578-BF35A423C8D0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saleem" refreshedDate="45278.636143750002" createdVersion="8" refreshedVersion="8" minRefreshableVersion="3" recordCount="1000" xr:uid="{102B51F0-A759-B846-9952-C39D0B8E1F3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F27AD-AED1-1942-B354-A44F55BDEC45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02B55-0224-F54F-9227-C9334FE8A1EA}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14F3D-7F9C-284A-A51E-C3B98D4FB7DC}" name="PivotTable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E52CE-BD78-6545-ADB2-0907FE6CD553}" name="Table1" displayName="Table1" ref="G1:J7" totalsRowShown="0" headerRowDxfId="0">
  <autoFilter ref="G1:J7" xr:uid="{C41E52CE-BD78-6545-ADB2-0907FE6CD553}"/>
  <tableColumns count="4">
    <tableColumn id="1" xr3:uid="{8263F22E-1BC4-104E-8D81-9EA9BD9CA753}" name="Successful" dataDxfId="3"/>
    <tableColumn id="2" xr3:uid="{4A47CA0A-1D45-D248-820E-40B951A692E4}" name="Column1" dataDxfId="2"/>
    <tableColumn id="3" xr3:uid="{BE1E44E4-4DDA-BC4C-88FD-E7F189E2A6B0}" name="Failed" dataDxfId="1"/>
    <tableColumn id="4" xr3:uid="{45580ED8-D64B-9647-A715-C665C1EF0032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topLeftCell="I1" zoomScaleNormal="65" workbookViewId="0">
      <selection activeCell="C53" sqref="C5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6" bestFit="1" customWidth="1"/>
    <col min="12" max="13" width="11.1640625" bestFit="1" customWidth="1"/>
    <col min="14" max="14" width="23" bestFit="1" customWidth="1"/>
    <col min="15" max="15" width="23" customWidth="1"/>
    <col min="18" max="18" width="28" bestFit="1" customWidth="1"/>
    <col min="19" max="19" width="21.66406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4" hidden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ht="17" hidden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ht="17" hidden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4" hidden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ht="17" hidden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ht="17" hidden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ht="17" hidden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ht="17" hidden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ht="17" hidden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ht="17" hidden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ht="17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4" hidden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ht="17" hidden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4" hidden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4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ht="17" hidden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ht="17" hidden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 s="4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5">(((L67/60)/60)/24)+DATE(1970,1,1)</f>
        <v>40570.25</v>
      </c>
      <c r="O67" s="8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ht="17" hidden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5"/>
        <v>42102.208333333328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5"/>
        <v>40203.25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5"/>
        <v>42943.208333333328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5"/>
        <v>40531.25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5"/>
        <v>40484.208333333336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5"/>
        <v>43799.25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5"/>
        <v>42186.208333333328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5"/>
        <v>42701.25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5"/>
        <v>42456.208333333328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5"/>
        <v>43296.208333333328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ht="17" hidden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5"/>
        <v>42027.25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ht="17" hidden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5"/>
        <v>40448.208333333336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5"/>
        <v>43206.208333333328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ht="17" hidden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5"/>
        <v>43267.208333333328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5"/>
        <v>42976.208333333328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5"/>
        <v>43062.25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5"/>
        <v>43482.25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ht="17" hidden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5"/>
        <v>42579.208333333328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5"/>
        <v>41118.208333333336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5"/>
        <v>40797.208333333336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5"/>
        <v>42128.208333333328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5"/>
        <v>40610.25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5"/>
        <v>42110.208333333328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5"/>
        <v>40283.208333333336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ht="17" hidden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5"/>
        <v>42425.25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5"/>
        <v>42588.208333333328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5"/>
        <v>40352.208333333336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5"/>
        <v>41202.208333333336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5"/>
        <v>43562.208333333328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5"/>
        <v>43752.208333333328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5"/>
        <v>40612.25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5"/>
        <v>42180.208333333328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5"/>
        <v>42212.208333333328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5"/>
        <v>41968.25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ht="17" hidden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5"/>
        <v>40835.208333333336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5"/>
        <v>42056.25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5"/>
        <v>43234.208333333328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5"/>
        <v>40475.208333333336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5"/>
        <v>42878.208333333328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5"/>
        <v>41366.208333333336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5"/>
        <v>43716.208333333328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5"/>
        <v>43213.208333333328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5"/>
        <v>41005.208333333336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ht="17" hidden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5"/>
        <v>41651.25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4" hidden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5"/>
        <v>43354.208333333328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5"/>
        <v>41174.208333333336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5"/>
        <v>41875.208333333336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5"/>
        <v>42990.208333333328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5"/>
        <v>43564.208333333328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5"/>
        <v>43056.25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4" hidden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5"/>
        <v>42265.208333333328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5"/>
        <v>40808.208333333336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5"/>
        <v>41665.25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5"/>
        <v>41806.208333333336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5"/>
        <v>42111.208333333328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5"/>
        <v>41917.208333333336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ht="17" hidden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5"/>
        <v>41970.25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ht="17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5"/>
        <v>42332.25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5"/>
        <v>43598.208333333328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5"/>
        <v>43362.208333333328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ht="17" hidden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5"/>
        <v>42596.208333333328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ht="17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5"/>
        <v>40310.208333333336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5"/>
        <v>40417.208333333336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9">(((L131/60)/60)/24)+DATE(1970,1,1)</f>
        <v>42038.25</v>
      </c>
      <c r="O131" s="8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9"/>
        <v>40842.208333333336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9"/>
        <v>41607.25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9"/>
        <v>43112.25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9"/>
        <v>40767.208333333336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9"/>
        <v>40713.208333333336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ht="17" hidden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9"/>
        <v>41340.25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9"/>
        <v>41797.208333333336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9"/>
        <v>40457.208333333336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4" hidden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9"/>
        <v>41180.208333333336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ht="17" hidden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9"/>
        <v>42115.208333333328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9"/>
        <v>43156.25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9"/>
        <v>42167.208333333328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9"/>
        <v>41005.208333333336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9"/>
        <v>40357.208333333336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9"/>
        <v>43633.208333333328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9"/>
        <v>41889.208333333336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9"/>
        <v>40855.25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9"/>
        <v>42534.208333333328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9"/>
        <v>42941.208333333328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9"/>
        <v>41275.25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ht="17" hidden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9"/>
        <v>43450.25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ht="17" hidden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9"/>
        <v>41799.208333333336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9"/>
        <v>42783.25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ht="17" hidden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9"/>
        <v>41201.208333333336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ht="17" hidden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9"/>
        <v>42502.208333333328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ht="17" hidden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9"/>
        <v>40262.208333333336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9"/>
        <v>43743.208333333328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9"/>
        <v>41638.25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9"/>
        <v>42346.25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9"/>
        <v>43551.208333333328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9"/>
        <v>43582.208333333328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4" hidden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9"/>
        <v>42270.208333333328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9"/>
        <v>43442.25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9"/>
        <v>43028.208333333328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9"/>
        <v>43016.208333333328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9"/>
        <v>42948.208333333328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9"/>
        <v>40534.25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9"/>
        <v>41435.208333333336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ht="17" hidden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9"/>
        <v>43518.25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9"/>
        <v>41077.208333333336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ht="17" hidden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9"/>
        <v>42950.208333333328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4" hidden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9"/>
        <v>41718.208333333336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ht="17" hidden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9"/>
        <v>41839.208333333336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9"/>
        <v>41412.208333333336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9"/>
        <v>42282.208333333328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ht="17" hidden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9"/>
        <v>42613.208333333328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4" hidden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9"/>
        <v>42616.208333333328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9"/>
        <v>40497.25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ht="17" hidden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9"/>
        <v>42999.208333333328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9"/>
        <v>41350.208333333336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9"/>
        <v>40259.208333333336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ht="17" hidden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9"/>
        <v>43012.208333333328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9"/>
        <v>43631.208333333328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9"/>
        <v>40430.208333333336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9"/>
        <v>43588.208333333328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ht="17" hidden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9"/>
        <v>43233.208333333328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ht="17" hidden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9"/>
        <v>41782.208333333336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9"/>
        <v>41328.25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ht="17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9"/>
        <v>41975.25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9"/>
        <v>42433.25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ht="17" hidden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9"/>
        <v>41429.208333333336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ht="17" hidden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9"/>
        <v>43536.208333333328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17" hidden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9"/>
        <v>41817.208333333336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ht="17" hidden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 s="4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3">(((L195/60)/60)/24)+DATE(1970,1,1)</f>
        <v>43198.208333333328</v>
      </c>
      <c r="O195" s="8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3"/>
        <v>42261.208333333328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3"/>
        <v>43310.208333333328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3"/>
        <v>42616.208333333328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3"/>
        <v>42909.208333333328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ht="17" hidden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3"/>
        <v>40396.208333333336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ht="17" hidden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3"/>
        <v>42192.208333333328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ht="17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3"/>
        <v>40262.208333333336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3"/>
        <v>41845.208333333336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3"/>
        <v>40818.208333333336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3"/>
        <v>42752.25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ht="17" hidden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3"/>
        <v>40636.208333333336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3"/>
        <v>43390.208333333328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3"/>
        <v>40236.25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3"/>
        <v>43340.208333333328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3"/>
        <v>43048.25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3"/>
        <v>42496.208333333328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3"/>
        <v>42797.25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4" hidden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3"/>
        <v>41513.208333333336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3"/>
        <v>43814.25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3"/>
        <v>40488.208333333336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3"/>
        <v>40409.208333333336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ht="17" hidden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3"/>
        <v>43509.25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3"/>
        <v>40869.25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ht="17" hidden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3"/>
        <v>43583.208333333328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3"/>
        <v>40858.25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3"/>
        <v>41137.208333333336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ht="17" hidden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3"/>
        <v>40725.208333333336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4" hidden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3"/>
        <v>41081.208333333336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3"/>
        <v>41914.208333333336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ht="17" hidden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3"/>
        <v>42445.208333333328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3"/>
        <v>41906.208333333336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3"/>
        <v>41762.208333333336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3"/>
        <v>40276.208333333336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3"/>
        <v>42139.208333333328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3"/>
        <v>42613.208333333328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3"/>
        <v>42887.208333333328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3"/>
        <v>43805.25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3"/>
        <v>41415.208333333336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3"/>
        <v>42576.208333333328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3"/>
        <v>40706.208333333336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3"/>
        <v>42969.208333333328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4" hidden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3"/>
        <v>42779.25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ht="17" hidden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3"/>
        <v>43641.208333333328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3"/>
        <v>41754.208333333336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3"/>
        <v>43083.25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4" hidden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3"/>
        <v>42245.208333333328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3"/>
        <v>40396.208333333336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3"/>
        <v>41742.208333333336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3"/>
        <v>42865.208333333328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3"/>
        <v>43163.25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3"/>
        <v>41834.208333333336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3"/>
        <v>41736.208333333336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3"/>
        <v>41491.208333333336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3"/>
        <v>42726.25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3"/>
        <v>42004.25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3"/>
        <v>42006.25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ht="17" hidden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3"/>
        <v>40203.25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ht="17" hidden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3"/>
        <v>41252.25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3"/>
        <v>41572.208333333336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3"/>
        <v>40641.208333333336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3"/>
        <v>42787.25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3"/>
        <v>40590.25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3"/>
        <v>42393.25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 s="4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7">(((L259/60)/60)/24)+DATE(1970,1,1)</f>
        <v>41338.25</v>
      </c>
      <c r="O259" s="8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7"/>
        <v>42712.25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7"/>
        <v>41251.25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7"/>
        <v>41180.208333333336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4" hidden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7"/>
        <v>40415.208333333336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7"/>
        <v>40638.208333333336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7"/>
        <v>40187.25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7"/>
        <v>41317.25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7"/>
        <v>42372.25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7"/>
        <v>41950.25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7"/>
        <v>41206.208333333336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7"/>
        <v>41186.208333333336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7"/>
        <v>43496.25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7"/>
        <v>40514.25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7"/>
        <v>42345.25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7"/>
        <v>43656.208333333328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7"/>
        <v>42995.208333333328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4" hidden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7"/>
        <v>43045.25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7"/>
        <v>43561.208333333328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ht="17" hidden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7"/>
        <v>41018.208333333336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7"/>
        <v>40378.208333333336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7"/>
        <v>41239.25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7"/>
        <v>43346.208333333328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7"/>
        <v>43060.25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ht="17" hidden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7"/>
        <v>40979.25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7"/>
        <v>42701.25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7"/>
        <v>42520.208333333328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ht="17" hidden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7"/>
        <v>41030.208333333336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7"/>
        <v>42623.208333333328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7"/>
        <v>42697.25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7"/>
        <v>42122.208333333328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7"/>
        <v>40982.208333333336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7"/>
        <v>42219.208333333328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ht="17" hidden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7"/>
        <v>41404.208333333336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7"/>
        <v>40831.208333333336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ht="17" hidden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7"/>
        <v>40984.208333333336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7"/>
        <v>40456.208333333336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7"/>
        <v>43399.208333333328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4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7"/>
        <v>41562.208333333336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4" hidden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7"/>
        <v>43493.25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ht="17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7"/>
        <v>41653.25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7"/>
        <v>42426.25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4" hidden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7"/>
        <v>42432.25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7"/>
        <v>42977.208333333328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7"/>
        <v>42061.25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ht="17" hidden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7"/>
        <v>43345.208333333328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ht="17" hidden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7"/>
        <v>42376.25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7"/>
        <v>42589.208333333328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7"/>
        <v>42448.208333333328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4" hidden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7"/>
        <v>42930.208333333328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7"/>
        <v>41066.208333333336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ht="17" hidden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7"/>
        <v>40651.208333333336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7"/>
        <v>40807.208333333336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ht="17" hidden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7"/>
        <v>40277.208333333336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7"/>
        <v>40590.25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7"/>
        <v>41572.208333333336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7"/>
        <v>40966.25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7"/>
        <v>43536.208333333328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4" hidden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7"/>
        <v>41783.208333333336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ht="17" hidden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7"/>
        <v>43788.25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ht="17" hidden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7"/>
        <v>42869.208333333328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4" hidden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7"/>
        <v>41684.25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7"/>
        <v>40402.208333333336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ht="17" hidden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7"/>
        <v>40673.208333333336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4" hidden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 s="4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1">(((L323/60)/60)/24)+DATE(1970,1,1)</f>
        <v>40634.208333333336</v>
      </c>
      <c r="O323" s="8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1"/>
        <v>40507.25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1"/>
        <v>41725.208333333336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1"/>
        <v>42176.208333333328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4" hidden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1"/>
        <v>43267.208333333328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4" hidden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1"/>
        <v>42364.25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ht="17" hidden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1"/>
        <v>43705.208333333328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1"/>
        <v>43434.25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1"/>
        <v>42716.25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1"/>
        <v>43077.25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1"/>
        <v>40896.25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1"/>
        <v>41361.208333333336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1"/>
        <v>43424.25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1"/>
        <v>43110.25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1"/>
        <v>43784.25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ht="17" hidden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1"/>
        <v>40527.25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1"/>
        <v>43780.25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1"/>
        <v>40821.208333333336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1"/>
        <v>42949.208333333328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ht="17" hidden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1"/>
        <v>40889.25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4" hidden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1"/>
        <v>42244.208333333328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ht="17" hidden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1"/>
        <v>41475.208333333336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ht="17" hidden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1"/>
        <v>41597.25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ht="17" hidden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1"/>
        <v>43122.25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1"/>
        <v>42194.208333333328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ht="17" hidden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1"/>
        <v>42971.208333333328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1"/>
        <v>42046.25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ht="17" hidden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1"/>
        <v>42782.25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ht="17" hidden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1"/>
        <v>42930.208333333328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ht="17" hidden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1"/>
        <v>42144.208333333328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1"/>
        <v>42240.208333333328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ht="17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1"/>
        <v>42315.25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1"/>
        <v>43651.208333333328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1"/>
        <v>41520.208333333336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1"/>
        <v>42757.25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ht="17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1"/>
        <v>40922.25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1"/>
        <v>42250.208333333328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1"/>
        <v>43322.208333333328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1"/>
        <v>40782.208333333336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1"/>
        <v>40544.25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1"/>
        <v>43015.208333333328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1"/>
        <v>40570.25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1"/>
        <v>40904.25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1"/>
        <v>43164.25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1"/>
        <v>42733.25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1"/>
        <v>40546.25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ht="17" hidden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1"/>
        <v>41930.208333333336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1"/>
        <v>40464.208333333336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1"/>
        <v>41308.25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1"/>
        <v>43570.208333333328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ht="17" hidden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1"/>
        <v>42043.25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1"/>
        <v>42012.25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1"/>
        <v>42964.208333333328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4" hidden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1"/>
        <v>43476.25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4" hidden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1"/>
        <v>42293.208333333328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1"/>
        <v>41826.208333333336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ht="17" hidden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1"/>
        <v>43760.208333333328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ht="17" hidden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1"/>
        <v>43241.208333333328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ht="17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1"/>
        <v>40843.208333333336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1"/>
        <v>41448.208333333336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1"/>
        <v>42163.208333333328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4" hidden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1"/>
        <v>43024.208333333328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1"/>
        <v>43509.25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1"/>
        <v>42776.25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 s="4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5">(((L387/60)/60)/24)+DATE(1970,1,1)</f>
        <v>43553.208333333328</v>
      </c>
      <c r="O387" s="8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4" hidden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5"/>
        <v>40355.208333333336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ht="17" hidden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5"/>
        <v>41072.208333333336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5"/>
        <v>40912.25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5"/>
        <v>40479.208333333336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5"/>
        <v>41530.208333333336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ht="17" hidden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5"/>
        <v>41653.25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4" hidden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5"/>
        <v>40549.25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5"/>
        <v>42933.208333333328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5"/>
        <v>41484.208333333336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5"/>
        <v>40885.25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5"/>
        <v>43378.208333333328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5"/>
        <v>41417.208333333336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5"/>
        <v>43228.208333333328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ht="17" hidden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5"/>
        <v>40576.25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4" hidden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5"/>
        <v>41502.208333333336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5"/>
        <v>43765.208333333328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ht="17" hidden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5"/>
        <v>40914.25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ht="17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5"/>
        <v>40310.208333333336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5"/>
        <v>43053.25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ht="17" hidden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5"/>
        <v>43255.208333333328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5"/>
        <v>41304.25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5"/>
        <v>43751.208333333328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5"/>
        <v>42541.208333333328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ht="17" hidden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5"/>
        <v>42843.208333333328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5"/>
        <v>42122.208333333328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5"/>
        <v>42884.208333333328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5"/>
        <v>41642.25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5"/>
        <v>43431.25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ht="17" hidden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5"/>
        <v>40288.208333333336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ht="17" hidden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5"/>
        <v>40921.25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4" hidden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5"/>
        <v>40560.25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ht="17" hidden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5"/>
        <v>43407.208333333328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5"/>
        <v>41035.208333333336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5"/>
        <v>40899.25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5"/>
        <v>42911.208333333328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ht="17" hidden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5"/>
        <v>42915.208333333328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5"/>
        <v>40285.208333333336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ht="17" hidden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5"/>
        <v>40808.208333333336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ht="17" hidden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5"/>
        <v>43208.208333333328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5"/>
        <v>42213.208333333328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5"/>
        <v>41332.25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5"/>
        <v>41895.208333333336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ht="17" hidden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5"/>
        <v>40585.25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5"/>
        <v>41680.25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4" hidden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5"/>
        <v>43737.208333333328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5"/>
        <v>43273.208333333328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17" hidden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5"/>
        <v>41761.208333333336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ht="17" hidden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5"/>
        <v>41603.25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5"/>
        <v>42705.25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5"/>
        <v>41988.25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5"/>
        <v>43575.208333333328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5"/>
        <v>42260.208333333328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5"/>
        <v>41337.25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5"/>
        <v>42680.208333333328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5"/>
        <v>42916.208333333328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ht="17" hidden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5"/>
        <v>41025.208333333336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5"/>
        <v>42980.208333333328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5"/>
        <v>40451.208333333336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5"/>
        <v>40748.208333333336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5"/>
        <v>40515.25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ht="17" hidden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5"/>
        <v>41261.25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5"/>
        <v>43088.25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ht="17" hidden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5"/>
        <v>41378.208333333336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 s="4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9">(((L451/60)/60)/24)+DATE(1970,1,1)</f>
        <v>43530.25</v>
      </c>
      <c r="O451" s="8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9"/>
        <v>43394.208333333328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9"/>
        <v>42935.208333333328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4" hidden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9"/>
        <v>40365.208333333336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4" hidden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9"/>
        <v>42705.25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ht="17" hidden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9"/>
        <v>41568.208333333336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9"/>
        <v>40809.208333333336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9"/>
        <v>43141.25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ht="17" hidden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9"/>
        <v>42657.208333333328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9"/>
        <v>40265.208333333336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ht="17" hidden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9"/>
        <v>42001.25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9"/>
        <v>40399.208333333336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9"/>
        <v>41757.208333333336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ht="17" hidden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9"/>
        <v>41304.25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9"/>
        <v>41639.25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9"/>
        <v>43142.25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9"/>
        <v>43127.25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9"/>
        <v>41409.208333333336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9"/>
        <v>42331.25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ht="17" hidden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9"/>
        <v>43569.208333333328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9"/>
        <v>42142.208333333328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9"/>
        <v>42716.25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9"/>
        <v>41031.208333333336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4" hidden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9"/>
        <v>43535.208333333328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9"/>
        <v>43277.208333333328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9"/>
        <v>41989.25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9"/>
        <v>41450.208333333336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4" hidden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9"/>
        <v>43322.208333333328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ht="17" hidden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9"/>
        <v>40720.208333333336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9"/>
        <v>42072.208333333328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9"/>
        <v>42945.208333333328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9"/>
        <v>40248.25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4" hidden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9"/>
        <v>41913.208333333336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4" hidden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9"/>
        <v>40963.25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ht="17" hidden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9"/>
        <v>43811.25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9"/>
        <v>41855.208333333336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4" hidden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9"/>
        <v>43626.208333333328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9"/>
        <v>43168.25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9"/>
        <v>42845.208333333328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9"/>
        <v>42403.25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9"/>
        <v>40406.208333333336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9"/>
        <v>43786.25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9"/>
        <v>41456.208333333336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9"/>
        <v>40336.208333333336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9"/>
        <v>43645.208333333328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9"/>
        <v>40990.208333333336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9"/>
        <v>41800.208333333336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ht="17" hidden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9"/>
        <v>42876.208333333328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ht="17" hidden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9"/>
        <v>42724.25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9"/>
        <v>42005.25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4" hidden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9"/>
        <v>42444.208333333328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ht="17" hidden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9"/>
        <v>41395.208333333336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ht="17" hidden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9"/>
        <v>41345.208333333336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9"/>
        <v>41117.208333333336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9"/>
        <v>42186.208333333328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9"/>
        <v>42142.208333333328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ht="17" hidden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9"/>
        <v>41341.25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9"/>
        <v>43062.25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4" hidden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9"/>
        <v>41373.208333333336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9"/>
        <v>43310.208333333328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ht="17" hidden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9"/>
        <v>41034.208333333336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9"/>
        <v>43251.208333333328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ht="17" hidden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9"/>
        <v>43671.208333333328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9"/>
        <v>41825.208333333336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3">(((L515/60)/60)/24)+DATE(1970,1,1)</f>
        <v>40430.208333333336</v>
      </c>
      <c r="O515" s="8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3"/>
        <v>41614.25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ht="17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3"/>
        <v>40900.25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ht="17" hidden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3"/>
        <v>40396.208333333336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3"/>
        <v>42860.208333333328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4" hidden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3"/>
        <v>43154.25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3"/>
        <v>42012.25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3"/>
        <v>43574.208333333328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3"/>
        <v>42605.208333333328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4" hidden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3"/>
        <v>41093.208333333336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3"/>
        <v>40241.25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ht="17" hidden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3"/>
        <v>40294.208333333336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4" hidden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3"/>
        <v>40505.25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3"/>
        <v>42364.25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3"/>
        <v>42405.25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3"/>
        <v>41601.25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ht="17" hidden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3"/>
        <v>41769.208333333336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4" hidden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3"/>
        <v>40421.208333333336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3"/>
        <v>41589.25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3"/>
        <v>43125.25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3"/>
        <v>41479.208333333336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ht="17" hidden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3"/>
        <v>43329.208333333328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3"/>
        <v>40414.208333333336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3"/>
        <v>43342.208333333328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ht="17" hidden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3"/>
        <v>41539.208333333336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ht="17" hidden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3"/>
        <v>43647.208333333328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3"/>
        <v>43225.208333333328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3"/>
        <v>42165.208333333328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3"/>
        <v>42391.25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ht="17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3"/>
        <v>41528.208333333336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3"/>
        <v>42377.25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3"/>
        <v>43824.25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3"/>
        <v>43360.208333333328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3"/>
        <v>42029.25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3"/>
        <v>42461.208333333328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3"/>
        <v>41422.208333333336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3"/>
        <v>40968.25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3"/>
        <v>41993.25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ht="17" hidden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3"/>
        <v>42700.25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4" hidden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3"/>
        <v>40545.25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3"/>
        <v>42723.25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3"/>
        <v>41731.208333333336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3"/>
        <v>40792.208333333336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3"/>
        <v>42279.208333333328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3"/>
        <v>42424.25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3"/>
        <v>42584.208333333328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3"/>
        <v>40865.25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3"/>
        <v>40833.208333333336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4" hidden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3"/>
        <v>43536.208333333328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3"/>
        <v>43417.25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ht="17" hidden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3"/>
        <v>42078.208333333328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3"/>
        <v>40862.25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ht="17" hidden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3"/>
        <v>42424.25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3"/>
        <v>41830.208333333336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3"/>
        <v>40374.208333333336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3"/>
        <v>40554.25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3"/>
        <v>41993.25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3"/>
        <v>42174.208333333328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3"/>
        <v>42275.208333333328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3"/>
        <v>41761.208333333336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3"/>
        <v>43806.25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ht="17" hidden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3"/>
        <v>41779.208333333336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4" hidden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3"/>
        <v>43040.208333333328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7">(((L579/60)/60)/24)+DATE(1970,1,1)</f>
        <v>40613.25</v>
      </c>
      <c r="O579" s="8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ht="17" hidden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7"/>
        <v>40878.25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7"/>
        <v>40762.208333333336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7"/>
        <v>41696.25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ht="17" hidden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7"/>
        <v>40662.208333333336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ht="17" hidden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7"/>
        <v>42165.208333333328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7"/>
        <v>40959.25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7"/>
        <v>41024.208333333336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7"/>
        <v>40255.208333333336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7"/>
        <v>40499.25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ht="17" hidden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7"/>
        <v>43484.25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ht="17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7"/>
        <v>40262.208333333336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ht="17" hidden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7"/>
        <v>42190.208333333328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7"/>
        <v>41994.25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7"/>
        <v>40373.208333333336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4" hidden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7"/>
        <v>41789.208333333336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7"/>
        <v>41724.208333333336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4" hidden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7"/>
        <v>42548.208333333328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7"/>
        <v>40253.208333333336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ht="17" hidden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7"/>
        <v>42434.25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7"/>
        <v>43786.25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7"/>
        <v>40344.208333333336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7"/>
        <v>42047.25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7"/>
        <v>41485.208333333336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7"/>
        <v>41789.208333333336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7"/>
        <v>42160.208333333328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7"/>
        <v>43573.208333333328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7"/>
        <v>40565.25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7"/>
        <v>42280.208333333328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7"/>
        <v>42436.25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7"/>
        <v>41721.208333333336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7"/>
        <v>43530.25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7"/>
        <v>43481.25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7"/>
        <v>41259.25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7"/>
        <v>41480.208333333336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7"/>
        <v>40474.208333333336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7"/>
        <v>42973.208333333328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7"/>
        <v>42746.25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7"/>
        <v>42489.208333333328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7"/>
        <v>41537.208333333336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7"/>
        <v>41794.208333333336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ht="17" hidden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7"/>
        <v>41396.208333333336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ht="17" hidden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7"/>
        <v>40669.208333333336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7"/>
        <v>42559.208333333328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7"/>
        <v>42626.208333333328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ht="17" hidden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7"/>
        <v>43205.208333333328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7"/>
        <v>42201.208333333328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7"/>
        <v>42029.25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7"/>
        <v>43857.25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7"/>
        <v>40449.208333333336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7"/>
        <v>40345.208333333336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7"/>
        <v>40455.208333333336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ht="17" hidden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7"/>
        <v>42557.208333333328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7"/>
        <v>43586.208333333328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7"/>
        <v>43550.208333333328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7"/>
        <v>41945.208333333336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4" hidden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7"/>
        <v>42315.25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7"/>
        <v>42819.208333333328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7"/>
        <v>41314.25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7"/>
        <v>40926.25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ht="17" hidden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7"/>
        <v>42688.25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ht="17" hidden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7"/>
        <v>40386.208333333336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7"/>
        <v>43309.208333333328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ht="17" hidden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7"/>
        <v>42387.25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 s="4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1">(((L643/60)/60)/24)+DATE(1970,1,1)</f>
        <v>42786.25</v>
      </c>
      <c r="O643" s="8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1"/>
        <v>43451.25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1"/>
        <v>42795.25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ht="17" hidden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1"/>
        <v>43452.25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ht="17" hidden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1"/>
        <v>43369.208333333328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ht="17" hidden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1"/>
        <v>41346.208333333336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ht="17" hidden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1"/>
        <v>43199.208333333328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1"/>
        <v>42922.208333333328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ht="17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1"/>
        <v>40471.208333333336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ht="17" hidden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1"/>
        <v>41828.208333333336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1"/>
        <v>41692.25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1"/>
        <v>42587.208333333328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1"/>
        <v>42468.208333333328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1"/>
        <v>42240.208333333328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1"/>
        <v>42796.25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1"/>
        <v>43097.25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ht="17" hidden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1"/>
        <v>43096.25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1"/>
        <v>42246.208333333328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1"/>
        <v>40570.25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ht="17" hidden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1"/>
        <v>42237.208333333328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1"/>
        <v>40996.208333333336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ht="17" hidden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1"/>
        <v>43443.25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ht="17" hidden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1"/>
        <v>40458.208333333336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ht="17" hidden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1"/>
        <v>40959.25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1"/>
        <v>40733.208333333336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1"/>
        <v>41516.208333333336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1"/>
        <v>41892.208333333336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4" hidden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1"/>
        <v>41122.208333333336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1"/>
        <v>42912.208333333328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1"/>
        <v>42425.25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1"/>
        <v>40390.208333333336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ht="17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1"/>
        <v>43180.208333333328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1"/>
        <v>42475.208333333328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1"/>
        <v>40774.208333333336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1"/>
        <v>43719.208333333328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1"/>
        <v>41178.208333333336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ht="17" hidden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1"/>
        <v>42561.208333333328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1"/>
        <v>43484.25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1"/>
        <v>43756.208333333328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4" hidden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1"/>
        <v>43813.25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4" hidden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1"/>
        <v>40898.25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1"/>
        <v>41619.25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1"/>
        <v>43359.208333333328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1"/>
        <v>40358.208333333336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ht="17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1"/>
        <v>42239.208333333328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1"/>
        <v>43186.208333333328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1"/>
        <v>42806.25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1"/>
        <v>43475.25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1"/>
        <v>41576.208333333336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1"/>
        <v>40874.25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1"/>
        <v>41185.208333333336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17" hidden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1"/>
        <v>43655.208333333328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4" hidden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1"/>
        <v>43025.208333333328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ht="17" hidden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1"/>
        <v>43066.25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1"/>
        <v>42322.25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ht="17" hidden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1"/>
        <v>42114.208333333328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1"/>
        <v>43190.208333333328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1"/>
        <v>40871.25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ht="17" hidden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1"/>
        <v>43641.208333333328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4" hidden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1"/>
        <v>40203.25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1"/>
        <v>40629.208333333336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4" hidden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1"/>
        <v>41477.208333333336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1"/>
        <v>41020.208333333336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1"/>
        <v>42555.208333333328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 s="4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5">(((L707/60)/60)/24)+DATE(1970,1,1)</f>
        <v>41619.25</v>
      </c>
      <c r="O707" s="8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5"/>
        <v>43471.25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5"/>
        <v>43442.25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5"/>
        <v>42877.208333333328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5"/>
        <v>41018.208333333336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5"/>
        <v>43295.208333333328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4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5"/>
        <v>42393.25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5"/>
        <v>42559.208333333328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5"/>
        <v>42604.208333333328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5"/>
        <v>41870.208333333336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ht="17" hidden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5"/>
        <v>40397.208333333336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5"/>
        <v>41465.208333333336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5"/>
        <v>40777.208333333336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5"/>
        <v>41442.208333333336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5"/>
        <v>41058.208333333336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5"/>
        <v>43152.25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5"/>
        <v>43194.208333333328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5"/>
        <v>43045.25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5"/>
        <v>42431.25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5"/>
        <v>41934.208333333336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ht="17" hidden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5"/>
        <v>41958.25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5"/>
        <v>40476.208333333336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5"/>
        <v>43485.25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4" hidden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5"/>
        <v>42515.208333333328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5"/>
        <v>41309.25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5"/>
        <v>42147.208333333328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5"/>
        <v>42939.208333333328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ht="17" hidden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5"/>
        <v>42816.208333333328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5"/>
        <v>41844.208333333336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5"/>
        <v>42763.25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5"/>
        <v>42459.208333333328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5"/>
        <v>42055.25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5"/>
        <v>42685.25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4" hidden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5"/>
        <v>41959.25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ht="17" hidden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5"/>
        <v>41089.208333333336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4" hidden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5"/>
        <v>42769.25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5"/>
        <v>40321.208333333336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5"/>
        <v>40197.25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4" hidden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5"/>
        <v>42298.208333333328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5"/>
        <v>43322.208333333328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4" hidden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5"/>
        <v>40328.208333333336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5"/>
        <v>40825.208333333336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5"/>
        <v>40423.208333333336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5"/>
        <v>40238.25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5"/>
        <v>41920.208333333336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5"/>
        <v>40360.208333333336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5"/>
        <v>42446.208333333328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5"/>
        <v>40395.208333333336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5"/>
        <v>40321.208333333336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5"/>
        <v>41210.208333333336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5"/>
        <v>43096.25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5"/>
        <v>42024.25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5"/>
        <v>40675.208333333336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5"/>
        <v>41936.208333333336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4" hidden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5"/>
        <v>43136.25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ht="17" hidden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5"/>
        <v>43678.208333333328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5"/>
        <v>42938.208333333328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5"/>
        <v>41241.25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5"/>
        <v>41037.208333333336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5"/>
        <v>40676.208333333336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5"/>
        <v>42840.208333333328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5"/>
        <v>43362.208333333328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ht="17" hidden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5"/>
        <v>42283.208333333328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5"/>
        <v>41619.25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ht="17" hidden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 s="4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9">(((L771/60)/60)/24)+DATE(1970,1,1)</f>
        <v>41501.208333333336</v>
      </c>
      <c r="O771" s="8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9"/>
        <v>41743.208333333336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9"/>
        <v>43491.25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9"/>
        <v>43505.25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9"/>
        <v>42838.208333333328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9"/>
        <v>42513.208333333328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4" hidden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9"/>
        <v>41949.25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ht="17" hidden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9"/>
        <v>43650.208333333328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ht="17" hidden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9"/>
        <v>40809.208333333336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9"/>
        <v>40768.208333333336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ht="17" hidden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9"/>
        <v>42230.208333333328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9"/>
        <v>42573.208333333328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9"/>
        <v>40482.208333333336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9"/>
        <v>40603.25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9"/>
        <v>41625.25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9"/>
        <v>42435.25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9"/>
        <v>43582.208333333328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9"/>
        <v>43186.208333333328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9"/>
        <v>40684.208333333336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9"/>
        <v>41202.208333333336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ht="17" hidden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9"/>
        <v>41786.208333333336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9"/>
        <v>40223.25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ht="17" hidden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9"/>
        <v>42715.25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ht="17" hidden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9"/>
        <v>41451.208333333336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9"/>
        <v>41450.208333333336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9"/>
        <v>43091.25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4" hidden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9"/>
        <v>42675.208333333328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ht="17" hidden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9"/>
        <v>41859.208333333336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9"/>
        <v>43464.25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9"/>
        <v>41060.208333333336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ht="17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9"/>
        <v>42399.25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9"/>
        <v>42167.208333333328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9"/>
        <v>43830.25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9"/>
        <v>43650.208333333328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9"/>
        <v>43492.25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9"/>
        <v>43102.25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9"/>
        <v>41958.25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9"/>
        <v>40973.25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9"/>
        <v>43753.208333333328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ht="17" hidden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9"/>
        <v>42507.208333333328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9"/>
        <v>41135.208333333336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9"/>
        <v>43067.25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ht="17" hidden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9"/>
        <v>42378.25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9"/>
        <v>43206.208333333328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9"/>
        <v>41148.208333333336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9"/>
        <v>42517.208333333328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9"/>
        <v>43068.25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9"/>
        <v>41680.25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9"/>
        <v>43589.208333333328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9"/>
        <v>43486.25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4" hidden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9"/>
        <v>41237.25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9"/>
        <v>43310.208333333328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9"/>
        <v>42794.25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9"/>
        <v>41698.25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9"/>
        <v>41892.208333333336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9"/>
        <v>40348.208333333336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9"/>
        <v>42941.208333333328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9"/>
        <v>40525.25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9"/>
        <v>40666.208333333336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4" hidden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9"/>
        <v>43340.208333333328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ht="17" hidden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9"/>
        <v>42164.208333333328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4" hidden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9"/>
        <v>43103.25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9"/>
        <v>40994.208333333336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9"/>
        <v>42299.208333333328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 s="4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3">(((L835/60)/60)/24)+DATE(1970,1,1)</f>
        <v>40588.25</v>
      </c>
      <c r="O835" s="8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3"/>
        <v>41448.208333333336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ht="17" hidden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3"/>
        <v>42063.25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ht="17" hidden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3"/>
        <v>40214.25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3"/>
        <v>40629.208333333336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3"/>
        <v>43370.208333333328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3"/>
        <v>41715.208333333336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3"/>
        <v>41836.208333333336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3"/>
        <v>42419.25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3"/>
        <v>43266.208333333328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4" hidden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3"/>
        <v>43338.208333333328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3"/>
        <v>40930.25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3"/>
        <v>43235.208333333328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3"/>
        <v>43302.208333333328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3"/>
        <v>43107.25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3"/>
        <v>40341.208333333336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3"/>
        <v>40948.25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4" hidden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3"/>
        <v>40866.25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3"/>
        <v>41031.208333333336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4" hidden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3"/>
        <v>40740.208333333336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3"/>
        <v>40714.208333333336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3"/>
        <v>43787.25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3"/>
        <v>40712.208333333336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3"/>
        <v>41023.208333333336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3"/>
        <v>40944.25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4" hidden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3"/>
        <v>43211.208333333328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4" hidden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3"/>
        <v>41334.25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3"/>
        <v>43515.25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3"/>
        <v>40258.208333333336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3"/>
        <v>40756.208333333336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3"/>
        <v>42172.208333333328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3"/>
        <v>42601.208333333328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3"/>
        <v>41897.208333333336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3"/>
        <v>40671.208333333336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3"/>
        <v>43382.208333333328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3"/>
        <v>41559.208333333336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ht="17" hidden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3"/>
        <v>40350.208333333336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ht="17" hidden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3"/>
        <v>42240.208333333328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3"/>
        <v>43040.208333333328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3"/>
        <v>43346.208333333328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3"/>
        <v>41647.25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3"/>
        <v>40291.208333333336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ht="17" hidden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3"/>
        <v>40556.25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4" hidden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3"/>
        <v>43624.208333333328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ht="17" hidden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3"/>
        <v>42577.208333333328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3"/>
        <v>43845.25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3"/>
        <v>42788.25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3"/>
        <v>43667.208333333328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ht="17" hidden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3"/>
        <v>42194.208333333328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3"/>
        <v>42025.25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3"/>
        <v>40323.208333333336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ht="17" hidden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3"/>
        <v>41763.208333333336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3"/>
        <v>40335.208333333336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ht="17" hidden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3"/>
        <v>40416.208333333336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4" hidden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3"/>
        <v>42202.208333333328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3"/>
        <v>42836.208333333328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3"/>
        <v>41710.208333333336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3"/>
        <v>43640.208333333328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3"/>
        <v>40880.25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3"/>
        <v>40319.208333333336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3"/>
        <v>42170.208333333328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3"/>
        <v>41466.208333333336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4" hidden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3"/>
        <v>43134.25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3"/>
        <v>40738.208333333336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ht="17" hidden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 s="4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7">(((L899/60)/60)/24)+DATE(1970,1,1)</f>
        <v>43583.208333333328</v>
      </c>
      <c r="O899" s="8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ht="17" hidden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7"/>
        <v>43815.25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7"/>
        <v>41554.208333333336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ht="17" hidden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7"/>
        <v>41901.208333333336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7"/>
        <v>43298.208333333328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7"/>
        <v>42399.25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7"/>
        <v>41034.208333333336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ht="17" hidden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7"/>
        <v>41186.208333333336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7"/>
        <v>41536.208333333336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7"/>
        <v>42868.208333333328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ht="17" hidden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7"/>
        <v>40660.208333333336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7"/>
        <v>41031.208333333336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7"/>
        <v>43255.208333333328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7"/>
        <v>42026.25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7"/>
        <v>43717.208333333328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7"/>
        <v>41157.208333333336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ht="17" hidden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7"/>
        <v>43597.208333333328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ht="17" hidden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7"/>
        <v>41490.208333333336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7"/>
        <v>42976.208333333328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4" hidden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7"/>
        <v>41991.25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7"/>
        <v>40722.208333333336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7"/>
        <v>41117.208333333336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ht="17" hidden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7"/>
        <v>43022.208333333328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7"/>
        <v>43503.25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ht="17" hidden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7"/>
        <v>40951.25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7"/>
        <v>43443.25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7"/>
        <v>40373.208333333336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7"/>
        <v>43769.208333333328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7"/>
        <v>43000.208333333328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ht="17" hidden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7"/>
        <v>42502.208333333328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ht="17" hidden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7"/>
        <v>41102.208333333336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7"/>
        <v>41637.25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7"/>
        <v>42858.208333333328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7"/>
        <v>42060.25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ht="17" hidden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7"/>
        <v>41818.208333333336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7"/>
        <v>41709.208333333336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7"/>
        <v>41372.208333333336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7"/>
        <v>42422.25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7"/>
        <v>42209.208333333328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ht="17" hidden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7"/>
        <v>43668.208333333328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7"/>
        <v>42334.25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7"/>
        <v>43263.208333333328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4" hidden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7"/>
        <v>40670.208333333336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7"/>
        <v>41244.25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ht="17" hidden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7"/>
        <v>40552.25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ht="17" hidden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7"/>
        <v>40568.25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7"/>
        <v>41906.208333333336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ht="17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7"/>
        <v>42776.25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ht="17" hidden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7"/>
        <v>41004.208333333336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4" hidden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7"/>
        <v>40710.208333333336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ht="17" hidden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7"/>
        <v>41908.208333333336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7"/>
        <v>41985.25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7"/>
        <v>42112.208333333328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17" hidden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7"/>
        <v>43571.208333333328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7"/>
        <v>42730.25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7"/>
        <v>42591.208333333328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4" hidden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7"/>
        <v>42358.25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7"/>
        <v>41174.208333333336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7"/>
        <v>41238.25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ht="17" hidden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7"/>
        <v>42360.25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7"/>
        <v>40955.25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7"/>
        <v>40350.208333333336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ht="17" hidden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7"/>
        <v>40357.208333333336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ht="17" hidden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7"/>
        <v>42408.25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 s="4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1">(((L963/60)/60)/24)+DATE(1970,1,1)</f>
        <v>40591.25</v>
      </c>
      <c r="O963" s="8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1"/>
        <v>41592.25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ht="17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1"/>
        <v>40607.25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1"/>
        <v>42135.208333333328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1"/>
        <v>40203.25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1"/>
        <v>42901.208333333328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1"/>
        <v>41005.208333333336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1"/>
        <v>40544.25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1"/>
        <v>43821.25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4" hidden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1"/>
        <v>40672.208333333336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ht="17" hidden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1"/>
        <v>41555.208333333336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1"/>
        <v>41792.208333333336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ht="17" hidden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1"/>
        <v>40522.25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1"/>
        <v>41412.208333333336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1"/>
        <v>42337.25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1"/>
        <v>40571.25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ht="17" hidden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1"/>
        <v>43138.25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1"/>
        <v>42686.25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1"/>
        <v>42078.208333333328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ht="17" hidden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1"/>
        <v>42307.208333333328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1"/>
        <v>43094.25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ht="17" hidden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1"/>
        <v>40743.208333333336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1"/>
        <v>43681.208333333328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1"/>
        <v>43716.208333333328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ht="17" hidden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1"/>
        <v>41614.25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4" hidden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1"/>
        <v>40638.208333333336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1"/>
        <v>42852.208333333328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ht="17" hidden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1"/>
        <v>42686.25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1"/>
        <v>43571.208333333328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ht="17" hidden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1"/>
        <v>42432.25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1"/>
        <v>41907.208333333336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1"/>
        <v>43227.208333333328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1"/>
        <v>42362.25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ht="17" hidden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1"/>
        <v>41929.208333333336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1"/>
        <v>43408.208333333328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4" hidden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1"/>
        <v>41276.25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1"/>
        <v>41659.25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ht="17" hidden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1"/>
        <v>40220.25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1"/>
        <v>42550.208333333328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>
    <filterColumn colId="14">
      <filters>
        <dateGroupItem year="2020" dateTimeGrouping="year"/>
      </filters>
    </filterColumn>
  </autoFilter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546E-A84C-7A43-9D2F-0688FF0189A5}">
  <dimension ref="A1:F14"/>
  <sheetViews>
    <sheetView workbookViewId="0">
      <selection activeCell="E8" sqref="E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2069</v>
      </c>
    </row>
    <row r="3" spans="1:6" x14ac:dyDescent="0.2">
      <c r="A3" s="6" t="s">
        <v>2066</v>
      </c>
      <c r="B3" s="6" t="s">
        <v>2070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2063</v>
      </c>
      <c r="E8">
        <v>4</v>
      </c>
      <c r="F8">
        <v>4</v>
      </c>
    </row>
    <row r="9" spans="1:6" x14ac:dyDescent="0.2">
      <c r="A9" s="7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BE0B-AA80-9445-8C88-CE266ACDC138}">
  <dimension ref="A1:F30"/>
  <sheetViews>
    <sheetView workbookViewId="0">
      <selection activeCell="A19" sqref="A19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6" t="s">
        <v>6</v>
      </c>
      <c r="B1" t="s">
        <v>2069</v>
      </c>
    </row>
    <row r="2" spans="1:6" x14ac:dyDescent="0.2">
      <c r="A2" s="6" t="s">
        <v>2031</v>
      </c>
      <c r="B2" t="s">
        <v>2069</v>
      </c>
    </row>
    <row r="4" spans="1:6" x14ac:dyDescent="0.2">
      <c r="A4" s="6" t="s">
        <v>2066</v>
      </c>
      <c r="B4" s="6" t="s">
        <v>2070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2064</v>
      </c>
      <c r="E7">
        <v>4</v>
      </c>
      <c r="F7">
        <v>4</v>
      </c>
    </row>
    <row r="8" spans="1:6" x14ac:dyDescent="0.2">
      <c r="A8" s="7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2042</v>
      </c>
      <c r="C10">
        <v>8</v>
      </c>
      <c r="E10">
        <v>10</v>
      </c>
      <c r="F10">
        <v>18</v>
      </c>
    </row>
    <row r="11" spans="1:6" x14ac:dyDescent="0.2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2056</v>
      </c>
      <c r="C15">
        <v>3</v>
      </c>
      <c r="E15">
        <v>4</v>
      </c>
      <c r="F15">
        <v>7</v>
      </c>
    </row>
    <row r="16" spans="1:6" x14ac:dyDescent="0.2">
      <c r="A16" s="7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2055</v>
      </c>
      <c r="C20">
        <v>4</v>
      </c>
      <c r="E20">
        <v>4</v>
      </c>
      <c r="F20">
        <v>8</v>
      </c>
    </row>
    <row r="21" spans="1:6" x14ac:dyDescent="0.2">
      <c r="A21" s="7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2062</v>
      </c>
      <c r="C22">
        <v>9</v>
      </c>
      <c r="E22">
        <v>5</v>
      </c>
      <c r="F22">
        <v>14</v>
      </c>
    </row>
    <row r="23" spans="1:6" x14ac:dyDescent="0.2">
      <c r="A23" s="7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2058</v>
      </c>
      <c r="C25">
        <v>7</v>
      </c>
      <c r="E25">
        <v>14</v>
      </c>
      <c r="F25">
        <v>21</v>
      </c>
    </row>
    <row r="26" spans="1:6" x14ac:dyDescent="0.2">
      <c r="A26" s="7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2061</v>
      </c>
      <c r="E29">
        <v>3</v>
      </c>
      <c r="F29">
        <v>3</v>
      </c>
    </row>
    <row r="30" spans="1:6" x14ac:dyDescent="0.2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C5680-3D95-CD4D-8FB9-0CC62CB46AE9}">
  <dimension ref="A1:F18"/>
  <sheetViews>
    <sheetView workbookViewId="0">
      <selection activeCell="Q22" sqref="Q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2069</v>
      </c>
    </row>
    <row r="2" spans="1:6" x14ac:dyDescent="0.2">
      <c r="A2" s="6" t="s">
        <v>2085</v>
      </c>
      <c r="B2" t="s">
        <v>2069</v>
      </c>
    </row>
    <row r="4" spans="1:6" x14ac:dyDescent="0.2">
      <c r="A4" s="6" t="s">
        <v>2066</v>
      </c>
      <c r="B4" s="6" t="s">
        <v>2070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9" t="s">
        <v>2073</v>
      </c>
      <c r="B6" s="13">
        <v>6</v>
      </c>
      <c r="C6" s="13">
        <v>36</v>
      </c>
      <c r="D6" s="13">
        <v>1</v>
      </c>
      <c r="E6" s="13">
        <v>49</v>
      </c>
      <c r="F6" s="13">
        <v>92</v>
      </c>
    </row>
    <row r="7" spans="1:6" x14ac:dyDescent="0.2">
      <c r="A7" s="9" t="s">
        <v>2074</v>
      </c>
      <c r="B7" s="13">
        <v>7</v>
      </c>
      <c r="C7" s="13">
        <v>28</v>
      </c>
      <c r="D7" s="13"/>
      <c r="E7" s="13">
        <v>44</v>
      </c>
      <c r="F7" s="13">
        <v>79</v>
      </c>
    </row>
    <row r="8" spans="1:6" x14ac:dyDescent="0.2">
      <c r="A8" s="9" t="s">
        <v>2075</v>
      </c>
      <c r="B8" s="13">
        <v>4</v>
      </c>
      <c r="C8" s="13">
        <v>33</v>
      </c>
      <c r="D8" s="13"/>
      <c r="E8" s="13">
        <v>49</v>
      </c>
      <c r="F8" s="13">
        <v>86</v>
      </c>
    </row>
    <row r="9" spans="1:6" x14ac:dyDescent="0.2">
      <c r="A9" s="9" t="s">
        <v>2076</v>
      </c>
      <c r="B9" s="13">
        <v>1</v>
      </c>
      <c r="C9" s="13">
        <v>30</v>
      </c>
      <c r="D9" s="13">
        <v>1</v>
      </c>
      <c r="E9" s="13">
        <v>46</v>
      </c>
      <c r="F9" s="13">
        <v>78</v>
      </c>
    </row>
    <row r="10" spans="1:6" x14ac:dyDescent="0.2">
      <c r="A10" s="9" t="s">
        <v>2077</v>
      </c>
      <c r="B10" s="13">
        <v>3</v>
      </c>
      <c r="C10" s="13">
        <v>35</v>
      </c>
      <c r="D10" s="13">
        <v>2</v>
      </c>
      <c r="E10" s="13">
        <v>46</v>
      </c>
      <c r="F10" s="13">
        <v>86</v>
      </c>
    </row>
    <row r="11" spans="1:6" x14ac:dyDescent="0.2">
      <c r="A11" s="9" t="s">
        <v>2078</v>
      </c>
      <c r="B11" s="13">
        <v>3</v>
      </c>
      <c r="C11" s="13">
        <v>28</v>
      </c>
      <c r="D11" s="13">
        <v>1</v>
      </c>
      <c r="E11" s="13">
        <v>55</v>
      </c>
      <c r="F11" s="13">
        <v>87</v>
      </c>
    </row>
    <row r="12" spans="1:6" x14ac:dyDescent="0.2">
      <c r="A12" s="9" t="s">
        <v>2079</v>
      </c>
      <c r="B12" s="13">
        <v>4</v>
      </c>
      <c r="C12" s="13">
        <v>31</v>
      </c>
      <c r="D12" s="13">
        <v>1</v>
      </c>
      <c r="E12" s="13">
        <v>58</v>
      </c>
      <c r="F12" s="13">
        <v>94</v>
      </c>
    </row>
    <row r="13" spans="1:6" x14ac:dyDescent="0.2">
      <c r="A13" s="9" t="s">
        <v>2080</v>
      </c>
      <c r="B13" s="13">
        <v>8</v>
      </c>
      <c r="C13" s="13">
        <v>35</v>
      </c>
      <c r="D13" s="13">
        <v>1</v>
      </c>
      <c r="E13" s="13">
        <v>41</v>
      </c>
      <c r="F13" s="13">
        <v>85</v>
      </c>
    </row>
    <row r="14" spans="1:6" x14ac:dyDescent="0.2">
      <c r="A14" s="9" t="s">
        <v>2081</v>
      </c>
      <c r="B14" s="13">
        <v>5</v>
      </c>
      <c r="C14" s="13">
        <v>23</v>
      </c>
      <c r="D14" s="13"/>
      <c r="E14" s="13">
        <v>45</v>
      </c>
      <c r="F14" s="13">
        <v>73</v>
      </c>
    </row>
    <row r="15" spans="1:6" x14ac:dyDescent="0.2">
      <c r="A15" s="9" t="s">
        <v>2082</v>
      </c>
      <c r="B15" s="13">
        <v>6</v>
      </c>
      <c r="C15" s="13">
        <v>26</v>
      </c>
      <c r="D15" s="13">
        <v>1</v>
      </c>
      <c r="E15" s="13">
        <v>45</v>
      </c>
      <c r="F15" s="13">
        <v>78</v>
      </c>
    </row>
    <row r="16" spans="1:6" x14ac:dyDescent="0.2">
      <c r="A16" s="9" t="s">
        <v>2083</v>
      </c>
      <c r="B16" s="13">
        <v>3</v>
      </c>
      <c r="C16" s="13">
        <v>27</v>
      </c>
      <c r="D16" s="13">
        <v>3</v>
      </c>
      <c r="E16" s="13">
        <v>45</v>
      </c>
      <c r="F16" s="13">
        <v>78</v>
      </c>
    </row>
    <row r="17" spans="1:6" x14ac:dyDescent="0.2">
      <c r="A17" s="9" t="s">
        <v>2084</v>
      </c>
      <c r="B17" s="13">
        <v>7</v>
      </c>
      <c r="C17" s="13">
        <v>32</v>
      </c>
      <c r="D17" s="13">
        <v>3</v>
      </c>
      <c r="E17" s="13">
        <v>42</v>
      </c>
      <c r="F17" s="13">
        <v>84</v>
      </c>
    </row>
    <row r="18" spans="1:6" x14ac:dyDescent="0.2">
      <c r="A18" s="9" t="s">
        <v>2068</v>
      </c>
      <c r="B18" s="13">
        <v>57</v>
      </c>
      <c r="C18" s="13">
        <v>364</v>
      </c>
      <c r="D18" s="13">
        <v>14</v>
      </c>
      <c r="E18" s="13">
        <v>565</v>
      </c>
      <c r="F18" s="13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65C1-E8D3-0F4F-B698-A3A55BD50664}">
  <dimension ref="A1:H12"/>
  <sheetViews>
    <sheetView workbookViewId="0">
      <selection activeCell="I22" sqref="I22"/>
    </sheetView>
  </sheetViews>
  <sheetFormatPr baseColWidth="10" defaultRowHeight="16" x14ac:dyDescent="0.2"/>
  <cols>
    <col min="1" max="1" width="14.8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20.5" bestFit="1" customWidth="1"/>
    <col min="7" max="7" width="15.83203125" bestFit="1" customWidth="1"/>
    <col min="8" max="8" width="18.33203125" bestFit="1" customWidth="1"/>
    <col min="11" max="11" width="13.33203125" customWidth="1"/>
  </cols>
  <sheetData>
    <row r="1" spans="1:8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2094</v>
      </c>
      <c r="B2">
        <f>COUNTIFS(Crowdfunding!$G$2:$G$1001, "=successful", Crowdfunding!$D$2:$D$1001, "&lt;1000")</f>
        <v>30</v>
      </c>
      <c r="C2">
        <f>COUNTIFS(Crowdfunding!$G$2:$G$1001,"=failed",Crowdfunding!$D$2:$D$1001,"&lt;=1000")</f>
        <v>21</v>
      </c>
      <c r="D2">
        <f>COUNTIFS(Crowdfunding!$G$2:$G$1001,"=canceled",Crowdfunding!$D$2:$D$1001,"&lt;1000")</f>
        <v>1</v>
      </c>
      <c r="E2">
        <f>SUM(B2:D2)</f>
        <v>52</v>
      </c>
      <c r="F2" s="11">
        <f>B2/E2</f>
        <v>0.57692307692307687</v>
      </c>
      <c r="G2" s="11">
        <f>C2/E2</f>
        <v>0.40384615384615385</v>
      </c>
      <c r="H2" s="11">
        <f>D2/E2</f>
        <v>1.9230769230769232E-2</v>
      </c>
    </row>
    <row r="3" spans="1:8" x14ac:dyDescent="0.2">
      <c r="A3" t="s">
        <v>2095</v>
      </c>
      <c r="B3">
        <f>COUNTIFS(Crowdfunding!$G$2:$G$1001,"=successful",Crowdfunding!$D$2:$D$1001,"&gt;=1000",Crowdfunding!$D$2:$D$1001, "&lt;=4999")</f>
        <v>191</v>
      </c>
      <c r="C3">
        <f>COUNTIFS(Crowdfunding!$G$2:$G$1001,"=failed",Crowdfunding!$D$2:$D$1001,"&gt;=1000",Crowdfunding!$D$2:$D$1001, "&lt;=4999")</f>
        <v>38</v>
      </c>
      <c r="D3">
        <f>COUNTIFS(Crowdfunding!$G$2:$G$1001,"=canceled",Crowdfunding!$D$2:$D$1001,"&gt;=1000",Crowdfunding!$D$2:$D$1001, "&lt;=4999")</f>
        <v>2</v>
      </c>
      <c r="E3">
        <f t="shared" ref="E3:E12" si="0">SUM(B3:D3)</f>
        <v>231</v>
      </c>
      <c r="F3" s="11">
        <f>B3/E3</f>
        <v>0.82683982683982682</v>
      </c>
      <c r="G3" s="11">
        <f>C3/E3</f>
        <v>0.16450216450216451</v>
      </c>
      <c r="H3" s="11">
        <f>D3/E3</f>
        <v>8.658008658008658E-3</v>
      </c>
    </row>
    <row r="4" spans="1:8" x14ac:dyDescent="0.2">
      <c r="A4" t="s">
        <v>2096</v>
      </c>
      <c r="B4">
        <f>COUNTIFS(Crowdfunding!$G$2:$G$1001,"=successful",Crowdfunding!$D$2:$D$1001,"&gt;=5000",Crowdfunding!$D$2:$D$1001, "&lt;=9999")</f>
        <v>164</v>
      </c>
      <c r="C4">
        <f>COUNTIFS(Crowdfunding!$G$2:$G$1001,"=failed",Crowdfunding!$D$2:$D$1001,"&gt;=5000",Crowdfunding!$D$2:$D$1001, "&lt;=9999")</f>
        <v>126</v>
      </c>
      <c r="D4">
        <f>COUNTIFS(Crowdfunding!$G$2:$G$1001,"=canceled",Crowdfunding!$D$2:$D$1001,"&gt;=5000",Crowdfunding!$D$2:$D$1001, "&lt;=9999")</f>
        <v>25</v>
      </c>
      <c r="E4">
        <f t="shared" si="0"/>
        <v>315</v>
      </c>
      <c r="F4" s="11">
        <f>B4/E4</f>
        <v>0.52063492063492067</v>
      </c>
      <c r="G4" s="11">
        <f>C4/E4</f>
        <v>0.4</v>
      </c>
      <c r="H4" s="11">
        <f>D4/E4</f>
        <v>7.9365079365079361E-2</v>
      </c>
    </row>
    <row r="5" spans="1:8" x14ac:dyDescent="0.2">
      <c r="A5" t="s">
        <v>2102</v>
      </c>
      <c r="B5">
        <f>COUNTIFS(Crowdfunding!$G$2:$G$1001,"=successful",Crowdfunding!$D$2:$D$1001,"&gt;=10000",Crowdfunding!$D$2:$D$1001, "&lt;=19999")</f>
        <v>14</v>
      </c>
      <c r="C5">
        <f>COUNTIFS(Crowdfunding!$G$2:$G$1001,"=failed",Crowdfunding!$D$2:$D$1001,"&gt;=10000",Crowdfunding!$D$2:$D$1001, "&lt;=19999")</f>
        <v>5</v>
      </c>
      <c r="D5">
        <f>COUNTIFS(Crowdfunding!$G$2:$G$1001,"=canceled",Crowdfunding!$D$2:$D$1001,"&gt;=10000",Crowdfunding!$D$2:$D$1001, "&lt;=19999")</f>
        <v>0</v>
      </c>
      <c r="E5">
        <f t="shared" si="0"/>
        <v>19</v>
      </c>
      <c r="F5" s="11">
        <f>B5/E5</f>
        <v>0.73684210526315785</v>
      </c>
      <c r="G5" s="11">
        <f>C5/E5</f>
        <v>0.26315789473684209</v>
      </c>
      <c r="H5" s="11">
        <f>D5/E5</f>
        <v>0</v>
      </c>
    </row>
    <row r="6" spans="1:8" x14ac:dyDescent="0.2">
      <c r="A6" t="s">
        <v>2097</v>
      </c>
      <c r="B6">
        <f>COUNTIFS(Crowdfunding!$G$2:$G$1001,"=successful",Crowdfunding!$D$2:$D$1001,"&gt;=15000",Crowdfunding!$D$2:$D$1001, "&lt;=19999")</f>
        <v>10</v>
      </c>
      <c r="C6">
        <f>COUNTIFS(Crowdfunding!$G$2:$G$1001,"=failed",Crowdfunding!$D$2:$D$1001,"&gt;=15000",Crowdfunding!$D$2:$D$1001, "&lt;=19999")</f>
        <v>0</v>
      </c>
      <c r="D6">
        <f>COUNTIFS(Crowdfunding!$G$2:$G$1001,"=canceled",Crowdfunding!$D$2:$D$1001,"&gt;=15000",Crowdfunding!$D$2:$D$1001, "&lt;=19999")</f>
        <v>0</v>
      </c>
      <c r="E6">
        <f t="shared" si="0"/>
        <v>10</v>
      </c>
      <c r="F6" s="11">
        <f>B6/E6</f>
        <v>1</v>
      </c>
      <c r="G6" s="11">
        <f>C6/E6</f>
        <v>0</v>
      </c>
      <c r="H6" s="11">
        <f>D6/E6</f>
        <v>0</v>
      </c>
    </row>
    <row r="7" spans="1:8" x14ac:dyDescent="0.2">
      <c r="A7" t="s">
        <v>2103</v>
      </c>
      <c r="B7">
        <f>COUNTIFS(Crowdfunding!$G$2:$G$1001,"=successful",Crowdfunding!$D$2:$D$1001,"&gt;=20000",Crowdfunding!$D$2:$D$1001, "&lt;=24999")</f>
        <v>7</v>
      </c>
      <c r="C7">
        <f>COUNTIFS(Crowdfunding!$G$2:$G$1001,"=failed",Crowdfunding!$D$2:$D$1001,"&gt;=20000",Crowdfunding!$D$2:$D$1001, "&lt;=24999")</f>
        <v>0</v>
      </c>
      <c r="D7">
        <f>COUNTIFS(Crowdfunding!$G$2:$G$1001,"=canceled",Crowdfunding!$D$2:$D$1001,"&gt;=20000",Crowdfunding!$D$2:$D$1001, "&lt;=24999")</f>
        <v>0</v>
      </c>
      <c r="E7">
        <f t="shared" si="0"/>
        <v>7</v>
      </c>
      <c r="F7" s="11">
        <f>B7/E7</f>
        <v>1</v>
      </c>
      <c r="G7" s="11">
        <f>C7/E7</f>
        <v>0</v>
      </c>
      <c r="H7" s="11">
        <f>D7/E7</f>
        <v>0</v>
      </c>
    </row>
    <row r="8" spans="1:8" x14ac:dyDescent="0.2">
      <c r="A8" t="s">
        <v>2098</v>
      </c>
      <c r="B8">
        <f>COUNTIFS(Crowdfunding!$G$2:$G$1001,"=successful",Crowdfunding!$D$2:$D$1001,"&gt;=25000",Crowdfunding!$D$2:$D$1001, "&lt;=29999")</f>
        <v>11</v>
      </c>
      <c r="C8">
        <f>COUNTIFS(Crowdfunding!$G$2:$G$1001,"=failed",Crowdfunding!$D$2:$D$1001,"&gt;=25000",Crowdfunding!$D$2:$D$1001, "&lt;=29999")</f>
        <v>3</v>
      </c>
      <c r="D8">
        <f>COUNTIFS(Crowdfunding!$G$2:$G$1001,"=canceled",Crowdfunding!$D$2:$D$1001,"&gt;=25000",Crowdfunding!$D$2:$D$1001, "&lt;=29999")</f>
        <v>0</v>
      </c>
      <c r="E8">
        <f t="shared" si="0"/>
        <v>14</v>
      </c>
      <c r="F8" s="11">
        <f>B8/E8</f>
        <v>0.7857142857142857</v>
      </c>
      <c r="G8" s="11">
        <f>C8/E8</f>
        <v>0.21428571428571427</v>
      </c>
      <c r="H8" s="11">
        <f>D8/E8</f>
        <v>0</v>
      </c>
    </row>
    <row r="9" spans="1:8" x14ac:dyDescent="0.2">
      <c r="A9" t="s">
        <v>2099</v>
      </c>
      <c r="B9">
        <f>COUNTIFS(Crowdfunding!$G$2:$G$1001,"=successful",Crowdfunding!$D$2:$D$1001,"&gt;=30000",Crowdfunding!$D$2:$D$1001, "&lt;=34999")</f>
        <v>7</v>
      </c>
      <c r="C9">
        <f>COUNTIFS(Crowdfunding!$G$2:$G$1001,"=failed",Crowdfunding!$D$2:$D$1001,"&gt;=30000",Crowdfunding!$D$2:$D$1001, "&lt;=34999")</f>
        <v>0</v>
      </c>
      <c r="D9">
        <f>COUNTIFS(Crowdfunding!$G$2:$G$1001,"=canceled",Crowdfunding!$D$2:$D$1001,"&gt;=30000",Crowdfunding!$D$2:$D$1001, "&lt;=34999")</f>
        <v>0</v>
      </c>
      <c r="E9">
        <f t="shared" si="0"/>
        <v>7</v>
      </c>
      <c r="F9" s="11">
        <f>B9/E9</f>
        <v>1</v>
      </c>
      <c r="G9" s="11">
        <f>C9/E9</f>
        <v>0</v>
      </c>
      <c r="H9" s="11">
        <f>D9/E9</f>
        <v>0</v>
      </c>
    </row>
    <row r="10" spans="1:8" x14ac:dyDescent="0.2">
      <c r="A10" t="s">
        <v>2104</v>
      </c>
      <c r="B10">
        <f>COUNTIFS(Crowdfunding!$G$2:$G$1001,"=successful",Crowdfunding!$D$2:$D$1001,"&gt;=35000",Crowdfunding!$D$2:$D$1001, "&lt;=39999")</f>
        <v>8</v>
      </c>
      <c r="C10">
        <f>COUNTIFS(Crowdfunding!$G$2:$G$1001,"=failed",Crowdfunding!$D$2:$D$1001,"&gt;=35000",Crowdfunding!$D$2:$D$1001, "&lt;=39999")</f>
        <v>3</v>
      </c>
      <c r="D10">
        <f>COUNTIFS(Crowdfunding!$G$2:$G$1001,"=canceled",Crowdfunding!$D$2:$D$1001,"&gt;=35000",Crowdfunding!$D$2:$D$1001, "&lt;=39999")</f>
        <v>1</v>
      </c>
      <c r="E10">
        <f t="shared" si="0"/>
        <v>12</v>
      </c>
      <c r="F10" s="11">
        <f>B10/E10</f>
        <v>0.66666666666666663</v>
      </c>
      <c r="G10" s="11">
        <f>C10/E10</f>
        <v>0.25</v>
      </c>
      <c r="H10" s="11">
        <f>D10/E10</f>
        <v>8.3333333333333329E-2</v>
      </c>
    </row>
    <row r="11" spans="1:8" x14ac:dyDescent="0.2">
      <c r="A11" t="s">
        <v>2100</v>
      </c>
      <c r="B11">
        <f>COUNTIFS(Crowdfunding!$G$2:$G$1001,"=successful",Crowdfunding!$D$2:$D$1001,"&gt;=40000",Crowdfunding!$D$2:$D$1001, "&lt;=44999")</f>
        <v>11</v>
      </c>
      <c r="C11">
        <f>COUNTIFS(Crowdfunding!$G$2:$G$1001,"=failed",Crowdfunding!$D$2:$D$1001,"&gt;=40000",Crowdfunding!$D$2:$D$1001, "&lt;=44999")</f>
        <v>3</v>
      </c>
      <c r="D11">
        <f>COUNTIFS(Crowdfunding!$G$2:$G$1001,"=canceled",Crowdfunding!$D$2:$D$1001,"&gt;=40000",Crowdfunding!$D$2:$D$1001, "&lt;=44999")</f>
        <v>0</v>
      </c>
      <c r="E11">
        <f t="shared" si="0"/>
        <v>14</v>
      </c>
      <c r="F11" s="11">
        <f>B11/E11</f>
        <v>0.7857142857142857</v>
      </c>
      <c r="G11" s="11">
        <f>C11/E11</f>
        <v>0.21428571428571427</v>
      </c>
      <c r="H11" s="11">
        <f>D11/E11</f>
        <v>0</v>
      </c>
    </row>
    <row r="12" spans="1:8" x14ac:dyDescent="0.2">
      <c r="A12" t="s">
        <v>2101</v>
      </c>
      <c r="B12">
        <f>COUNTIFS(Crowdfunding!$G$2:$G$1001,"=successful",Crowdfunding!$D$2:$D$1001,"&gt;=45000",Crowdfunding!$D$2:$D$1001, "&lt;=50000")</f>
        <v>8</v>
      </c>
      <c r="C12">
        <f>COUNTIFS(Crowdfunding!$G$2:$G$1001,"=failed",Crowdfunding!$D$2:$D$1001,"&gt;=45000",Crowdfunding!$D$2:$D$1001, "&lt;=50000")</f>
        <v>3</v>
      </c>
      <c r="D12">
        <f>COUNTIFS(Crowdfunding!$G$2:$G$1001,"=canceled",Crowdfunding!$D$2:$D$1001,"&gt;=45000",Crowdfunding!$D$2:$D$1001, "&lt;=50000")</f>
        <v>0</v>
      </c>
      <c r="E12">
        <f t="shared" si="0"/>
        <v>11</v>
      </c>
      <c r="F12" s="11">
        <f>B12/E12</f>
        <v>0.72727272727272729</v>
      </c>
      <c r="G12" s="11">
        <f>C12/E12</f>
        <v>0.27272727272727271</v>
      </c>
      <c r="H12" s="11">
        <f>D12/E12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CE8B-A4A6-4442-8540-84804DFD3A64}">
  <dimension ref="A1:L566"/>
  <sheetViews>
    <sheetView tabSelected="1" workbookViewId="0">
      <selection activeCell="H7" sqref="H7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16.83203125" bestFit="1" customWidth="1"/>
    <col min="9" max="9" width="16.6640625" bestFit="1" customWidth="1"/>
    <col min="12" max="12" width="16.83203125" bestFit="1" customWidth="1"/>
  </cols>
  <sheetData>
    <row r="1" spans="1:12" x14ac:dyDescent="0.2">
      <c r="A1" s="10" t="s">
        <v>2105</v>
      </c>
      <c r="B1" s="10" t="s">
        <v>2106</v>
      </c>
      <c r="C1" s="10"/>
      <c r="D1" s="10" t="s">
        <v>2105</v>
      </c>
      <c r="E1" s="10" t="s">
        <v>2106</v>
      </c>
      <c r="G1" s="10" t="s">
        <v>2113</v>
      </c>
      <c r="H1" s="10" t="s">
        <v>2115</v>
      </c>
      <c r="I1" s="10" t="s">
        <v>2114</v>
      </c>
      <c r="J1" s="10" t="s">
        <v>2116</v>
      </c>
      <c r="K1" s="10"/>
      <c r="L1" s="10"/>
    </row>
    <row r="2" spans="1:12" x14ac:dyDescent="0.2">
      <c r="A2" t="s">
        <v>20</v>
      </c>
      <c r="B2">
        <v>158</v>
      </c>
      <c r="D2" t="s">
        <v>14</v>
      </c>
      <c r="E2">
        <v>0</v>
      </c>
      <c r="G2" s="12" t="s">
        <v>2107</v>
      </c>
      <c r="H2" s="5">
        <f>AVERAGE(B2:B566)</f>
        <v>851.14690265486729</v>
      </c>
      <c r="I2" s="12" t="s">
        <v>2107</v>
      </c>
      <c r="J2" s="5">
        <f>AVERAGE(E2:E365)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G3" s="12" t="s">
        <v>2108</v>
      </c>
      <c r="H3" s="5">
        <f>MEDIAN(B2:B566)</f>
        <v>201</v>
      </c>
      <c r="I3" s="12" t="s">
        <v>2108</v>
      </c>
      <c r="J3">
        <f>MEDIAN(E2:E365)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G4" s="12" t="s">
        <v>2109</v>
      </c>
      <c r="H4">
        <f>MIN(B2:B566)</f>
        <v>16</v>
      </c>
      <c r="I4" s="12" t="s">
        <v>2109</v>
      </c>
      <c r="J4">
        <f>MIN(E2:E365)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G5" s="12" t="s">
        <v>2110</v>
      </c>
      <c r="H5">
        <f>MAX(B2:B566)</f>
        <v>7295</v>
      </c>
      <c r="I5" s="12" t="s">
        <v>2110</v>
      </c>
      <c r="J5">
        <f>MAX(E2:E365)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G6" s="12" t="s">
        <v>2111</v>
      </c>
      <c r="H6" s="5">
        <f>VARA(B2:B566)</f>
        <v>1606216.5936295739</v>
      </c>
      <c r="I6" s="12" t="s">
        <v>2111</v>
      </c>
      <c r="J6" s="5">
        <f>VARA(E2:E365)</f>
        <v>924113.45496927318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G7" s="12" t="s">
        <v>2112</v>
      </c>
      <c r="H7" s="5">
        <f>STDEV(B2:B365)</f>
        <v>1337.7407673732373</v>
      </c>
      <c r="I7" s="12" t="s">
        <v>2112</v>
      </c>
      <c r="J7" s="5">
        <f>STDEV(E2:E365)</f>
        <v>961.30819978260524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B566" xr:uid="{C212CE8B-A4A6-4442-8540-84804DFD3A64}"/>
  <conditionalFormatting sqref="A2:A1048141 D2:D1047940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pageMargins left="0.7" right="0.7" top="0.75" bottom="0.75" header="0.3" footer="0.3"/>
  <ignoredErrors>
    <ignoredError sqref="H7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Table</vt:lpstr>
      <vt:lpstr>Subcategory Table</vt:lpstr>
      <vt:lpstr>Months Table</vt:lpstr>
      <vt:lpstr>Crowdfuding Goal Analysis</vt:lpstr>
      <vt:lpstr>Summary Statistics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Betty Paniagua</cp:lastModifiedBy>
  <dcterms:created xsi:type="dcterms:W3CDTF">2021-09-29T18:52:28Z</dcterms:created>
  <dcterms:modified xsi:type="dcterms:W3CDTF">2023-12-19T20:23:29Z</dcterms:modified>
</cp:coreProperties>
</file>