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thuania" sheetId="1" r:id="rId4"/>
    <sheet state="visible" name="Estonia" sheetId="2" r:id="rId5"/>
    <sheet state="visible" name="Latvia" sheetId="3" r:id="rId6"/>
    <sheet state="visible" name="Poland" sheetId="4" r:id="rId7"/>
    <sheet state="visible" name="Belarus" sheetId="5" r:id="rId8"/>
  </sheets>
  <definedNames/>
  <calcPr/>
</workbook>
</file>

<file path=xl/sharedStrings.xml><?xml version="1.0" encoding="utf-8"?>
<sst xmlns="http://schemas.openxmlformats.org/spreadsheetml/2006/main" count="539" uniqueCount="159">
  <si>
    <t>gender</t>
  </si>
  <si>
    <t>age</t>
  </si>
  <si>
    <t>language</t>
  </si>
  <si>
    <t>nationality</t>
  </si>
  <si>
    <t>political_spectrum</t>
  </si>
  <si>
    <t>socioeconomic_status</t>
  </si>
  <si>
    <t>eu</t>
  </si>
  <si>
    <t>nato_donovia</t>
  </si>
  <si>
    <t>Source</t>
  </si>
  <si>
    <t>Type</t>
  </si>
  <si>
    <t>Country</t>
  </si>
  <si>
    <t>% of Country Population</t>
  </si>
  <si>
    <t>Male</t>
  </si>
  <si>
    <t>Female</t>
  </si>
  <si>
    <t>Young</t>
  </si>
  <si>
    <t>Middle</t>
  </si>
  <si>
    <t>Old</t>
  </si>
  <si>
    <t>NotApplicable</t>
  </si>
  <si>
    <t>NationalLang</t>
  </si>
  <si>
    <t>DonovianLang</t>
  </si>
  <si>
    <t>BothLang</t>
  </si>
  <si>
    <t>OtherLang</t>
  </si>
  <si>
    <t>Lithuanian</t>
  </si>
  <si>
    <t>Estonian</t>
  </si>
  <si>
    <t>Latvian</t>
  </si>
  <si>
    <t>Polish</t>
  </si>
  <si>
    <t>Belarusian</t>
  </si>
  <si>
    <t>Donovian</t>
  </si>
  <si>
    <t>Other</t>
  </si>
  <si>
    <t>Left</t>
  </si>
  <si>
    <t>Center</t>
  </si>
  <si>
    <t>Right</t>
  </si>
  <si>
    <t>Undecided</t>
  </si>
  <si>
    <t>LowerClass</t>
  </si>
  <si>
    <t>MiddleClass</t>
  </si>
  <si>
    <t>UpperClass</t>
  </si>
  <si>
    <t>ProEU</t>
  </si>
  <si>
    <t>AntiEU</t>
  </si>
  <si>
    <t>ProNATOAntiDonovia</t>
  </si>
  <si>
    <t>AntiNATOProDonovia</t>
  </si>
  <si>
    <t>Neutral</t>
  </si>
  <si>
    <t>TV3 LT (tv3.lt)</t>
  </si>
  <si>
    <t>TV</t>
  </si>
  <si>
    <t>Lithuania</t>
  </si>
  <si>
    <t>LRT (lrt.lt)</t>
  </si>
  <si>
    <t>PBK LT</t>
  </si>
  <si>
    <t>LNK</t>
  </si>
  <si>
    <t>Lietus Radio (lietus.fm)</t>
  </si>
  <si>
    <t>Radio</t>
  </si>
  <si>
    <t>RUSRADIO (rusradio.lt)</t>
  </si>
  <si>
    <t>Kauno Diena (kauno.diena.lt)</t>
  </si>
  <si>
    <t>Print News</t>
  </si>
  <si>
    <t>Lietuvos Rytas (lrytas.lt)</t>
  </si>
  <si>
    <t>Online News</t>
  </si>
  <si>
    <t>Respublika (respublika.lt)</t>
  </si>
  <si>
    <t>Delfi LT (delfi.lt)</t>
  </si>
  <si>
    <t>15min (15min.lt)</t>
  </si>
  <si>
    <t>Verslo Zinios (vz.lt)</t>
  </si>
  <si>
    <t>Lenta (lenta.ru)</t>
  </si>
  <si>
    <t>Sputnik News LT (sputniknews.ru)</t>
  </si>
  <si>
    <t>Diena (Diena.lt)</t>
  </si>
  <si>
    <t>Alfa (alfa.lt)</t>
  </si>
  <si>
    <t>Vakaru Ekspresas (ve.lt)</t>
  </si>
  <si>
    <t xml:space="preserve">L24 (l24.lt) </t>
  </si>
  <si>
    <t>Facebook(LT)</t>
  </si>
  <si>
    <t>Social Media</t>
  </si>
  <si>
    <t>Odnoklassniki(LT)</t>
  </si>
  <si>
    <t>Twitter(LT)</t>
  </si>
  <si>
    <t>VK(LT)</t>
  </si>
  <si>
    <t>Pulse</t>
  </si>
  <si>
    <t>Type?</t>
  </si>
  <si>
    <t>Premise</t>
  </si>
  <si>
    <t>ETV Plus (etvpluss.err.ee)</t>
  </si>
  <si>
    <t>Estonia</t>
  </si>
  <si>
    <t>TV3 EE (tv3.ee)</t>
  </si>
  <si>
    <t>PBK EE</t>
  </si>
  <si>
    <t>Vikerraadio (vikerradio.err.ee)</t>
  </si>
  <si>
    <t>Sky Radio (sky.ee)</t>
  </si>
  <si>
    <t>Postimees (postimees.ee)</t>
  </si>
  <si>
    <t>Eesti Pavaleht(epl.delfi.ee)</t>
  </si>
  <si>
    <t>Ohtuleht (ohtuleht.ee)</t>
  </si>
  <si>
    <t>Aripaev (aripaev.ee)</t>
  </si>
  <si>
    <t>Delfi EE (Delfi.ee)</t>
  </si>
  <si>
    <t>Channel One Russia (1tv.ru)</t>
  </si>
  <si>
    <t>Meduza (meduza.io)</t>
  </si>
  <si>
    <t>RuBaltic (rubaltic.ru)</t>
  </si>
  <si>
    <t>Stena.ee</t>
  </si>
  <si>
    <t>Elu 24 (elu24.ee)</t>
  </si>
  <si>
    <t>Facebook(EE)</t>
  </si>
  <si>
    <t>Odnolassniki(EE)</t>
  </si>
  <si>
    <t>Twitter(EE)</t>
  </si>
  <si>
    <t>VK(EE)</t>
  </si>
  <si>
    <t>TV3 LV (tv3.lv)</t>
  </si>
  <si>
    <t>Latvia</t>
  </si>
  <si>
    <t>LTV 1 (ltv1.lsm.lv)</t>
  </si>
  <si>
    <t>PBK LV</t>
  </si>
  <si>
    <t>Radio Latvia 2 (lr2.lsm.lv)</t>
  </si>
  <si>
    <t>Radio Skonto (radioskonto.lv)</t>
  </si>
  <si>
    <t>Vesti Segodnya (ves.lv)</t>
  </si>
  <si>
    <t>Print Newspaper</t>
  </si>
  <si>
    <t>Neatkaringa Avize (nra.lv)</t>
  </si>
  <si>
    <t>Latvijas Avize (la.lv)</t>
  </si>
  <si>
    <t>Delfi LV (delfi.lv)</t>
  </si>
  <si>
    <t>TVNet (tvnet.lv)</t>
  </si>
  <si>
    <t>LSM (lsm.lv)</t>
  </si>
  <si>
    <t>Apollo (apollo.lv)</t>
  </si>
  <si>
    <t>Press (press.lv)</t>
  </si>
  <si>
    <t>M!xnews (mixnews.lv)</t>
  </si>
  <si>
    <t>Baltijas Balss (bb.lv)</t>
  </si>
  <si>
    <t>Jauns.lv</t>
  </si>
  <si>
    <t>Gorod.lv (Daugapils ONLY)</t>
  </si>
  <si>
    <t>Draugiem</t>
  </si>
  <si>
    <t>Facebook(LV)</t>
  </si>
  <si>
    <t>Odnoklassniki(LV)</t>
  </si>
  <si>
    <t>Twitter(LV)</t>
  </si>
  <si>
    <t>VK(LV)</t>
  </si>
  <si>
    <t>TVP1 (tvp.pl)</t>
  </si>
  <si>
    <t>Poland</t>
  </si>
  <si>
    <t>TVP Info (tvp.info)</t>
  </si>
  <si>
    <t>TVN24 (tvn24.pl)</t>
  </si>
  <si>
    <t>RMF FM (rmf.fm)</t>
  </si>
  <si>
    <t xml:space="preserve">Radio ZET (radiozet.pl) </t>
  </si>
  <si>
    <t>Fakt (fakt.pl)</t>
  </si>
  <si>
    <t>Do Rzeczy (dorzeczy.pl)</t>
  </si>
  <si>
    <t xml:space="preserve">Gazeta Wyborcza (wyborcza.pl) </t>
  </si>
  <si>
    <t>Rzeczpospolita (rp.pl)</t>
  </si>
  <si>
    <t>Wirtualna Polska (wp.pl)</t>
  </si>
  <si>
    <t>Onet (Onet.pl)</t>
  </si>
  <si>
    <t>Interia (interia.pl)</t>
  </si>
  <si>
    <t>O2 (o2.pl)</t>
  </si>
  <si>
    <t>Niezalezna (niezalezna.pl)</t>
  </si>
  <si>
    <t>wPolityce (wpolityce.pl)</t>
  </si>
  <si>
    <t>Wprost (Wprost.eu)</t>
  </si>
  <si>
    <t>KrytykaPolitczyna.pl</t>
  </si>
  <si>
    <t>Facebook(PL)</t>
  </si>
  <si>
    <t>Odnoklassniki(PL)</t>
  </si>
  <si>
    <t>Twitter(PL)</t>
  </si>
  <si>
    <t>VK(PL)</t>
  </si>
  <si>
    <t>ONT (ont.by)</t>
  </si>
  <si>
    <t>Belarus</t>
  </si>
  <si>
    <t>Belsat (Belsat.eu)</t>
  </si>
  <si>
    <t>TNT (tnt-online.ru)</t>
  </si>
  <si>
    <t>Euroradio (euroradio.fm)</t>
  </si>
  <si>
    <t>1st National Channel (tvr.by)</t>
  </si>
  <si>
    <t>Argumenty i Fakty v Belarusi (aif.ru)</t>
  </si>
  <si>
    <t>Belarus Segodnya (sb.by)</t>
  </si>
  <si>
    <t>Sputnik Belarus (sputnik.by)</t>
  </si>
  <si>
    <t>Onliner (onliner.by)</t>
  </si>
  <si>
    <t>RIA Novosti (ria.ru)</t>
  </si>
  <si>
    <t>Belta (eng.belta.by)</t>
  </si>
  <si>
    <t>RBC (rbc.ru)</t>
  </si>
  <si>
    <t>KP.ru</t>
  </si>
  <si>
    <t>NashaNiva.com</t>
  </si>
  <si>
    <t>Charter97.org</t>
  </si>
  <si>
    <t>Facebook(BY)</t>
  </si>
  <si>
    <t>Odnoklassniki(BY)</t>
  </si>
  <si>
    <t>Telegram</t>
  </si>
  <si>
    <t>Twitter(BY)</t>
  </si>
  <si>
    <t>VK(BY)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</si>
</sst>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"/>
    <numFmt numFmtId="166" formatCode="#,##0.0000"/>
  </numFmts>
  <fonts count="7">
    <font>
      <sz val="10.0"/>
      <color rgb="FF000000"/>
      <name val="Arial"/>
      <scheme val="minor"/>
    </font>
    <font>
      <sz val="11.0"/>
      <color theme="1"/>
      <name val="Arial"/>
    </font>
    <font/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222222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2FDFF"/>
        <bgColor rgb="FFE2FDF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9E0FF"/>
        <bgColor rgb="FFE9E0FF"/>
      </patternFill>
    </fill>
    <fill>
      <patternFill patternType="solid">
        <fgColor rgb="FFDCFFE6"/>
        <bgColor rgb="FFDCFFE6"/>
      </patternFill>
    </fill>
    <fill>
      <patternFill patternType="solid">
        <fgColor rgb="FFFFF5D7"/>
        <bgColor rgb="FFFFF5D7"/>
      </patternFill>
    </fill>
    <fill>
      <patternFill patternType="solid">
        <fgColor rgb="FFFFFFFF"/>
        <bgColor rgb="FFFFFFFF"/>
      </patternFill>
    </fill>
    <fill>
      <patternFill patternType="solid">
        <fgColor rgb="FFFFE4D0"/>
        <bgColor rgb="FFFFE4D0"/>
      </patternFill>
    </fill>
    <fill>
      <patternFill patternType="solid">
        <fgColor rgb="FFD9D9D9"/>
        <bgColor rgb="FFD9D9D9"/>
      </patternFill>
    </fill>
  </fills>
  <borders count="9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4" xfId="0" applyAlignment="1" applyBorder="1" applyFont="1" applyNumberFormat="1">
      <alignment horizontal="center" vertical="bottom"/>
    </xf>
    <xf borderId="2" fillId="0" fontId="1" numFmtId="164" xfId="0" applyAlignment="1" applyBorder="1" applyFont="1" applyNumberFormat="1">
      <alignment horizontal="center" readingOrder="0" vertical="bottom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readingOrder="0" vertical="bottom"/>
    </xf>
    <xf borderId="2" fillId="0" fontId="1" numFmtId="165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5" fillId="0" fontId="1" numFmtId="0" xfId="0" applyAlignment="1" applyBorder="1" applyFont="1">
      <alignment vertical="bottom"/>
    </xf>
    <xf borderId="6" fillId="0" fontId="1" numFmtId="4" xfId="0" applyAlignment="1" applyBorder="1" applyFont="1" applyNumberFormat="1">
      <alignment horizontal="left" readingOrder="0" vertical="bottom"/>
    </xf>
    <xf borderId="7" fillId="0" fontId="1" numFmtId="164" xfId="0" applyAlignment="1" applyBorder="1" applyFont="1" applyNumberFormat="1">
      <alignment horizontal="center" readingOrder="0" vertical="bottom"/>
    </xf>
    <xf borderId="6" fillId="0" fontId="1" numFmtId="164" xfId="0" applyAlignment="1" applyBorder="1" applyFont="1" applyNumberFormat="1">
      <alignment horizontal="center" readingOrder="0" vertical="bottom"/>
    </xf>
    <xf borderId="7" fillId="0" fontId="1" numFmtId="164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center" readingOrder="0" vertical="bottom"/>
    </xf>
    <xf borderId="5" fillId="0" fontId="1" numFmtId="164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 vertical="bottom"/>
    </xf>
    <xf borderId="7" fillId="0" fontId="1" numFmtId="165" xfId="0" applyAlignment="1" applyBorder="1" applyFont="1" applyNumberFormat="1">
      <alignment horizontal="center" vertical="bottom"/>
    </xf>
    <xf borderId="5" fillId="0" fontId="1" numFmtId="165" xfId="0" applyAlignment="1" applyBorder="1" applyFont="1" applyNumberFormat="1">
      <alignment horizontal="center" vertical="bottom"/>
    </xf>
    <xf borderId="5" fillId="0" fontId="1" numFmtId="165" xfId="0" applyAlignment="1" applyBorder="1" applyFont="1" applyNumberFormat="1">
      <alignment horizontal="center" readingOrder="0" vertical="bottom"/>
    </xf>
    <xf borderId="6" fillId="0" fontId="1" numFmtId="165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0" fillId="2" fontId="1" numFmtId="164" xfId="0" applyAlignment="1" applyFill="1" applyFont="1" applyNumberFormat="1">
      <alignment readingOrder="0" vertical="bottom"/>
    </xf>
    <xf borderId="0" fillId="0" fontId="1" numFmtId="164" xfId="0" applyAlignment="1" applyFont="1" applyNumberFormat="1">
      <alignment vertical="bottom"/>
    </xf>
    <xf borderId="1" fillId="0" fontId="1" numFmtId="10" xfId="0" applyAlignment="1" applyBorder="1" applyFont="1" applyNumberFormat="1">
      <alignment horizontal="left" readingOrder="0" vertical="bottom"/>
    </xf>
    <xf borderId="8" fillId="0" fontId="1" numFmtId="166" xfId="0" applyAlignment="1" applyBorder="1" applyFont="1" applyNumberFormat="1">
      <alignment horizontal="center" vertical="bottom"/>
    </xf>
    <xf borderId="1" fillId="0" fontId="1" numFmtId="166" xfId="0" applyAlignment="1" applyBorder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1" fillId="0" fontId="1" numFmtId="166" xfId="0" applyAlignment="1" applyBorder="1" applyFont="1" applyNumberFormat="1">
      <alignment horizontal="center" readingOrder="0" vertical="bottom"/>
    </xf>
    <xf borderId="8" fillId="3" fontId="1" numFmtId="166" xfId="0" applyAlignment="1" applyBorder="1" applyFill="1" applyFont="1" applyNumberFormat="1">
      <alignment horizontal="center" readingOrder="0" vertical="bottom"/>
    </xf>
    <xf borderId="0" fillId="3" fontId="1" numFmtId="166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1" fillId="3" fontId="1" numFmtId="166" xfId="0" applyAlignment="1" applyBorder="1" applyFont="1" applyNumberFormat="1">
      <alignment horizontal="center" readingOrder="0" vertical="bottom"/>
    </xf>
    <xf borderId="0" fillId="4" fontId="1" numFmtId="164" xfId="0" applyAlignment="1" applyFill="1" applyFont="1" applyNumberFormat="1">
      <alignment readingOrder="0" vertical="bottom"/>
    </xf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8" fillId="0" fontId="1" numFmtId="166" xfId="0" applyAlignment="1" applyBorder="1" applyFont="1" applyNumberFormat="1">
      <alignment horizontal="center" readingOrder="0" vertical="bottom"/>
    </xf>
    <xf borderId="0" fillId="0" fontId="1" numFmtId="166" xfId="0" applyAlignment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readingOrder="0" vertical="bottom"/>
    </xf>
    <xf borderId="0" fillId="7" fontId="1" numFmtId="4" xfId="0" applyAlignment="1" applyFill="1" applyFont="1" applyNumberFormat="1">
      <alignment readingOrder="0" vertical="bottom"/>
    </xf>
    <xf borderId="0" fillId="0" fontId="1" numFmtId="4" xfId="0" applyAlignment="1" applyFont="1" applyNumberFormat="1">
      <alignment vertical="bottom"/>
    </xf>
    <xf borderId="0" fillId="3" fontId="1" numFmtId="166" xfId="0" applyAlignment="1" applyFont="1" applyNumberFormat="1">
      <alignment horizontal="center"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8" fontId="1" numFmtId="0" xfId="0" applyAlignment="1" applyFill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horizontal="left" readingOrder="0"/>
    </xf>
    <xf borderId="8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5" fillId="0" fontId="4" numFmtId="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readingOrder="0" vertical="bottom"/>
    </xf>
    <xf borderId="0" fillId="0" fontId="4" numFmtId="0" xfId="0" applyAlignment="1" applyFont="1">
      <alignment horizontal="center"/>
    </xf>
    <xf borderId="0" fillId="0" fontId="1" numFmtId="4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center" readingOrder="0" vertical="bottom"/>
    </xf>
    <xf borderId="1" fillId="0" fontId="2" numFmtId="0" xfId="0" applyBorder="1" applyFont="1"/>
    <xf borderId="8" fillId="0" fontId="1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8" fillId="0" fontId="1" numFmtId="0" xfId="0" applyAlignment="1" applyBorder="1" applyFont="1">
      <alignment horizontal="center" readingOrder="0" vertical="bottom"/>
    </xf>
    <xf borderId="6" fillId="0" fontId="1" numFmtId="164" xfId="0" applyAlignment="1" applyBorder="1" applyFont="1" applyNumberFormat="1">
      <alignment horizontal="center" vertical="bottom"/>
    </xf>
    <xf borderId="0" fillId="2" fontId="1" numFmtId="0" xfId="0" applyAlignment="1" applyFont="1">
      <alignment vertical="bottom"/>
    </xf>
    <xf borderId="1" fillId="9" fontId="1" numFmtId="10" xfId="0" applyAlignment="1" applyBorder="1" applyFill="1" applyFont="1" applyNumberFormat="1">
      <alignment horizontal="left" readingOrder="0" vertical="bottom"/>
    </xf>
    <xf borderId="0" fillId="0" fontId="1" numFmtId="165" xfId="0" applyAlignment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readingOrder="0" vertical="bottom"/>
    </xf>
    <xf borderId="0" fillId="2" fontId="1" numFmtId="0" xfId="0" applyAlignment="1" applyFont="1">
      <alignment readingOrder="0" vertical="bottom"/>
    </xf>
    <xf borderId="8" fillId="0" fontId="1" numFmtId="165" xfId="0" applyAlignment="1" applyBorder="1" applyFont="1" applyNumberFormat="1">
      <alignment horizontal="center" vertical="bottom"/>
    </xf>
    <xf borderId="0" fillId="10" fontId="1" numFmtId="0" xfId="0" applyAlignment="1" applyFill="1" applyFont="1">
      <alignment vertical="bottom"/>
    </xf>
    <xf borderId="5" fillId="4" fontId="1" numFmtId="0" xfId="0" applyAlignment="1" applyBorder="1" applyFont="1">
      <alignment readingOrder="0" vertical="bottom"/>
    </xf>
    <xf borderId="6" fillId="0" fontId="1" numFmtId="165" xfId="0" applyAlignment="1" applyBorder="1" applyFont="1" applyNumberFormat="1">
      <alignment horizontal="center" readingOrder="0" vertical="bottom"/>
    </xf>
    <xf borderId="4" fillId="0" fontId="4" numFmtId="0" xfId="0" applyBorder="1" applyFont="1"/>
    <xf borderId="0" fillId="6" fontId="1" numFmtId="0" xfId="0" applyAlignment="1" applyFont="1">
      <alignment vertical="bottom"/>
    </xf>
    <xf borderId="0" fillId="0" fontId="6" numFmtId="165" xfId="0" applyAlignment="1" applyFont="1" applyNumberFormat="1">
      <alignment horizontal="center" vertical="bottom"/>
    </xf>
    <xf borderId="6" fillId="0" fontId="1" numFmtId="10" xfId="0" applyAlignment="1" applyBorder="1" applyFont="1" applyNumberFormat="1">
      <alignment horizontal="left" readingOrder="0" vertical="bottom"/>
    </xf>
    <xf borderId="0" fillId="0" fontId="1" numFmtId="164" xfId="0" applyAlignment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11" fontId="1" numFmtId="10" xfId="0" applyAlignment="1" applyBorder="1" applyFill="1" applyFont="1" applyNumberFormat="1">
      <alignment horizontal="left" readingOrder="0" vertical="bottom"/>
    </xf>
    <xf borderId="6" fillId="11" fontId="1" numFmtId="10" xfId="0" applyAlignment="1" applyBorder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9.25"/>
  </cols>
  <sheetData>
    <row r="1">
      <c r="B1" s="1"/>
      <c r="C1" s="1"/>
      <c r="D1" s="2"/>
      <c r="E1" s="3" t="s">
        <v>0</v>
      </c>
      <c r="F1" s="4"/>
      <c r="G1" s="3" t="s">
        <v>1</v>
      </c>
      <c r="H1" s="5"/>
      <c r="I1" s="5"/>
      <c r="J1" s="4"/>
      <c r="K1" s="6" t="s">
        <v>2</v>
      </c>
      <c r="L1" s="5"/>
      <c r="M1" s="5"/>
      <c r="N1" s="4"/>
      <c r="O1" s="7" t="s">
        <v>3</v>
      </c>
      <c r="P1" s="5"/>
      <c r="Q1" s="5"/>
      <c r="R1" s="5"/>
      <c r="S1" s="5"/>
      <c r="T1" s="5"/>
      <c r="U1" s="4"/>
      <c r="V1" s="6" t="s">
        <v>4</v>
      </c>
      <c r="W1" s="5"/>
      <c r="X1" s="5"/>
      <c r="Y1" s="4"/>
      <c r="Z1" s="6" t="s">
        <v>5</v>
      </c>
      <c r="AA1" s="5"/>
      <c r="AB1" s="4"/>
      <c r="AC1" s="6" t="s">
        <v>6</v>
      </c>
      <c r="AD1" s="5"/>
      <c r="AE1" s="4"/>
      <c r="AF1" s="6" t="s">
        <v>7</v>
      </c>
      <c r="AG1" s="5"/>
      <c r="AH1" s="5"/>
      <c r="AI1" s="4"/>
      <c r="AJ1" s="8"/>
      <c r="AK1" s="8"/>
      <c r="AL1" s="8"/>
    </row>
    <row r="2">
      <c r="A2" s="9" t="s">
        <v>8</v>
      </c>
      <c r="B2" s="9" t="s">
        <v>9</v>
      </c>
      <c r="C2" s="9" t="s">
        <v>10</v>
      </c>
      <c r="D2" s="10" t="s">
        <v>11</v>
      </c>
      <c r="E2" s="11" t="s">
        <v>12</v>
      </c>
      <c r="F2" s="12" t="s">
        <v>13</v>
      </c>
      <c r="G2" s="13" t="s">
        <v>14</v>
      </c>
      <c r="H2" s="14" t="s">
        <v>15</v>
      </c>
      <c r="I2" s="15" t="s">
        <v>16</v>
      </c>
      <c r="J2" s="12" t="s">
        <v>17</v>
      </c>
      <c r="K2" s="16" t="s">
        <v>18</v>
      </c>
      <c r="L2" s="17" t="s">
        <v>19</v>
      </c>
      <c r="M2" s="17" t="s">
        <v>20</v>
      </c>
      <c r="N2" s="18" t="s">
        <v>21</v>
      </c>
      <c r="O2" s="19" t="s">
        <v>22</v>
      </c>
      <c r="P2" s="20" t="s">
        <v>23</v>
      </c>
      <c r="Q2" s="20" t="s">
        <v>24</v>
      </c>
      <c r="R2" s="20" t="s">
        <v>25</v>
      </c>
      <c r="S2" s="20" t="s">
        <v>26</v>
      </c>
      <c r="T2" s="21" t="s">
        <v>27</v>
      </c>
      <c r="U2" s="22" t="s">
        <v>28</v>
      </c>
      <c r="V2" s="23" t="s">
        <v>29</v>
      </c>
      <c r="W2" s="24" t="s">
        <v>30</v>
      </c>
      <c r="X2" s="24" t="s">
        <v>31</v>
      </c>
      <c r="Y2" s="25" t="s">
        <v>32</v>
      </c>
      <c r="Z2" s="16" t="s">
        <v>33</v>
      </c>
      <c r="AA2" s="17" t="s">
        <v>34</v>
      </c>
      <c r="AB2" s="18" t="s">
        <v>35</v>
      </c>
      <c r="AC2" s="16" t="s">
        <v>36</v>
      </c>
      <c r="AD2" s="17" t="s">
        <v>37</v>
      </c>
      <c r="AE2" s="25" t="s">
        <v>32</v>
      </c>
      <c r="AF2" s="16" t="s">
        <v>38</v>
      </c>
      <c r="AG2" s="17" t="s">
        <v>39</v>
      </c>
      <c r="AH2" s="24" t="s">
        <v>40</v>
      </c>
      <c r="AI2" s="25" t="s">
        <v>32</v>
      </c>
      <c r="AJ2" s="24"/>
      <c r="AK2" s="24"/>
      <c r="AL2" s="24"/>
    </row>
    <row r="3">
      <c r="A3" s="26" t="s">
        <v>41</v>
      </c>
      <c r="B3" s="27" t="s">
        <v>42</v>
      </c>
      <c r="C3" s="27" t="s">
        <v>43</v>
      </c>
      <c r="D3" s="28">
        <v>0.1685</v>
      </c>
      <c r="E3" s="29">
        <v>0.397</v>
      </c>
      <c r="F3" s="30">
        <v>0.603</v>
      </c>
      <c r="G3" s="29">
        <v>0.112</v>
      </c>
      <c r="H3" s="31">
        <v>0.653</v>
      </c>
      <c r="I3" s="31">
        <v>0.235</v>
      </c>
      <c r="J3" s="32">
        <v>0.0</v>
      </c>
      <c r="K3" s="29">
        <f>0.5406/0.956</f>
        <v>0.5654811715</v>
      </c>
      <c r="L3" s="31">
        <v>0.0</v>
      </c>
      <c r="M3" s="31">
        <f>0.387/0.956</f>
        <v>0.4048117155</v>
      </c>
      <c r="N3" s="30">
        <f>0.0284/0.956</f>
        <v>0.02970711297</v>
      </c>
      <c r="O3" s="33">
        <v>0.817</v>
      </c>
      <c r="P3" s="31">
        <v>0.0</v>
      </c>
      <c r="Q3" s="31">
        <v>0.0</v>
      </c>
      <c r="R3" s="34">
        <v>0.05</v>
      </c>
      <c r="S3" s="34">
        <v>0.05</v>
      </c>
      <c r="T3" s="34">
        <v>0.05</v>
      </c>
      <c r="U3" s="30">
        <f>0.0284/0.875</f>
        <v>0.03245714286</v>
      </c>
      <c r="V3" s="29">
        <v>0.1577</v>
      </c>
      <c r="W3" s="31">
        <v>0.2607</v>
      </c>
      <c r="X3" s="31">
        <v>0.2692</v>
      </c>
      <c r="Y3" s="30">
        <v>0.3125</v>
      </c>
      <c r="Z3" s="29">
        <v>0.3087</v>
      </c>
      <c r="AA3" s="31">
        <v>0.3697</v>
      </c>
      <c r="AB3" s="30">
        <v>0.3216</v>
      </c>
      <c r="AC3" s="33">
        <v>0.763</v>
      </c>
      <c r="AD3" s="34">
        <v>0.05</v>
      </c>
      <c r="AE3" s="30">
        <f t="shared" ref="AE3:AE4" si="1">0.1357/0.726</f>
        <v>0.1869146006</v>
      </c>
      <c r="AF3" s="33">
        <v>0.657</v>
      </c>
      <c r="AG3" s="34">
        <v>0.05</v>
      </c>
      <c r="AH3" s="31">
        <f t="shared" ref="AH3:AH4" si="2">0.1393/0.922</f>
        <v>0.1510845987</v>
      </c>
      <c r="AI3" s="30">
        <f t="shared" ref="AI3:AI4" si="3">0.1313/0.922</f>
        <v>0.1424078091</v>
      </c>
      <c r="AJ3" s="35"/>
      <c r="AK3" s="35"/>
      <c r="AL3" s="35"/>
    </row>
    <row r="4" ht="19.5" customHeight="1">
      <c r="A4" s="36" t="s">
        <v>44</v>
      </c>
      <c r="B4" s="27" t="s">
        <v>42</v>
      </c>
      <c r="C4" s="27" t="s">
        <v>43</v>
      </c>
      <c r="D4" s="28">
        <v>0.1156</v>
      </c>
      <c r="E4" s="29">
        <v>0.488</v>
      </c>
      <c r="F4" s="30">
        <v>0.512</v>
      </c>
      <c r="G4" s="29">
        <v>0.112</v>
      </c>
      <c r="H4" s="31">
        <v>0.653</v>
      </c>
      <c r="I4" s="31">
        <v>0.235</v>
      </c>
      <c r="J4" s="32">
        <v>0.0</v>
      </c>
      <c r="K4" s="29">
        <f>0.5406/0.9716</f>
        <v>0.5564018114</v>
      </c>
      <c r="L4" s="31">
        <f>0.044/0.9716</f>
        <v>0.04528612598</v>
      </c>
      <c r="M4" s="31">
        <f>0.387/0.9716</f>
        <v>0.3983120626</v>
      </c>
      <c r="N4" s="30">
        <v>0.0</v>
      </c>
      <c r="O4" s="33">
        <v>0.8</v>
      </c>
      <c r="P4" s="31">
        <v>0.0</v>
      </c>
      <c r="Q4" s="31">
        <v>0.0</v>
      </c>
      <c r="R4" s="34">
        <v>0.05</v>
      </c>
      <c r="S4" s="34">
        <v>0.05</v>
      </c>
      <c r="T4" s="34">
        <v>0.05</v>
      </c>
      <c r="U4" s="37">
        <v>0.05</v>
      </c>
      <c r="V4" s="33">
        <v>0.05</v>
      </c>
      <c r="W4" s="34">
        <v>0.405</v>
      </c>
      <c r="X4" s="34">
        <v>0.05</v>
      </c>
      <c r="Y4" s="37">
        <v>0.495</v>
      </c>
      <c r="Z4" s="29">
        <v>0.3087</v>
      </c>
      <c r="AA4" s="31">
        <v>0.3697</v>
      </c>
      <c r="AB4" s="30">
        <v>0.3216</v>
      </c>
      <c r="AC4" s="33">
        <v>0.763</v>
      </c>
      <c r="AD4" s="34">
        <v>0.05</v>
      </c>
      <c r="AE4" s="30">
        <f t="shared" si="1"/>
        <v>0.1869146006</v>
      </c>
      <c r="AF4" s="33">
        <v>0.657</v>
      </c>
      <c r="AG4" s="34">
        <v>0.05</v>
      </c>
      <c r="AH4" s="31">
        <f t="shared" si="2"/>
        <v>0.1510845987</v>
      </c>
      <c r="AI4" s="30">
        <f t="shared" si="3"/>
        <v>0.1424078091</v>
      </c>
      <c r="AJ4" s="35"/>
      <c r="AK4" s="35"/>
      <c r="AL4" s="35"/>
    </row>
    <row r="5">
      <c r="A5" s="38" t="s">
        <v>45</v>
      </c>
      <c r="B5" s="27" t="s">
        <v>42</v>
      </c>
      <c r="C5" s="27" t="s">
        <v>43</v>
      </c>
      <c r="D5" s="28">
        <v>0.208</v>
      </c>
      <c r="E5" s="29">
        <v>0.4656</v>
      </c>
      <c r="F5" s="30">
        <v>0.5344</v>
      </c>
      <c r="G5" s="33">
        <v>0.05</v>
      </c>
      <c r="H5" s="34">
        <v>0.71</v>
      </c>
      <c r="I5" s="34">
        <v>0.239</v>
      </c>
      <c r="J5" s="37">
        <v>0.0</v>
      </c>
      <c r="K5" s="29">
        <v>0.0</v>
      </c>
      <c r="L5" s="31">
        <f>0.044/0.431</f>
        <v>0.1020881671</v>
      </c>
      <c r="M5" s="31">
        <f>0.387/0.431</f>
        <v>0.8979118329</v>
      </c>
      <c r="N5" s="30">
        <v>0.0</v>
      </c>
      <c r="O5" s="33">
        <v>0.794</v>
      </c>
      <c r="P5" s="31">
        <v>0.0</v>
      </c>
      <c r="Q5" s="31">
        <v>0.0</v>
      </c>
      <c r="R5" s="34">
        <v>0.05</v>
      </c>
      <c r="S5" s="34">
        <v>0.05</v>
      </c>
      <c r="T5" s="31">
        <f>0.0502/0.896</f>
        <v>0.05602678571</v>
      </c>
      <c r="U5" s="37">
        <v>0.05</v>
      </c>
      <c r="V5" s="33">
        <v>0.05</v>
      </c>
      <c r="W5" s="34">
        <v>0.05</v>
      </c>
      <c r="X5" s="34">
        <v>0.413</v>
      </c>
      <c r="Y5" s="37">
        <v>0.487</v>
      </c>
      <c r="Z5" s="33">
        <v>0.43</v>
      </c>
      <c r="AA5" s="34">
        <v>0.52</v>
      </c>
      <c r="AB5" s="37">
        <v>0.05</v>
      </c>
      <c r="AC5" s="33">
        <v>0.05</v>
      </c>
      <c r="AD5" s="34">
        <v>0.9</v>
      </c>
      <c r="AE5" s="37">
        <v>0.05</v>
      </c>
      <c r="AF5" s="33">
        <v>0.05</v>
      </c>
      <c r="AG5" s="34">
        <v>0.85</v>
      </c>
      <c r="AH5" s="34">
        <v>0.05</v>
      </c>
      <c r="AI5" s="37">
        <v>0.05</v>
      </c>
      <c r="AJ5" s="35"/>
      <c r="AK5" s="35"/>
      <c r="AL5" s="35"/>
    </row>
    <row r="6">
      <c r="A6" s="39" t="s">
        <v>46</v>
      </c>
      <c r="B6" s="40" t="s">
        <v>42</v>
      </c>
      <c r="C6" s="40" t="s">
        <v>43</v>
      </c>
      <c r="D6" s="28">
        <v>0.164</v>
      </c>
      <c r="E6" s="29">
        <v>0.4656</v>
      </c>
      <c r="F6" s="30">
        <v>0.5344</v>
      </c>
      <c r="G6" s="33">
        <v>0.05</v>
      </c>
      <c r="H6" s="34">
        <v>0.71</v>
      </c>
      <c r="I6" s="34">
        <v>0.239</v>
      </c>
      <c r="J6" s="37">
        <v>0.0</v>
      </c>
      <c r="K6" s="41">
        <v>1.0</v>
      </c>
      <c r="L6" s="42">
        <v>0.0</v>
      </c>
      <c r="M6" s="42">
        <v>0.0</v>
      </c>
      <c r="N6" s="32">
        <v>0.0</v>
      </c>
      <c r="O6" s="33">
        <v>0.8</v>
      </c>
      <c r="P6" s="42">
        <v>0.0</v>
      </c>
      <c r="Q6" s="42">
        <v>0.0</v>
      </c>
      <c r="R6" s="34">
        <v>0.05</v>
      </c>
      <c r="S6" s="34">
        <v>0.05</v>
      </c>
      <c r="T6" s="34">
        <v>0.05</v>
      </c>
      <c r="U6" s="37">
        <v>0.05</v>
      </c>
      <c r="V6" s="29">
        <v>0.1577</v>
      </c>
      <c r="W6" s="31">
        <v>0.2607</v>
      </c>
      <c r="X6" s="31">
        <v>0.2692</v>
      </c>
      <c r="Y6" s="30">
        <v>0.3125</v>
      </c>
      <c r="Z6" s="29">
        <v>0.3087</v>
      </c>
      <c r="AA6" s="31">
        <v>0.3697</v>
      </c>
      <c r="AB6" s="30">
        <v>0.3216</v>
      </c>
      <c r="AC6" s="29">
        <v>0.5902</v>
      </c>
      <c r="AD6" s="31">
        <v>0.2741</v>
      </c>
      <c r="AE6" s="30">
        <v>0.1357</v>
      </c>
      <c r="AF6" s="29">
        <v>0.6517</v>
      </c>
      <c r="AG6" s="31">
        <v>0.0776</v>
      </c>
      <c r="AH6" s="31">
        <v>0.1393</v>
      </c>
      <c r="AI6" s="30">
        <v>0.1313</v>
      </c>
      <c r="AJ6" s="43"/>
      <c r="AK6" s="43"/>
      <c r="AL6" s="43"/>
    </row>
    <row r="7">
      <c r="A7" s="44" t="s">
        <v>47</v>
      </c>
      <c r="B7" s="1" t="s">
        <v>48</v>
      </c>
      <c r="C7" s="1" t="s">
        <v>43</v>
      </c>
      <c r="D7" s="28">
        <v>0.191</v>
      </c>
      <c r="E7" s="29">
        <v>0.4656</v>
      </c>
      <c r="F7" s="30">
        <v>0.5344</v>
      </c>
      <c r="G7" s="33">
        <v>0.05</v>
      </c>
      <c r="H7" s="34">
        <v>0.71</v>
      </c>
      <c r="I7" s="34">
        <v>0.239</v>
      </c>
      <c r="J7" s="37">
        <v>0.0</v>
      </c>
      <c r="K7" s="29">
        <f>0.5406/0.9276</f>
        <v>0.5827943079</v>
      </c>
      <c r="L7" s="31">
        <v>0.0</v>
      </c>
      <c r="M7" s="31">
        <f>0.387/0.9276</f>
        <v>0.4172056921</v>
      </c>
      <c r="N7" s="30">
        <v>0.0</v>
      </c>
      <c r="O7" s="33">
        <v>0.8</v>
      </c>
      <c r="P7" s="42">
        <v>0.0</v>
      </c>
      <c r="Q7" s="42">
        <v>0.0</v>
      </c>
      <c r="R7" s="34">
        <v>0.05</v>
      </c>
      <c r="S7" s="34">
        <v>0.05</v>
      </c>
      <c r="T7" s="34">
        <v>0.05</v>
      </c>
      <c r="U7" s="37">
        <v>0.05</v>
      </c>
      <c r="V7" s="33">
        <v>0.05</v>
      </c>
      <c r="W7" s="34">
        <v>0.43</v>
      </c>
      <c r="X7" s="34">
        <v>0.05</v>
      </c>
      <c r="Y7" s="37">
        <v>0.52</v>
      </c>
      <c r="Z7" s="33">
        <v>0.05</v>
      </c>
      <c r="AA7" s="34">
        <v>0.475</v>
      </c>
      <c r="AB7" s="37">
        <v>0.475</v>
      </c>
      <c r="AC7" s="33">
        <v>0.788</v>
      </c>
      <c r="AD7" s="34">
        <v>0.05</v>
      </c>
      <c r="AE7" s="37">
        <v>0.162</v>
      </c>
      <c r="AF7" s="33">
        <v>0.782</v>
      </c>
      <c r="AG7" s="34">
        <v>0.05</v>
      </c>
      <c r="AH7" s="34">
        <v>0.05</v>
      </c>
      <c r="AI7" s="37">
        <v>0.118</v>
      </c>
      <c r="AJ7" s="43"/>
      <c r="AK7" s="43"/>
      <c r="AL7" s="43"/>
    </row>
    <row r="8">
      <c r="A8" s="44" t="s">
        <v>49</v>
      </c>
      <c r="B8" s="1" t="s">
        <v>48</v>
      </c>
      <c r="C8" s="1" t="s">
        <v>43</v>
      </c>
      <c r="D8" s="28">
        <v>0.055</v>
      </c>
      <c r="E8" s="29">
        <v>0.4656</v>
      </c>
      <c r="F8" s="30">
        <v>0.5344</v>
      </c>
      <c r="G8" s="33">
        <v>0.05</v>
      </c>
      <c r="H8" s="34">
        <v>0.71</v>
      </c>
      <c r="I8" s="34">
        <v>0.239</v>
      </c>
      <c r="J8" s="37">
        <v>0.0</v>
      </c>
      <c r="K8" s="29">
        <v>0.0</v>
      </c>
      <c r="L8" s="31">
        <f>0.044/0.431</f>
        <v>0.1020881671</v>
      </c>
      <c r="M8" s="31">
        <f>0.387/0.431</f>
        <v>0.8979118329</v>
      </c>
      <c r="N8" s="30">
        <v>0.0</v>
      </c>
      <c r="O8" s="33">
        <v>0.794</v>
      </c>
      <c r="P8" s="31">
        <v>0.0</v>
      </c>
      <c r="Q8" s="31">
        <v>0.0</v>
      </c>
      <c r="R8" s="34">
        <v>0.05</v>
      </c>
      <c r="S8" s="34">
        <v>0.05</v>
      </c>
      <c r="T8" s="31">
        <f>0.0502/0.896</f>
        <v>0.05602678571</v>
      </c>
      <c r="U8" s="37">
        <v>0.05</v>
      </c>
      <c r="V8" s="33">
        <v>0.05</v>
      </c>
      <c r="W8" s="34">
        <v>0.05</v>
      </c>
      <c r="X8" s="34">
        <v>0.85</v>
      </c>
      <c r="Y8" s="37">
        <v>0.05</v>
      </c>
      <c r="Z8" s="33">
        <v>0.05</v>
      </c>
      <c r="AA8" s="34">
        <v>0.9</v>
      </c>
      <c r="AB8" s="37">
        <v>0.05</v>
      </c>
      <c r="AC8" s="33">
        <v>0.05</v>
      </c>
      <c r="AD8" s="34">
        <v>0.9</v>
      </c>
      <c r="AE8" s="37">
        <v>0.05</v>
      </c>
      <c r="AF8" s="33">
        <v>0.05</v>
      </c>
      <c r="AG8" s="34">
        <v>0.85</v>
      </c>
      <c r="AH8" s="34">
        <v>0.05</v>
      </c>
      <c r="AI8" s="37">
        <v>0.05</v>
      </c>
      <c r="AJ8" s="43"/>
      <c r="AK8" s="43"/>
      <c r="AL8" s="43"/>
    </row>
    <row r="9">
      <c r="A9" s="45" t="s">
        <v>50</v>
      </c>
      <c r="B9" s="40" t="s">
        <v>51</v>
      </c>
      <c r="C9" s="1" t="s">
        <v>43</v>
      </c>
      <c r="D9" s="28">
        <f>50000/2850000</f>
        <v>0.01754385965</v>
      </c>
      <c r="E9" s="29">
        <v>0.4656</v>
      </c>
      <c r="F9" s="30">
        <v>0.5344</v>
      </c>
      <c r="G9" s="33">
        <v>0.05</v>
      </c>
      <c r="H9" s="34">
        <v>0.71</v>
      </c>
      <c r="I9" s="34">
        <v>0.239</v>
      </c>
      <c r="J9" s="37">
        <v>0.0</v>
      </c>
      <c r="K9" s="29">
        <f t="shared" ref="K9:K11" si="4">0.5406/0.9276</f>
        <v>0.5827943079</v>
      </c>
      <c r="L9" s="31">
        <v>0.0</v>
      </c>
      <c r="M9" s="31">
        <f t="shared" ref="M9:M11" si="5">0.387/0.9276</f>
        <v>0.4172056921</v>
      </c>
      <c r="N9" s="30">
        <v>0.0</v>
      </c>
      <c r="O9" s="33">
        <v>0.8</v>
      </c>
      <c r="P9" s="31">
        <v>0.0</v>
      </c>
      <c r="Q9" s="31">
        <v>0.0</v>
      </c>
      <c r="R9" s="34">
        <v>0.05</v>
      </c>
      <c r="S9" s="34">
        <v>0.05</v>
      </c>
      <c r="T9" s="34">
        <v>0.05</v>
      </c>
      <c r="U9" s="37">
        <v>0.05</v>
      </c>
      <c r="V9" s="33">
        <v>0.05</v>
      </c>
      <c r="W9" s="34">
        <v>0.85</v>
      </c>
      <c r="X9" s="34">
        <v>0.05</v>
      </c>
      <c r="Y9" s="37">
        <v>0.05</v>
      </c>
      <c r="Z9" s="33">
        <v>0.05</v>
      </c>
      <c r="AA9" s="34">
        <v>0.9</v>
      </c>
      <c r="AB9" s="37">
        <v>0.05</v>
      </c>
      <c r="AC9" s="33">
        <v>0.9</v>
      </c>
      <c r="AD9" s="34">
        <v>0.05</v>
      </c>
      <c r="AE9" s="37">
        <v>0.05</v>
      </c>
      <c r="AF9" s="33">
        <v>0.85</v>
      </c>
      <c r="AG9" s="34">
        <v>0.05</v>
      </c>
      <c r="AH9" s="34">
        <v>0.05</v>
      </c>
      <c r="AI9" s="37">
        <v>0.05</v>
      </c>
      <c r="AJ9" s="43"/>
      <c r="AK9" s="43"/>
      <c r="AL9" s="43"/>
    </row>
    <row r="10">
      <c r="A10" s="46" t="s">
        <v>52</v>
      </c>
      <c r="B10" s="27" t="s">
        <v>53</v>
      </c>
      <c r="C10" s="27" t="s">
        <v>43</v>
      </c>
      <c r="D10" s="28">
        <v>1.0</v>
      </c>
      <c r="E10" s="29">
        <v>0.412</v>
      </c>
      <c r="F10" s="30">
        <v>0.588</v>
      </c>
      <c r="G10" s="29">
        <v>0.138</v>
      </c>
      <c r="H10" s="31">
        <v>0.843</v>
      </c>
      <c r="I10" s="31">
        <v>0.019</v>
      </c>
      <c r="J10" s="32">
        <v>0.0</v>
      </c>
      <c r="K10" s="29">
        <f t="shared" si="4"/>
        <v>0.5827943079</v>
      </c>
      <c r="L10" s="31">
        <v>0.0</v>
      </c>
      <c r="M10" s="31">
        <f t="shared" si="5"/>
        <v>0.4172056921</v>
      </c>
      <c r="N10" s="30">
        <v>0.0</v>
      </c>
      <c r="O10" s="33">
        <v>0.8</v>
      </c>
      <c r="P10" s="31">
        <v>0.0</v>
      </c>
      <c r="Q10" s="31">
        <v>0.0</v>
      </c>
      <c r="R10" s="34">
        <v>0.05</v>
      </c>
      <c r="S10" s="34">
        <v>0.05</v>
      </c>
      <c r="T10" s="34">
        <v>0.05</v>
      </c>
      <c r="U10" s="37">
        <v>0.05</v>
      </c>
      <c r="V10" s="33">
        <v>0.05</v>
      </c>
      <c r="W10" s="34">
        <v>0.405</v>
      </c>
      <c r="X10" s="34">
        <v>0.05</v>
      </c>
      <c r="Y10" s="37">
        <v>0.495</v>
      </c>
      <c r="Z10" s="33">
        <v>0.05</v>
      </c>
      <c r="AA10" s="34">
        <v>0.9</v>
      </c>
      <c r="AB10" s="37">
        <v>0.05</v>
      </c>
      <c r="AC10" s="33">
        <v>0.788</v>
      </c>
      <c r="AD10" s="34">
        <v>0.05</v>
      </c>
      <c r="AE10" s="37">
        <v>0.162</v>
      </c>
      <c r="AF10" s="33">
        <v>0.682</v>
      </c>
      <c r="AG10" s="34">
        <v>0.05</v>
      </c>
      <c r="AH10" s="34">
        <v>0.126</v>
      </c>
      <c r="AI10" s="30">
        <f>0.1313/0.922</f>
        <v>0.1424078091</v>
      </c>
      <c r="AJ10" s="27"/>
      <c r="AK10" s="27"/>
      <c r="AL10" s="27"/>
    </row>
    <row r="11">
      <c r="A11" s="46" t="s">
        <v>54</v>
      </c>
      <c r="B11" s="27" t="s">
        <v>53</v>
      </c>
      <c r="C11" s="27" t="s">
        <v>43</v>
      </c>
      <c r="D11" s="28">
        <v>0.7002</v>
      </c>
      <c r="E11" s="29">
        <v>0.441</v>
      </c>
      <c r="F11" s="30">
        <v>0.559</v>
      </c>
      <c r="G11" s="29">
        <v>0.151</v>
      </c>
      <c r="H11" s="31">
        <v>0.813</v>
      </c>
      <c r="I11" s="31">
        <v>0.037</v>
      </c>
      <c r="J11" s="32">
        <v>0.0</v>
      </c>
      <c r="K11" s="29">
        <f t="shared" si="4"/>
        <v>0.5827943079</v>
      </c>
      <c r="L11" s="31">
        <v>0.0</v>
      </c>
      <c r="M11" s="31">
        <f t="shared" si="5"/>
        <v>0.4172056921</v>
      </c>
      <c r="N11" s="30">
        <v>0.0</v>
      </c>
      <c r="O11" s="33">
        <v>0.8</v>
      </c>
      <c r="P11" s="31">
        <v>0.0</v>
      </c>
      <c r="Q11" s="31">
        <v>0.0</v>
      </c>
      <c r="R11" s="34">
        <v>0.05</v>
      </c>
      <c r="S11" s="34">
        <v>0.05</v>
      </c>
      <c r="T11" s="34">
        <v>0.05</v>
      </c>
      <c r="U11" s="37">
        <v>0.05</v>
      </c>
      <c r="V11" s="33">
        <v>0.05</v>
      </c>
      <c r="W11" s="34">
        <v>0.05</v>
      </c>
      <c r="X11" s="34">
        <v>0.413</v>
      </c>
      <c r="Y11" s="37">
        <v>0.487</v>
      </c>
      <c r="Z11" s="33">
        <v>0.05</v>
      </c>
      <c r="AA11" s="34">
        <v>0.9</v>
      </c>
      <c r="AB11" s="37">
        <v>0.05</v>
      </c>
      <c r="AC11" s="33">
        <v>0.05</v>
      </c>
      <c r="AD11" s="34">
        <v>0.9</v>
      </c>
      <c r="AE11" s="37">
        <v>0.05</v>
      </c>
      <c r="AF11" s="33">
        <v>0.05</v>
      </c>
      <c r="AG11" s="34">
        <v>0.85</v>
      </c>
      <c r="AH11" s="34">
        <v>0.05</v>
      </c>
      <c r="AI11" s="37">
        <v>0.05</v>
      </c>
      <c r="AJ11" s="27"/>
      <c r="AK11" s="27"/>
      <c r="AL11" s="27"/>
    </row>
    <row r="12">
      <c r="A12" s="46" t="s">
        <v>55</v>
      </c>
      <c r="B12" s="47" t="s">
        <v>53</v>
      </c>
      <c r="C12" s="47" t="s">
        <v>43</v>
      </c>
      <c r="D12" s="28">
        <v>1.0</v>
      </c>
      <c r="E12" s="29">
        <v>0.478</v>
      </c>
      <c r="F12" s="30">
        <v>0.512</v>
      </c>
      <c r="G12" s="29">
        <v>0.13</v>
      </c>
      <c r="H12" s="31">
        <v>0.84</v>
      </c>
      <c r="I12" s="31">
        <v>0.03</v>
      </c>
      <c r="J12" s="32">
        <v>0.0</v>
      </c>
      <c r="K12" s="29">
        <f>0.5406/0.9716</f>
        <v>0.5564018114</v>
      </c>
      <c r="L12" s="31">
        <f>0.044/0.9716</f>
        <v>0.04528612598</v>
      </c>
      <c r="M12" s="31">
        <f>0.387/0.9716</f>
        <v>0.3983120626</v>
      </c>
      <c r="N12" s="30">
        <v>0.0</v>
      </c>
      <c r="O12" s="33">
        <v>0.808</v>
      </c>
      <c r="P12" s="31">
        <v>0.0</v>
      </c>
      <c r="Q12" s="31">
        <v>0.0</v>
      </c>
      <c r="R12" s="48">
        <f t="shared" ref="R12:R13" si="6">0.0653/0.972</f>
        <v>0.06718106996</v>
      </c>
      <c r="S12" s="48">
        <f t="shared" ref="S12:S13" si="7">0.01/0.972</f>
        <v>0.01028806584</v>
      </c>
      <c r="T12" s="48">
        <f t="shared" ref="T12:T13" si="8">0.0502/0.972</f>
        <v>0.05164609053</v>
      </c>
      <c r="U12" s="37">
        <v>0.05</v>
      </c>
      <c r="V12" s="33">
        <v>0.286</v>
      </c>
      <c r="W12" s="34">
        <v>0.05</v>
      </c>
      <c r="X12" s="34">
        <v>0.05</v>
      </c>
      <c r="Y12" s="37">
        <v>0.615</v>
      </c>
      <c r="Z12" s="33">
        <v>0.05</v>
      </c>
      <c r="AA12" s="34">
        <v>0.51</v>
      </c>
      <c r="AB12" s="37">
        <v>0.44</v>
      </c>
      <c r="AC12" s="33">
        <v>0.788</v>
      </c>
      <c r="AD12" s="34">
        <v>0.05</v>
      </c>
      <c r="AE12" s="37">
        <v>0.162</v>
      </c>
      <c r="AF12" s="33">
        <v>0.682</v>
      </c>
      <c r="AG12" s="34">
        <v>0.05</v>
      </c>
      <c r="AH12" s="34">
        <v>0.1385</v>
      </c>
      <c r="AI12" s="37">
        <v>0.1295</v>
      </c>
      <c r="AJ12" s="47"/>
      <c r="AK12" s="47"/>
      <c r="AL12" s="47"/>
    </row>
    <row r="13">
      <c r="A13" s="49" t="s">
        <v>56</v>
      </c>
      <c r="B13" s="1" t="s">
        <v>53</v>
      </c>
      <c r="C13" s="1" t="s">
        <v>43</v>
      </c>
      <c r="D13" s="28">
        <v>1.0</v>
      </c>
      <c r="E13" s="29">
        <v>0.4656</v>
      </c>
      <c r="F13" s="30">
        <v>0.5344</v>
      </c>
      <c r="G13" s="29">
        <v>0.333</v>
      </c>
      <c r="H13" s="31">
        <v>0.333</v>
      </c>
      <c r="I13" s="31">
        <v>0.333</v>
      </c>
      <c r="J13" s="32">
        <v>0.0</v>
      </c>
      <c r="K13" s="29">
        <f t="shared" ref="K13:K14" si="9">0.5406/0.9276</f>
        <v>0.5827943079</v>
      </c>
      <c r="L13" s="31">
        <v>0.0</v>
      </c>
      <c r="M13" s="31">
        <f t="shared" ref="M13:M14" si="10">0.387/0.9276</f>
        <v>0.4172056921</v>
      </c>
      <c r="N13" s="30">
        <v>0.0</v>
      </c>
      <c r="O13" s="33">
        <v>0.8205</v>
      </c>
      <c r="P13" s="31">
        <v>0.0</v>
      </c>
      <c r="Q13" s="31">
        <v>0.0</v>
      </c>
      <c r="R13" s="31">
        <f t="shared" si="6"/>
        <v>0.06718106996</v>
      </c>
      <c r="S13" s="31">
        <f t="shared" si="7"/>
        <v>0.01028806584</v>
      </c>
      <c r="T13" s="31">
        <f t="shared" si="8"/>
        <v>0.05164609053</v>
      </c>
      <c r="U13" s="37">
        <v>0.05</v>
      </c>
      <c r="V13" s="33">
        <v>0.05</v>
      </c>
      <c r="W13" s="34">
        <v>0.405</v>
      </c>
      <c r="X13" s="34">
        <v>0.05</v>
      </c>
      <c r="Y13" s="37">
        <v>0.4954</v>
      </c>
      <c r="Z13" s="33">
        <v>0.05</v>
      </c>
      <c r="AA13" s="34">
        <v>0.51</v>
      </c>
      <c r="AB13" s="37">
        <v>0.44</v>
      </c>
      <c r="AC13" s="33">
        <v>0.05</v>
      </c>
      <c r="AD13" s="34">
        <v>0.05</v>
      </c>
      <c r="AE13" s="37">
        <v>0.9</v>
      </c>
      <c r="AF13" s="33">
        <v>0.05</v>
      </c>
      <c r="AG13" s="34">
        <v>0.05</v>
      </c>
      <c r="AH13" s="34">
        <v>0.464</v>
      </c>
      <c r="AI13" s="37">
        <v>0.4345</v>
      </c>
      <c r="AJ13" s="43"/>
      <c r="AK13" s="43"/>
      <c r="AL13" s="43"/>
    </row>
    <row r="14">
      <c r="A14" s="49" t="s">
        <v>57</v>
      </c>
      <c r="B14" s="1" t="s">
        <v>53</v>
      </c>
      <c r="C14" s="1" t="s">
        <v>43</v>
      </c>
      <c r="D14" s="28">
        <v>1.0</v>
      </c>
      <c r="E14" s="29">
        <v>0.485</v>
      </c>
      <c r="F14" s="30">
        <v>0.515</v>
      </c>
      <c r="G14" s="29">
        <v>0.129</v>
      </c>
      <c r="H14" s="31">
        <v>0.855</v>
      </c>
      <c r="I14" s="31">
        <v>0.016</v>
      </c>
      <c r="J14" s="32">
        <v>0.0</v>
      </c>
      <c r="K14" s="29">
        <f t="shared" si="9"/>
        <v>0.5827943079</v>
      </c>
      <c r="L14" s="31">
        <v>0.0</v>
      </c>
      <c r="M14" s="31">
        <f t="shared" si="10"/>
        <v>0.4172056921</v>
      </c>
      <c r="N14" s="30">
        <v>0.0</v>
      </c>
      <c r="O14" s="33">
        <v>0.78</v>
      </c>
      <c r="P14" s="31">
        <v>0.0</v>
      </c>
      <c r="Q14" s="31">
        <v>0.0</v>
      </c>
      <c r="R14" s="42">
        <v>0.07</v>
      </c>
      <c r="S14" s="34">
        <v>0.05</v>
      </c>
      <c r="T14" s="34">
        <v>0.05</v>
      </c>
      <c r="U14" s="37">
        <v>0.05</v>
      </c>
      <c r="V14" s="29">
        <v>0.25</v>
      </c>
      <c r="W14" s="31">
        <v>0.25</v>
      </c>
      <c r="X14" s="31">
        <v>0.25</v>
      </c>
      <c r="Y14" s="30">
        <v>0.25</v>
      </c>
      <c r="Z14" s="33">
        <v>0.05</v>
      </c>
      <c r="AA14" s="34">
        <v>0.51</v>
      </c>
      <c r="AB14" s="37">
        <v>0.44</v>
      </c>
      <c r="AC14" s="33">
        <v>0.05</v>
      </c>
      <c r="AD14" s="34">
        <v>0.05</v>
      </c>
      <c r="AE14" s="37">
        <v>0.9</v>
      </c>
      <c r="AF14" s="33">
        <v>0.05</v>
      </c>
      <c r="AG14" s="34">
        <v>0.05</v>
      </c>
      <c r="AH14" s="34">
        <v>0.464</v>
      </c>
      <c r="AI14" s="37">
        <v>0.4345</v>
      </c>
      <c r="AJ14" s="43"/>
      <c r="AK14" s="43"/>
      <c r="AL14" s="43"/>
    </row>
    <row r="15">
      <c r="A15" s="49" t="s">
        <v>58</v>
      </c>
      <c r="B15" s="1" t="s">
        <v>53</v>
      </c>
      <c r="C15" s="1" t="s">
        <v>43</v>
      </c>
      <c r="D15" s="28">
        <v>0.2874</v>
      </c>
      <c r="E15" s="29">
        <v>0.582</v>
      </c>
      <c r="F15" s="30">
        <v>0.418</v>
      </c>
      <c r="G15" s="29">
        <v>0.092</v>
      </c>
      <c r="H15" s="31">
        <v>0.794</v>
      </c>
      <c r="I15" s="31">
        <v>0.114</v>
      </c>
      <c r="J15" s="32">
        <v>0.0</v>
      </c>
      <c r="K15" s="29">
        <v>0.0</v>
      </c>
      <c r="L15" s="31">
        <f t="shared" ref="L15:L16" si="11">0.044/0.431</f>
        <v>0.1020881671</v>
      </c>
      <c r="M15" s="31">
        <f t="shared" ref="M15:M16" si="12">0.387/0.431</f>
        <v>0.8979118329</v>
      </c>
      <c r="N15" s="30">
        <v>0.0</v>
      </c>
      <c r="O15" s="33">
        <v>0.7943</v>
      </c>
      <c r="P15" s="31">
        <v>0.0</v>
      </c>
      <c r="Q15" s="31">
        <v>0.0</v>
      </c>
      <c r="R15" s="34">
        <v>0.05</v>
      </c>
      <c r="S15" s="34">
        <v>0.05</v>
      </c>
      <c r="T15" s="31">
        <f t="shared" ref="T15:T16" si="13">0.0502/0.896</f>
        <v>0.05602678571</v>
      </c>
      <c r="U15" s="37">
        <v>0.05</v>
      </c>
      <c r="V15" s="33">
        <v>0.05</v>
      </c>
      <c r="W15" s="34">
        <v>0.4419</v>
      </c>
      <c r="X15" s="34">
        <v>0.4579</v>
      </c>
      <c r="Y15" s="37">
        <v>0.05</v>
      </c>
      <c r="Z15" s="33">
        <v>0.05</v>
      </c>
      <c r="AA15" s="34">
        <v>0.9</v>
      </c>
      <c r="AB15" s="37">
        <v>0.05</v>
      </c>
      <c r="AC15" s="33">
        <v>0.05</v>
      </c>
      <c r="AD15" s="34">
        <v>0.9</v>
      </c>
      <c r="AE15" s="37">
        <v>0.05</v>
      </c>
      <c r="AF15" s="33">
        <v>0.05</v>
      </c>
      <c r="AG15" s="34">
        <v>0.85</v>
      </c>
      <c r="AH15" s="34">
        <v>0.05</v>
      </c>
      <c r="AI15" s="37">
        <v>0.05</v>
      </c>
      <c r="AJ15" s="43"/>
      <c r="AK15" s="43"/>
      <c r="AL15" s="43"/>
    </row>
    <row r="16">
      <c r="A16" s="50" t="s">
        <v>59</v>
      </c>
      <c r="B16" s="1" t="s">
        <v>53</v>
      </c>
      <c r="C16" s="1" t="s">
        <v>43</v>
      </c>
      <c r="D16" s="28">
        <v>0.4912</v>
      </c>
      <c r="E16" s="29">
        <v>0.678</v>
      </c>
      <c r="F16" s="30">
        <v>0.322</v>
      </c>
      <c r="G16" s="29">
        <v>0.204</v>
      </c>
      <c r="H16" s="31">
        <v>0.716</v>
      </c>
      <c r="I16" s="31">
        <v>0.08</v>
      </c>
      <c r="J16" s="32">
        <v>0.0</v>
      </c>
      <c r="K16" s="29">
        <v>0.0</v>
      </c>
      <c r="L16" s="31">
        <f t="shared" si="11"/>
        <v>0.1020881671</v>
      </c>
      <c r="M16" s="31">
        <f t="shared" si="12"/>
        <v>0.8979118329</v>
      </c>
      <c r="N16" s="30">
        <v>0.0</v>
      </c>
      <c r="O16" s="33">
        <v>0.7943</v>
      </c>
      <c r="P16" s="31">
        <v>0.0</v>
      </c>
      <c r="Q16" s="31">
        <v>0.0</v>
      </c>
      <c r="R16" s="34">
        <v>0.05</v>
      </c>
      <c r="S16" s="34">
        <v>0.05</v>
      </c>
      <c r="T16" s="31">
        <f t="shared" si="13"/>
        <v>0.05602678571</v>
      </c>
      <c r="U16" s="37">
        <v>0.05</v>
      </c>
      <c r="V16" s="33">
        <v>0.05</v>
      </c>
      <c r="W16" s="34">
        <v>0.4419</v>
      </c>
      <c r="X16" s="34">
        <v>0.4579</v>
      </c>
      <c r="Y16" s="37">
        <v>0.05</v>
      </c>
      <c r="Z16" s="33">
        <v>0.05</v>
      </c>
      <c r="AA16" s="34">
        <v>0.9</v>
      </c>
      <c r="AB16" s="37">
        <v>0.05</v>
      </c>
      <c r="AC16" s="33">
        <v>0.05</v>
      </c>
      <c r="AD16" s="34">
        <v>0.9</v>
      </c>
      <c r="AE16" s="37">
        <v>0.05</v>
      </c>
      <c r="AF16" s="33">
        <v>0.05</v>
      </c>
      <c r="AG16" s="34">
        <v>0.85</v>
      </c>
      <c r="AH16" s="34">
        <v>0.05</v>
      </c>
      <c r="AI16" s="37">
        <v>0.05</v>
      </c>
      <c r="AJ16" s="43"/>
      <c r="AK16" s="43"/>
      <c r="AL16" s="43"/>
    </row>
    <row r="17">
      <c r="A17" s="49" t="s">
        <v>60</v>
      </c>
      <c r="B17" s="1" t="s">
        <v>53</v>
      </c>
      <c r="C17" s="1" t="s">
        <v>43</v>
      </c>
      <c r="D17" s="28">
        <v>0.9574</v>
      </c>
      <c r="E17" s="29">
        <v>0.37</v>
      </c>
      <c r="F17" s="30">
        <v>0.63</v>
      </c>
      <c r="G17" s="29">
        <v>0.139</v>
      </c>
      <c r="H17" s="31">
        <v>0.848</v>
      </c>
      <c r="I17" s="31">
        <v>0.014</v>
      </c>
      <c r="J17" s="32">
        <v>0.0</v>
      </c>
      <c r="K17" s="29">
        <f t="shared" ref="K17:K19" si="14">0.5406/0.9276</f>
        <v>0.5827943079</v>
      </c>
      <c r="L17" s="31">
        <v>0.0</v>
      </c>
      <c r="M17" s="31">
        <f t="shared" ref="M17:M19" si="15">0.387/0.9276</f>
        <v>0.4172056921</v>
      </c>
      <c r="N17" s="30">
        <v>0.0</v>
      </c>
      <c r="O17" s="33">
        <v>0.78</v>
      </c>
      <c r="P17" s="31">
        <v>0.0</v>
      </c>
      <c r="Q17" s="31">
        <v>0.0</v>
      </c>
      <c r="R17" s="42">
        <v>0.07</v>
      </c>
      <c r="S17" s="34">
        <v>0.05</v>
      </c>
      <c r="T17" s="34">
        <v>0.05</v>
      </c>
      <c r="U17" s="37">
        <v>0.05</v>
      </c>
      <c r="V17" s="33">
        <v>0.05</v>
      </c>
      <c r="W17" s="34">
        <v>0.85</v>
      </c>
      <c r="X17" s="34">
        <v>0.05</v>
      </c>
      <c r="Y17" s="37">
        <v>0.05</v>
      </c>
      <c r="Z17" s="33">
        <v>0.05</v>
      </c>
      <c r="AA17" s="34">
        <v>0.9</v>
      </c>
      <c r="AB17" s="37">
        <v>0.05</v>
      </c>
      <c r="AC17" s="33">
        <v>0.7879</v>
      </c>
      <c r="AD17" s="34">
        <v>0.05</v>
      </c>
      <c r="AE17" s="37">
        <v>0.1619</v>
      </c>
      <c r="AF17" s="33">
        <v>0.05</v>
      </c>
      <c r="AG17" s="34">
        <v>0.05</v>
      </c>
      <c r="AH17" s="34">
        <v>0.464</v>
      </c>
      <c r="AI17" s="37">
        <v>0.4345</v>
      </c>
      <c r="AJ17" s="43"/>
      <c r="AK17" s="43"/>
      <c r="AL17" s="43"/>
    </row>
    <row r="18">
      <c r="A18" s="49" t="s">
        <v>61</v>
      </c>
      <c r="B18" s="1" t="s">
        <v>53</v>
      </c>
      <c r="C18" s="1" t="s">
        <v>43</v>
      </c>
      <c r="D18" s="28">
        <v>0.3154</v>
      </c>
      <c r="E18" s="29">
        <v>0.427</v>
      </c>
      <c r="F18" s="30">
        <v>0.573</v>
      </c>
      <c r="G18" s="29">
        <v>0.138</v>
      </c>
      <c r="H18" s="31">
        <v>0.847</v>
      </c>
      <c r="I18" s="31">
        <v>0.015</v>
      </c>
      <c r="J18" s="32">
        <v>0.0</v>
      </c>
      <c r="K18" s="29">
        <f t="shared" si="14"/>
        <v>0.5827943079</v>
      </c>
      <c r="L18" s="31">
        <v>0.0</v>
      </c>
      <c r="M18" s="31">
        <f t="shared" si="15"/>
        <v>0.4172056921</v>
      </c>
      <c r="N18" s="30">
        <v>0.0</v>
      </c>
      <c r="O18" s="33">
        <v>0.78</v>
      </c>
      <c r="P18" s="31">
        <v>0.0</v>
      </c>
      <c r="Q18" s="31">
        <v>0.0</v>
      </c>
      <c r="R18" s="42">
        <v>0.07</v>
      </c>
      <c r="S18" s="34">
        <v>0.05</v>
      </c>
      <c r="T18" s="34">
        <v>0.05</v>
      </c>
      <c r="U18" s="37">
        <v>0.05</v>
      </c>
      <c r="V18" s="33">
        <v>0.05</v>
      </c>
      <c r="W18" s="34">
        <v>0.405</v>
      </c>
      <c r="X18" s="34">
        <v>0.05</v>
      </c>
      <c r="Y18" s="37">
        <v>0.4954</v>
      </c>
      <c r="Z18" s="33">
        <v>0.05</v>
      </c>
      <c r="AA18" s="34">
        <v>0.9</v>
      </c>
      <c r="AB18" s="37">
        <v>0.05</v>
      </c>
      <c r="AC18" s="33">
        <v>0.05</v>
      </c>
      <c r="AD18" s="34">
        <v>0.05</v>
      </c>
      <c r="AE18" s="37">
        <v>0.9</v>
      </c>
      <c r="AF18" s="33">
        <v>0.6818</v>
      </c>
      <c r="AG18" s="34">
        <v>0.05</v>
      </c>
      <c r="AH18" s="34">
        <v>0.1386</v>
      </c>
      <c r="AI18" s="37">
        <v>0.1299</v>
      </c>
      <c r="AJ18" s="43"/>
      <c r="AK18" s="43"/>
      <c r="AL18" s="43"/>
    </row>
    <row r="19">
      <c r="A19" s="49" t="s">
        <v>62</v>
      </c>
      <c r="B19" s="1" t="s">
        <v>53</v>
      </c>
      <c r="C19" s="1" t="s">
        <v>43</v>
      </c>
      <c r="D19" s="28">
        <v>0.3876</v>
      </c>
      <c r="E19" s="29">
        <v>0.325</v>
      </c>
      <c r="F19" s="30">
        <v>0.675</v>
      </c>
      <c r="G19" s="29">
        <v>0.137</v>
      </c>
      <c r="H19" s="31">
        <v>0.84</v>
      </c>
      <c r="I19" s="31">
        <v>0.023</v>
      </c>
      <c r="J19" s="32">
        <v>0.0</v>
      </c>
      <c r="K19" s="29">
        <f t="shared" si="14"/>
        <v>0.5827943079</v>
      </c>
      <c r="L19" s="31">
        <v>0.0</v>
      </c>
      <c r="M19" s="31">
        <f t="shared" si="15"/>
        <v>0.4172056921</v>
      </c>
      <c r="N19" s="30">
        <v>0.0</v>
      </c>
      <c r="O19" s="33">
        <v>0.8</v>
      </c>
      <c r="P19" s="31">
        <v>0.0</v>
      </c>
      <c r="Q19" s="31">
        <v>0.0</v>
      </c>
      <c r="R19" s="34">
        <v>0.05</v>
      </c>
      <c r="S19" s="34">
        <v>0.05</v>
      </c>
      <c r="T19" s="34">
        <v>0.05</v>
      </c>
      <c r="U19" s="37">
        <v>0.05</v>
      </c>
      <c r="V19" s="33">
        <v>0.05</v>
      </c>
      <c r="W19" s="34">
        <v>0.442</v>
      </c>
      <c r="X19" s="34">
        <v>0.458</v>
      </c>
      <c r="Y19" s="37">
        <v>0.05</v>
      </c>
      <c r="Z19" s="33">
        <v>0.05</v>
      </c>
      <c r="AA19" s="34">
        <v>0.9</v>
      </c>
      <c r="AB19" s="37">
        <v>0.05</v>
      </c>
      <c r="AC19" s="33">
        <v>0.05</v>
      </c>
      <c r="AD19" s="34">
        <v>0.05</v>
      </c>
      <c r="AE19" s="37">
        <v>0.9</v>
      </c>
      <c r="AF19" s="33">
        <v>0.05</v>
      </c>
      <c r="AG19" s="34">
        <v>0.05</v>
      </c>
      <c r="AH19" s="34">
        <v>0.465</v>
      </c>
      <c r="AI19" s="37">
        <v>0.435</v>
      </c>
      <c r="AJ19" s="43"/>
      <c r="AK19" s="43"/>
      <c r="AL19" s="43"/>
    </row>
    <row r="20">
      <c r="A20" s="50" t="s">
        <v>63</v>
      </c>
      <c r="B20" s="1" t="s">
        <v>53</v>
      </c>
      <c r="C20" s="1" t="s">
        <v>43</v>
      </c>
      <c r="D20" s="28">
        <f>129000/2850000</f>
        <v>0.04526315789</v>
      </c>
      <c r="E20" s="41">
        <v>0.6032</v>
      </c>
      <c r="F20" s="32">
        <v>0.3968</v>
      </c>
      <c r="G20" s="41">
        <v>0.2268</v>
      </c>
      <c r="H20" s="42">
        <v>0.721</v>
      </c>
      <c r="I20" s="42">
        <v>0.0525</v>
      </c>
      <c r="J20" s="32">
        <v>0.0</v>
      </c>
      <c r="K20" s="29">
        <v>0.5406</v>
      </c>
      <c r="L20" s="31">
        <v>0.044</v>
      </c>
      <c r="M20" s="31">
        <v>0.387</v>
      </c>
      <c r="N20" s="30">
        <v>0.0284</v>
      </c>
      <c r="O20" s="33">
        <v>0.8205</v>
      </c>
      <c r="P20" s="31">
        <v>0.0</v>
      </c>
      <c r="Q20" s="31">
        <v>0.0</v>
      </c>
      <c r="R20" s="31">
        <f>0.0653/0.972</f>
        <v>0.06718106996</v>
      </c>
      <c r="S20" s="31">
        <f>0.01/0.972</f>
        <v>0.01028806584</v>
      </c>
      <c r="T20" s="31">
        <f>0.0502/0.972</f>
        <v>0.05164609053</v>
      </c>
      <c r="U20" s="37">
        <v>0.05</v>
      </c>
      <c r="V20" s="33">
        <v>0.05</v>
      </c>
      <c r="W20" s="34">
        <v>0.442</v>
      </c>
      <c r="X20" s="34">
        <v>0.458</v>
      </c>
      <c r="Y20" s="37">
        <v>0.05</v>
      </c>
      <c r="Z20" s="33">
        <v>0.05</v>
      </c>
      <c r="AA20" s="34">
        <v>0.51</v>
      </c>
      <c r="AB20" s="37">
        <v>0.44</v>
      </c>
      <c r="AC20" s="33">
        <v>0.9</v>
      </c>
      <c r="AD20" s="34">
        <v>0.05</v>
      </c>
      <c r="AE20" s="37">
        <v>0.05</v>
      </c>
      <c r="AF20" s="33">
        <v>0.85</v>
      </c>
      <c r="AG20" s="34">
        <v>0.05</v>
      </c>
      <c r="AH20" s="34">
        <v>0.05</v>
      </c>
      <c r="AI20" s="37">
        <v>0.05</v>
      </c>
      <c r="AJ20" s="43"/>
      <c r="AK20" s="43"/>
      <c r="AL20" s="43"/>
    </row>
    <row r="21">
      <c r="A21" s="39" t="s">
        <v>64</v>
      </c>
      <c r="B21" s="1" t="s">
        <v>65</v>
      </c>
      <c r="C21" s="1" t="s">
        <v>43</v>
      </c>
      <c r="D21" s="28">
        <v>0.7586</v>
      </c>
      <c r="E21" s="29">
        <v>0.552</v>
      </c>
      <c r="F21" s="30">
        <v>0.448</v>
      </c>
      <c r="G21" s="29">
        <v>0.11</v>
      </c>
      <c r="H21" s="31">
        <v>0.853</v>
      </c>
      <c r="I21" s="31">
        <v>0.04</v>
      </c>
      <c r="J21" s="32">
        <v>0.0</v>
      </c>
      <c r="K21" s="29">
        <v>0.5406</v>
      </c>
      <c r="L21" s="31">
        <v>0.044</v>
      </c>
      <c r="M21" s="31">
        <v>0.387</v>
      </c>
      <c r="N21" s="30">
        <v>0.0284</v>
      </c>
      <c r="O21" s="29">
        <v>0.8461</v>
      </c>
      <c r="P21" s="31">
        <v>0.0</v>
      </c>
      <c r="Q21" s="31">
        <v>0.0</v>
      </c>
      <c r="R21" s="31">
        <v>0.0653</v>
      </c>
      <c r="S21" s="31">
        <v>0.01</v>
      </c>
      <c r="T21" s="31">
        <v>0.0502</v>
      </c>
      <c r="U21" s="30">
        <v>0.0284</v>
      </c>
      <c r="V21" s="29">
        <v>0.25</v>
      </c>
      <c r="W21" s="31">
        <v>0.25</v>
      </c>
      <c r="X21" s="31">
        <v>0.25</v>
      </c>
      <c r="Y21" s="30">
        <v>0.25</v>
      </c>
      <c r="Z21" s="29">
        <v>0.3087</v>
      </c>
      <c r="AA21" s="31">
        <v>0.3697</v>
      </c>
      <c r="AB21" s="30">
        <v>0.3216</v>
      </c>
      <c r="AC21" s="29">
        <v>0.5902</v>
      </c>
      <c r="AD21" s="31">
        <v>0.2741</v>
      </c>
      <c r="AE21" s="30">
        <v>0.1357</v>
      </c>
      <c r="AF21" s="29">
        <v>0.6517</v>
      </c>
      <c r="AG21" s="31">
        <v>0.0776</v>
      </c>
      <c r="AH21" s="31">
        <v>0.1393</v>
      </c>
      <c r="AI21" s="30">
        <v>0.1313</v>
      </c>
      <c r="AJ21" s="43"/>
      <c r="AK21" s="43"/>
      <c r="AL21" s="43"/>
    </row>
    <row r="22">
      <c r="A22" s="39" t="s">
        <v>66</v>
      </c>
      <c r="B22" s="1" t="s">
        <v>65</v>
      </c>
      <c r="C22" s="1" t="s">
        <v>43</v>
      </c>
      <c r="D22" s="28">
        <v>0.0611</v>
      </c>
      <c r="E22" s="29">
        <v>0.4656</v>
      </c>
      <c r="F22" s="30">
        <v>0.5344</v>
      </c>
      <c r="G22" s="33">
        <v>0.1218</v>
      </c>
      <c r="H22" s="34">
        <v>0.8021</v>
      </c>
      <c r="I22" s="34">
        <v>0.05</v>
      </c>
      <c r="J22" s="37">
        <v>0.0</v>
      </c>
      <c r="K22" s="29">
        <v>0.0</v>
      </c>
      <c r="L22" s="31">
        <f>0.044/0.431</f>
        <v>0.1020881671</v>
      </c>
      <c r="M22" s="31">
        <f>0.387/0.431</f>
        <v>0.8979118329</v>
      </c>
      <c r="N22" s="30">
        <v>0.0</v>
      </c>
      <c r="O22" s="33">
        <v>0.8339</v>
      </c>
      <c r="P22" s="31">
        <v>0.0</v>
      </c>
      <c r="Q22" s="31">
        <v>0.0</v>
      </c>
      <c r="R22" s="34">
        <v>0.05</v>
      </c>
      <c r="S22" s="31">
        <f>0.01/0.906</f>
        <v>0.01103752759</v>
      </c>
      <c r="T22" s="31">
        <f>0.0502/0.906</f>
        <v>0.05540838852</v>
      </c>
      <c r="U22" s="37">
        <v>0.05</v>
      </c>
      <c r="V22" s="33">
        <v>0.05</v>
      </c>
      <c r="W22" s="31">
        <f>0.2607/0.842</f>
        <v>0.3096199525</v>
      </c>
      <c r="X22" s="31">
        <f>0.2692/0.842</f>
        <v>0.3197149644</v>
      </c>
      <c r="Y22" s="37">
        <v>0.3211</v>
      </c>
      <c r="Z22" s="29">
        <v>0.3087</v>
      </c>
      <c r="AA22" s="31">
        <v>0.3697</v>
      </c>
      <c r="AB22" s="30">
        <v>0.3216</v>
      </c>
      <c r="AC22" s="29">
        <f>1-0.5902</f>
        <v>0.4098</v>
      </c>
      <c r="AD22" s="31">
        <f>0.2741/0.41</f>
        <v>0.6685365854</v>
      </c>
      <c r="AE22" s="30">
        <f>0.1357/0.41</f>
        <v>0.3309756098</v>
      </c>
      <c r="AF22" s="33">
        <v>0.05</v>
      </c>
      <c r="AG22" s="31">
        <f>0.0776/0.348</f>
        <v>0.2229885057</v>
      </c>
      <c r="AH22" s="34">
        <v>0.3503</v>
      </c>
      <c r="AI22" s="30">
        <f>0.1313/0.348</f>
        <v>0.3772988506</v>
      </c>
      <c r="AJ22" s="43"/>
      <c r="AK22" s="43"/>
      <c r="AL22" s="43"/>
    </row>
    <row r="23">
      <c r="A23" s="51" t="s">
        <v>67</v>
      </c>
      <c r="B23" s="1" t="s">
        <v>65</v>
      </c>
      <c r="C23" s="1" t="s">
        <v>43</v>
      </c>
      <c r="D23" s="28">
        <v>0.0491</v>
      </c>
      <c r="E23" s="29">
        <v>0.4656</v>
      </c>
      <c r="F23" s="30">
        <v>0.5344</v>
      </c>
      <c r="G23" s="33">
        <v>0.1218</v>
      </c>
      <c r="H23" s="34">
        <v>0.8021</v>
      </c>
      <c r="I23" s="34">
        <v>0.05</v>
      </c>
      <c r="J23" s="37">
        <v>0.0</v>
      </c>
      <c r="K23" s="29">
        <v>0.5406</v>
      </c>
      <c r="L23" s="31">
        <v>0.044</v>
      </c>
      <c r="M23" s="31">
        <v>0.387</v>
      </c>
      <c r="N23" s="30">
        <v>0.0284</v>
      </c>
      <c r="O23" s="29">
        <v>0.8461</v>
      </c>
      <c r="P23" s="31">
        <v>0.0</v>
      </c>
      <c r="Q23" s="31">
        <v>0.0</v>
      </c>
      <c r="R23" s="31">
        <v>0.0653</v>
      </c>
      <c r="S23" s="31">
        <v>0.01</v>
      </c>
      <c r="T23" s="31">
        <v>0.0502</v>
      </c>
      <c r="U23" s="30">
        <v>0.0284</v>
      </c>
      <c r="V23" s="29">
        <v>0.25</v>
      </c>
      <c r="W23" s="31">
        <v>0.25</v>
      </c>
      <c r="X23" s="31">
        <v>0.25</v>
      </c>
      <c r="Y23" s="30">
        <v>0.25</v>
      </c>
      <c r="Z23" s="29">
        <v>0.3087</v>
      </c>
      <c r="AA23" s="31">
        <v>0.3697</v>
      </c>
      <c r="AB23" s="30">
        <v>0.3216</v>
      </c>
      <c r="AC23" s="29">
        <v>0.5902</v>
      </c>
      <c r="AD23" s="31">
        <v>0.2741</v>
      </c>
      <c r="AE23" s="30">
        <v>0.1357</v>
      </c>
      <c r="AF23" s="29">
        <v>0.6517</v>
      </c>
      <c r="AG23" s="31">
        <v>0.0776</v>
      </c>
      <c r="AH23" s="31">
        <v>0.1393</v>
      </c>
      <c r="AI23" s="30">
        <v>0.1313</v>
      </c>
      <c r="AJ23" s="43"/>
      <c r="AK23" s="43"/>
      <c r="AL23" s="43"/>
    </row>
    <row r="24">
      <c r="A24" s="39" t="s">
        <v>68</v>
      </c>
      <c r="B24" s="1" t="s">
        <v>65</v>
      </c>
      <c r="C24" s="1" t="s">
        <v>43</v>
      </c>
      <c r="D24" s="28">
        <v>0.0902</v>
      </c>
      <c r="E24" s="29">
        <v>0.4656</v>
      </c>
      <c r="F24" s="30">
        <v>0.5344</v>
      </c>
      <c r="G24" s="33">
        <v>0.1218</v>
      </c>
      <c r="H24" s="34">
        <v>0.8021</v>
      </c>
      <c r="I24" s="34">
        <v>0.05</v>
      </c>
      <c r="J24" s="37">
        <v>0.0</v>
      </c>
      <c r="K24" s="29">
        <v>0.0</v>
      </c>
      <c r="L24" s="31">
        <f>0.044/0.431</f>
        <v>0.1020881671</v>
      </c>
      <c r="M24" s="31">
        <f>0.387/0.431</f>
        <v>0.8979118329</v>
      </c>
      <c r="N24" s="30">
        <v>0.0</v>
      </c>
      <c r="O24" s="33">
        <v>0.05</v>
      </c>
      <c r="P24" s="31">
        <v>0.0</v>
      </c>
      <c r="Q24" s="31">
        <v>0.0</v>
      </c>
      <c r="R24" s="34">
        <v>0.05</v>
      </c>
      <c r="S24" s="31">
        <f>0.01/0.089</f>
        <v>0.1123595506</v>
      </c>
      <c r="T24" s="34">
        <v>0.514</v>
      </c>
      <c r="U24" s="37">
        <v>0.2691</v>
      </c>
      <c r="V24" s="33">
        <v>0.05</v>
      </c>
      <c r="W24" s="31">
        <f>0.2607/0.842</f>
        <v>0.3096199525</v>
      </c>
      <c r="X24" s="31">
        <f>0.2692/0.842</f>
        <v>0.3197149644</v>
      </c>
      <c r="Y24" s="37">
        <v>0.3211</v>
      </c>
      <c r="Z24" s="29">
        <v>0.3087</v>
      </c>
      <c r="AA24" s="31">
        <v>0.3697</v>
      </c>
      <c r="AB24" s="30">
        <v>0.3216</v>
      </c>
      <c r="AC24" s="29">
        <f>1-0.5902</f>
        <v>0.4098</v>
      </c>
      <c r="AD24" s="31">
        <f>0.2741/0.41</f>
        <v>0.6685365854</v>
      </c>
      <c r="AE24" s="30">
        <f>0.1357/0.41</f>
        <v>0.3309756098</v>
      </c>
      <c r="AF24" s="33">
        <v>0.05</v>
      </c>
      <c r="AG24" s="31">
        <f>0.0776/0.348</f>
        <v>0.2229885057</v>
      </c>
      <c r="AH24" s="34">
        <v>0.3503</v>
      </c>
      <c r="AI24" s="30">
        <f>0.1313/0.348</f>
        <v>0.3772988506</v>
      </c>
      <c r="AJ24" s="43"/>
      <c r="AK24" s="52"/>
      <c r="AL24" s="52"/>
    </row>
    <row r="25">
      <c r="A25" s="53" t="s">
        <v>69</v>
      </c>
      <c r="B25" s="53" t="s">
        <v>70</v>
      </c>
      <c r="C25" s="53" t="s">
        <v>43</v>
      </c>
      <c r="D25" s="54">
        <v>0.75</v>
      </c>
      <c r="E25" s="55">
        <v>0.4656</v>
      </c>
      <c r="F25" s="56">
        <f t="shared" ref="F25:F26" si="16">1-E25</f>
        <v>0.5344</v>
      </c>
      <c r="G25" s="8">
        <v>0.0677</v>
      </c>
      <c r="H25" s="8">
        <v>0.5557</v>
      </c>
      <c r="I25" s="8">
        <v>0.1997</v>
      </c>
      <c r="J25" s="8">
        <f t="shared" ref="J25:J26" si="17">1-(G25+H25+I25)</f>
        <v>0.1769</v>
      </c>
      <c r="K25" s="57">
        <v>0.5406</v>
      </c>
      <c r="L25" s="58">
        <v>0.044</v>
      </c>
      <c r="M25" s="58">
        <v>0.387</v>
      </c>
      <c r="N25" s="59">
        <v>0.0284</v>
      </c>
      <c r="O25" s="8">
        <v>0.8461</v>
      </c>
      <c r="P25" s="8">
        <v>0.0</v>
      </c>
      <c r="Q25" s="8">
        <v>0.0</v>
      </c>
      <c r="R25" s="8">
        <v>0.0652</v>
      </c>
      <c r="S25" s="8">
        <v>0.01</v>
      </c>
      <c r="T25" s="8">
        <v>0.05</v>
      </c>
      <c r="U25" s="8">
        <v>0.0284</v>
      </c>
      <c r="V25" s="57">
        <v>0.1577</v>
      </c>
      <c r="W25" s="58">
        <v>0.2607</v>
      </c>
      <c r="X25" s="58">
        <v>0.2692</v>
      </c>
      <c r="Y25" s="59">
        <v>0.3125</v>
      </c>
      <c r="Z25" s="58">
        <v>0.3087</v>
      </c>
      <c r="AA25" s="58">
        <v>0.3697</v>
      </c>
      <c r="AB25" s="58">
        <v>0.3216</v>
      </c>
      <c r="AC25" s="57">
        <v>0.5902</v>
      </c>
      <c r="AD25" s="58">
        <v>0.2741</v>
      </c>
      <c r="AE25" s="59">
        <v>0.1357</v>
      </c>
      <c r="AF25" s="57">
        <v>0.6517</v>
      </c>
      <c r="AG25" s="58">
        <v>0.0776</v>
      </c>
      <c r="AH25" s="58">
        <v>0.1393</v>
      </c>
      <c r="AI25" s="59">
        <v>0.1313</v>
      </c>
    </row>
    <row r="26">
      <c r="A26" s="60" t="s">
        <v>71</v>
      </c>
      <c r="B26" s="60" t="s">
        <v>70</v>
      </c>
      <c r="C26" s="60" t="s">
        <v>43</v>
      </c>
      <c r="D26" s="61">
        <v>0.75</v>
      </c>
      <c r="E26" s="62">
        <v>0.4656</v>
      </c>
      <c r="F26" s="63">
        <f t="shared" si="16"/>
        <v>0.5344</v>
      </c>
      <c r="G26" s="24">
        <v>0.0677</v>
      </c>
      <c r="H26" s="24">
        <v>0.5557</v>
      </c>
      <c r="I26" s="24">
        <v>0.1997</v>
      </c>
      <c r="J26" s="24">
        <f t="shared" si="17"/>
        <v>0.1769</v>
      </c>
      <c r="K26" s="64">
        <v>0.5406</v>
      </c>
      <c r="L26" s="65">
        <v>0.044</v>
      </c>
      <c r="M26" s="65">
        <v>0.387</v>
      </c>
      <c r="N26" s="66">
        <v>0.0284</v>
      </c>
      <c r="O26" s="24">
        <v>0.8461</v>
      </c>
      <c r="P26" s="24">
        <v>0.0</v>
      </c>
      <c r="Q26" s="24">
        <v>0.0</v>
      </c>
      <c r="R26" s="24">
        <v>0.0652</v>
      </c>
      <c r="S26" s="24">
        <v>0.01</v>
      </c>
      <c r="T26" s="24">
        <v>0.05</v>
      </c>
      <c r="U26" s="24">
        <v>0.0284</v>
      </c>
      <c r="V26" s="64">
        <v>0.1577</v>
      </c>
      <c r="W26" s="65">
        <v>0.2607</v>
      </c>
      <c r="X26" s="65">
        <v>0.2692</v>
      </c>
      <c r="Y26" s="66">
        <v>0.3125</v>
      </c>
      <c r="Z26" s="65">
        <v>0.3087</v>
      </c>
      <c r="AA26" s="65">
        <v>0.3697</v>
      </c>
      <c r="AB26" s="65">
        <v>0.3216</v>
      </c>
      <c r="AC26" s="64">
        <v>0.5902</v>
      </c>
      <c r="AD26" s="65">
        <v>0.2741</v>
      </c>
      <c r="AE26" s="66">
        <v>0.1357</v>
      </c>
      <c r="AF26" s="64">
        <v>0.6517</v>
      </c>
      <c r="AG26" s="65">
        <v>0.0776</v>
      </c>
      <c r="AH26" s="65">
        <v>0.1393</v>
      </c>
      <c r="AI26" s="66">
        <v>0.1313</v>
      </c>
    </row>
    <row r="27">
      <c r="A27" s="67"/>
      <c r="B27" s="67"/>
      <c r="D27" s="68"/>
    </row>
    <row r="28">
      <c r="A28" s="40"/>
      <c r="B28" s="40"/>
      <c r="D28" s="68"/>
    </row>
    <row r="29">
      <c r="B29" s="40"/>
      <c r="D29" s="68"/>
    </row>
    <row r="30">
      <c r="A30" s="40"/>
      <c r="B30" s="47"/>
      <c r="D30" s="68"/>
    </row>
    <row r="31">
      <c r="A31" s="69"/>
      <c r="B31" s="1"/>
      <c r="D31" s="68"/>
    </row>
    <row r="32">
      <c r="A32" s="40"/>
      <c r="B32" s="40"/>
      <c r="D32" s="68"/>
    </row>
    <row r="33">
      <c r="D33" s="68"/>
    </row>
    <row r="34">
      <c r="D34" s="68"/>
    </row>
    <row r="35">
      <c r="D35" s="68"/>
    </row>
    <row r="36">
      <c r="D36" s="68"/>
    </row>
    <row r="37">
      <c r="D37" s="68"/>
    </row>
    <row r="38">
      <c r="D38" s="68"/>
    </row>
    <row r="39">
      <c r="D39" s="68"/>
    </row>
    <row r="40">
      <c r="D40" s="68"/>
    </row>
    <row r="41">
      <c r="D41" s="68"/>
    </row>
  </sheetData>
  <mergeCells count="8">
    <mergeCell ref="E1:F1"/>
    <mergeCell ref="G1:J1"/>
    <mergeCell ref="K1:N1"/>
    <mergeCell ref="O1:U1"/>
    <mergeCell ref="V1:Y1"/>
    <mergeCell ref="Z1:AB1"/>
    <mergeCell ref="AC1:AE1"/>
    <mergeCell ref="AF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2"/>
      <c r="E1" s="70" t="s">
        <v>0</v>
      </c>
      <c r="F1" s="71"/>
      <c r="G1" s="72" t="s">
        <v>1</v>
      </c>
      <c r="J1" s="71"/>
      <c r="K1" s="73" t="s">
        <v>2</v>
      </c>
      <c r="N1" s="71"/>
      <c r="O1" s="74" t="s">
        <v>3</v>
      </c>
      <c r="U1" s="71"/>
      <c r="V1" s="73" t="s">
        <v>4</v>
      </c>
      <c r="Y1" s="71"/>
      <c r="Z1" s="73" t="s">
        <v>5</v>
      </c>
      <c r="AB1" s="71"/>
      <c r="AC1" s="73" t="s">
        <v>6</v>
      </c>
      <c r="AE1" s="71"/>
      <c r="AF1" s="75" t="s">
        <v>7</v>
      </c>
      <c r="AI1" s="71"/>
      <c r="AJ1" s="8"/>
      <c r="AK1" s="8"/>
      <c r="AL1" s="8"/>
    </row>
    <row r="2">
      <c r="A2" s="9" t="s">
        <v>8</v>
      </c>
      <c r="B2" s="9" t="s">
        <v>9</v>
      </c>
      <c r="C2" s="9" t="s">
        <v>10</v>
      </c>
      <c r="D2" s="10" t="s">
        <v>11</v>
      </c>
      <c r="E2" s="15" t="s">
        <v>12</v>
      </c>
      <c r="F2" s="76" t="s">
        <v>13</v>
      </c>
      <c r="G2" s="15" t="s">
        <v>14</v>
      </c>
      <c r="H2" s="14" t="s">
        <v>15</v>
      </c>
      <c r="I2" s="15" t="s">
        <v>16</v>
      </c>
      <c r="J2" s="12" t="s">
        <v>17</v>
      </c>
      <c r="K2" s="17" t="s">
        <v>18</v>
      </c>
      <c r="L2" s="17" t="s">
        <v>19</v>
      </c>
      <c r="M2" s="17" t="s">
        <v>20</v>
      </c>
      <c r="N2" s="18" t="s">
        <v>21</v>
      </c>
      <c r="O2" s="20" t="s">
        <v>22</v>
      </c>
      <c r="P2" s="20" t="s">
        <v>23</v>
      </c>
      <c r="Q2" s="20" t="s">
        <v>24</v>
      </c>
      <c r="R2" s="20" t="s">
        <v>25</v>
      </c>
      <c r="S2" s="20" t="s">
        <v>26</v>
      </c>
      <c r="T2" s="21" t="s">
        <v>27</v>
      </c>
      <c r="U2" s="22" t="s">
        <v>28</v>
      </c>
      <c r="V2" s="24" t="s">
        <v>29</v>
      </c>
      <c r="W2" s="24" t="s">
        <v>30</v>
      </c>
      <c r="X2" s="24" t="s">
        <v>31</v>
      </c>
      <c r="Y2" s="25" t="s">
        <v>32</v>
      </c>
      <c r="Z2" s="17" t="s">
        <v>33</v>
      </c>
      <c r="AA2" s="17" t="s">
        <v>34</v>
      </c>
      <c r="AB2" s="18" t="s">
        <v>35</v>
      </c>
      <c r="AC2" s="17" t="s">
        <v>36</v>
      </c>
      <c r="AD2" s="17" t="s">
        <v>37</v>
      </c>
      <c r="AE2" s="25" t="s">
        <v>32</v>
      </c>
      <c r="AF2" s="17" t="s">
        <v>38</v>
      </c>
      <c r="AG2" s="17" t="s">
        <v>39</v>
      </c>
      <c r="AH2" s="24" t="s">
        <v>40</v>
      </c>
      <c r="AI2" s="25" t="s">
        <v>32</v>
      </c>
      <c r="AJ2" s="24"/>
      <c r="AK2" s="24"/>
      <c r="AL2" s="24"/>
    </row>
    <row r="3">
      <c r="A3" s="77" t="s">
        <v>72</v>
      </c>
      <c r="B3" s="1" t="s">
        <v>42</v>
      </c>
      <c r="C3" s="1" t="s">
        <v>73</v>
      </c>
      <c r="D3" s="78">
        <v>0.1019</v>
      </c>
      <c r="E3" s="79">
        <v>0.4759</v>
      </c>
      <c r="F3" s="80">
        <v>0.5241</v>
      </c>
      <c r="G3" s="79">
        <f t="shared" ref="G3:G4" si="1">0.1042/0.82</f>
        <v>0.1270731707</v>
      </c>
      <c r="H3" s="79">
        <f t="shared" ref="H3:H4" si="2">0.5237/0.82</f>
        <v>0.6386585366</v>
      </c>
      <c r="I3" s="79">
        <f t="shared" ref="I3:I4" si="3">0.1917/0.82</f>
        <v>0.2337804878</v>
      </c>
      <c r="J3" s="81">
        <v>0.0</v>
      </c>
      <c r="K3" s="79">
        <v>0.0</v>
      </c>
      <c r="L3" s="79">
        <f>0.1426/0.4046</f>
        <v>0.3524468611</v>
      </c>
      <c r="M3" s="79">
        <f>0.262/0.4046</f>
        <v>0.6475531389</v>
      </c>
      <c r="N3" s="80">
        <v>0.0</v>
      </c>
      <c r="O3" s="79">
        <v>0.0</v>
      </c>
      <c r="P3" s="79">
        <f>0.6906/0.927</f>
        <v>0.7449838188</v>
      </c>
      <c r="Q3" s="79">
        <v>0.0</v>
      </c>
      <c r="R3" s="79">
        <v>0.0</v>
      </c>
      <c r="S3" s="79">
        <v>0.0</v>
      </c>
      <c r="T3" s="79">
        <f>0.2367/0.927</f>
        <v>0.2553398058</v>
      </c>
      <c r="U3" s="80">
        <v>0.0</v>
      </c>
      <c r="V3" s="79">
        <v>0.0</v>
      </c>
      <c r="W3" s="79">
        <f>0.3544/0.852</f>
        <v>0.4159624413</v>
      </c>
      <c r="X3" s="79">
        <f>0.2831/0.852</f>
        <v>0.3322769953</v>
      </c>
      <c r="Y3" s="80">
        <f>0.2147/0.852</f>
        <v>0.2519953052</v>
      </c>
      <c r="Z3" s="79">
        <f t="shared" ref="Z3:Z5" si="4">0.3146/0.692</f>
        <v>0.4546242775</v>
      </c>
      <c r="AA3" s="79">
        <f t="shared" ref="AA3:AA5" si="5">0.3772/0.692</f>
        <v>0.5450867052</v>
      </c>
      <c r="AB3" s="80">
        <v>0.0</v>
      </c>
      <c r="AC3" s="79">
        <f>0.4375/0.601</f>
        <v>0.727953411</v>
      </c>
      <c r="AD3" s="79">
        <v>0.0</v>
      </c>
      <c r="AE3" s="80">
        <f>0.1638/0.601</f>
        <v>0.2725457571</v>
      </c>
      <c r="AF3" s="79">
        <f>0.5413/0.87</f>
        <v>0.622183908</v>
      </c>
      <c r="AG3" s="79">
        <v>0.0</v>
      </c>
      <c r="AH3" s="79">
        <f>0.1582/0.87</f>
        <v>0.1818390805</v>
      </c>
      <c r="AI3" s="80">
        <f>0.1709/0.87</f>
        <v>0.1964367816</v>
      </c>
      <c r="AJ3" s="43"/>
      <c r="AK3" s="43"/>
      <c r="AL3" s="43"/>
    </row>
    <row r="4">
      <c r="A4" s="82" t="s">
        <v>74</v>
      </c>
      <c r="B4" s="1" t="s">
        <v>42</v>
      </c>
      <c r="C4" s="1" t="s">
        <v>73</v>
      </c>
      <c r="D4" s="28">
        <v>0.0706</v>
      </c>
      <c r="E4" s="79">
        <v>0.361</v>
      </c>
      <c r="F4" s="80">
        <v>0.639</v>
      </c>
      <c r="G4" s="79">
        <f t="shared" si="1"/>
        <v>0.1270731707</v>
      </c>
      <c r="H4" s="79">
        <f t="shared" si="2"/>
        <v>0.6386585366</v>
      </c>
      <c r="I4" s="79">
        <f t="shared" si="3"/>
        <v>0.2337804878</v>
      </c>
      <c r="J4" s="81">
        <v>0.0</v>
      </c>
      <c r="K4" s="79">
        <f>0.5373/0.8574</f>
        <v>0.6266620014</v>
      </c>
      <c r="L4" s="79">
        <v>0.0</v>
      </c>
      <c r="M4" s="79">
        <f>0.262/0.8574</f>
        <v>0.3055749942</v>
      </c>
      <c r="N4" s="80">
        <f>0.0581/0.8574</f>
        <v>0.06776300443</v>
      </c>
      <c r="O4" s="79">
        <f>0.0016/0.99</f>
        <v>0.001616161616</v>
      </c>
      <c r="P4" s="79">
        <f>0.6909/0.99</f>
        <v>0.6978787879</v>
      </c>
      <c r="Q4" s="79">
        <f>0.0029/0.99</f>
        <v>0.002929292929</v>
      </c>
      <c r="R4" s="79">
        <v>0.0</v>
      </c>
      <c r="S4" s="79">
        <v>0.0</v>
      </c>
      <c r="T4" s="79">
        <f>0.2367/0.99</f>
        <v>0.2390909091</v>
      </c>
      <c r="U4" s="80">
        <f>0.0581/0.99</f>
        <v>0.05868686869</v>
      </c>
      <c r="V4" s="79">
        <v>0.148</v>
      </c>
      <c r="W4" s="79">
        <v>0.3544</v>
      </c>
      <c r="X4" s="79">
        <v>0.2831</v>
      </c>
      <c r="Y4" s="80">
        <v>0.2147</v>
      </c>
      <c r="Z4" s="79">
        <f t="shared" si="4"/>
        <v>0.4546242775</v>
      </c>
      <c r="AA4" s="79">
        <f t="shared" si="5"/>
        <v>0.5450867052</v>
      </c>
      <c r="AB4" s="80">
        <v>0.0</v>
      </c>
      <c r="AC4" s="79">
        <v>1.0</v>
      </c>
      <c r="AD4" s="79">
        <v>0.0</v>
      </c>
      <c r="AE4" s="80">
        <v>0.0</v>
      </c>
      <c r="AF4" s="79">
        <v>1.0</v>
      </c>
      <c r="AG4" s="79">
        <v>0.0</v>
      </c>
      <c r="AH4" s="79">
        <v>0.0</v>
      </c>
      <c r="AI4" s="80">
        <v>0.0</v>
      </c>
      <c r="AJ4" s="43"/>
      <c r="AK4" s="43"/>
      <c r="AL4" s="43"/>
    </row>
    <row r="5">
      <c r="A5" s="39" t="s">
        <v>75</v>
      </c>
      <c r="B5" s="1" t="s">
        <v>42</v>
      </c>
      <c r="C5" s="1" t="s">
        <v>73</v>
      </c>
      <c r="D5" s="28">
        <v>0.0459</v>
      </c>
      <c r="E5" s="79">
        <v>0.467</v>
      </c>
      <c r="F5" s="80">
        <v>0.533</v>
      </c>
      <c r="G5" s="83">
        <v>0.0</v>
      </c>
      <c r="H5" s="79">
        <f>0.5237/0.7154</f>
        <v>0.7320380207</v>
      </c>
      <c r="I5" s="79">
        <f>0.1917/0.7154</f>
        <v>0.2679619793</v>
      </c>
      <c r="J5" s="81">
        <v>0.0</v>
      </c>
      <c r="K5" s="79">
        <v>0.0</v>
      </c>
      <c r="L5" s="79">
        <f>0.1426/0.4046</f>
        <v>0.3524468611</v>
      </c>
      <c r="M5" s="79">
        <f>0.262/0.4046</f>
        <v>0.6475531389</v>
      </c>
      <c r="N5" s="80">
        <v>0.0</v>
      </c>
      <c r="O5" s="79">
        <v>0.0</v>
      </c>
      <c r="P5" s="79">
        <f>0.6906/0.927</f>
        <v>0.7449838188</v>
      </c>
      <c r="Q5" s="79">
        <v>0.0</v>
      </c>
      <c r="R5" s="79">
        <v>0.0</v>
      </c>
      <c r="S5" s="79">
        <v>0.0</v>
      </c>
      <c r="T5" s="79">
        <f>0.2367/0.927</f>
        <v>0.2553398058</v>
      </c>
      <c r="U5" s="80">
        <v>0.0</v>
      </c>
      <c r="V5" s="79">
        <v>0.0</v>
      </c>
      <c r="W5" s="79">
        <f>0.3544/0.637</f>
        <v>0.5563579278</v>
      </c>
      <c r="X5" s="79">
        <f>0.2831/0.637</f>
        <v>0.4444270016</v>
      </c>
      <c r="Y5" s="80">
        <v>0.0</v>
      </c>
      <c r="Z5" s="79">
        <f t="shared" si="4"/>
        <v>0.4546242775</v>
      </c>
      <c r="AA5" s="79">
        <f t="shared" si="5"/>
        <v>0.5450867052</v>
      </c>
      <c r="AB5" s="80">
        <v>0.0</v>
      </c>
      <c r="AC5" s="79">
        <v>0.0</v>
      </c>
      <c r="AD5" s="79">
        <v>1.0</v>
      </c>
      <c r="AE5" s="80">
        <v>0.0</v>
      </c>
      <c r="AF5" s="79">
        <v>0.0</v>
      </c>
      <c r="AG5" s="79">
        <v>1.0</v>
      </c>
      <c r="AH5" s="79">
        <v>0.0</v>
      </c>
      <c r="AI5" s="80">
        <v>0.0</v>
      </c>
      <c r="AJ5" s="43"/>
      <c r="AK5" s="43"/>
      <c r="AL5" s="43"/>
    </row>
    <row r="6">
      <c r="A6" s="44" t="s">
        <v>76</v>
      </c>
      <c r="B6" s="1" t="s">
        <v>48</v>
      </c>
      <c r="C6" s="1" t="s">
        <v>73</v>
      </c>
      <c r="D6" s="28">
        <v>0.1103</v>
      </c>
      <c r="E6" s="79">
        <v>0.4759</v>
      </c>
      <c r="F6" s="80">
        <v>0.5241</v>
      </c>
      <c r="G6" s="79">
        <v>0.0</v>
      </c>
      <c r="H6" s="79">
        <v>0.0</v>
      </c>
      <c r="I6" s="79">
        <v>1.0</v>
      </c>
      <c r="J6" s="81">
        <v>0.0</v>
      </c>
      <c r="K6" s="79">
        <f>0.5375/0.7993</f>
        <v>0.6724634055</v>
      </c>
      <c r="L6" s="79">
        <v>0.0</v>
      </c>
      <c r="M6" s="79">
        <f>0.262/0.7993</f>
        <v>0.3277868135</v>
      </c>
      <c r="N6" s="80">
        <v>0.0</v>
      </c>
      <c r="O6" s="79">
        <v>0.0</v>
      </c>
      <c r="P6" s="79">
        <v>1.0</v>
      </c>
      <c r="Q6" s="79">
        <v>0.0</v>
      </c>
      <c r="R6" s="79">
        <v>0.0</v>
      </c>
      <c r="S6" s="79">
        <v>0.0</v>
      </c>
      <c r="T6" s="79">
        <v>0.0</v>
      </c>
      <c r="U6" s="80">
        <v>0.0</v>
      </c>
      <c r="V6" s="79">
        <v>0.0</v>
      </c>
      <c r="W6" s="79">
        <v>1.0</v>
      </c>
      <c r="X6" s="79">
        <v>0.0</v>
      </c>
      <c r="Y6" s="80">
        <v>0.0</v>
      </c>
      <c r="Z6" s="79">
        <v>0.0</v>
      </c>
      <c r="AA6" s="79">
        <f>0.3772/0.685</f>
        <v>0.5506569343</v>
      </c>
      <c r="AB6" s="80">
        <f>0.3082/0.685</f>
        <v>0.4499270073</v>
      </c>
      <c r="AC6" s="79">
        <v>1.0</v>
      </c>
      <c r="AD6" s="79">
        <v>0.0</v>
      </c>
      <c r="AE6" s="80">
        <v>0.0</v>
      </c>
      <c r="AF6" s="79">
        <v>1.0</v>
      </c>
      <c r="AG6" s="79">
        <v>0.0</v>
      </c>
      <c r="AH6" s="79">
        <v>0.0</v>
      </c>
      <c r="AI6" s="80">
        <v>0.0</v>
      </c>
      <c r="AJ6" s="43"/>
      <c r="AK6" s="43"/>
      <c r="AL6" s="43"/>
    </row>
    <row r="7">
      <c r="A7" s="84" t="s">
        <v>77</v>
      </c>
      <c r="B7" s="1" t="s">
        <v>48</v>
      </c>
      <c r="C7" s="1" t="s">
        <v>73</v>
      </c>
      <c r="D7" s="28">
        <v>0.2784</v>
      </c>
      <c r="E7" s="79">
        <v>0.4759</v>
      </c>
      <c r="F7" s="80">
        <v>0.5241</v>
      </c>
      <c r="G7" s="79">
        <f>0.1042/0.82</f>
        <v>0.1270731707</v>
      </c>
      <c r="H7" s="79">
        <f>0.5237/0.82</f>
        <v>0.6386585366</v>
      </c>
      <c r="I7" s="79">
        <f>0.1917/0.82</f>
        <v>0.2337804878</v>
      </c>
      <c r="J7" s="81">
        <v>0.0</v>
      </c>
      <c r="K7" s="79">
        <v>0.0</v>
      </c>
      <c r="L7" s="79">
        <f>0.1426/0.4046</f>
        <v>0.3524468611</v>
      </c>
      <c r="M7" s="79">
        <f>0.262/0.4046</f>
        <v>0.6475531389</v>
      </c>
      <c r="N7" s="80">
        <v>0.0</v>
      </c>
      <c r="O7" s="79">
        <v>0.0</v>
      </c>
      <c r="P7" s="79">
        <f>0.6906/0.927</f>
        <v>0.7449838188</v>
      </c>
      <c r="Q7" s="79">
        <v>0.0</v>
      </c>
      <c r="R7" s="79">
        <v>0.0</v>
      </c>
      <c r="S7" s="79">
        <v>0.0</v>
      </c>
      <c r="T7" s="79">
        <f>0.2367/0.927</f>
        <v>0.2553398058</v>
      </c>
      <c r="U7" s="80">
        <v>0.0</v>
      </c>
      <c r="V7" s="79">
        <v>0.0</v>
      </c>
      <c r="W7" s="79">
        <f>0.3544/0.569</f>
        <v>0.6228471002</v>
      </c>
      <c r="X7" s="79">
        <v>0.0</v>
      </c>
      <c r="Y7" s="80">
        <f>0.2147/0.569</f>
        <v>0.3773286467</v>
      </c>
      <c r="Z7" s="79">
        <v>0.0</v>
      </c>
      <c r="AA7" s="79">
        <v>1.0</v>
      </c>
      <c r="AB7" s="80">
        <v>0.0</v>
      </c>
      <c r="AC7" s="79">
        <f>0.4375/0.601</f>
        <v>0.727953411</v>
      </c>
      <c r="AD7" s="79">
        <v>0.0</v>
      </c>
      <c r="AE7" s="80">
        <f>0.1638/0.601</f>
        <v>0.2725457571</v>
      </c>
      <c r="AF7" s="79">
        <v>0.622</v>
      </c>
      <c r="AG7" s="79">
        <v>0.0</v>
      </c>
      <c r="AH7" s="79">
        <v>0.182</v>
      </c>
      <c r="AI7" s="80">
        <v>0.196</v>
      </c>
      <c r="AJ7" s="43"/>
      <c r="AK7" s="43"/>
      <c r="AL7" s="43"/>
    </row>
    <row r="8">
      <c r="A8" s="45" t="s">
        <v>78</v>
      </c>
      <c r="B8" s="40" t="s">
        <v>51</v>
      </c>
      <c r="C8" s="1" t="s">
        <v>73</v>
      </c>
      <c r="D8" s="28">
        <f>38000/1380000</f>
        <v>0.02753623188</v>
      </c>
      <c r="E8" s="79">
        <v>0.391</v>
      </c>
      <c r="F8" s="80">
        <v>0.609</v>
      </c>
      <c r="G8" s="79">
        <v>0.098</v>
      </c>
      <c r="H8" s="79">
        <v>0.867</v>
      </c>
      <c r="I8" s="79">
        <v>0.035</v>
      </c>
      <c r="J8" s="81">
        <v>0.0</v>
      </c>
      <c r="K8" s="79">
        <f>0.5375/0.9419</f>
        <v>0.5706550589</v>
      </c>
      <c r="L8" s="79">
        <f>0.1426/0.9419</f>
        <v>0.1513961142</v>
      </c>
      <c r="M8" s="79">
        <f>0.262/0.9419</f>
        <v>0.2781611636</v>
      </c>
      <c r="N8" s="80">
        <v>0.0</v>
      </c>
      <c r="O8" s="79">
        <v>0.0</v>
      </c>
      <c r="P8" s="79">
        <f>0.6906/0.752</f>
        <v>0.9183510638</v>
      </c>
      <c r="Q8" s="79">
        <f>0.0029/0.752</f>
        <v>0.003856382979</v>
      </c>
      <c r="R8" s="79">
        <v>0.0</v>
      </c>
      <c r="S8" s="79">
        <v>0.0</v>
      </c>
      <c r="T8" s="79">
        <v>0.0</v>
      </c>
      <c r="U8" s="80">
        <f>0.0581/0.752</f>
        <v>0.0772606383</v>
      </c>
      <c r="V8" s="79">
        <v>0.0</v>
      </c>
      <c r="W8" s="79">
        <v>0.0</v>
      </c>
      <c r="X8" s="79">
        <v>1.0</v>
      </c>
      <c r="Y8" s="80">
        <v>0.0</v>
      </c>
      <c r="Z8" s="79">
        <v>0.0</v>
      </c>
      <c r="AA8" s="79">
        <v>1.0</v>
      </c>
      <c r="AB8" s="80">
        <v>0.0</v>
      </c>
      <c r="AC8" s="79">
        <v>1.0</v>
      </c>
      <c r="AD8" s="79">
        <v>0.0</v>
      </c>
      <c r="AE8" s="80">
        <v>0.0</v>
      </c>
      <c r="AF8" s="79">
        <v>1.0</v>
      </c>
      <c r="AG8" s="79">
        <v>0.0</v>
      </c>
      <c r="AH8" s="79">
        <v>0.0</v>
      </c>
      <c r="AI8" s="80">
        <v>0.0</v>
      </c>
      <c r="AJ8" s="43"/>
      <c r="AK8" s="43"/>
      <c r="AL8" s="43"/>
    </row>
    <row r="9">
      <c r="A9" s="50" t="s">
        <v>79</v>
      </c>
      <c r="B9" s="40" t="s">
        <v>53</v>
      </c>
      <c r="C9" s="1" t="s">
        <v>73</v>
      </c>
      <c r="D9" s="28">
        <v>1.0</v>
      </c>
      <c r="E9" s="79">
        <v>0.4759</v>
      </c>
      <c r="F9" s="80">
        <v>0.5241</v>
      </c>
      <c r="G9" s="79">
        <f>0.1042/0.82</f>
        <v>0.1270731707</v>
      </c>
      <c r="H9" s="79">
        <f>0.5237/0.82</f>
        <v>0.6386585366</v>
      </c>
      <c r="I9" s="79">
        <f>0.1917/0.82</f>
        <v>0.2337804878</v>
      </c>
      <c r="J9" s="81">
        <v>0.0</v>
      </c>
      <c r="K9" s="79">
        <f t="shared" ref="K9:K10" si="6">0.5375/0.7993</f>
        <v>0.6724634055</v>
      </c>
      <c r="L9" s="79">
        <v>0.0</v>
      </c>
      <c r="M9" s="79">
        <f t="shared" ref="M9:M10" si="7">0.262/0.7993</f>
        <v>0.3277868135</v>
      </c>
      <c r="N9" s="80">
        <v>0.0</v>
      </c>
      <c r="O9" s="79">
        <v>0.0</v>
      </c>
      <c r="P9" s="79">
        <f t="shared" ref="P9:P10" si="8">0.6906/0.749</f>
        <v>0.9220293725</v>
      </c>
      <c r="Q9" s="79">
        <v>0.0</v>
      </c>
      <c r="R9" s="79">
        <v>0.0</v>
      </c>
      <c r="S9" s="79">
        <v>0.0</v>
      </c>
      <c r="T9" s="79">
        <v>0.0</v>
      </c>
      <c r="U9" s="80">
        <f t="shared" ref="U9:U10" si="9">0.0581/0.749</f>
        <v>0.07757009346</v>
      </c>
      <c r="V9" s="79">
        <f>0.148/0.502</f>
        <v>0.2948207171</v>
      </c>
      <c r="W9" s="79">
        <f>0.3544/0.502</f>
        <v>0.7059760956</v>
      </c>
      <c r="X9" s="79">
        <v>0.0</v>
      </c>
      <c r="Y9" s="80">
        <v>0.0</v>
      </c>
      <c r="Z9" s="79">
        <v>0.0</v>
      </c>
      <c r="AA9" s="79">
        <f>0.3772/0.685</f>
        <v>0.5506569343</v>
      </c>
      <c r="AB9" s="80">
        <f>0.3082/0.685</f>
        <v>0.4499270073</v>
      </c>
      <c r="AC9" s="79">
        <v>1.0</v>
      </c>
      <c r="AD9" s="79">
        <v>0.0</v>
      </c>
      <c r="AE9" s="80">
        <v>0.0</v>
      </c>
      <c r="AF9" s="79">
        <v>1.0</v>
      </c>
      <c r="AG9" s="79">
        <v>0.0</v>
      </c>
      <c r="AH9" s="79">
        <v>0.0</v>
      </c>
      <c r="AI9" s="80">
        <v>0.0</v>
      </c>
      <c r="AJ9" s="43"/>
      <c r="AK9" s="43"/>
      <c r="AL9" s="43"/>
    </row>
    <row r="10">
      <c r="A10" s="50" t="s">
        <v>80</v>
      </c>
      <c r="B10" s="40" t="s">
        <v>53</v>
      </c>
      <c r="C10" s="1" t="s">
        <v>73</v>
      </c>
      <c r="D10" s="28">
        <v>1.0</v>
      </c>
      <c r="E10" s="79">
        <v>0.384</v>
      </c>
      <c r="F10" s="80">
        <v>0.616</v>
      </c>
      <c r="G10" s="79">
        <v>0.09</v>
      </c>
      <c r="H10" s="79">
        <v>0.879</v>
      </c>
      <c r="I10" s="79">
        <v>0.032</v>
      </c>
      <c r="J10" s="81">
        <v>0.0</v>
      </c>
      <c r="K10" s="79">
        <f t="shared" si="6"/>
        <v>0.6724634055</v>
      </c>
      <c r="L10" s="79">
        <v>0.0</v>
      </c>
      <c r="M10" s="79">
        <f t="shared" si="7"/>
        <v>0.3277868135</v>
      </c>
      <c r="N10" s="80">
        <v>0.0</v>
      </c>
      <c r="O10" s="79">
        <v>0.0</v>
      </c>
      <c r="P10" s="79">
        <f t="shared" si="8"/>
        <v>0.9220293725</v>
      </c>
      <c r="Q10" s="79">
        <v>0.0</v>
      </c>
      <c r="R10" s="79">
        <v>0.0</v>
      </c>
      <c r="S10" s="79">
        <v>0.0</v>
      </c>
      <c r="T10" s="79">
        <v>0.0</v>
      </c>
      <c r="U10" s="80">
        <f t="shared" si="9"/>
        <v>0.07757009346</v>
      </c>
      <c r="V10" s="79">
        <v>0.0</v>
      </c>
      <c r="W10" s="79">
        <f>0.3544/0.637</f>
        <v>0.5563579278</v>
      </c>
      <c r="X10" s="79">
        <f>0.2831/0.637</f>
        <v>0.4444270016</v>
      </c>
      <c r="Y10" s="80">
        <v>0.0</v>
      </c>
      <c r="Z10" s="79">
        <f>0.3146/0.692</f>
        <v>0.4546242775</v>
      </c>
      <c r="AA10" s="79">
        <f>0.3772/0.692</f>
        <v>0.5450867052</v>
      </c>
      <c r="AB10" s="80">
        <v>0.0</v>
      </c>
      <c r="AC10" s="79">
        <v>1.0</v>
      </c>
      <c r="AD10" s="79">
        <v>0.0</v>
      </c>
      <c r="AE10" s="80">
        <v>0.0</v>
      </c>
      <c r="AF10" s="79">
        <v>1.0</v>
      </c>
      <c r="AG10" s="79">
        <v>0.0</v>
      </c>
      <c r="AH10" s="79">
        <v>0.0</v>
      </c>
      <c r="AI10" s="80">
        <v>0.0</v>
      </c>
      <c r="AJ10" s="43"/>
      <c r="AK10" s="43"/>
      <c r="AL10" s="43"/>
    </row>
    <row r="11">
      <c r="A11" s="50" t="s">
        <v>81</v>
      </c>
      <c r="B11" s="1" t="s">
        <v>53</v>
      </c>
      <c r="C11" s="1" t="s">
        <v>73</v>
      </c>
      <c r="D11" s="28">
        <v>1.0</v>
      </c>
      <c r="E11" s="79">
        <v>0.405</v>
      </c>
      <c r="F11" s="80">
        <v>0.596</v>
      </c>
      <c r="G11" s="79">
        <v>0.095</v>
      </c>
      <c r="H11" s="79">
        <v>0.876</v>
      </c>
      <c r="I11" s="79">
        <v>0.029</v>
      </c>
      <c r="J11" s="81">
        <v>0.0</v>
      </c>
      <c r="K11" s="79">
        <f t="shared" ref="K11:K12" si="10">0.5375/0.9419</f>
        <v>0.5706550589</v>
      </c>
      <c r="L11" s="79">
        <f t="shared" ref="L11:L12" si="11">0.1426/0.9419</f>
        <v>0.1513961142</v>
      </c>
      <c r="M11" s="79">
        <f t="shared" ref="M11:M12" si="12">0.262/0.9419</f>
        <v>0.2781611636</v>
      </c>
      <c r="N11" s="80">
        <v>0.0</v>
      </c>
      <c r="O11" s="79">
        <v>0.0</v>
      </c>
      <c r="P11" s="79">
        <f>0.6906/0.987</f>
        <v>0.6996960486</v>
      </c>
      <c r="Q11" s="79">
        <v>0.0</v>
      </c>
      <c r="R11" s="79">
        <f>0.0014/0.987</f>
        <v>0.001418439716</v>
      </c>
      <c r="S11" s="79">
        <v>0.0</v>
      </c>
      <c r="T11" s="79">
        <f>0.2367/0.987</f>
        <v>0.2398176292</v>
      </c>
      <c r="U11" s="80">
        <f>0.0581/0.987</f>
        <v>0.05886524823</v>
      </c>
      <c r="V11" s="79">
        <v>0.148</v>
      </c>
      <c r="W11" s="79">
        <v>0.3544</v>
      </c>
      <c r="X11" s="79">
        <v>0.2831</v>
      </c>
      <c r="Y11" s="80">
        <v>0.2147</v>
      </c>
      <c r="Z11" s="79">
        <v>0.0</v>
      </c>
      <c r="AA11" s="79">
        <v>0.0</v>
      </c>
      <c r="AB11" s="80">
        <v>1.0</v>
      </c>
      <c r="AC11" s="79">
        <v>1.0</v>
      </c>
      <c r="AD11" s="79">
        <v>0.0</v>
      </c>
      <c r="AE11" s="80">
        <v>0.0</v>
      </c>
      <c r="AF11" s="79">
        <f>0.5413/0.699</f>
        <v>0.7743919886</v>
      </c>
      <c r="AG11" s="79">
        <v>0.0</v>
      </c>
      <c r="AH11" s="79">
        <f>0.1582/0.699</f>
        <v>0.226323319</v>
      </c>
      <c r="AI11" s="80">
        <v>0.0</v>
      </c>
      <c r="AJ11" s="43"/>
      <c r="AK11" s="43"/>
      <c r="AL11" s="43"/>
    </row>
    <row r="12">
      <c r="A12" s="50" t="s">
        <v>82</v>
      </c>
      <c r="B12" s="1" t="s">
        <v>53</v>
      </c>
      <c r="C12" s="1" t="s">
        <v>73</v>
      </c>
      <c r="D12" s="28">
        <v>0.4235</v>
      </c>
      <c r="E12" s="79">
        <v>0.396</v>
      </c>
      <c r="F12" s="80">
        <v>0.604</v>
      </c>
      <c r="G12" s="79">
        <v>0.096</v>
      </c>
      <c r="H12" s="79">
        <v>0.867</v>
      </c>
      <c r="I12" s="79">
        <v>0.037</v>
      </c>
      <c r="J12" s="81">
        <v>0.0</v>
      </c>
      <c r="K12" s="79">
        <f t="shared" si="10"/>
        <v>0.5706550589</v>
      </c>
      <c r="L12" s="79">
        <f t="shared" si="11"/>
        <v>0.1513961142</v>
      </c>
      <c r="M12" s="79">
        <f t="shared" si="12"/>
        <v>0.2781611636</v>
      </c>
      <c r="N12" s="80">
        <v>0.0</v>
      </c>
      <c r="O12" s="79">
        <f>0.0016/0.99</f>
        <v>0.001616161616</v>
      </c>
      <c r="P12" s="79">
        <f>0.6906/0.99</f>
        <v>0.6975757576</v>
      </c>
      <c r="Q12" s="79">
        <f>0.0029/0.99</f>
        <v>0.002929292929</v>
      </c>
      <c r="R12" s="79">
        <v>0.0</v>
      </c>
      <c r="S12" s="79">
        <v>0.0</v>
      </c>
      <c r="T12" s="79">
        <f>0.2367/0.99</f>
        <v>0.2390909091</v>
      </c>
      <c r="U12" s="80">
        <f>0.0581/0.99</f>
        <v>0.05868686869</v>
      </c>
      <c r="V12" s="79">
        <f>0.148/0.363</f>
        <v>0.4077134986</v>
      </c>
      <c r="W12" s="79">
        <v>0.0</v>
      </c>
      <c r="X12" s="79">
        <v>0.0</v>
      </c>
      <c r="Y12" s="80">
        <f>0.2147/0.363</f>
        <v>0.5914600551</v>
      </c>
      <c r="Z12" s="79">
        <v>0.0</v>
      </c>
      <c r="AA12" s="79">
        <f>0.3772/0.685</f>
        <v>0.5506569343</v>
      </c>
      <c r="AB12" s="80">
        <f>0.3082/0.685</f>
        <v>0.4499270073</v>
      </c>
      <c r="AC12" s="79">
        <f>0.4375/0.601</f>
        <v>0.727953411</v>
      </c>
      <c r="AD12" s="79">
        <v>0.0</v>
      </c>
      <c r="AE12" s="80">
        <f>0.1638/0.601</f>
        <v>0.2725457571</v>
      </c>
      <c r="AF12" s="79">
        <v>0.622</v>
      </c>
      <c r="AG12" s="79">
        <v>0.0</v>
      </c>
      <c r="AH12" s="79">
        <v>0.182</v>
      </c>
      <c r="AI12" s="80">
        <v>0.196</v>
      </c>
      <c r="AJ12" s="43"/>
      <c r="AK12" s="43"/>
      <c r="AL12" s="43"/>
    </row>
    <row r="13">
      <c r="A13" s="49" t="s">
        <v>58</v>
      </c>
      <c r="B13" s="1" t="s">
        <v>53</v>
      </c>
      <c r="C13" s="1" t="s">
        <v>73</v>
      </c>
      <c r="D13" s="28">
        <v>0.6022</v>
      </c>
      <c r="E13" s="79">
        <v>0.582</v>
      </c>
      <c r="F13" s="80">
        <v>0.418</v>
      </c>
      <c r="G13" s="79">
        <v>0.092</v>
      </c>
      <c r="H13" s="79">
        <v>0.794</v>
      </c>
      <c r="I13" s="79">
        <v>0.114</v>
      </c>
      <c r="J13" s="81">
        <v>0.0</v>
      </c>
      <c r="K13" s="79">
        <v>0.0</v>
      </c>
      <c r="L13" s="79">
        <f t="shared" ref="L13:L15" si="13">0.1426/0.4046</f>
        <v>0.3524468611</v>
      </c>
      <c r="M13" s="79">
        <f t="shared" ref="M13:M15" si="14">0.262/0.4046</f>
        <v>0.6475531389</v>
      </c>
      <c r="N13" s="80">
        <v>0.0</v>
      </c>
      <c r="O13" s="79">
        <v>0.0</v>
      </c>
      <c r="P13" s="79">
        <v>0.0</v>
      </c>
      <c r="Q13" s="79">
        <v>0.0</v>
      </c>
      <c r="R13" s="79">
        <v>0.0</v>
      </c>
      <c r="S13" s="79">
        <v>0.0</v>
      </c>
      <c r="T13" s="79">
        <f>0.2367/0.295</f>
        <v>0.8023728814</v>
      </c>
      <c r="U13" s="80">
        <f>0.0581/0.295</f>
        <v>0.1969491525</v>
      </c>
      <c r="V13" s="79">
        <v>0.0</v>
      </c>
      <c r="W13" s="79">
        <f t="shared" ref="W13:W14" si="15">0.3544/0.637</f>
        <v>0.5563579278</v>
      </c>
      <c r="X13" s="79">
        <f t="shared" ref="X13:X14" si="16">0.2831/0.637</f>
        <v>0.4444270016</v>
      </c>
      <c r="Y13" s="80">
        <v>0.0</v>
      </c>
      <c r="Z13" s="79">
        <v>0.0</v>
      </c>
      <c r="AA13" s="79">
        <v>1.0</v>
      </c>
      <c r="AB13" s="80">
        <v>0.0</v>
      </c>
      <c r="AC13" s="79">
        <v>0.0</v>
      </c>
      <c r="AD13" s="79">
        <v>1.0</v>
      </c>
      <c r="AE13" s="80">
        <v>0.0</v>
      </c>
      <c r="AF13" s="79">
        <v>0.0</v>
      </c>
      <c r="AG13" s="79">
        <v>1.0</v>
      </c>
      <c r="AH13" s="79">
        <v>0.0</v>
      </c>
      <c r="AI13" s="80">
        <v>0.0</v>
      </c>
      <c r="AJ13" s="43"/>
      <c r="AK13" s="43"/>
      <c r="AL13" s="43"/>
    </row>
    <row r="14">
      <c r="A14" s="49" t="s">
        <v>83</v>
      </c>
      <c r="B14" s="1" t="s">
        <v>53</v>
      </c>
      <c r="C14" s="1" t="s">
        <v>73</v>
      </c>
      <c r="D14" s="28">
        <v>0.8824</v>
      </c>
      <c r="E14" s="79">
        <v>0.483</v>
      </c>
      <c r="F14" s="80">
        <v>0.518</v>
      </c>
      <c r="G14" s="79">
        <v>0.132</v>
      </c>
      <c r="H14" s="79">
        <v>0.802</v>
      </c>
      <c r="I14" s="79">
        <v>0.066</v>
      </c>
      <c r="J14" s="81">
        <v>0.0</v>
      </c>
      <c r="K14" s="79">
        <v>0.0</v>
      </c>
      <c r="L14" s="79">
        <f t="shared" si="13"/>
        <v>0.3524468611</v>
      </c>
      <c r="M14" s="79">
        <f t="shared" si="14"/>
        <v>0.6475531389</v>
      </c>
      <c r="N14" s="80">
        <v>0.0</v>
      </c>
      <c r="O14" s="79">
        <v>0.0</v>
      </c>
      <c r="P14" s="79">
        <v>0.0</v>
      </c>
      <c r="Q14" s="79">
        <v>0.0</v>
      </c>
      <c r="R14" s="79">
        <v>0.0</v>
      </c>
      <c r="S14" s="79">
        <f>0.0087/0.304</f>
        <v>0.02861842105</v>
      </c>
      <c r="T14" s="79">
        <f>0.2367/0.304</f>
        <v>0.7786184211</v>
      </c>
      <c r="U14" s="80">
        <f>0.0581/0.304</f>
        <v>0.1911184211</v>
      </c>
      <c r="V14" s="79">
        <v>0.0</v>
      </c>
      <c r="W14" s="79">
        <f t="shared" si="15"/>
        <v>0.5563579278</v>
      </c>
      <c r="X14" s="79">
        <f t="shared" si="16"/>
        <v>0.4444270016</v>
      </c>
      <c r="Y14" s="80">
        <v>0.0</v>
      </c>
      <c r="Z14" s="79">
        <v>0.0</v>
      </c>
      <c r="AA14" s="79">
        <v>1.0</v>
      </c>
      <c r="AB14" s="80">
        <v>0.0</v>
      </c>
      <c r="AC14" s="79">
        <v>0.0</v>
      </c>
      <c r="AD14" s="79">
        <v>1.0</v>
      </c>
      <c r="AE14" s="80">
        <v>0.0</v>
      </c>
      <c r="AF14" s="79">
        <v>0.0</v>
      </c>
      <c r="AG14" s="79">
        <v>1.0</v>
      </c>
      <c r="AH14" s="79">
        <v>0.0</v>
      </c>
      <c r="AI14" s="80">
        <v>0.0</v>
      </c>
      <c r="AJ14" s="43"/>
      <c r="AK14" s="43"/>
      <c r="AL14" s="43"/>
    </row>
    <row r="15">
      <c r="A15" s="49" t="s">
        <v>84</v>
      </c>
      <c r="B15" s="1" t="s">
        <v>53</v>
      </c>
      <c r="C15" s="1" t="s">
        <v>73</v>
      </c>
      <c r="D15" s="28">
        <v>0.3147</v>
      </c>
      <c r="E15" s="79">
        <v>0.615</v>
      </c>
      <c r="F15" s="80">
        <v>0.385</v>
      </c>
      <c r="G15" s="79">
        <v>0.155</v>
      </c>
      <c r="H15" s="79">
        <v>0.785</v>
      </c>
      <c r="I15" s="79">
        <v>0.06</v>
      </c>
      <c r="J15" s="81">
        <v>0.0</v>
      </c>
      <c r="K15" s="79">
        <v>0.0</v>
      </c>
      <c r="L15" s="79">
        <f t="shared" si="13"/>
        <v>0.3524468611</v>
      </c>
      <c r="M15" s="79">
        <f t="shared" si="14"/>
        <v>0.6475531389</v>
      </c>
      <c r="N15" s="80">
        <v>0.0</v>
      </c>
      <c r="O15" s="79">
        <v>0.0</v>
      </c>
      <c r="P15" s="79">
        <v>0.0</v>
      </c>
      <c r="Q15" s="79">
        <v>0.0</v>
      </c>
      <c r="R15" s="79">
        <v>0.0</v>
      </c>
      <c r="S15" s="79">
        <v>0.0</v>
      </c>
      <c r="T15" s="79">
        <f>0.2367/0.295</f>
        <v>0.8023728814</v>
      </c>
      <c r="U15" s="80">
        <f>0.0581/0.295</f>
        <v>0.1969491525</v>
      </c>
      <c r="V15" s="79">
        <v>1.0</v>
      </c>
      <c r="W15" s="79">
        <v>0.0</v>
      </c>
      <c r="X15" s="79">
        <v>0.0</v>
      </c>
      <c r="Y15" s="80">
        <v>0.0</v>
      </c>
      <c r="Z15" s="79">
        <v>0.0</v>
      </c>
      <c r="AA15" s="79">
        <v>1.0</v>
      </c>
      <c r="AB15" s="80">
        <v>0.0</v>
      </c>
      <c r="AC15" s="79">
        <v>1.0</v>
      </c>
      <c r="AD15" s="79">
        <v>0.0</v>
      </c>
      <c r="AE15" s="80">
        <v>0.0</v>
      </c>
      <c r="AF15" s="79">
        <v>1.0</v>
      </c>
      <c r="AG15" s="79">
        <v>0.0</v>
      </c>
      <c r="AH15" s="79">
        <v>0.0</v>
      </c>
      <c r="AI15" s="80">
        <v>0.0</v>
      </c>
      <c r="AJ15" s="43"/>
      <c r="AK15" s="43"/>
      <c r="AL15" s="43"/>
    </row>
    <row r="16">
      <c r="A16" s="49" t="s">
        <v>85</v>
      </c>
      <c r="B16" s="1" t="s">
        <v>53</v>
      </c>
      <c r="C16" s="1" t="s">
        <v>73</v>
      </c>
      <c r="D16" s="28">
        <v>0.0326</v>
      </c>
      <c r="E16" s="79">
        <v>0.565</v>
      </c>
      <c r="F16" s="80">
        <v>0.435</v>
      </c>
      <c r="G16" s="79">
        <v>0.103</v>
      </c>
      <c r="H16" s="79">
        <v>0.796</v>
      </c>
      <c r="I16" s="79">
        <v>0.101</v>
      </c>
      <c r="J16" s="81">
        <v>0.0</v>
      </c>
      <c r="K16" s="79">
        <f>0.5375/0.9419</f>
        <v>0.5706550589</v>
      </c>
      <c r="L16" s="79">
        <f>0.1426/0.9419</f>
        <v>0.1513961142</v>
      </c>
      <c r="M16" s="79">
        <f>0.262/0.9419</f>
        <v>0.2781611636</v>
      </c>
      <c r="N16" s="80">
        <v>0.0</v>
      </c>
      <c r="O16" s="79">
        <f>0.0016/0.987</f>
        <v>0.001621073961</v>
      </c>
      <c r="P16" s="79">
        <f>0.6906/0.987</f>
        <v>0.6996960486</v>
      </c>
      <c r="Q16" s="79">
        <f>1-0.0029-0.0014-0.0087</f>
        <v>0.987</v>
      </c>
      <c r="R16" s="79">
        <v>0.0</v>
      </c>
      <c r="S16" s="79">
        <v>0.0</v>
      </c>
      <c r="T16" s="79">
        <f>0.2367/0.987</f>
        <v>0.2398176292</v>
      </c>
      <c r="U16" s="80">
        <f>0.0581/0.987</f>
        <v>0.05886524823</v>
      </c>
      <c r="V16" s="79">
        <v>0.0</v>
      </c>
      <c r="W16" s="79">
        <f>0.3544/0.637</f>
        <v>0.5563579278</v>
      </c>
      <c r="X16" s="79">
        <f>0.2831/0.637</f>
        <v>0.4444270016</v>
      </c>
      <c r="Y16" s="80">
        <v>0.0</v>
      </c>
      <c r="Z16" s="79">
        <v>0.0</v>
      </c>
      <c r="AA16" s="79">
        <v>1.0</v>
      </c>
      <c r="AB16" s="80">
        <v>0.0</v>
      </c>
      <c r="AC16" s="79">
        <v>0.0</v>
      </c>
      <c r="AD16" s="79">
        <v>1.0</v>
      </c>
      <c r="AE16" s="80">
        <v>0.0</v>
      </c>
      <c r="AF16" s="79">
        <v>0.0</v>
      </c>
      <c r="AG16" s="79">
        <v>1.0</v>
      </c>
      <c r="AH16" s="79">
        <v>0.0</v>
      </c>
      <c r="AI16" s="80">
        <v>0.0</v>
      </c>
      <c r="AJ16" s="43"/>
      <c r="AK16" s="43"/>
      <c r="AL16" s="43"/>
    </row>
    <row r="17">
      <c r="A17" s="49" t="s">
        <v>86</v>
      </c>
      <c r="B17" s="1" t="s">
        <v>53</v>
      </c>
      <c r="C17" s="1" t="s">
        <v>73</v>
      </c>
      <c r="D17" s="28">
        <v>0.1059</v>
      </c>
      <c r="E17" s="79">
        <v>0.577</v>
      </c>
      <c r="F17" s="80">
        <v>0.423</v>
      </c>
      <c r="G17" s="79">
        <v>0.148</v>
      </c>
      <c r="H17" s="79">
        <v>0.796</v>
      </c>
      <c r="I17" s="79">
        <v>0.056</v>
      </c>
      <c r="J17" s="81">
        <v>0.0</v>
      </c>
      <c r="K17" s="79">
        <v>0.0</v>
      </c>
      <c r="L17" s="79">
        <f>0.1426/0.4046</f>
        <v>0.3524468611</v>
      </c>
      <c r="M17" s="79">
        <f>0.262/0.4046</f>
        <v>0.6475531389</v>
      </c>
      <c r="N17" s="80">
        <v>0.0</v>
      </c>
      <c r="O17" s="79">
        <v>0.0</v>
      </c>
      <c r="P17" s="79">
        <f>0.6906/0.985</f>
        <v>0.7011167513</v>
      </c>
      <c r="Q17" s="79">
        <v>0.0</v>
      </c>
      <c r="R17" s="79">
        <v>0.0</v>
      </c>
      <c r="S17" s="79">
        <v>0.0</v>
      </c>
      <c r="T17" s="79">
        <f>0.2367/0.985</f>
        <v>0.2403045685</v>
      </c>
      <c r="U17" s="80">
        <f>0.0581/0.985</f>
        <v>0.05898477157</v>
      </c>
      <c r="V17" s="79">
        <v>0.0</v>
      </c>
      <c r="W17" s="79">
        <f>0.3544/0.852</f>
        <v>0.4159624413</v>
      </c>
      <c r="X17" s="79">
        <f>0.2831/0.852</f>
        <v>0.3322769953</v>
      </c>
      <c r="Y17" s="80">
        <f>0.2147/0.852</f>
        <v>0.2519953052</v>
      </c>
      <c r="Z17" s="79">
        <f>0.3146/0.692</f>
        <v>0.4546242775</v>
      </c>
      <c r="AA17" s="79">
        <f>0.3772/0.692</f>
        <v>0.5450867052</v>
      </c>
      <c r="AB17" s="80">
        <v>0.0</v>
      </c>
      <c r="AC17" s="79">
        <v>0.0</v>
      </c>
      <c r="AD17" s="79">
        <v>0.0</v>
      </c>
      <c r="AE17" s="80">
        <v>1.0</v>
      </c>
      <c r="AF17" s="79">
        <v>0.0</v>
      </c>
      <c r="AG17" s="79">
        <v>0.0</v>
      </c>
      <c r="AH17" s="79">
        <f>0.1582/0.329</f>
        <v>0.4808510638</v>
      </c>
      <c r="AI17" s="80">
        <f>0.1709/0.329</f>
        <v>0.5194528875</v>
      </c>
      <c r="AJ17" s="43"/>
      <c r="AK17" s="43"/>
      <c r="AL17" s="43"/>
    </row>
    <row r="18">
      <c r="A18" s="49" t="s">
        <v>87</v>
      </c>
      <c r="B18" s="1" t="s">
        <v>53</v>
      </c>
      <c r="C18" s="1" t="s">
        <v>73</v>
      </c>
      <c r="D18" s="28">
        <v>0.0574</v>
      </c>
      <c r="E18" s="79">
        <v>0.424</v>
      </c>
      <c r="F18" s="80">
        <v>0.576</v>
      </c>
      <c r="G18" s="79">
        <v>0.079</v>
      </c>
      <c r="H18" s="79">
        <v>0.883</v>
      </c>
      <c r="I18" s="79">
        <v>0.038</v>
      </c>
      <c r="J18" s="81">
        <v>0.0</v>
      </c>
      <c r="K18" s="79">
        <f>0.5375/0.7993</f>
        <v>0.6724634055</v>
      </c>
      <c r="L18" s="79">
        <v>0.0</v>
      </c>
      <c r="M18" s="79">
        <f>0.262/0.7993</f>
        <v>0.3277868135</v>
      </c>
      <c r="N18" s="80">
        <v>0.0</v>
      </c>
      <c r="O18" s="79">
        <v>0.0</v>
      </c>
      <c r="P18" s="79">
        <v>1.0</v>
      </c>
      <c r="Q18" s="79">
        <v>0.0</v>
      </c>
      <c r="R18" s="79">
        <v>0.0</v>
      </c>
      <c r="S18" s="79">
        <v>0.0</v>
      </c>
      <c r="T18" s="79">
        <v>0.0</v>
      </c>
      <c r="U18" s="80">
        <v>0.0</v>
      </c>
      <c r="V18" s="79">
        <v>0.0</v>
      </c>
      <c r="W18" s="79">
        <v>0.0</v>
      </c>
      <c r="X18" s="79">
        <v>1.0</v>
      </c>
      <c r="Y18" s="80">
        <v>0.0</v>
      </c>
      <c r="Z18" s="79">
        <v>0.0</v>
      </c>
      <c r="AA18" s="79">
        <v>1.0</v>
      </c>
      <c r="AB18" s="80">
        <v>0.0</v>
      </c>
      <c r="AC18" s="79">
        <v>1.0</v>
      </c>
      <c r="AD18" s="79">
        <v>0.0</v>
      </c>
      <c r="AE18" s="80">
        <v>0.0</v>
      </c>
      <c r="AF18" s="79">
        <v>1.0</v>
      </c>
      <c r="AG18" s="79">
        <v>0.0</v>
      </c>
      <c r="AH18" s="79">
        <v>0.0</v>
      </c>
      <c r="AI18" s="80">
        <v>0.0</v>
      </c>
      <c r="AJ18" s="43"/>
      <c r="AK18" s="43"/>
      <c r="AL18" s="43"/>
    </row>
    <row r="19">
      <c r="A19" s="39" t="s">
        <v>88</v>
      </c>
      <c r="B19" s="1" t="s">
        <v>65</v>
      </c>
      <c r="C19" s="1" t="s">
        <v>73</v>
      </c>
      <c r="D19" s="28">
        <v>0.723</v>
      </c>
      <c r="E19" s="79">
        <v>0.4759</v>
      </c>
      <c r="F19" s="80">
        <v>0.5241</v>
      </c>
      <c r="G19" s="79">
        <f>0.1042/0.82</f>
        <v>0.1270731707</v>
      </c>
      <c r="H19" s="79">
        <f>0.5237/0.82</f>
        <v>0.6386585366</v>
      </c>
      <c r="I19" s="79">
        <f>0.1917/0.82</f>
        <v>0.2337804878</v>
      </c>
      <c r="J19" s="81">
        <v>0.0</v>
      </c>
      <c r="K19" s="79">
        <v>0.5373</v>
      </c>
      <c r="L19" s="79">
        <v>0.1426</v>
      </c>
      <c r="M19" s="79">
        <v>0.262</v>
      </c>
      <c r="N19" s="80">
        <v>0.0581</v>
      </c>
      <c r="O19" s="79">
        <v>0.0016</v>
      </c>
      <c r="P19" s="79">
        <v>0.6906</v>
      </c>
      <c r="Q19" s="79">
        <v>0.0029</v>
      </c>
      <c r="R19" s="79">
        <v>0.0014</v>
      </c>
      <c r="S19" s="79">
        <v>0.0087</v>
      </c>
      <c r="T19" s="79">
        <v>0.2376</v>
      </c>
      <c r="U19" s="80">
        <v>0.0581</v>
      </c>
      <c r="V19" s="79">
        <v>0.148</v>
      </c>
      <c r="W19" s="79">
        <v>0.3544</v>
      </c>
      <c r="X19" s="79">
        <v>0.2831</v>
      </c>
      <c r="Y19" s="80">
        <v>0.2147</v>
      </c>
      <c r="Z19" s="79">
        <v>0.3146</v>
      </c>
      <c r="AA19" s="79">
        <v>0.3772</v>
      </c>
      <c r="AB19" s="80">
        <v>0.3082</v>
      </c>
      <c r="AC19" s="79">
        <v>0.4375</v>
      </c>
      <c r="AD19" s="79">
        <v>0.3987</v>
      </c>
      <c r="AE19" s="80">
        <v>0.1638</v>
      </c>
      <c r="AF19" s="79">
        <v>0.25</v>
      </c>
      <c r="AG19" s="79">
        <v>0.25</v>
      </c>
      <c r="AH19" s="79">
        <v>0.25</v>
      </c>
      <c r="AI19" s="80">
        <v>0.25</v>
      </c>
      <c r="AJ19" s="43"/>
      <c r="AK19" s="43"/>
      <c r="AL19" s="43"/>
    </row>
    <row r="20">
      <c r="A20" s="39" t="s">
        <v>89</v>
      </c>
      <c r="B20" s="1" t="s">
        <v>65</v>
      </c>
      <c r="C20" s="1" t="s">
        <v>73</v>
      </c>
      <c r="D20" s="28">
        <v>0.1838</v>
      </c>
      <c r="E20" s="79">
        <v>0.4759</v>
      </c>
      <c r="F20" s="80">
        <v>0.5241</v>
      </c>
      <c r="G20" s="79">
        <v>0.0</v>
      </c>
      <c r="H20" s="79">
        <v>1.0</v>
      </c>
      <c r="I20" s="79">
        <v>0.0</v>
      </c>
      <c r="J20" s="81">
        <v>0.0</v>
      </c>
      <c r="K20" s="79">
        <v>0.0</v>
      </c>
      <c r="L20" s="79">
        <f>0.1426/0.4046</f>
        <v>0.3524468611</v>
      </c>
      <c r="M20" s="79">
        <f>0.262/0.4046</f>
        <v>0.6475531389</v>
      </c>
      <c r="N20" s="80">
        <v>0.0</v>
      </c>
      <c r="O20" s="79">
        <v>0.0</v>
      </c>
      <c r="P20" s="79">
        <f>0.6906/0.936</f>
        <v>0.7378205128</v>
      </c>
      <c r="Q20" s="79">
        <v>0.0</v>
      </c>
      <c r="R20" s="79">
        <v>0.0</v>
      </c>
      <c r="S20" s="79">
        <f>0.0087/0.9336</f>
        <v>0.009318766067</v>
      </c>
      <c r="T20" s="79">
        <f>0.2367/0.936</f>
        <v>0.2528846154</v>
      </c>
      <c r="U20" s="80">
        <v>0.0</v>
      </c>
      <c r="V20" s="79">
        <v>0.0</v>
      </c>
      <c r="W20" s="79">
        <f>0.3544/0.852</f>
        <v>0.4159624413</v>
      </c>
      <c r="X20" s="79">
        <f>0.2831/0.852</f>
        <v>0.3322769953</v>
      </c>
      <c r="Y20" s="80">
        <f>0.2147/0.852</f>
        <v>0.2519953052</v>
      </c>
      <c r="Z20" s="79">
        <v>0.3146</v>
      </c>
      <c r="AA20" s="79">
        <v>0.3772</v>
      </c>
      <c r="AB20" s="80">
        <v>0.3082</v>
      </c>
      <c r="AC20" s="79">
        <v>0.0</v>
      </c>
      <c r="AD20" s="79">
        <f>0.3987/0.563</f>
        <v>0.7081705151</v>
      </c>
      <c r="AE20" s="80">
        <f>0.1638/0.563</f>
        <v>0.2909413854</v>
      </c>
      <c r="AF20" s="79">
        <v>0.0</v>
      </c>
      <c r="AG20" s="79">
        <f>0.1297/0.459</f>
        <v>0.2825708061</v>
      </c>
      <c r="AH20" s="79">
        <f>0.1582/0.459</f>
        <v>0.3446623094</v>
      </c>
      <c r="AI20" s="80">
        <f>0.1709/0.459</f>
        <v>0.3723311547</v>
      </c>
      <c r="AJ20" s="43"/>
      <c r="AK20" s="43"/>
      <c r="AL20" s="43"/>
    </row>
    <row r="21">
      <c r="A21" s="51" t="s">
        <v>90</v>
      </c>
      <c r="B21" s="1" t="s">
        <v>65</v>
      </c>
      <c r="C21" s="1" t="s">
        <v>73</v>
      </c>
      <c r="D21" s="28">
        <v>0.089</v>
      </c>
      <c r="E21" s="79">
        <v>0.4759</v>
      </c>
      <c r="F21" s="80">
        <v>0.5241</v>
      </c>
      <c r="G21" s="79">
        <f t="shared" ref="G21:G22" si="17">0.1042/0.628</f>
        <v>0.1659235669</v>
      </c>
      <c r="H21" s="79">
        <f t="shared" ref="H21:H22" si="18">0.5237/0.628</f>
        <v>0.8339171975</v>
      </c>
      <c r="I21" s="79">
        <v>0.0</v>
      </c>
      <c r="J21" s="81">
        <v>0.0</v>
      </c>
      <c r="K21" s="79">
        <v>0.5373</v>
      </c>
      <c r="L21" s="79">
        <v>0.1426</v>
      </c>
      <c r="M21" s="79">
        <v>0.262</v>
      </c>
      <c r="N21" s="80">
        <v>0.0581</v>
      </c>
      <c r="O21" s="79">
        <v>0.0016</v>
      </c>
      <c r="P21" s="79">
        <v>0.6906</v>
      </c>
      <c r="Q21" s="79">
        <v>0.0029</v>
      </c>
      <c r="R21" s="79">
        <v>0.0014</v>
      </c>
      <c r="S21" s="79">
        <v>0.0087</v>
      </c>
      <c r="T21" s="79">
        <v>0.2376</v>
      </c>
      <c r="U21" s="80">
        <v>0.0581</v>
      </c>
      <c r="V21" s="79">
        <v>0.148</v>
      </c>
      <c r="W21" s="79">
        <v>0.3544</v>
      </c>
      <c r="X21" s="79">
        <v>0.2831</v>
      </c>
      <c r="Y21" s="80">
        <v>0.2147</v>
      </c>
      <c r="Z21" s="79">
        <v>0.3146</v>
      </c>
      <c r="AA21" s="79">
        <v>0.3772</v>
      </c>
      <c r="AB21" s="80">
        <v>0.3082</v>
      </c>
      <c r="AC21" s="79">
        <v>0.333</v>
      </c>
      <c r="AD21" s="79">
        <v>0.333</v>
      </c>
      <c r="AE21" s="80">
        <v>0.333</v>
      </c>
      <c r="AF21" s="79">
        <v>0.25</v>
      </c>
      <c r="AG21" s="79">
        <v>0.25</v>
      </c>
      <c r="AH21" s="79">
        <v>0.25</v>
      </c>
      <c r="AI21" s="80">
        <v>0.25</v>
      </c>
      <c r="AJ21" s="43"/>
      <c r="AK21" s="43"/>
      <c r="AL21" s="43"/>
    </row>
    <row r="22">
      <c r="A22" s="85" t="s">
        <v>91</v>
      </c>
      <c r="B22" s="9" t="s">
        <v>65</v>
      </c>
      <c r="C22" s="9" t="s">
        <v>73</v>
      </c>
      <c r="D22" s="28">
        <v>0.2404</v>
      </c>
      <c r="E22" s="79">
        <v>0.4759</v>
      </c>
      <c r="F22" s="22">
        <v>0.5241</v>
      </c>
      <c r="G22" s="20">
        <f t="shared" si="17"/>
        <v>0.1659235669</v>
      </c>
      <c r="H22" s="20">
        <f t="shared" si="18"/>
        <v>0.8339171975</v>
      </c>
      <c r="I22" s="20">
        <v>0.0</v>
      </c>
      <c r="J22" s="86">
        <v>0.0</v>
      </c>
      <c r="K22" s="20">
        <v>0.0</v>
      </c>
      <c r="L22" s="20">
        <f>0.1426/0.4046</f>
        <v>0.3524468611</v>
      </c>
      <c r="M22" s="20">
        <f>0.262/0.4046</f>
        <v>0.6475531389</v>
      </c>
      <c r="N22" s="22">
        <v>0.0</v>
      </c>
      <c r="O22" s="20">
        <v>0.0</v>
      </c>
      <c r="P22" s="20">
        <f>0.6906/0.994</f>
        <v>0.6947686117</v>
      </c>
      <c r="Q22" s="20">
        <v>0.0</v>
      </c>
      <c r="R22" s="20">
        <v>0.0</v>
      </c>
      <c r="S22" s="20">
        <f>0.0087/0.994</f>
        <v>0.008752515091</v>
      </c>
      <c r="T22" s="20">
        <f>0.2367/0.994</f>
        <v>0.2381287726</v>
      </c>
      <c r="U22" s="22">
        <f>0.0581/0.994</f>
        <v>0.05845070423</v>
      </c>
      <c r="V22" s="20">
        <v>0.0</v>
      </c>
      <c r="W22" s="20">
        <f>0.3544/0.852</f>
        <v>0.4159624413</v>
      </c>
      <c r="X22" s="20">
        <f>0.2831/0.852</f>
        <v>0.3322769953</v>
      </c>
      <c r="Y22" s="22">
        <f>0.2147/0.852</f>
        <v>0.2519953052</v>
      </c>
      <c r="Z22" s="20">
        <v>0.3146</v>
      </c>
      <c r="AA22" s="20">
        <v>0.3772</v>
      </c>
      <c r="AB22" s="22">
        <v>0.3082</v>
      </c>
      <c r="AC22" s="20">
        <v>0.4375</v>
      </c>
      <c r="AD22" s="20">
        <v>0.3987</v>
      </c>
      <c r="AE22" s="22">
        <v>0.1638</v>
      </c>
      <c r="AF22" s="20">
        <v>0.0</v>
      </c>
      <c r="AG22" s="20">
        <f>0.1297/0.459</f>
        <v>0.2825708061</v>
      </c>
      <c r="AH22" s="20">
        <f>0.1582/0.459</f>
        <v>0.3446623094</v>
      </c>
      <c r="AI22" s="22">
        <f>0.1709/0.459</f>
        <v>0.3723311547</v>
      </c>
      <c r="AJ22" s="52"/>
      <c r="AK22" s="52"/>
      <c r="AL22" s="52"/>
    </row>
    <row r="23">
      <c r="D23" s="87"/>
      <c r="E23" s="87"/>
    </row>
  </sheetData>
  <mergeCells count="8">
    <mergeCell ref="E1:F1"/>
    <mergeCell ref="G1:J1"/>
    <mergeCell ref="K1:N1"/>
    <mergeCell ref="O1:U1"/>
    <mergeCell ref="V1:Y1"/>
    <mergeCell ref="Z1:AB1"/>
    <mergeCell ref="AC1:AE1"/>
    <mergeCell ref="AF1:A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2"/>
      <c r="E1" s="70" t="s">
        <v>0</v>
      </c>
      <c r="F1" s="71"/>
      <c r="G1" s="72" t="s">
        <v>1</v>
      </c>
      <c r="J1" s="71"/>
      <c r="K1" s="73" t="s">
        <v>2</v>
      </c>
      <c r="N1" s="71"/>
      <c r="O1" s="74" t="s">
        <v>3</v>
      </c>
      <c r="U1" s="71"/>
      <c r="V1" s="73" t="s">
        <v>4</v>
      </c>
      <c r="Y1" s="71"/>
      <c r="Z1" s="73" t="s">
        <v>5</v>
      </c>
      <c r="AB1" s="71"/>
      <c r="AC1" s="73" t="s">
        <v>6</v>
      </c>
      <c r="AE1" s="71"/>
      <c r="AF1" s="75" t="s">
        <v>7</v>
      </c>
      <c r="AI1" s="71"/>
      <c r="AJ1" s="8"/>
      <c r="AK1" s="8"/>
      <c r="AL1" s="8"/>
    </row>
    <row r="2">
      <c r="A2" s="9" t="s">
        <v>8</v>
      </c>
      <c r="B2" s="9" t="s">
        <v>9</v>
      </c>
      <c r="C2" s="9" t="s">
        <v>10</v>
      </c>
      <c r="D2" s="10" t="s">
        <v>11</v>
      </c>
      <c r="E2" s="15" t="s">
        <v>12</v>
      </c>
      <c r="F2" s="76" t="s">
        <v>13</v>
      </c>
      <c r="G2" s="15" t="s">
        <v>14</v>
      </c>
      <c r="H2" s="14" t="s">
        <v>15</v>
      </c>
      <c r="I2" s="15" t="s">
        <v>16</v>
      </c>
      <c r="J2" s="12" t="s">
        <v>17</v>
      </c>
      <c r="K2" s="17" t="s">
        <v>18</v>
      </c>
      <c r="L2" s="17" t="s">
        <v>19</v>
      </c>
      <c r="M2" s="17" t="s">
        <v>20</v>
      </c>
      <c r="N2" s="18" t="s">
        <v>21</v>
      </c>
      <c r="O2" s="20" t="s">
        <v>22</v>
      </c>
      <c r="P2" s="20" t="s">
        <v>23</v>
      </c>
      <c r="Q2" s="20" t="s">
        <v>24</v>
      </c>
      <c r="R2" s="20" t="s">
        <v>25</v>
      </c>
      <c r="S2" s="20" t="s">
        <v>26</v>
      </c>
      <c r="T2" s="21" t="s">
        <v>27</v>
      </c>
      <c r="U2" s="22" t="s">
        <v>28</v>
      </c>
      <c r="V2" s="24" t="s">
        <v>29</v>
      </c>
      <c r="W2" s="24" t="s">
        <v>30</v>
      </c>
      <c r="X2" s="24" t="s">
        <v>31</v>
      </c>
      <c r="Y2" s="25" t="s">
        <v>32</v>
      </c>
      <c r="Z2" s="17" t="s">
        <v>33</v>
      </c>
      <c r="AA2" s="17" t="s">
        <v>34</v>
      </c>
      <c r="AB2" s="18" t="s">
        <v>35</v>
      </c>
      <c r="AC2" s="17" t="s">
        <v>36</v>
      </c>
      <c r="AD2" s="17" t="s">
        <v>37</v>
      </c>
      <c r="AE2" s="25" t="s">
        <v>32</v>
      </c>
      <c r="AF2" s="17" t="s">
        <v>38</v>
      </c>
      <c r="AG2" s="17" t="s">
        <v>39</v>
      </c>
      <c r="AH2" s="24" t="s">
        <v>40</v>
      </c>
      <c r="AI2" s="25" t="s">
        <v>32</v>
      </c>
      <c r="AJ2" s="24"/>
      <c r="AK2" s="24"/>
      <c r="AL2" s="24"/>
    </row>
    <row r="3">
      <c r="A3" s="82" t="s">
        <v>92</v>
      </c>
      <c r="B3" s="1" t="s">
        <v>42</v>
      </c>
      <c r="C3" s="1" t="s">
        <v>93</v>
      </c>
      <c r="D3" s="28">
        <v>0.1031</v>
      </c>
      <c r="E3" s="79">
        <v>0.359</v>
      </c>
      <c r="F3" s="80">
        <v>0.641</v>
      </c>
      <c r="G3" s="79">
        <f t="shared" ref="G3:G4" si="1">0.0937/0.84</f>
        <v>0.111547619</v>
      </c>
      <c r="H3" s="79">
        <f t="shared" ref="H3:H4" si="2">0.5376/0.84</f>
        <v>0.64</v>
      </c>
      <c r="I3" s="79">
        <f t="shared" ref="I3:I4" si="3">0.2088/0.84</f>
        <v>0.2485714286</v>
      </c>
      <c r="J3" s="81">
        <v>0.0</v>
      </c>
      <c r="K3" s="79">
        <f>0.3445/0.8692</f>
        <v>0.3963414634</v>
      </c>
      <c r="L3" s="79">
        <v>0.0</v>
      </c>
      <c r="M3" s="79">
        <f>0.4587/0.8692</f>
        <v>0.5277266452</v>
      </c>
      <c r="N3" s="80">
        <f>0.066/0.8692</f>
        <v>0.07593189139</v>
      </c>
      <c r="O3" s="79">
        <f>0.0112/0.708</f>
        <v>0.01581920904</v>
      </c>
      <c r="P3" s="79">
        <f>0.0008/0.708</f>
        <v>0.001129943503</v>
      </c>
      <c r="Q3" s="79">
        <f>0.6299/0.708</f>
        <v>0.8896892655</v>
      </c>
      <c r="R3" s="79">
        <v>0.0</v>
      </c>
      <c r="S3" s="79">
        <v>0.0</v>
      </c>
      <c r="T3" s="79">
        <v>0.0</v>
      </c>
      <c r="U3" s="80">
        <f>0.066/0.708</f>
        <v>0.09322033898</v>
      </c>
      <c r="V3" s="79">
        <v>0.1064</v>
      </c>
      <c r="W3" s="79">
        <v>0.2392</v>
      </c>
      <c r="X3" s="79">
        <v>0.3954</v>
      </c>
      <c r="Y3" s="80">
        <v>0.2591</v>
      </c>
      <c r="Z3" s="79">
        <v>0.3499</v>
      </c>
      <c r="AA3" s="79">
        <v>0.3621</v>
      </c>
      <c r="AB3" s="80">
        <v>0.288</v>
      </c>
      <c r="AC3" s="79">
        <v>1.0</v>
      </c>
      <c r="AD3" s="79">
        <v>0.0</v>
      </c>
      <c r="AE3" s="80">
        <v>0.0</v>
      </c>
      <c r="AF3" s="79">
        <f>0.5413/0.712</f>
        <v>0.760252809</v>
      </c>
      <c r="AG3" s="79">
        <v>0.0</v>
      </c>
      <c r="AH3" s="79">
        <v>0.0</v>
      </c>
      <c r="AI3" s="80">
        <f>0.1709/0.712</f>
        <v>0.2400280899</v>
      </c>
      <c r="AJ3" s="43"/>
      <c r="AK3" s="43"/>
      <c r="AL3" s="43"/>
    </row>
    <row r="4">
      <c r="A4" s="77" t="s">
        <v>94</v>
      </c>
      <c r="B4" s="1" t="s">
        <v>42</v>
      </c>
      <c r="C4" s="1" t="s">
        <v>93</v>
      </c>
      <c r="D4" s="28">
        <v>0.0891</v>
      </c>
      <c r="E4" s="79">
        <v>0.4633</v>
      </c>
      <c r="F4" s="80">
        <v>0.5367</v>
      </c>
      <c r="G4" s="79">
        <f t="shared" si="1"/>
        <v>0.111547619</v>
      </c>
      <c r="H4" s="79">
        <f t="shared" si="2"/>
        <v>0.64</v>
      </c>
      <c r="I4" s="79">
        <f t="shared" si="3"/>
        <v>0.2485714286</v>
      </c>
      <c r="J4" s="81">
        <v>0.0</v>
      </c>
      <c r="K4" s="79">
        <f>0.3445/0.934</f>
        <v>0.3688436831</v>
      </c>
      <c r="L4" s="79">
        <f>0.1308/0.934</f>
        <v>0.1400428266</v>
      </c>
      <c r="M4" s="79">
        <f>0.4587/0.934</f>
        <v>0.4911134904</v>
      </c>
      <c r="N4" s="80">
        <v>0.0</v>
      </c>
      <c r="O4" s="79">
        <v>0.0</v>
      </c>
      <c r="P4" s="79">
        <v>0.0</v>
      </c>
      <c r="Q4" s="79">
        <f>0.6299/0.872</f>
        <v>0.7223623853</v>
      </c>
      <c r="R4" s="79">
        <v>0.0</v>
      </c>
      <c r="S4" s="79">
        <v>0.0</v>
      </c>
      <c r="T4" s="79">
        <f>0.2422/0.872</f>
        <v>0.2777522936</v>
      </c>
      <c r="U4" s="80">
        <v>0.0</v>
      </c>
      <c r="V4" s="79">
        <v>0.0</v>
      </c>
      <c r="W4" s="79">
        <f>0.2392/0.498</f>
        <v>0.4803212851</v>
      </c>
      <c r="X4" s="79">
        <v>0.0</v>
      </c>
      <c r="Y4" s="80">
        <f>0.2591/0.498</f>
        <v>0.5202811245</v>
      </c>
      <c r="Z4" s="79">
        <f t="shared" ref="Z4:Z5" si="4">0.3499/0.712</f>
        <v>0.4914325843</v>
      </c>
      <c r="AA4" s="79">
        <f t="shared" ref="AA4:AA5" si="5">0.3621/0.712</f>
        <v>0.5085674157</v>
      </c>
      <c r="AB4" s="80">
        <v>0.0</v>
      </c>
      <c r="AC4" s="79">
        <v>1.0</v>
      </c>
      <c r="AD4" s="79">
        <v>0.0</v>
      </c>
      <c r="AE4" s="80">
        <v>0.0</v>
      </c>
      <c r="AF4" s="79">
        <v>1.0</v>
      </c>
      <c r="AG4" s="79">
        <v>0.0</v>
      </c>
      <c r="AH4" s="79">
        <v>0.0</v>
      </c>
      <c r="AI4" s="80">
        <v>0.0</v>
      </c>
      <c r="AJ4" s="43"/>
      <c r="AK4" s="43"/>
      <c r="AL4" s="43"/>
    </row>
    <row r="5">
      <c r="A5" s="39" t="s">
        <v>95</v>
      </c>
      <c r="B5" s="1" t="s">
        <v>42</v>
      </c>
      <c r="C5" s="1" t="s">
        <v>93</v>
      </c>
      <c r="D5" s="28">
        <v>0.0872</v>
      </c>
      <c r="E5" s="79">
        <v>0.4633</v>
      </c>
      <c r="F5" s="80">
        <v>0.5367</v>
      </c>
      <c r="G5" s="79">
        <v>0.0</v>
      </c>
      <c r="H5" s="79">
        <f>0.5376/0.746</f>
        <v>0.7206434316</v>
      </c>
      <c r="I5" s="79">
        <f>0.2088/0.746</f>
        <v>0.2798927614</v>
      </c>
      <c r="J5" s="81">
        <v>0.0</v>
      </c>
      <c r="K5" s="79">
        <v>0.0</v>
      </c>
      <c r="L5" s="79">
        <f>0.1308/0.5895</f>
        <v>0.2218829517</v>
      </c>
      <c r="M5" s="79">
        <f>0.4587/0.5895</f>
        <v>0.7781170483</v>
      </c>
      <c r="N5" s="80">
        <v>0.0</v>
      </c>
      <c r="O5" s="79">
        <v>0.0</v>
      </c>
      <c r="P5" s="79">
        <v>0.0</v>
      </c>
      <c r="Q5" s="79">
        <f>0.6299/0.903</f>
        <v>0.6975636766</v>
      </c>
      <c r="R5" s="79">
        <v>0.0</v>
      </c>
      <c r="S5" s="79">
        <f>0.0309/0.903</f>
        <v>0.0342192691</v>
      </c>
      <c r="T5" s="79">
        <f>0.2422/0.903</f>
        <v>0.2682170543</v>
      </c>
      <c r="U5" s="80">
        <v>0.0</v>
      </c>
      <c r="V5" s="79">
        <v>0.0</v>
      </c>
      <c r="W5" s="79">
        <v>0.0</v>
      </c>
      <c r="X5" s="79">
        <f>0.3952/0.655</f>
        <v>0.6033587786</v>
      </c>
      <c r="Y5" s="80">
        <f>0.2591/0.655</f>
        <v>0.3955725191</v>
      </c>
      <c r="Z5" s="79">
        <f t="shared" si="4"/>
        <v>0.4914325843</v>
      </c>
      <c r="AA5" s="79">
        <f t="shared" si="5"/>
        <v>0.5085674157</v>
      </c>
      <c r="AB5" s="80">
        <v>0.0</v>
      </c>
      <c r="AC5" s="79">
        <v>0.0</v>
      </c>
      <c r="AD5" s="79">
        <v>1.0</v>
      </c>
      <c r="AE5" s="80">
        <v>0.0</v>
      </c>
      <c r="AF5" s="79">
        <v>0.0</v>
      </c>
      <c r="AG5" s="79">
        <v>1.0</v>
      </c>
      <c r="AH5" s="79">
        <v>0.0</v>
      </c>
      <c r="AI5" s="80">
        <v>0.0</v>
      </c>
      <c r="AJ5" s="43"/>
      <c r="AK5" s="43"/>
      <c r="AL5" s="43"/>
    </row>
    <row r="6">
      <c r="A6" s="44" t="s">
        <v>96</v>
      </c>
      <c r="B6" s="1" t="s">
        <v>48</v>
      </c>
      <c r="C6" s="1" t="s">
        <v>93</v>
      </c>
      <c r="D6" s="28">
        <v>0.1938</v>
      </c>
      <c r="E6" s="79">
        <v>0.4633</v>
      </c>
      <c r="F6" s="80">
        <v>0.5367</v>
      </c>
      <c r="G6" s="79">
        <v>0.0</v>
      </c>
      <c r="H6" s="79">
        <v>0.0</v>
      </c>
      <c r="I6" s="79">
        <v>1.0</v>
      </c>
      <c r="J6" s="81">
        <v>0.0</v>
      </c>
      <c r="K6" s="79">
        <f t="shared" ref="K6:K7" si="6">0.3445/0.8092</f>
        <v>0.4257291152</v>
      </c>
      <c r="L6" s="79">
        <v>0.0</v>
      </c>
      <c r="M6" s="79">
        <f t="shared" ref="M6:M7" si="7">0.4587/0.8093</f>
        <v>0.5667861115</v>
      </c>
      <c r="N6" s="80">
        <v>0.0</v>
      </c>
      <c r="O6" s="79">
        <v>0.0</v>
      </c>
      <c r="P6" s="79">
        <v>0.0</v>
      </c>
      <c r="Q6" s="79">
        <v>1.0</v>
      </c>
      <c r="R6" s="79">
        <v>0.0</v>
      </c>
      <c r="S6" s="79">
        <v>0.0</v>
      </c>
      <c r="T6" s="79">
        <v>0.0</v>
      </c>
      <c r="U6" s="80">
        <v>0.0</v>
      </c>
      <c r="V6" s="79">
        <v>0.0</v>
      </c>
      <c r="W6" s="79">
        <f>0.2392/0.498</f>
        <v>0.4803212851</v>
      </c>
      <c r="X6" s="79">
        <v>0.0</v>
      </c>
      <c r="Y6" s="80">
        <f>0.2591/0.498</f>
        <v>0.5202811245</v>
      </c>
      <c r="Z6" s="79">
        <v>0.0</v>
      </c>
      <c r="AA6" s="79">
        <f t="shared" ref="AA6:AA9" si="8">0.3621/0.65</f>
        <v>0.5570769231</v>
      </c>
      <c r="AB6" s="80">
        <f t="shared" ref="AB6:AB9" si="9">0.288/0.65</f>
        <v>0.4430769231</v>
      </c>
      <c r="AC6" s="79">
        <f>0.5576/0.693</f>
        <v>0.8046176046</v>
      </c>
      <c r="AD6" s="79">
        <v>0.0</v>
      </c>
      <c r="AE6" s="80">
        <f>0.1355/0.693</f>
        <v>0.1955266955</v>
      </c>
      <c r="AF6" s="79">
        <f>0.5413/0.87</f>
        <v>0.622183908</v>
      </c>
      <c r="AG6" s="79">
        <v>0.0</v>
      </c>
      <c r="AH6" s="79">
        <f>0.1582/0.87</f>
        <v>0.1818390805</v>
      </c>
      <c r="AI6" s="80">
        <f>0.1709/0.87</f>
        <v>0.1964367816</v>
      </c>
      <c r="AJ6" s="43"/>
      <c r="AK6" s="43"/>
      <c r="AL6" s="43"/>
    </row>
    <row r="7">
      <c r="A7" s="44" t="s">
        <v>97</v>
      </c>
      <c r="B7" s="1" t="s">
        <v>48</v>
      </c>
      <c r="C7" s="1" t="s">
        <v>93</v>
      </c>
      <c r="D7" s="28">
        <v>0.1153</v>
      </c>
      <c r="E7" s="79">
        <v>0.4633</v>
      </c>
      <c r="F7" s="80">
        <v>0.5367</v>
      </c>
      <c r="G7" s="79">
        <v>0.0</v>
      </c>
      <c r="H7" s="79">
        <v>0.0</v>
      </c>
      <c r="I7" s="79">
        <v>1.0</v>
      </c>
      <c r="J7" s="81">
        <v>0.0</v>
      </c>
      <c r="K7" s="79">
        <f t="shared" si="6"/>
        <v>0.4257291152</v>
      </c>
      <c r="L7" s="79">
        <v>0.0</v>
      </c>
      <c r="M7" s="79">
        <f t="shared" si="7"/>
        <v>0.5667861115</v>
      </c>
      <c r="N7" s="80">
        <v>0.0</v>
      </c>
      <c r="O7" s="79">
        <v>0.0</v>
      </c>
      <c r="P7" s="79">
        <v>0.0</v>
      </c>
      <c r="Q7" s="79">
        <v>1.0</v>
      </c>
      <c r="R7" s="79">
        <v>0.0</v>
      </c>
      <c r="S7" s="79">
        <v>0.0</v>
      </c>
      <c r="T7" s="79">
        <v>0.0</v>
      </c>
      <c r="U7" s="80">
        <v>0.0</v>
      </c>
      <c r="V7" s="79">
        <v>0.0</v>
      </c>
      <c r="W7" s="79">
        <f>0.2392/0.635</f>
        <v>0.3766929134</v>
      </c>
      <c r="X7" s="79">
        <f>0.3954/0.635</f>
        <v>0.6226771654</v>
      </c>
      <c r="Y7" s="80">
        <v>0.0</v>
      </c>
      <c r="Z7" s="79">
        <v>0.0</v>
      </c>
      <c r="AA7" s="79">
        <f t="shared" si="8"/>
        <v>0.5570769231</v>
      </c>
      <c r="AB7" s="80">
        <f t="shared" si="9"/>
        <v>0.4430769231</v>
      </c>
      <c r="AC7" s="79">
        <v>1.0</v>
      </c>
      <c r="AD7" s="79">
        <v>0.0</v>
      </c>
      <c r="AE7" s="80">
        <v>0.0</v>
      </c>
      <c r="AF7" s="79">
        <f>0.5413/0.699</f>
        <v>0.7743919886</v>
      </c>
      <c r="AG7" s="79">
        <v>0.0</v>
      </c>
      <c r="AH7" s="79">
        <f>0.1582/0.699</f>
        <v>0.226323319</v>
      </c>
      <c r="AI7" s="80">
        <v>0.0</v>
      </c>
      <c r="AJ7" s="43"/>
      <c r="AK7" s="43"/>
      <c r="AL7" s="43"/>
    </row>
    <row r="8">
      <c r="A8" s="88" t="s">
        <v>98</v>
      </c>
      <c r="B8" s="1" t="s">
        <v>99</v>
      </c>
      <c r="C8" s="1" t="s">
        <v>93</v>
      </c>
      <c r="D8" s="28">
        <v>0.0258</v>
      </c>
      <c r="E8" s="79">
        <v>0.4633</v>
      </c>
      <c r="F8" s="80">
        <v>0.5367</v>
      </c>
      <c r="G8" s="79">
        <v>0.0</v>
      </c>
      <c r="H8" s="79">
        <v>0.0</v>
      </c>
      <c r="I8" s="79">
        <v>1.0</v>
      </c>
      <c r="J8" s="81">
        <v>0.0</v>
      </c>
      <c r="K8" s="79">
        <v>0.0</v>
      </c>
      <c r="L8" s="79">
        <f>0.1308/0.5895</f>
        <v>0.2218829517</v>
      </c>
      <c r="M8" s="79">
        <f>0.4587/0.5895</f>
        <v>0.7781170483</v>
      </c>
      <c r="N8" s="80">
        <v>0.0</v>
      </c>
      <c r="O8" s="79">
        <v>0.0</v>
      </c>
      <c r="P8" s="79">
        <v>0.0</v>
      </c>
      <c r="Q8" s="79">
        <v>1.0</v>
      </c>
      <c r="R8" s="79">
        <v>0.0</v>
      </c>
      <c r="S8" s="79">
        <v>0.0</v>
      </c>
      <c r="T8" s="79">
        <v>0.0</v>
      </c>
      <c r="U8" s="80">
        <v>0.0</v>
      </c>
      <c r="V8" s="79">
        <v>0.0</v>
      </c>
      <c r="W8" s="79">
        <v>1.0</v>
      </c>
      <c r="X8" s="79">
        <v>0.0</v>
      </c>
      <c r="Y8" s="80">
        <v>0.0</v>
      </c>
      <c r="Z8" s="79">
        <v>0.0</v>
      </c>
      <c r="AA8" s="79">
        <f t="shared" si="8"/>
        <v>0.5570769231</v>
      </c>
      <c r="AB8" s="80">
        <f t="shared" si="9"/>
        <v>0.4430769231</v>
      </c>
      <c r="AC8" s="79">
        <v>0.0</v>
      </c>
      <c r="AD8" s="79">
        <v>1.0</v>
      </c>
      <c r="AE8" s="80">
        <v>0.0</v>
      </c>
      <c r="AF8" s="79">
        <v>1.0</v>
      </c>
      <c r="AG8" s="79">
        <v>0.0</v>
      </c>
      <c r="AH8" s="79">
        <v>0.0</v>
      </c>
      <c r="AI8" s="80">
        <v>0.0</v>
      </c>
      <c r="AJ8" s="43"/>
      <c r="AK8" s="43"/>
      <c r="AL8" s="43"/>
    </row>
    <row r="9">
      <c r="A9" s="50" t="s">
        <v>100</v>
      </c>
      <c r="B9" s="1" t="s">
        <v>53</v>
      </c>
      <c r="C9" s="1" t="s">
        <v>93</v>
      </c>
      <c r="D9" s="28">
        <v>1.0</v>
      </c>
      <c r="E9" s="79">
        <v>0.335</v>
      </c>
      <c r="F9" s="80">
        <v>0.665</v>
      </c>
      <c r="G9" s="79">
        <v>0.1029</v>
      </c>
      <c r="H9" s="79">
        <v>0.8718</v>
      </c>
      <c r="I9" s="79">
        <v>0.0253</v>
      </c>
      <c r="J9" s="81">
        <v>0.0</v>
      </c>
      <c r="K9" s="79">
        <f>0.3445/0.934</f>
        <v>0.3688436831</v>
      </c>
      <c r="L9" s="79">
        <f>0.1308/0.934</f>
        <v>0.1400428266</v>
      </c>
      <c r="M9" s="79">
        <f>0.4587/0.934</f>
        <v>0.4911134904</v>
      </c>
      <c r="N9" s="80">
        <v>0.0</v>
      </c>
      <c r="O9" s="79">
        <v>0.0</v>
      </c>
      <c r="P9" s="79">
        <v>0.0</v>
      </c>
      <c r="Q9" s="79">
        <f t="shared" ref="Q9:Q10" si="10">0.6299/0.696</f>
        <v>0.9050287356</v>
      </c>
      <c r="R9" s="79">
        <v>0.0</v>
      </c>
      <c r="S9" s="79">
        <v>0.0</v>
      </c>
      <c r="T9" s="79">
        <v>0.0</v>
      </c>
      <c r="U9" s="80">
        <f t="shared" ref="U9:U10" si="11">0.066/0.696</f>
        <v>0.09482758621</v>
      </c>
      <c r="V9" s="79">
        <v>0.0</v>
      </c>
      <c r="W9" s="79">
        <v>0.0</v>
      </c>
      <c r="X9" s="79">
        <v>1.0</v>
      </c>
      <c r="Y9" s="80">
        <v>0.0</v>
      </c>
      <c r="Z9" s="79">
        <v>0.0</v>
      </c>
      <c r="AA9" s="79">
        <f t="shared" si="8"/>
        <v>0.5570769231</v>
      </c>
      <c r="AB9" s="80">
        <f t="shared" si="9"/>
        <v>0.4430769231</v>
      </c>
      <c r="AC9" s="79">
        <v>0.0</v>
      </c>
      <c r="AD9" s="79">
        <v>1.0</v>
      </c>
      <c r="AE9" s="80">
        <v>0.0</v>
      </c>
      <c r="AF9" s="79">
        <v>0.0</v>
      </c>
      <c r="AG9" s="79">
        <v>0.0</v>
      </c>
      <c r="AH9" s="79">
        <v>1.0</v>
      </c>
      <c r="AI9" s="80">
        <v>0.0</v>
      </c>
      <c r="AJ9" s="43"/>
      <c r="AK9" s="43"/>
      <c r="AL9" s="43"/>
    </row>
    <row r="10">
      <c r="A10" s="50" t="s">
        <v>101</v>
      </c>
      <c r="B10" s="1" t="s">
        <v>53</v>
      </c>
      <c r="C10" s="1" t="s">
        <v>93</v>
      </c>
      <c r="D10" s="28">
        <v>1.0</v>
      </c>
      <c r="E10" s="79">
        <v>0.3541</v>
      </c>
      <c r="F10" s="80">
        <v>0.6459</v>
      </c>
      <c r="G10" s="79">
        <v>0.104</v>
      </c>
      <c r="H10" s="79">
        <v>0.8743</v>
      </c>
      <c r="I10" s="79">
        <v>0.0217</v>
      </c>
      <c r="J10" s="81">
        <v>0.0</v>
      </c>
      <c r="K10" s="79">
        <f>0.3445/0.8092</f>
        <v>0.4257291152</v>
      </c>
      <c r="L10" s="79">
        <v>0.0</v>
      </c>
      <c r="M10" s="79">
        <f>0.4587/0.8093</f>
        <v>0.5667861115</v>
      </c>
      <c r="N10" s="80">
        <v>0.0</v>
      </c>
      <c r="O10" s="79">
        <v>0.0</v>
      </c>
      <c r="P10" s="79">
        <v>0.0</v>
      </c>
      <c r="Q10" s="79">
        <f t="shared" si="10"/>
        <v>0.9050287356</v>
      </c>
      <c r="R10" s="79">
        <v>0.0</v>
      </c>
      <c r="S10" s="79">
        <v>0.0</v>
      </c>
      <c r="T10" s="79">
        <v>0.0</v>
      </c>
      <c r="U10" s="80">
        <f t="shared" si="11"/>
        <v>0.09482758621</v>
      </c>
      <c r="V10" s="79">
        <v>0.0</v>
      </c>
      <c r="W10" s="79">
        <f>0.2392/0.635</f>
        <v>0.3766929134</v>
      </c>
      <c r="X10" s="79">
        <f>0.3954/0.635</f>
        <v>0.6226771654</v>
      </c>
      <c r="Y10" s="80">
        <v>0.0</v>
      </c>
      <c r="Z10" s="79">
        <f>0.3499/0.712</f>
        <v>0.4914325843</v>
      </c>
      <c r="AA10" s="79">
        <f>0.3621/0.712</f>
        <v>0.5085674157</v>
      </c>
      <c r="AB10" s="80">
        <v>0.0</v>
      </c>
      <c r="AC10" s="79">
        <v>1.0</v>
      </c>
      <c r="AD10" s="79">
        <v>0.0</v>
      </c>
      <c r="AE10" s="80">
        <v>0.0</v>
      </c>
      <c r="AF10" s="79">
        <v>1.0</v>
      </c>
      <c r="AG10" s="79">
        <v>0.0</v>
      </c>
      <c r="AH10" s="79">
        <v>0.0</v>
      </c>
      <c r="AI10" s="80">
        <v>0.0</v>
      </c>
      <c r="AJ10" s="43"/>
      <c r="AK10" s="43"/>
      <c r="AL10" s="43"/>
    </row>
    <row r="11">
      <c r="A11" s="50" t="s">
        <v>102</v>
      </c>
      <c r="B11" s="1" t="s">
        <v>53</v>
      </c>
      <c r="C11" s="1" t="s">
        <v>93</v>
      </c>
      <c r="D11" s="28">
        <v>1.0</v>
      </c>
      <c r="E11" s="79">
        <v>0.421</v>
      </c>
      <c r="F11" s="80">
        <v>0.579</v>
      </c>
      <c r="G11" s="79">
        <v>0.1194</v>
      </c>
      <c r="H11" s="79">
        <v>0.8339</v>
      </c>
      <c r="I11" s="79">
        <v>0.0467</v>
      </c>
      <c r="J11" s="81">
        <v>0.0</v>
      </c>
      <c r="K11" s="79">
        <f t="shared" ref="K11:K14" si="12">0.3445/0.934</f>
        <v>0.3688436831</v>
      </c>
      <c r="L11" s="79">
        <f t="shared" ref="L11:L14" si="13">0.1308/0.934</f>
        <v>0.1400428266</v>
      </c>
      <c r="M11" s="79">
        <f t="shared" ref="M11:M14" si="14">0.4587/0.934</f>
        <v>0.4911134904</v>
      </c>
      <c r="N11" s="80">
        <v>0.0</v>
      </c>
      <c r="O11" s="79">
        <f>0.0112/0.95</f>
        <v>0.01178947368</v>
      </c>
      <c r="P11" s="79">
        <f>0.0008/0.95</f>
        <v>0.0008421052632</v>
      </c>
      <c r="Q11" s="79">
        <f>0.6299/0.95</f>
        <v>0.6630526316</v>
      </c>
      <c r="R11" s="79">
        <v>0.0</v>
      </c>
      <c r="S11" s="79">
        <v>0.0</v>
      </c>
      <c r="T11" s="79">
        <f>0.2422/0.95</f>
        <v>0.2549473684</v>
      </c>
      <c r="U11" s="80">
        <f>0.066/0.95</f>
        <v>0.06947368421</v>
      </c>
      <c r="V11" s="79">
        <f>0.1064/0.605</f>
        <v>0.1758677686</v>
      </c>
      <c r="W11" s="79">
        <f>0.2392/0.605</f>
        <v>0.3953719008</v>
      </c>
      <c r="X11" s="79">
        <v>0.0</v>
      </c>
      <c r="Y11" s="80">
        <f>0.2591/0.605</f>
        <v>0.4282644628</v>
      </c>
      <c r="Z11" s="79">
        <v>0.0</v>
      </c>
      <c r="AA11" s="79">
        <f t="shared" ref="AA11:AA12" si="15">0.3621/0.65</f>
        <v>0.5570769231</v>
      </c>
      <c r="AB11" s="80">
        <f t="shared" ref="AB11:AB12" si="16">0.288/0.65</f>
        <v>0.4430769231</v>
      </c>
      <c r="AC11" s="79">
        <f>0.5576/0.693</f>
        <v>0.8046176046</v>
      </c>
      <c r="AD11" s="79">
        <v>0.0</v>
      </c>
      <c r="AE11" s="80">
        <f>0.1355/0.693</f>
        <v>0.1955266955</v>
      </c>
      <c r="AF11" s="79">
        <f>0.5413/0.87</f>
        <v>0.622183908</v>
      </c>
      <c r="AG11" s="79">
        <v>0.0</v>
      </c>
      <c r="AH11" s="79">
        <f>0.1582/0.87</f>
        <v>0.1818390805</v>
      </c>
      <c r="AI11" s="80">
        <f>0.1709/0.87</f>
        <v>0.1964367816</v>
      </c>
      <c r="AJ11" s="43"/>
      <c r="AK11" s="43"/>
      <c r="AL11" s="43"/>
    </row>
    <row r="12">
      <c r="A12" s="49" t="s">
        <v>103</v>
      </c>
      <c r="B12" s="1" t="s">
        <v>53</v>
      </c>
      <c r="C12" s="1" t="s">
        <v>93</v>
      </c>
      <c r="D12" s="28">
        <v>1.0</v>
      </c>
      <c r="E12" s="79">
        <v>0.3984</v>
      </c>
      <c r="F12" s="80">
        <v>0.6016</v>
      </c>
      <c r="G12" s="79">
        <v>0.1155</v>
      </c>
      <c r="H12" s="79">
        <v>0.8406</v>
      </c>
      <c r="I12" s="79">
        <v>0.0439</v>
      </c>
      <c r="J12" s="81">
        <v>0.0</v>
      </c>
      <c r="K12" s="79">
        <f t="shared" si="12"/>
        <v>0.3688436831</v>
      </c>
      <c r="L12" s="79">
        <f t="shared" si="13"/>
        <v>0.1400428266</v>
      </c>
      <c r="M12" s="79">
        <f t="shared" si="14"/>
        <v>0.4911134904</v>
      </c>
      <c r="N12" s="80">
        <v>0.0</v>
      </c>
      <c r="O12" s="79">
        <v>0.0</v>
      </c>
      <c r="P12" s="79">
        <v>0.0</v>
      </c>
      <c r="Q12" s="79">
        <f>0.6299/0.938</f>
        <v>0.6715351812</v>
      </c>
      <c r="R12" s="79">
        <v>0.0</v>
      </c>
      <c r="S12" s="79">
        <v>0.0</v>
      </c>
      <c r="T12" s="79">
        <f>0.2422/0.672</f>
        <v>0.3604166667</v>
      </c>
      <c r="U12" s="80">
        <f>0.066/0.938</f>
        <v>0.07036247335</v>
      </c>
      <c r="V12" s="79">
        <v>0.0</v>
      </c>
      <c r="W12" s="79">
        <f t="shared" ref="W12:W14" si="17">0.2392/0.498</f>
        <v>0.4803212851</v>
      </c>
      <c r="X12" s="79">
        <v>0.0</v>
      </c>
      <c r="Y12" s="80">
        <f t="shared" ref="Y12:Y14" si="18">0.2591/0.498</f>
        <v>0.5202811245</v>
      </c>
      <c r="Z12" s="79">
        <v>0.0</v>
      </c>
      <c r="AA12" s="79">
        <f t="shared" si="15"/>
        <v>0.5570769231</v>
      </c>
      <c r="AB12" s="80">
        <f t="shared" si="16"/>
        <v>0.4430769231</v>
      </c>
      <c r="AC12" s="79">
        <v>1.0</v>
      </c>
      <c r="AD12" s="79">
        <v>0.0</v>
      </c>
      <c r="AE12" s="80">
        <v>0.0</v>
      </c>
      <c r="AF12" s="79">
        <f>0.5413/0.712</f>
        <v>0.760252809</v>
      </c>
      <c r="AG12" s="79">
        <v>0.0</v>
      </c>
      <c r="AH12" s="79">
        <v>0.0</v>
      </c>
      <c r="AI12" s="80">
        <f>0.1709/0.712</f>
        <v>0.2400280899</v>
      </c>
      <c r="AJ12" s="43"/>
      <c r="AK12" s="43"/>
      <c r="AL12" s="43"/>
    </row>
    <row r="13">
      <c r="A13" s="49" t="s">
        <v>104</v>
      </c>
      <c r="B13" s="1" t="s">
        <v>53</v>
      </c>
      <c r="C13" s="1" t="s">
        <v>93</v>
      </c>
      <c r="D13" s="28">
        <v>1.0</v>
      </c>
      <c r="E13" s="79">
        <v>0.3929</v>
      </c>
      <c r="F13" s="80">
        <v>0.6071</v>
      </c>
      <c r="G13" s="79">
        <v>0.1158</v>
      </c>
      <c r="H13" s="79">
        <v>0.8383</v>
      </c>
      <c r="I13" s="79">
        <v>0.0459</v>
      </c>
      <c r="J13" s="81">
        <v>0.0</v>
      </c>
      <c r="K13" s="79">
        <f t="shared" si="12"/>
        <v>0.3688436831</v>
      </c>
      <c r="L13" s="79">
        <f t="shared" si="13"/>
        <v>0.1400428266</v>
      </c>
      <c r="M13" s="79">
        <f t="shared" si="14"/>
        <v>0.4911134904</v>
      </c>
      <c r="N13" s="80">
        <v>0.0</v>
      </c>
      <c r="O13" s="79">
        <f>0.0112/0.949</f>
        <v>0.01180189673</v>
      </c>
      <c r="P13" s="79">
        <v>0.0</v>
      </c>
      <c r="Q13" s="79">
        <f>0.6299/0.949</f>
        <v>0.6637513172</v>
      </c>
      <c r="R13" s="79">
        <v>0.0</v>
      </c>
      <c r="S13" s="79">
        <v>0.0</v>
      </c>
      <c r="T13" s="79">
        <f>0.2422/0.949</f>
        <v>0.2552160169</v>
      </c>
      <c r="U13" s="80">
        <f>0.066/0.949</f>
        <v>0.06954689146</v>
      </c>
      <c r="V13" s="79">
        <v>0.0</v>
      </c>
      <c r="W13" s="79">
        <f t="shared" si="17"/>
        <v>0.4803212851</v>
      </c>
      <c r="X13" s="79">
        <v>0.0</v>
      </c>
      <c r="Y13" s="80">
        <f t="shared" si="18"/>
        <v>0.5202811245</v>
      </c>
      <c r="Z13" s="79">
        <v>0.0</v>
      </c>
      <c r="AA13" s="79">
        <v>1.0</v>
      </c>
      <c r="AB13" s="80">
        <v>0.0</v>
      </c>
      <c r="AC13" s="79">
        <f>0.5576/0.693</f>
        <v>0.8046176046</v>
      </c>
      <c r="AD13" s="79">
        <v>0.0</v>
      </c>
      <c r="AE13" s="80">
        <f>0.1355/0.693</f>
        <v>0.1955266955</v>
      </c>
      <c r="AF13" s="79">
        <v>1.0</v>
      </c>
      <c r="AG13" s="79">
        <v>0.0</v>
      </c>
      <c r="AH13" s="79">
        <v>0.0</v>
      </c>
      <c r="AI13" s="80">
        <v>0.0</v>
      </c>
      <c r="AJ13" s="43"/>
      <c r="AK13" s="43"/>
      <c r="AL13" s="43"/>
    </row>
    <row r="14">
      <c r="A14" s="49" t="s">
        <v>105</v>
      </c>
      <c r="B14" s="1" t="s">
        <v>53</v>
      </c>
      <c r="C14" s="1" t="s">
        <v>93</v>
      </c>
      <c r="D14" s="28">
        <v>1.0</v>
      </c>
      <c r="E14" s="79">
        <v>0.3597</v>
      </c>
      <c r="F14" s="80">
        <v>0.6403</v>
      </c>
      <c r="G14" s="79">
        <v>0.1059</v>
      </c>
      <c r="H14" s="79">
        <v>0.8666</v>
      </c>
      <c r="I14" s="79">
        <v>0.0275</v>
      </c>
      <c r="J14" s="81">
        <v>0.0</v>
      </c>
      <c r="K14" s="79">
        <f t="shared" si="12"/>
        <v>0.3688436831</v>
      </c>
      <c r="L14" s="79">
        <f t="shared" si="13"/>
        <v>0.1400428266</v>
      </c>
      <c r="M14" s="79">
        <f t="shared" si="14"/>
        <v>0.4911134904</v>
      </c>
      <c r="N14" s="80">
        <v>0.0</v>
      </c>
      <c r="O14" s="79">
        <v>0.0</v>
      </c>
      <c r="P14" s="79">
        <f>0.0008/0.697</f>
        <v>0.001147776184</v>
      </c>
      <c r="Q14" s="79">
        <f>0.6299/0.697</f>
        <v>0.9037302726</v>
      </c>
      <c r="R14" s="79">
        <v>0.0</v>
      </c>
      <c r="S14" s="79">
        <v>0.0</v>
      </c>
      <c r="T14" s="79">
        <v>0.0</v>
      </c>
      <c r="U14" s="80">
        <f>0.066/0.697</f>
        <v>0.09469153515</v>
      </c>
      <c r="V14" s="79">
        <v>0.0</v>
      </c>
      <c r="W14" s="79">
        <f t="shared" si="17"/>
        <v>0.4803212851</v>
      </c>
      <c r="X14" s="79">
        <v>0.0</v>
      </c>
      <c r="Y14" s="80">
        <f t="shared" si="18"/>
        <v>0.5202811245</v>
      </c>
      <c r="Z14" s="79">
        <v>0.0</v>
      </c>
      <c r="AA14" s="79">
        <f>0.3621/0.65</f>
        <v>0.5570769231</v>
      </c>
      <c r="AB14" s="80">
        <f>0.288/0.65</f>
        <v>0.4430769231</v>
      </c>
      <c r="AC14" s="79">
        <v>1.0</v>
      </c>
      <c r="AD14" s="79">
        <v>0.0</v>
      </c>
      <c r="AE14" s="80">
        <v>0.0</v>
      </c>
      <c r="AF14" s="79">
        <f>0.5413/0.712</f>
        <v>0.760252809</v>
      </c>
      <c r="AG14" s="79">
        <v>0.0</v>
      </c>
      <c r="AH14" s="79">
        <v>0.0</v>
      </c>
      <c r="AI14" s="80">
        <f>0.1709/0.712</f>
        <v>0.2400280899</v>
      </c>
      <c r="AJ14" s="43"/>
      <c r="AK14" s="43"/>
      <c r="AL14" s="43"/>
    </row>
    <row r="15">
      <c r="A15" s="49" t="s">
        <v>106</v>
      </c>
      <c r="B15" s="1" t="s">
        <v>53</v>
      </c>
      <c r="C15" s="1" t="s">
        <v>93</v>
      </c>
      <c r="D15" s="28">
        <v>0.815</v>
      </c>
      <c r="E15" s="79">
        <v>0.4377</v>
      </c>
      <c r="F15" s="80">
        <v>0.5623</v>
      </c>
      <c r="G15" s="79">
        <v>0.1217</v>
      </c>
      <c r="H15" s="79">
        <v>0.824</v>
      </c>
      <c r="I15" s="79">
        <v>0.0543</v>
      </c>
      <c r="J15" s="81">
        <v>0.0</v>
      </c>
      <c r="K15" s="79">
        <v>0.0</v>
      </c>
      <c r="L15" s="79">
        <f t="shared" ref="L15:L16" si="19">0.1308/0.5895</f>
        <v>0.2218829517</v>
      </c>
      <c r="M15" s="79">
        <f t="shared" ref="M15:M16" si="20">0.4587/0.5895</f>
        <v>0.7781170483</v>
      </c>
      <c r="N15" s="80">
        <v>0.0</v>
      </c>
      <c r="O15" s="79">
        <f>0.0112/0.949</f>
        <v>0.01180189673</v>
      </c>
      <c r="P15" s="79">
        <v>0.0</v>
      </c>
      <c r="Q15" s="79">
        <f>0.6299/0.949</f>
        <v>0.6637513172</v>
      </c>
      <c r="R15" s="79">
        <v>0.0</v>
      </c>
      <c r="S15" s="79">
        <v>0.0</v>
      </c>
      <c r="T15" s="79">
        <f>0.2422/0.949</f>
        <v>0.2552160169</v>
      </c>
      <c r="U15" s="80">
        <f>0.066/0.949</f>
        <v>0.06954689146</v>
      </c>
      <c r="V15" s="79">
        <v>0.0</v>
      </c>
      <c r="W15" s="79">
        <v>1.0</v>
      </c>
      <c r="X15" s="79">
        <v>0.0</v>
      </c>
      <c r="Y15" s="80">
        <v>0.0</v>
      </c>
      <c r="Z15" s="79">
        <v>0.0</v>
      </c>
      <c r="AA15" s="79">
        <v>1.0</v>
      </c>
      <c r="AB15" s="80">
        <v>0.0</v>
      </c>
      <c r="AC15" s="79">
        <v>1.0</v>
      </c>
      <c r="AD15" s="79">
        <v>0.0</v>
      </c>
      <c r="AE15" s="80">
        <v>0.0</v>
      </c>
      <c r="AF15" s="79">
        <v>1.0</v>
      </c>
      <c r="AG15" s="79">
        <v>0.0</v>
      </c>
      <c r="AH15" s="79">
        <v>0.0</v>
      </c>
      <c r="AI15" s="80">
        <v>0.0</v>
      </c>
      <c r="AJ15" s="43"/>
      <c r="AK15" s="43"/>
      <c r="AL15" s="43"/>
    </row>
    <row r="16">
      <c r="A16" s="49" t="s">
        <v>107</v>
      </c>
      <c r="B16" s="1" t="s">
        <v>53</v>
      </c>
      <c r="C16" s="1" t="s">
        <v>93</v>
      </c>
      <c r="D16" s="28">
        <v>1.0</v>
      </c>
      <c r="E16" s="79">
        <v>0.5277</v>
      </c>
      <c r="F16" s="80">
        <v>0.4723</v>
      </c>
      <c r="G16" s="79">
        <v>0.1592</v>
      </c>
      <c r="H16" s="79">
        <v>0.7807</v>
      </c>
      <c r="I16" s="79">
        <v>0.0601</v>
      </c>
      <c r="J16" s="81">
        <v>0.0</v>
      </c>
      <c r="K16" s="79">
        <v>0.0</v>
      </c>
      <c r="L16" s="79">
        <f t="shared" si="19"/>
        <v>0.2218829517</v>
      </c>
      <c r="M16" s="79">
        <f t="shared" si="20"/>
        <v>0.7781170483</v>
      </c>
      <c r="N16" s="80">
        <v>0.0</v>
      </c>
      <c r="O16" s="79">
        <v>0.0</v>
      </c>
      <c r="P16" s="79">
        <v>0.0</v>
      </c>
      <c r="Q16" s="79">
        <f>0.6299/0.979</f>
        <v>0.6434116445</v>
      </c>
      <c r="R16" s="79">
        <v>0.0</v>
      </c>
      <c r="S16" s="79">
        <f>0.0306/0.979</f>
        <v>0.03125638407</v>
      </c>
      <c r="T16" s="79">
        <f>0.2422/0.979</f>
        <v>0.2473953013</v>
      </c>
      <c r="U16" s="80">
        <f>0.066/0.979</f>
        <v>0.06741573034</v>
      </c>
      <c r="V16" s="79">
        <v>0.0</v>
      </c>
      <c r="W16" s="79">
        <f>0.2392/0.498</f>
        <v>0.4803212851</v>
      </c>
      <c r="X16" s="79">
        <v>0.0</v>
      </c>
      <c r="Y16" s="80">
        <f>0.2591/0.498</f>
        <v>0.5202811245</v>
      </c>
      <c r="Z16" s="79">
        <v>0.0</v>
      </c>
      <c r="AA16" s="79">
        <v>1.0</v>
      </c>
      <c r="AB16" s="80">
        <v>0.0</v>
      </c>
      <c r="AC16" s="79">
        <v>0.0</v>
      </c>
      <c r="AD16" s="79">
        <v>0.0</v>
      </c>
      <c r="AE16" s="80">
        <v>1.0</v>
      </c>
      <c r="AF16" s="79">
        <v>0.0</v>
      </c>
      <c r="AG16" s="79">
        <v>0.0</v>
      </c>
      <c r="AH16" s="79">
        <f>0.1582/0.329</f>
        <v>0.4808510638</v>
      </c>
      <c r="AI16" s="80">
        <f>0.1709/0.329</f>
        <v>0.5194528875</v>
      </c>
      <c r="AJ16" s="43"/>
      <c r="AK16" s="43"/>
      <c r="AL16" s="43"/>
    </row>
    <row r="17">
      <c r="A17" s="49" t="s">
        <v>108</v>
      </c>
      <c r="B17" s="1" t="s">
        <v>53</v>
      </c>
      <c r="C17" s="1" t="s">
        <v>93</v>
      </c>
      <c r="D17" s="28">
        <v>1.0</v>
      </c>
      <c r="E17" s="79">
        <v>0.3985</v>
      </c>
      <c r="F17" s="80">
        <v>0.6015</v>
      </c>
      <c r="G17" s="79">
        <v>0.1135</v>
      </c>
      <c r="H17" s="79">
        <v>0.8331</v>
      </c>
      <c r="I17" s="79">
        <v>0.0534</v>
      </c>
      <c r="J17" s="81">
        <v>0.0</v>
      </c>
      <c r="K17" s="79">
        <f t="shared" ref="K17:K18" si="21">0.3445/0.934</f>
        <v>0.3688436831</v>
      </c>
      <c r="L17" s="79">
        <f t="shared" ref="L17:L18" si="22">0.1308/0.934</f>
        <v>0.1400428266</v>
      </c>
      <c r="M17" s="79">
        <f t="shared" ref="M17:M18" si="23">0.4587/0.934</f>
        <v>0.4911134904</v>
      </c>
      <c r="N17" s="80">
        <v>0.0</v>
      </c>
      <c r="O17" s="79">
        <v>0.0</v>
      </c>
      <c r="P17" s="79">
        <f>0.0008/0.939</f>
        <v>0.000851970181</v>
      </c>
      <c r="Q17" s="79">
        <f>0.6299/0.939</f>
        <v>0.6708200213</v>
      </c>
      <c r="R17" s="79">
        <v>0.0</v>
      </c>
      <c r="S17" s="79">
        <v>0.0</v>
      </c>
      <c r="T17" s="79">
        <f>0.2422/0.939</f>
        <v>0.2579339723</v>
      </c>
      <c r="U17" s="80">
        <f>0.066/0.939</f>
        <v>0.07028753994</v>
      </c>
      <c r="V17" s="79">
        <v>0.0</v>
      </c>
      <c r="W17" s="79">
        <v>0.0</v>
      </c>
      <c r="X17" s="79">
        <v>0.0</v>
      </c>
      <c r="Y17" s="80">
        <v>1.0</v>
      </c>
      <c r="Z17" s="79">
        <v>0.0</v>
      </c>
      <c r="AA17" s="79">
        <v>0.0</v>
      </c>
      <c r="AB17" s="80">
        <v>1.0</v>
      </c>
      <c r="AC17" s="79">
        <v>0.0</v>
      </c>
      <c r="AD17" s="79">
        <v>0.0</v>
      </c>
      <c r="AE17" s="80">
        <v>1.0</v>
      </c>
      <c r="AF17" s="79">
        <f>0.5413/0.699</f>
        <v>0.7743919886</v>
      </c>
      <c r="AG17" s="79">
        <v>0.0</v>
      </c>
      <c r="AH17" s="79">
        <f>0.1582/0.699</f>
        <v>0.226323319</v>
      </c>
      <c r="AI17" s="80">
        <v>0.0</v>
      </c>
      <c r="AJ17" s="43"/>
      <c r="AK17" s="43"/>
      <c r="AL17" s="43"/>
    </row>
    <row r="18">
      <c r="A18" s="49" t="s">
        <v>109</v>
      </c>
      <c r="B18" s="1" t="s">
        <v>53</v>
      </c>
      <c r="C18" s="1" t="s">
        <v>93</v>
      </c>
      <c r="D18" s="28">
        <v>1.0</v>
      </c>
      <c r="E18" s="79">
        <v>0.3698</v>
      </c>
      <c r="F18" s="80">
        <v>0.6302</v>
      </c>
      <c r="G18" s="79">
        <v>0.1149</v>
      </c>
      <c r="H18" s="89">
        <v>0.8504</v>
      </c>
      <c r="I18" s="79">
        <v>0.0347</v>
      </c>
      <c r="J18" s="81">
        <v>0.0</v>
      </c>
      <c r="K18" s="79">
        <f t="shared" si="21"/>
        <v>0.3688436831</v>
      </c>
      <c r="L18" s="79">
        <f t="shared" si="22"/>
        <v>0.1400428266</v>
      </c>
      <c r="M18" s="79">
        <f t="shared" si="23"/>
        <v>0.4911134904</v>
      </c>
      <c r="N18" s="80">
        <v>0.0</v>
      </c>
      <c r="O18" s="79">
        <v>0.0</v>
      </c>
      <c r="P18" s="79">
        <v>0.0</v>
      </c>
      <c r="Q18" s="79">
        <f>0.6299/0.938</f>
        <v>0.6715351812</v>
      </c>
      <c r="R18" s="79">
        <v>0.0</v>
      </c>
      <c r="S18" s="79">
        <v>0.0</v>
      </c>
      <c r="T18" s="79">
        <f>0.2422/0.672</f>
        <v>0.3604166667</v>
      </c>
      <c r="U18" s="80">
        <f>0.066/0.938</f>
        <v>0.07036247335</v>
      </c>
      <c r="V18" s="79">
        <v>0.0</v>
      </c>
      <c r="W18" s="79">
        <f>0.2392/0.498</f>
        <v>0.4803212851</v>
      </c>
      <c r="X18" s="79">
        <v>0.0</v>
      </c>
      <c r="Y18" s="80">
        <f>0.2591/0.498</f>
        <v>0.5202811245</v>
      </c>
      <c r="Z18" s="79">
        <f>0.3499/0.712</f>
        <v>0.4914325843</v>
      </c>
      <c r="AA18" s="79">
        <f>0.3621/0.712</f>
        <v>0.5085674157</v>
      </c>
      <c r="AB18" s="80">
        <v>0.0</v>
      </c>
      <c r="AC18" s="79">
        <v>0.0</v>
      </c>
      <c r="AD18" s="79">
        <v>0.0</v>
      </c>
      <c r="AE18" s="80">
        <v>1.0</v>
      </c>
      <c r="AF18" s="79">
        <v>1.0</v>
      </c>
      <c r="AG18" s="79">
        <v>0.0</v>
      </c>
      <c r="AH18" s="79">
        <v>0.0</v>
      </c>
      <c r="AI18" s="80">
        <v>0.0</v>
      </c>
      <c r="AJ18" s="43"/>
      <c r="AK18" s="43"/>
      <c r="AL18" s="43"/>
    </row>
    <row r="19">
      <c r="A19" s="49" t="s">
        <v>110</v>
      </c>
      <c r="B19" s="1" t="s">
        <v>53</v>
      </c>
      <c r="C19" s="1" t="s">
        <v>93</v>
      </c>
      <c r="D19" s="28">
        <v>0.2907</v>
      </c>
      <c r="E19" s="79">
        <v>0.4821</v>
      </c>
      <c r="F19" s="80">
        <v>0.5179</v>
      </c>
      <c r="G19" s="79">
        <v>0.1307</v>
      </c>
      <c r="H19" s="89">
        <v>0.8088</v>
      </c>
      <c r="I19" s="79">
        <v>0.0605</v>
      </c>
      <c r="J19" s="81">
        <v>0.0</v>
      </c>
      <c r="K19" s="79">
        <v>0.0</v>
      </c>
      <c r="L19" s="79">
        <f>0.1308/0.5895</f>
        <v>0.2218829517</v>
      </c>
      <c r="M19" s="79">
        <f>0.4587/0.5895</f>
        <v>0.7781170483</v>
      </c>
      <c r="N19" s="80">
        <v>0.0</v>
      </c>
      <c r="O19" s="79">
        <f>0.0112/0.949</f>
        <v>0.01180189673</v>
      </c>
      <c r="P19" s="79">
        <v>0.0</v>
      </c>
      <c r="Q19" s="79">
        <f>0.6299/0.949</f>
        <v>0.6637513172</v>
      </c>
      <c r="R19" s="79">
        <v>0.0</v>
      </c>
      <c r="S19" s="79">
        <v>0.0</v>
      </c>
      <c r="T19" s="79">
        <f>0.2422/0.949</f>
        <v>0.2552160169</v>
      </c>
      <c r="U19" s="80">
        <f>0.066/0.949</f>
        <v>0.06954689146</v>
      </c>
      <c r="V19" s="79">
        <v>0.1064</v>
      </c>
      <c r="W19" s="79">
        <v>0.2392</v>
      </c>
      <c r="X19" s="79">
        <v>0.3954</v>
      </c>
      <c r="Y19" s="80">
        <v>0.2591</v>
      </c>
      <c r="Z19" s="79">
        <v>0.3499</v>
      </c>
      <c r="AA19" s="79">
        <v>0.3621</v>
      </c>
      <c r="AB19" s="80">
        <v>0.288</v>
      </c>
      <c r="AC19" s="79">
        <v>0.0</v>
      </c>
      <c r="AD19" s="79">
        <f>0.3069/0.442</f>
        <v>0.6943438914</v>
      </c>
      <c r="AE19" s="80">
        <f>0.1355/0.442</f>
        <v>0.306561086</v>
      </c>
      <c r="AF19" s="79">
        <v>0.0</v>
      </c>
      <c r="AG19" s="79">
        <f>0.1297/0.288</f>
        <v>0.4503472222</v>
      </c>
      <c r="AH19" s="79">
        <f>0.1582/0.288</f>
        <v>0.5493055556</v>
      </c>
      <c r="AI19" s="80">
        <v>0.0</v>
      </c>
      <c r="AJ19" s="43"/>
      <c r="AK19" s="43"/>
      <c r="AL19" s="43"/>
    </row>
    <row r="20">
      <c r="A20" s="39" t="s">
        <v>111</v>
      </c>
      <c r="B20" s="1" t="s">
        <v>65</v>
      </c>
      <c r="C20" s="1" t="s">
        <v>93</v>
      </c>
      <c r="D20" s="28">
        <v>1.0</v>
      </c>
      <c r="E20" s="79">
        <v>0.4633</v>
      </c>
      <c r="F20" s="80">
        <v>0.5367</v>
      </c>
      <c r="G20" s="79">
        <f>0.0937/0.631</f>
        <v>0.1484944532</v>
      </c>
      <c r="H20" s="79">
        <f>0.5376/0.631</f>
        <v>0.8519809826</v>
      </c>
      <c r="I20" s="79">
        <v>0.0</v>
      </c>
      <c r="J20" s="81">
        <v>0.0</v>
      </c>
      <c r="K20" s="79">
        <f>0.3445/0.934</f>
        <v>0.3688436831</v>
      </c>
      <c r="L20" s="79">
        <f>0.1308/0.934</f>
        <v>0.1400428266</v>
      </c>
      <c r="M20" s="79">
        <f>0.4587/0.934</f>
        <v>0.4911134904</v>
      </c>
      <c r="N20" s="80">
        <v>0.0</v>
      </c>
      <c r="O20" s="79">
        <v>0.0</v>
      </c>
      <c r="P20" s="79">
        <v>0.0</v>
      </c>
      <c r="Q20" s="79">
        <v>1.0</v>
      </c>
      <c r="R20" s="79">
        <v>0.0</v>
      </c>
      <c r="S20" s="79">
        <v>0.0</v>
      </c>
      <c r="T20" s="79">
        <v>0.0</v>
      </c>
      <c r="U20" s="80">
        <v>0.0</v>
      </c>
      <c r="V20" s="79">
        <v>0.1064</v>
      </c>
      <c r="W20" s="79">
        <v>0.2392</v>
      </c>
      <c r="X20" s="79">
        <v>0.3954</v>
      </c>
      <c r="Y20" s="80">
        <v>0.2591</v>
      </c>
      <c r="Z20" s="79">
        <v>0.3499</v>
      </c>
      <c r="AA20" s="79">
        <v>0.3621</v>
      </c>
      <c r="AB20" s="80">
        <v>0.288</v>
      </c>
      <c r="AC20" s="79">
        <v>0.5576</v>
      </c>
      <c r="AD20" s="79">
        <v>0.3069</v>
      </c>
      <c r="AE20" s="80">
        <v>0.1355</v>
      </c>
      <c r="AF20" s="79">
        <v>0.5413</v>
      </c>
      <c r="AG20" s="79">
        <v>0.1297</v>
      </c>
      <c r="AH20" s="79">
        <v>0.1582</v>
      </c>
      <c r="AI20" s="80">
        <v>0.1709</v>
      </c>
      <c r="AJ20" s="43"/>
      <c r="AK20" s="43"/>
      <c r="AL20" s="43"/>
    </row>
    <row r="21">
      <c r="A21" s="39" t="s">
        <v>112</v>
      </c>
      <c r="B21" s="1" t="s">
        <v>65</v>
      </c>
      <c r="C21" s="1" t="s">
        <v>93</v>
      </c>
      <c r="D21" s="28">
        <v>0.6534</v>
      </c>
      <c r="E21" s="79">
        <v>0.4633</v>
      </c>
      <c r="F21" s="80">
        <v>0.5367</v>
      </c>
      <c r="G21" s="79">
        <f>0.0937/0.84</f>
        <v>0.111547619</v>
      </c>
      <c r="H21" s="79">
        <f>0.5376/0.84</f>
        <v>0.64</v>
      </c>
      <c r="I21" s="79">
        <f>0.2088/0.84</f>
        <v>0.2485714286</v>
      </c>
      <c r="J21" s="81">
        <v>0.0</v>
      </c>
      <c r="K21" s="79">
        <v>0.3445</v>
      </c>
      <c r="L21" s="79">
        <v>0.1308</v>
      </c>
      <c r="M21" s="79">
        <v>0.4587</v>
      </c>
      <c r="N21" s="80">
        <v>0.066</v>
      </c>
      <c r="O21" s="79">
        <v>0.0112</v>
      </c>
      <c r="P21" s="79">
        <v>8.0E-4</v>
      </c>
      <c r="Q21" s="79">
        <v>0.6299</v>
      </c>
      <c r="R21" s="79">
        <v>0.0193</v>
      </c>
      <c r="S21" s="79">
        <v>0.0306</v>
      </c>
      <c r="T21" s="79">
        <v>0.2422</v>
      </c>
      <c r="U21" s="80">
        <v>0.066</v>
      </c>
      <c r="V21" s="79">
        <v>0.1064</v>
      </c>
      <c r="W21" s="79">
        <v>0.2392</v>
      </c>
      <c r="X21" s="79">
        <v>0.3954</v>
      </c>
      <c r="Y21" s="80">
        <v>0.2591</v>
      </c>
      <c r="Z21" s="79">
        <v>0.3499</v>
      </c>
      <c r="AA21" s="79">
        <v>0.3621</v>
      </c>
      <c r="AB21" s="80">
        <v>0.288</v>
      </c>
      <c r="AC21" s="79">
        <v>0.5576</v>
      </c>
      <c r="AD21" s="79">
        <v>0.3069</v>
      </c>
      <c r="AE21" s="80">
        <v>0.1355</v>
      </c>
      <c r="AF21" s="79">
        <v>0.5413</v>
      </c>
      <c r="AG21" s="79">
        <v>0.1297</v>
      </c>
      <c r="AH21" s="79">
        <v>0.1582</v>
      </c>
      <c r="AI21" s="80">
        <v>0.1709</v>
      </c>
      <c r="AJ21" s="43"/>
      <c r="AK21" s="43"/>
      <c r="AL21" s="43"/>
    </row>
    <row r="22">
      <c r="A22" s="39" t="s">
        <v>113</v>
      </c>
      <c r="B22" s="1" t="s">
        <v>65</v>
      </c>
      <c r="C22" s="1" t="s">
        <v>93</v>
      </c>
      <c r="D22" s="28">
        <v>0.3156</v>
      </c>
      <c r="E22" s="79">
        <v>0.4633</v>
      </c>
      <c r="F22" s="80">
        <v>0.5367</v>
      </c>
      <c r="G22" s="79">
        <f t="shared" ref="G22:G24" si="24">0.0937/0.631</f>
        <v>0.1484944532</v>
      </c>
      <c r="H22" s="79">
        <f t="shared" ref="H22:H24" si="25">0.5376/0.631</f>
        <v>0.8519809826</v>
      </c>
      <c r="I22" s="79">
        <v>0.0</v>
      </c>
      <c r="J22" s="81">
        <v>0.0</v>
      </c>
      <c r="K22" s="79">
        <v>0.0</v>
      </c>
      <c r="L22" s="79">
        <f>0.1308/0.5895</f>
        <v>0.2218829517</v>
      </c>
      <c r="M22" s="79">
        <f>0.4587/0.5895</f>
        <v>0.7781170483</v>
      </c>
      <c r="N22" s="80">
        <v>0.0</v>
      </c>
      <c r="O22" s="79">
        <v>0.0</v>
      </c>
      <c r="P22" s="79">
        <v>0.0</v>
      </c>
      <c r="Q22" s="79">
        <f>0.6299/0.872</f>
        <v>0.7223623853</v>
      </c>
      <c r="R22" s="79">
        <v>0.0</v>
      </c>
      <c r="S22" s="79">
        <v>0.0</v>
      </c>
      <c r="T22" s="79">
        <f>0.2422/0.872</f>
        <v>0.2777522936</v>
      </c>
      <c r="U22" s="80">
        <v>0.0</v>
      </c>
      <c r="V22" s="79">
        <v>0.1064</v>
      </c>
      <c r="W22" s="79">
        <v>0.2392</v>
      </c>
      <c r="X22" s="79">
        <v>0.3954</v>
      </c>
      <c r="Y22" s="80">
        <v>0.2591</v>
      </c>
      <c r="Z22" s="79">
        <v>0.3499</v>
      </c>
      <c r="AA22" s="79">
        <v>0.3621</v>
      </c>
      <c r="AB22" s="80">
        <v>0.288</v>
      </c>
      <c r="AC22" s="79">
        <v>0.0</v>
      </c>
      <c r="AD22" s="79">
        <f>0.3069/0.442</f>
        <v>0.6943438914</v>
      </c>
      <c r="AE22" s="80">
        <f>0.1355/0.442</f>
        <v>0.306561086</v>
      </c>
      <c r="AF22" s="79">
        <v>0.0</v>
      </c>
      <c r="AG22" s="79">
        <f>0.1297/0.459</f>
        <v>0.2825708061</v>
      </c>
      <c r="AH22" s="79">
        <f>0.1582/0.459</f>
        <v>0.3446623094</v>
      </c>
      <c r="AI22" s="80">
        <f>0.1709/0.459</f>
        <v>0.3723311547</v>
      </c>
      <c r="AJ22" s="43"/>
      <c r="AK22" s="43"/>
      <c r="AL22" s="43"/>
    </row>
    <row r="23">
      <c r="A23" s="51" t="s">
        <v>114</v>
      </c>
      <c r="B23" s="1" t="s">
        <v>65</v>
      </c>
      <c r="C23" s="1" t="s">
        <v>93</v>
      </c>
      <c r="D23" s="28">
        <v>0.083</v>
      </c>
      <c r="E23" s="79">
        <v>0.4633</v>
      </c>
      <c r="F23" s="80">
        <v>0.5367</v>
      </c>
      <c r="G23" s="79">
        <f t="shared" si="24"/>
        <v>0.1484944532</v>
      </c>
      <c r="H23" s="79">
        <f t="shared" si="25"/>
        <v>0.8519809826</v>
      </c>
      <c r="I23" s="79">
        <v>0.0</v>
      </c>
      <c r="J23" s="81">
        <v>0.0</v>
      </c>
      <c r="K23" s="79">
        <v>0.3445</v>
      </c>
      <c r="L23" s="79">
        <v>0.1308</v>
      </c>
      <c r="M23" s="79">
        <v>0.4587</v>
      </c>
      <c r="N23" s="80">
        <v>0.066</v>
      </c>
      <c r="O23" s="79">
        <v>0.0112</v>
      </c>
      <c r="P23" s="79">
        <v>8.0E-4</v>
      </c>
      <c r="Q23" s="79">
        <v>0.6299</v>
      </c>
      <c r="R23" s="79">
        <v>0.0193</v>
      </c>
      <c r="S23" s="79">
        <v>0.0306</v>
      </c>
      <c r="T23" s="79">
        <v>0.2422</v>
      </c>
      <c r="U23" s="80">
        <v>0.066</v>
      </c>
      <c r="V23" s="79">
        <v>0.1064</v>
      </c>
      <c r="W23" s="79">
        <v>0.2392</v>
      </c>
      <c r="X23" s="79">
        <v>0.3954</v>
      </c>
      <c r="Y23" s="80">
        <v>0.2591</v>
      </c>
      <c r="Z23" s="79">
        <v>0.3499</v>
      </c>
      <c r="AA23" s="79">
        <v>0.3621</v>
      </c>
      <c r="AB23" s="80">
        <v>0.288</v>
      </c>
      <c r="AC23" s="79">
        <v>0.5576</v>
      </c>
      <c r="AD23" s="79">
        <v>0.3069</v>
      </c>
      <c r="AE23" s="80">
        <v>0.1355</v>
      </c>
      <c r="AF23" s="79">
        <v>0.5413</v>
      </c>
      <c r="AG23" s="79">
        <v>0.1297</v>
      </c>
      <c r="AH23" s="79">
        <v>0.1582</v>
      </c>
      <c r="AI23" s="80">
        <v>0.1709</v>
      </c>
      <c r="AJ23" s="43"/>
      <c r="AK23" s="43"/>
      <c r="AL23" s="43"/>
    </row>
    <row r="24">
      <c r="A24" s="85" t="s">
        <v>115</v>
      </c>
      <c r="B24" s="9" t="s">
        <v>65</v>
      </c>
      <c r="C24" s="9" t="s">
        <v>93</v>
      </c>
      <c r="D24" s="90">
        <v>0.1703</v>
      </c>
      <c r="E24" s="20">
        <v>0.4633</v>
      </c>
      <c r="F24" s="22">
        <v>0.5367</v>
      </c>
      <c r="G24" s="20">
        <f t="shared" si="24"/>
        <v>0.1484944532</v>
      </c>
      <c r="H24" s="20">
        <f t="shared" si="25"/>
        <v>0.8519809826</v>
      </c>
      <c r="I24" s="20">
        <v>0.0</v>
      </c>
      <c r="J24" s="86">
        <v>0.0</v>
      </c>
      <c r="K24" s="20">
        <v>0.0</v>
      </c>
      <c r="L24" s="20">
        <f>0.1308/0.5895</f>
        <v>0.2218829517</v>
      </c>
      <c r="M24" s="20">
        <f>0.4587/0.5895</f>
        <v>0.7781170483</v>
      </c>
      <c r="N24" s="22">
        <v>0.0</v>
      </c>
      <c r="O24" s="20">
        <v>0.0</v>
      </c>
      <c r="P24" s="20">
        <v>0.0</v>
      </c>
      <c r="Q24" s="20">
        <f>0.6299/0.938</f>
        <v>0.6715351812</v>
      </c>
      <c r="R24" s="20">
        <v>0.0</v>
      </c>
      <c r="S24" s="20">
        <v>0.0</v>
      </c>
      <c r="T24" s="20">
        <f>0.2422/0.672</f>
        <v>0.3604166667</v>
      </c>
      <c r="U24" s="22">
        <f>0.066/0.938</f>
        <v>0.07036247335</v>
      </c>
      <c r="V24" s="20">
        <v>0.1064</v>
      </c>
      <c r="W24" s="20">
        <v>0.2392</v>
      </c>
      <c r="X24" s="20">
        <v>0.3954</v>
      </c>
      <c r="Y24" s="22">
        <v>0.2591</v>
      </c>
      <c r="Z24" s="20">
        <v>0.3499</v>
      </c>
      <c r="AA24" s="20">
        <v>0.3621</v>
      </c>
      <c r="AB24" s="22">
        <v>0.288</v>
      </c>
      <c r="AC24" s="20">
        <v>0.0</v>
      </c>
      <c r="AD24" s="20">
        <f>0.3069/0.442</f>
        <v>0.6943438914</v>
      </c>
      <c r="AE24" s="22">
        <f>0.1355/0.442</f>
        <v>0.306561086</v>
      </c>
      <c r="AF24" s="20">
        <v>0.0</v>
      </c>
      <c r="AG24" s="20">
        <f>0.1297/0.459</f>
        <v>0.2825708061</v>
      </c>
      <c r="AH24" s="20">
        <f>0.1582/0.459</f>
        <v>0.3446623094</v>
      </c>
      <c r="AI24" s="22">
        <f>0.1709/0.459</f>
        <v>0.3723311547</v>
      </c>
      <c r="AJ24" s="52"/>
      <c r="AK24" s="52"/>
      <c r="AL24" s="52"/>
    </row>
  </sheetData>
  <mergeCells count="8">
    <mergeCell ref="E1:F1"/>
    <mergeCell ref="G1:J1"/>
    <mergeCell ref="K1:N1"/>
    <mergeCell ref="O1:U1"/>
    <mergeCell ref="V1:Y1"/>
    <mergeCell ref="Z1:AB1"/>
    <mergeCell ref="AC1:AE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2"/>
      <c r="E1" s="70" t="s">
        <v>0</v>
      </c>
      <c r="F1" s="71"/>
      <c r="G1" s="72" t="s">
        <v>1</v>
      </c>
      <c r="J1" s="71"/>
      <c r="K1" s="73" t="s">
        <v>2</v>
      </c>
      <c r="N1" s="71"/>
      <c r="O1" s="74" t="s">
        <v>3</v>
      </c>
      <c r="U1" s="71"/>
      <c r="V1" s="73" t="s">
        <v>4</v>
      </c>
      <c r="Y1" s="71"/>
      <c r="Z1" s="73" t="s">
        <v>5</v>
      </c>
      <c r="AB1" s="71"/>
      <c r="AC1" s="73" t="s">
        <v>6</v>
      </c>
      <c r="AE1" s="71"/>
      <c r="AF1" s="75" t="s">
        <v>7</v>
      </c>
      <c r="AI1" s="71"/>
      <c r="AJ1" s="8"/>
      <c r="AK1" s="8"/>
      <c r="AL1" s="8"/>
    </row>
    <row r="2">
      <c r="A2" s="9" t="s">
        <v>8</v>
      </c>
      <c r="B2" s="9" t="s">
        <v>9</v>
      </c>
      <c r="C2" s="9" t="s">
        <v>10</v>
      </c>
      <c r="D2" s="10" t="s">
        <v>11</v>
      </c>
      <c r="E2" s="15" t="s">
        <v>12</v>
      </c>
      <c r="F2" s="76" t="s">
        <v>13</v>
      </c>
      <c r="G2" s="15" t="s">
        <v>14</v>
      </c>
      <c r="H2" s="14" t="s">
        <v>15</v>
      </c>
      <c r="I2" s="15" t="s">
        <v>16</v>
      </c>
      <c r="J2" s="12" t="s">
        <v>17</v>
      </c>
      <c r="K2" s="17" t="s">
        <v>18</v>
      </c>
      <c r="L2" s="17" t="s">
        <v>19</v>
      </c>
      <c r="M2" s="17" t="s">
        <v>20</v>
      </c>
      <c r="N2" s="18" t="s">
        <v>21</v>
      </c>
      <c r="O2" s="20" t="s">
        <v>22</v>
      </c>
      <c r="P2" s="20" t="s">
        <v>23</v>
      </c>
      <c r="Q2" s="20" t="s">
        <v>24</v>
      </c>
      <c r="R2" s="20" t="s">
        <v>25</v>
      </c>
      <c r="S2" s="20" t="s">
        <v>26</v>
      </c>
      <c r="T2" s="21" t="s">
        <v>27</v>
      </c>
      <c r="U2" s="22" t="s">
        <v>28</v>
      </c>
      <c r="V2" s="24" t="s">
        <v>29</v>
      </c>
      <c r="W2" s="24" t="s">
        <v>30</v>
      </c>
      <c r="X2" s="24" t="s">
        <v>31</v>
      </c>
      <c r="Y2" s="25" t="s">
        <v>32</v>
      </c>
      <c r="Z2" s="17" t="s">
        <v>33</v>
      </c>
      <c r="AA2" s="17" t="s">
        <v>34</v>
      </c>
      <c r="AB2" s="18" t="s">
        <v>35</v>
      </c>
      <c r="AC2" s="17" t="s">
        <v>36</v>
      </c>
      <c r="AD2" s="17" t="s">
        <v>37</v>
      </c>
      <c r="AE2" s="25" t="s">
        <v>32</v>
      </c>
      <c r="AF2" s="17" t="s">
        <v>38</v>
      </c>
      <c r="AG2" s="17" t="s">
        <v>39</v>
      </c>
      <c r="AH2" s="24" t="s">
        <v>40</v>
      </c>
      <c r="AI2" s="25" t="s">
        <v>32</v>
      </c>
      <c r="AJ2" s="24"/>
      <c r="AK2" s="24"/>
      <c r="AL2" s="24"/>
    </row>
    <row r="3">
      <c r="A3" s="77" t="s">
        <v>116</v>
      </c>
      <c r="B3" s="1" t="s">
        <v>42</v>
      </c>
      <c r="C3" s="1" t="s">
        <v>117</v>
      </c>
      <c r="D3" s="28">
        <v>0.0921</v>
      </c>
      <c r="E3" s="91">
        <v>0.45</v>
      </c>
      <c r="F3" s="92">
        <v>0.55</v>
      </c>
      <c r="G3" s="91">
        <f t="shared" ref="G3:G5" si="1">0.098/0.852</f>
        <v>0.1150234742</v>
      </c>
      <c r="H3" s="91">
        <f t="shared" ref="H3:H5" si="2">0.5665/0.852</f>
        <v>0.6649061033</v>
      </c>
      <c r="I3" s="91">
        <f t="shared" ref="I3:I5" si="3">0.1872/0.852</f>
        <v>0.2197183099</v>
      </c>
      <c r="J3" s="93">
        <v>0.0</v>
      </c>
      <c r="K3" s="79">
        <f>0.8083/0.9545</f>
        <v>0.8468308015</v>
      </c>
      <c r="L3" s="79">
        <v>0.0</v>
      </c>
      <c r="M3" s="79">
        <f>0.0852/0.9545</f>
        <v>0.0892613934</v>
      </c>
      <c r="N3" s="80">
        <f>0.061/0.9545</f>
        <v>0.06390780513</v>
      </c>
      <c r="O3" s="79">
        <v>0.0</v>
      </c>
      <c r="P3" s="79">
        <v>0.0</v>
      </c>
      <c r="Q3" s="79">
        <v>0.0</v>
      </c>
      <c r="R3" s="79">
        <f>0.936/0.997</f>
        <v>0.9388164493</v>
      </c>
      <c r="S3" s="79">
        <v>0.0</v>
      </c>
      <c r="T3" s="79">
        <v>0.0</v>
      </c>
      <c r="U3" s="80">
        <f>0.061/0.997</f>
        <v>0.06118355065</v>
      </c>
      <c r="V3" s="79">
        <v>0.153</v>
      </c>
      <c r="W3" s="79">
        <v>0.2572</v>
      </c>
      <c r="X3" s="79">
        <v>0.3906</v>
      </c>
      <c r="Y3" s="80">
        <v>0.1992</v>
      </c>
      <c r="Z3" s="79">
        <v>0.3531</v>
      </c>
      <c r="AA3" s="79">
        <v>0.3845</v>
      </c>
      <c r="AB3" s="80">
        <v>0.2624</v>
      </c>
      <c r="AC3" s="79">
        <v>0.5797</v>
      </c>
      <c r="AD3" s="79">
        <v>0.2983</v>
      </c>
      <c r="AE3" s="80">
        <v>0.122</v>
      </c>
      <c r="AF3" s="79">
        <v>0.6098</v>
      </c>
      <c r="AG3" s="79">
        <v>0.0978</v>
      </c>
      <c r="AH3" s="79">
        <v>0.1757</v>
      </c>
      <c r="AI3" s="80">
        <v>0.1168</v>
      </c>
      <c r="AJ3" s="43"/>
      <c r="AK3" s="43"/>
      <c r="AL3" s="43"/>
    </row>
    <row r="4">
      <c r="A4" s="77" t="s">
        <v>118</v>
      </c>
      <c r="B4" s="1" t="s">
        <v>42</v>
      </c>
      <c r="C4" s="1" t="s">
        <v>117</v>
      </c>
      <c r="D4" s="28">
        <v>0.04</v>
      </c>
      <c r="E4" s="91">
        <v>0.5399</v>
      </c>
      <c r="F4" s="92">
        <v>0.4601</v>
      </c>
      <c r="G4" s="91">
        <f t="shared" si="1"/>
        <v>0.1150234742</v>
      </c>
      <c r="H4" s="91">
        <f t="shared" si="2"/>
        <v>0.6649061033</v>
      </c>
      <c r="I4" s="91">
        <f t="shared" si="3"/>
        <v>0.2197183099</v>
      </c>
      <c r="J4" s="93">
        <v>0.0</v>
      </c>
      <c r="K4" s="79">
        <f>0.8083/0.939</f>
        <v>0.8608093717</v>
      </c>
      <c r="L4" s="79">
        <f>0.0455/0.939</f>
        <v>0.04845580405</v>
      </c>
      <c r="M4" s="79">
        <f>0.0852/0.939</f>
        <v>0.09073482428</v>
      </c>
      <c r="N4" s="80">
        <v>0.0</v>
      </c>
      <c r="O4" s="79">
        <v>0.0</v>
      </c>
      <c r="P4" s="79">
        <v>0.0</v>
      </c>
      <c r="Q4" s="79">
        <v>0.0</v>
      </c>
      <c r="R4" s="79">
        <f>0.936/0.938</f>
        <v>0.9978678038</v>
      </c>
      <c r="S4" s="79">
        <v>0.0</v>
      </c>
      <c r="T4" s="79">
        <f>0.0015/0.938</f>
        <v>0.001599147122</v>
      </c>
      <c r="U4" s="80">
        <v>0.0</v>
      </c>
      <c r="V4" s="79">
        <v>0.0</v>
      </c>
      <c r="W4" s="79">
        <v>0.0</v>
      </c>
      <c r="X4" s="79">
        <v>1.0</v>
      </c>
      <c r="Y4" s="80">
        <v>0.0</v>
      </c>
      <c r="Z4" s="79">
        <v>0.0</v>
      </c>
      <c r="AA4" s="79">
        <f t="shared" ref="AA4:AA5" si="4">0.3845/0.647</f>
        <v>0.5942812983</v>
      </c>
      <c r="AB4" s="80">
        <f t="shared" ref="AB4:AB5" si="5">0.2624/0.647</f>
        <v>0.4055641422</v>
      </c>
      <c r="AC4" s="79">
        <v>1.0</v>
      </c>
      <c r="AD4" s="79">
        <v>0.0</v>
      </c>
      <c r="AE4" s="80">
        <v>0.0</v>
      </c>
      <c r="AF4" s="79">
        <v>1.0</v>
      </c>
      <c r="AG4" s="79">
        <v>0.0</v>
      </c>
      <c r="AH4" s="79">
        <v>0.0</v>
      </c>
      <c r="AI4" s="80">
        <v>0.0</v>
      </c>
      <c r="AJ4" s="43"/>
      <c r="AK4" s="43"/>
      <c r="AL4" s="43"/>
    </row>
    <row r="5">
      <c r="A5" s="77" t="s">
        <v>119</v>
      </c>
      <c r="B5" s="1" t="s">
        <v>42</v>
      </c>
      <c r="C5" s="1" t="s">
        <v>117</v>
      </c>
      <c r="D5" s="28">
        <v>0.0485</v>
      </c>
      <c r="E5" s="91">
        <v>0.5093</v>
      </c>
      <c r="F5" s="92">
        <v>0.4907</v>
      </c>
      <c r="G5" s="91">
        <f t="shared" si="1"/>
        <v>0.1150234742</v>
      </c>
      <c r="H5" s="91">
        <f t="shared" si="2"/>
        <v>0.6649061033</v>
      </c>
      <c r="I5" s="91">
        <f t="shared" si="3"/>
        <v>0.2197183099</v>
      </c>
      <c r="J5" s="93">
        <v>0.0</v>
      </c>
      <c r="K5" s="79">
        <f t="shared" ref="K5:K9" si="6">0.8083/0.8935</f>
        <v>0.9046446558</v>
      </c>
      <c r="L5" s="79">
        <v>0.0</v>
      </c>
      <c r="M5" s="79">
        <f t="shared" ref="M5:M9" si="7">0.0852/0.8935</f>
        <v>0.09535534415</v>
      </c>
      <c r="N5" s="80">
        <v>0.0</v>
      </c>
      <c r="O5" s="79">
        <v>0.0</v>
      </c>
      <c r="P5" s="79">
        <v>0.0</v>
      </c>
      <c r="Q5" s="79">
        <v>0.0</v>
      </c>
      <c r="R5" s="79">
        <f>0.936/0.997</f>
        <v>0.9388164493</v>
      </c>
      <c r="S5" s="79">
        <v>0.0</v>
      </c>
      <c r="T5" s="79">
        <v>0.0</v>
      </c>
      <c r="U5" s="80">
        <f>0.061/0.997</f>
        <v>0.06118355065</v>
      </c>
      <c r="V5" s="79">
        <f>0.153/0.41</f>
        <v>0.3731707317</v>
      </c>
      <c r="W5" s="79">
        <f>0.2572/0.41</f>
        <v>0.6273170732</v>
      </c>
      <c r="X5" s="79">
        <v>0.0</v>
      </c>
      <c r="Y5" s="80">
        <v>0.0</v>
      </c>
      <c r="Z5" s="79">
        <v>0.0</v>
      </c>
      <c r="AA5" s="79">
        <f t="shared" si="4"/>
        <v>0.5942812983</v>
      </c>
      <c r="AB5" s="80">
        <f t="shared" si="5"/>
        <v>0.4055641422</v>
      </c>
      <c r="AC5" s="79">
        <v>1.0</v>
      </c>
      <c r="AD5" s="79">
        <v>0.0</v>
      </c>
      <c r="AE5" s="80">
        <v>0.0</v>
      </c>
      <c r="AF5" s="79">
        <v>1.0</v>
      </c>
      <c r="AG5" s="79">
        <v>0.0</v>
      </c>
      <c r="AH5" s="79">
        <v>0.0</v>
      </c>
      <c r="AI5" s="80">
        <v>0.0</v>
      </c>
      <c r="AJ5" s="43"/>
      <c r="AK5" s="43"/>
      <c r="AL5" s="43"/>
    </row>
    <row r="6">
      <c r="A6" s="44" t="s">
        <v>120</v>
      </c>
      <c r="B6" s="1" t="s">
        <v>48</v>
      </c>
      <c r="C6" s="1" t="s">
        <v>117</v>
      </c>
      <c r="D6" s="28">
        <v>0.317</v>
      </c>
      <c r="E6" s="91">
        <v>0.484</v>
      </c>
      <c r="F6" s="92">
        <v>0.516</v>
      </c>
      <c r="G6" s="91">
        <v>0.0</v>
      </c>
      <c r="H6" s="91">
        <f t="shared" ref="H6:H7" si="8">0.5665/0.754</f>
        <v>0.7513262599</v>
      </c>
      <c r="I6" s="91">
        <f t="shared" ref="I6:I7" si="9">0.1872/0.754</f>
        <v>0.2482758621</v>
      </c>
      <c r="J6" s="93">
        <v>0.0</v>
      </c>
      <c r="K6" s="79">
        <f t="shared" si="6"/>
        <v>0.9046446558</v>
      </c>
      <c r="L6" s="79">
        <v>0.0</v>
      </c>
      <c r="M6" s="79">
        <f t="shared" si="7"/>
        <v>0.09535534415</v>
      </c>
      <c r="N6" s="80">
        <v>0.0</v>
      </c>
      <c r="O6" s="79">
        <v>0.0</v>
      </c>
      <c r="P6" s="79">
        <v>0.0</v>
      </c>
      <c r="Q6" s="79">
        <v>0.0</v>
      </c>
      <c r="R6" s="79">
        <v>1.0</v>
      </c>
      <c r="S6" s="79">
        <v>0.0</v>
      </c>
      <c r="T6" s="79">
        <v>0.0</v>
      </c>
      <c r="U6" s="80">
        <v>0.0</v>
      </c>
      <c r="V6" s="79">
        <v>0.153</v>
      </c>
      <c r="W6" s="79">
        <v>0.2572</v>
      </c>
      <c r="X6" s="79">
        <v>0.3906</v>
      </c>
      <c r="Y6" s="80">
        <v>0.1992</v>
      </c>
      <c r="Z6" s="79">
        <f t="shared" ref="Z6:Z7" si="10">0.3531/0.738</f>
        <v>0.4784552846</v>
      </c>
      <c r="AA6" s="79">
        <f t="shared" ref="AA6:AA7" si="11">0.3845/0.738</f>
        <v>0.52100271</v>
      </c>
      <c r="AB6" s="80">
        <v>0.0</v>
      </c>
      <c r="AC6" s="79">
        <v>0.5797</v>
      </c>
      <c r="AD6" s="79">
        <v>0.2983</v>
      </c>
      <c r="AE6" s="80">
        <v>0.122</v>
      </c>
      <c r="AF6" s="79">
        <f>0.6098/0.902</f>
        <v>0.6760532151</v>
      </c>
      <c r="AG6" s="79">
        <v>0.0</v>
      </c>
      <c r="AH6" s="79">
        <f>0.1757/0.902</f>
        <v>0.194789357</v>
      </c>
      <c r="AI6" s="80">
        <f>0.1168/0.902</f>
        <v>0.1294900222</v>
      </c>
      <c r="AJ6" s="43"/>
      <c r="AK6" s="43"/>
      <c r="AL6" s="43"/>
    </row>
    <row r="7">
      <c r="A7" s="44" t="s">
        <v>121</v>
      </c>
      <c r="B7" s="1" t="s">
        <v>48</v>
      </c>
      <c r="C7" s="1" t="s">
        <v>117</v>
      </c>
      <c r="D7" s="28">
        <v>0.127</v>
      </c>
      <c r="E7" s="91">
        <v>0.484</v>
      </c>
      <c r="F7" s="92">
        <v>0.516</v>
      </c>
      <c r="G7" s="91">
        <v>0.0</v>
      </c>
      <c r="H7" s="91">
        <f t="shared" si="8"/>
        <v>0.7513262599</v>
      </c>
      <c r="I7" s="91">
        <f t="shared" si="9"/>
        <v>0.2482758621</v>
      </c>
      <c r="J7" s="93">
        <v>0.0</v>
      </c>
      <c r="K7" s="79">
        <f t="shared" si="6"/>
        <v>0.9046446558</v>
      </c>
      <c r="L7" s="79">
        <v>0.0</v>
      </c>
      <c r="M7" s="79">
        <f t="shared" si="7"/>
        <v>0.09535534415</v>
      </c>
      <c r="N7" s="80">
        <v>0.0</v>
      </c>
      <c r="O7" s="79">
        <v>0.0</v>
      </c>
      <c r="P7" s="79">
        <v>0.0</v>
      </c>
      <c r="Q7" s="79">
        <v>0.0</v>
      </c>
      <c r="R7" s="79">
        <v>1.0</v>
      </c>
      <c r="S7" s="79">
        <v>0.0</v>
      </c>
      <c r="T7" s="79">
        <v>0.0</v>
      </c>
      <c r="U7" s="80">
        <v>0.0</v>
      </c>
      <c r="V7" s="79">
        <v>0.0</v>
      </c>
      <c r="W7" s="79">
        <v>1.0</v>
      </c>
      <c r="X7" s="79">
        <v>0.0</v>
      </c>
      <c r="Y7" s="80">
        <v>0.0</v>
      </c>
      <c r="Z7" s="79">
        <f t="shared" si="10"/>
        <v>0.4784552846</v>
      </c>
      <c r="AA7" s="79">
        <f t="shared" si="11"/>
        <v>0.52100271</v>
      </c>
      <c r="AB7" s="80">
        <v>0.0</v>
      </c>
      <c r="AC7" s="79">
        <v>0.0</v>
      </c>
      <c r="AD7" s="79">
        <v>0.0</v>
      </c>
      <c r="AE7" s="80">
        <v>1.0</v>
      </c>
      <c r="AF7" s="79">
        <f>0.6098/0.727</f>
        <v>0.8387895461</v>
      </c>
      <c r="AG7" s="79">
        <v>0.0</v>
      </c>
      <c r="AH7" s="79">
        <v>0.0</v>
      </c>
      <c r="AI7" s="80">
        <f>0.1168/0.727</f>
        <v>0.1606602476</v>
      </c>
      <c r="AJ7" s="43"/>
      <c r="AK7" s="43"/>
      <c r="AL7" s="43"/>
    </row>
    <row r="8">
      <c r="A8" s="88" t="s">
        <v>122</v>
      </c>
      <c r="B8" s="40" t="s">
        <v>51</v>
      </c>
      <c r="C8" s="1" t="s">
        <v>117</v>
      </c>
      <c r="D8" s="28">
        <v>0.0038</v>
      </c>
      <c r="E8" s="91">
        <v>0.5195</v>
      </c>
      <c r="F8" s="92">
        <v>0.4805</v>
      </c>
      <c r="G8" s="91">
        <v>0.2499</v>
      </c>
      <c r="H8" s="91">
        <v>0.6852</v>
      </c>
      <c r="I8" s="91">
        <v>0.0649</v>
      </c>
      <c r="J8" s="93">
        <v>0.0</v>
      </c>
      <c r="K8" s="79">
        <f t="shared" si="6"/>
        <v>0.9046446558</v>
      </c>
      <c r="L8" s="79">
        <v>0.0</v>
      </c>
      <c r="M8" s="79">
        <f t="shared" si="7"/>
        <v>0.09535534415</v>
      </c>
      <c r="N8" s="80">
        <v>0.0</v>
      </c>
      <c r="O8" s="79">
        <v>0.0</v>
      </c>
      <c r="P8" s="79">
        <v>0.0</v>
      </c>
      <c r="Q8" s="79">
        <v>0.0</v>
      </c>
      <c r="R8" s="79">
        <f t="shared" ref="R8:R11" si="12">0.936/0.997</f>
        <v>0.9388164493</v>
      </c>
      <c r="S8" s="79">
        <v>0.0</v>
      </c>
      <c r="T8" s="79">
        <v>0.0</v>
      </c>
      <c r="U8" s="80">
        <f t="shared" ref="U8:U11" si="13">0.061/0.997</f>
        <v>0.06118355065</v>
      </c>
      <c r="V8" s="79">
        <f>0.153/0.41</f>
        <v>0.3731707317</v>
      </c>
      <c r="W8" s="79">
        <f>0.2572/0.41</f>
        <v>0.6273170732</v>
      </c>
      <c r="X8" s="79">
        <v>0.0</v>
      </c>
      <c r="Y8" s="80">
        <v>0.0</v>
      </c>
      <c r="Z8" s="79">
        <v>0.3531</v>
      </c>
      <c r="AA8" s="79">
        <v>0.3845</v>
      </c>
      <c r="AB8" s="80">
        <v>0.2624</v>
      </c>
      <c r="AC8" s="79">
        <v>0.5797</v>
      </c>
      <c r="AD8" s="79">
        <v>0.2983</v>
      </c>
      <c r="AE8" s="80">
        <v>0.122</v>
      </c>
      <c r="AF8" s="79">
        <v>0.0</v>
      </c>
      <c r="AG8" s="79">
        <v>0.0</v>
      </c>
      <c r="AH8" s="79">
        <f>0.1756/0.292</f>
        <v>0.601369863</v>
      </c>
      <c r="AI8" s="80">
        <f>0.1168/0.292</f>
        <v>0.4</v>
      </c>
      <c r="AJ8" s="43"/>
      <c r="AK8" s="43"/>
      <c r="AL8" s="43"/>
    </row>
    <row r="9">
      <c r="A9" s="49" t="s">
        <v>123</v>
      </c>
      <c r="B9" s="1" t="s">
        <v>53</v>
      </c>
      <c r="C9" s="1" t="s">
        <v>117</v>
      </c>
      <c r="D9" s="28">
        <v>0.2077</v>
      </c>
      <c r="E9" s="91">
        <v>0.5875</v>
      </c>
      <c r="F9" s="92">
        <v>0.4125</v>
      </c>
      <c r="G9" s="91">
        <v>0.2252</v>
      </c>
      <c r="H9" s="91">
        <v>0.6692</v>
      </c>
      <c r="I9" s="91">
        <v>0.1056</v>
      </c>
      <c r="J9" s="93">
        <v>0.0</v>
      </c>
      <c r="K9" s="79">
        <f t="shared" si="6"/>
        <v>0.9046446558</v>
      </c>
      <c r="L9" s="79">
        <v>0.0</v>
      </c>
      <c r="M9" s="79">
        <f t="shared" si="7"/>
        <v>0.09535534415</v>
      </c>
      <c r="N9" s="80">
        <v>0.0</v>
      </c>
      <c r="O9" s="79">
        <v>0.0</v>
      </c>
      <c r="P9" s="79">
        <v>0.0</v>
      </c>
      <c r="Q9" s="79">
        <v>0.0</v>
      </c>
      <c r="R9" s="79">
        <f t="shared" si="12"/>
        <v>0.9388164493</v>
      </c>
      <c r="S9" s="79">
        <v>0.0</v>
      </c>
      <c r="T9" s="79">
        <v>0.0</v>
      </c>
      <c r="U9" s="80">
        <f t="shared" si="13"/>
        <v>0.06118355065</v>
      </c>
      <c r="V9" s="79">
        <v>0.0</v>
      </c>
      <c r="W9" s="79">
        <v>0.0</v>
      </c>
      <c r="X9" s="79">
        <v>1.0</v>
      </c>
      <c r="Y9" s="80">
        <v>0.0</v>
      </c>
      <c r="Z9" s="79">
        <v>0.0</v>
      </c>
      <c r="AA9" s="79">
        <v>1.0</v>
      </c>
      <c r="AB9" s="80">
        <v>0.0</v>
      </c>
      <c r="AC9" s="79">
        <v>1.0</v>
      </c>
      <c r="AD9" s="79">
        <v>0.0</v>
      </c>
      <c r="AE9" s="80">
        <v>0.0</v>
      </c>
      <c r="AF9" s="79">
        <v>1.0</v>
      </c>
      <c r="AG9" s="79">
        <v>0.0</v>
      </c>
      <c r="AH9" s="79">
        <v>0.0</v>
      </c>
      <c r="AI9" s="80">
        <v>0.0</v>
      </c>
      <c r="AJ9" s="43"/>
      <c r="AK9" s="43"/>
      <c r="AL9" s="43"/>
    </row>
    <row r="10">
      <c r="A10" s="50" t="s">
        <v>124</v>
      </c>
      <c r="B10" s="1" t="s">
        <v>53</v>
      </c>
      <c r="C10" s="1" t="s">
        <v>117</v>
      </c>
      <c r="D10" s="28">
        <v>0.7261</v>
      </c>
      <c r="E10" s="91">
        <v>0.4993</v>
      </c>
      <c r="F10" s="92">
        <v>0.5007</v>
      </c>
      <c r="G10" s="91">
        <v>0.2371</v>
      </c>
      <c r="H10" s="91">
        <v>0.7023</v>
      </c>
      <c r="I10" s="91">
        <v>0.0606</v>
      </c>
      <c r="J10" s="93">
        <v>0.0</v>
      </c>
      <c r="K10" s="79">
        <f>0.8083/0.9545</f>
        <v>0.8468308015</v>
      </c>
      <c r="L10" s="79">
        <v>0.0</v>
      </c>
      <c r="M10" s="79">
        <f>0.0852/0.9545</f>
        <v>0.0892613934</v>
      </c>
      <c r="N10" s="80">
        <f>0.061/0.9545</f>
        <v>0.06390780513</v>
      </c>
      <c r="O10" s="79">
        <v>0.0</v>
      </c>
      <c r="P10" s="79">
        <v>0.0</v>
      </c>
      <c r="Q10" s="79">
        <v>0.0</v>
      </c>
      <c r="R10" s="79">
        <f t="shared" si="12"/>
        <v>0.9388164493</v>
      </c>
      <c r="S10" s="79">
        <v>0.0</v>
      </c>
      <c r="T10" s="79">
        <v>0.0</v>
      </c>
      <c r="U10" s="80">
        <f t="shared" si="13"/>
        <v>0.06118355065</v>
      </c>
      <c r="V10" s="79">
        <v>1.0</v>
      </c>
      <c r="W10" s="79">
        <v>0.0</v>
      </c>
      <c r="X10" s="79">
        <f>1-0.3906-0.1992</f>
        <v>0.4102</v>
      </c>
      <c r="Y10" s="80">
        <v>0.0</v>
      </c>
      <c r="Z10" s="79">
        <v>0.0</v>
      </c>
      <c r="AA10" s="79">
        <v>1.0</v>
      </c>
      <c r="AB10" s="80">
        <v>0.0</v>
      </c>
      <c r="AC10" s="79">
        <v>1.0</v>
      </c>
      <c r="AD10" s="79">
        <v>0.0</v>
      </c>
      <c r="AE10" s="80">
        <v>0.0</v>
      </c>
      <c r="AF10" s="79">
        <v>1.0</v>
      </c>
      <c r="AG10" s="79">
        <v>0.0</v>
      </c>
      <c r="AH10" s="79">
        <v>0.0</v>
      </c>
      <c r="AI10" s="80">
        <v>0.0</v>
      </c>
      <c r="AJ10" s="43"/>
      <c r="AK10" s="43"/>
      <c r="AL10" s="43"/>
    </row>
    <row r="11">
      <c r="A11" s="49" t="s">
        <v>125</v>
      </c>
      <c r="B11" s="1" t="s">
        <v>53</v>
      </c>
      <c r="C11" s="1" t="s">
        <v>117</v>
      </c>
      <c r="D11" s="28">
        <v>0.3513</v>
      </c>
      <c r="E11" s="91">
        <v>0.5069</v>
      </c>
      <c r="F11" s="92">
        <v>0.4931</v>
      </c>
      <c r="G11" s="91">
        <v>0.2276</v>
      </c>
      <c r="H11" s="91">
        <v>0.7098</v>
      </c>
      <c r="I11" s="91">
        <v>0.0626</v>
      </c>
      <c r="J11" s="93">
        <v>0.0</v>
      </c>
      <c r="K11" s="79">
        <f t="shared" ref="K11:K19" si="14">0.8083/0.8935</f>
        <v>0.9046446558</v>
      </c>
      <c r="L11" s="79">
        <v>0.0</v>
      </c>
      <c r="M11" s="79">
        <f t="shared" ref="M11:M19" si="15">0.0852/0.8935</f>
        <v>0.09535534415</v>
      </c>
      <c r="N11" s="80">
        <v>0.0</v>
      </c>
      <c r="O11" s="79">
        <v>0.0</v>
      </c>
      <c r="P11" s="79">
        <v>0.0</v>
      </c>
      <c r="Q11" s="79">
        <v>0.0</v>
      </c>
      <c r="R11" s="79">
        <f t="shared" si="12"/>
        <v>0.9388164493</v>
      </c>
      <c r="S11" s="79">
        <v>0.0</v>
      </c>
      <c r="T11" s="79">
        <v>0.0</v>
      </c>
      <c r="U11" s="80">
        <f t="shared" si="13"/>
        <v>0.06118355065</v>
      </c>
      <c r="V11" s="79">
        <v>0.0</v>
      </c>
      <c r="W11" s="79">
        <f>0.2573/0.648</f>
        <v>0.3970679012</v>
      </c>
      <c r="X11" s="79">
        <f>0.3906/0.648</f>
        <v>0.6027777778</v>
      </c>
      <c r="Y11" s="80">
        <v>0.0</v>
      </c>
      <c r="Z11" s="79">
        <v>0.0</v>
      </c>
      <c r="AA11" s="79">
        <v>0.0</v>
      </c>
      <c r="AB11" s="80">
        <v>1.0</v>
      </c>
      <c r="AC11" s="79">
        <v>0.5797</v>
      </c>
      <c r="AD11" s="79">
        <v>0.2983</v>
      </c>
      <c r="AE11" s="80">
        <v>0.122</v>
      </c>
      <c r="AF11" s="79">
        <f>0.6098/0.785</f>
        <v>0.7768152866</v>
      </c>
      <c r="AG11" s="79">
        <v>0.0</v>
      </c>
      <c r="AH11" s="79">
        <f>0.1757/0.785</f>
        <v>0.2238216561</v>
      </c>
      <c r="AI11" s="80">
        <v>0.0</v>
      </c>
      <c r="AJ11" s="43"/>
      <c r="AK11" s="43"/>
      <c r="AL11" s="43"/>
    </row>
    <row r="12">
      <c r="A12" s="49" t="s">
        <v>126</v>
      </c>
      <c r="B12" s="1" t="s">
        <v>53</v>
      </c>
      <c r="C12" s="1" t="s">
        <v>117</v>
      </c>
      <c r="D12" s="28">
        <v>1.0</v>
      </c>
      <c r="E12" s="91">
        <v>0.514</v>
      </c>
      <c r="F12" s="92">
        <v>0.486</v>
      </c>
      <c r="G12" s="91">
        <v>0.2505</v>
      </c>
      <c r="H12" s="91">
        <v>0.6825</v>
      </c>
      <c r="I12" s="91">
        <v>0.067</v>
      </c>
      <c r="J12" s="93">
        <v>0.0</v>
      </c>
      <c r="K12" s="79">
        <f t="shared" si="14"/>
        <v>0.9046446558</v>
      </c>
      <c r="L12" s="79">
        <v>0.0</v>
      </c>
      <c r="M12" s="79">
        <f t="shared" si="15"/>
        <v>0.09535534415</v>
      </c>
      <c r="N12" s="80">
        <v>0.0</v>
      </c>
      <c r="O12" s="79">
        <f t="shared" ref="O12:O13" si="16">0.0015/0.999</f>
        <v>0.001501501502</v>
      </c>
      <c r="P12" s="79">
        <v>0.0</v>
      </c>
      <c r="Q12" s="79">
        <v>0.0</v>
      </c>
      <c r="R12" s="79">
        <f t="shared" ref="R12:R13" si="17">0.936/0.999</f>
        <v>0.9369369369</v>
      </c>
      <c r="S12" s="79">
        <v>0.0</v>
      </c>
      <c r="T12" s="79">
        <v>0.0</v>
      </c>
      <c r="U12" s="80">
        <f t="shared" ref="U12:U13" si="18">0.061/0.999</f>
        <v>0.06106106106</v>
      </c>
      <c r="V12" s="79">
        <v>0.153</v>
      </c>
      <c r="W12" s="79">
        <v>0.2572</v>
      </c>
      <c r="X12" s="79">
        <v>0.3906</v>
      </c>
      <c r="Y12" s="80">
        <v>0.1992</v>
      </c>
      <c r="Z12" s="79">
        <f>0.3531/0.738</f>
        <v>0.4784552846</v>
      </c>
      <c r="AA12" s="79">
        <f>0.3845/0.738</f>
        <v>0.52100271</v>
      </c>
      <c r="AB12" s="80">
        <v>0.0</v>
      </c>
      <c r="AC12" s="79">
        <f t="shared" ref="AC12:AC15" si="19">0.5797/0.702</f>
        <v>0.8257834758</v>
      </c>
      <c r="AD12" s="79">
        <v>0.0</v>
      </c>
      <c r="AE12" s="80">
        <f t="shared" ref="AE12:AE15" si="20">0.122/0.702</f>
        <v>0.1737891738</v>
      </c>
      <c r="AF12" s="79">
        <f>0.6098/0.902</f>
        <v>0.6760532151</v>
      </c>
      <c r="AG12" s="79">
        <v>0.0</v>
      </c>
      <c r="AH12" s="79">
        <f>0.1757/0.902</f>
        <v>0.194789357</v>
      </c>
      <c r="AI12" s="80">
        <f>0.1168/0.902</f>
        <v>0.1294900222</v>
      </c>
      <c r="AJ12" s="43"/>
      <c r="AK12" s="43"/>
      <c r="AL12" s="43"/>
    </row>
    <row r="13">
      <c r="A13" s="49" t="s">
        <v>127</v>
      </c>
      <c r="B13" s="1" t="s">
        <v>53</v>
      </c>
      <c r="C13" s="1" t="s">
        <v>117</v>
      </c>
      <c r="D13" s="28">
        <v>1.0</v>
      </c>
      <c r="E13" s="91">
        <v>0.5179</v>
      </c>
      <c r="F13" s="92">
        <v>0.4821</v>
      </c>
      <c r="G13" s="91">
        <v>0.2541</v>
      </c>
      <c r="H13" s="91">
        <v>0.6804</v>
      </c>
      <c r="I13" s="91">
        <v>0.0655</v>
      </c>
      <c r="J13" s="93">
        <v>0.0</v>
      </c>
      <c r="K13" s="79">
        <f t="shared" si="14"/>
        <v>0.9046446558</v>
      </c>
      <c r="L13" s="79">
        <v>0.0</v>
      </c>
      <c r="M13" s="79">
        <f t="shared" si="15"/>
        <v>0.09535534415</v>
      </c>
      <c r="N13" s="80">
        <v>0.0</v>
      </c>
      <c r="O13" s="79">
        <f t="shared" si="16"/>
        <v>0.001501501502</v>
      </c>
      <c r="P13" s="79">
        <v>0.0</v>
      </c>
      <c r="Q13" s="79">
        <v>0.0</v>
      </c>
      <c r="R13" s="79">
        <f t="shared" si="17"/>
        <v>0.9369369369</v>
      </c>
      <c r="S13" s="79">
        <v>0.0</v>
      </c>
      <c r="T13" s="79">
        <v>0.0</v>
      </c>
      <c r="U13" s="80">
        <f t="shared" si="18"/>
        <v>0.06106106106</v>
      </c>
      <c r="V13" s="79">
        <v>0.153</v>
      </c>
      <c r="W13" s="79">
        <v>0.2572</v>
      </c>
      <c r="X13" s="79">
        <v>0.3906</v>
      </c>
      <c r="Y13" s="80">
        <v>0.1992</v>
      </c>
      <c r="Z13" s="79">
        <v>0.0</v>
      </c>
      <c r="AA13" s="79">
        <v>1.0</v>
      </c>
      <c r="AB13" s="80">
        <v>0.0</v>
      </c>
      <c r="AC13" s="79">
        <f t="shared" si="19"/>
        <v>0.8257834758</v>
      </c>
      <c r="AD13" s="79">
        <v>0.0</v>
      </c>
      <c r="AE13" s="80">
        <f t="shared" si="20"/>
        <v>0.1737891738</v>
      </c>
      <c r="AF13" s="79">
        <v>0.0</v>
      </c>
      <c r="AG13" s="79">
        <v>0.0</v>
      </c>
      <c r="AH13" s="79">
        <f>0.1756/0.292</f>
        <v>0.601369863</v>
      </c>
      <c r="AI13" s="80">
        <f>0.1168/0.292</f>
        <v>0.4</v>
      </c>
      <c r="AJ13" s="43"/>
      <c r="AK13" s="43"/>
      <c r="AL13" s="43"/>
    </row>
    <row r="14">
      <c r="A14" s="49" t="s">
        <v>128</v>
      </c>
      <c r="B14" s="1" t="s">
        <v>53</v>
      </c>
      <c r="C14" s="1" t="s">
        <v>117</v>
      </c>
      <c r="D14" s="28">
        <v>1.0</v>
      </c>
      <c r="E14" s="91">
        <v>0.5042</v>
      </c>
      <c r="F14" s="92">
        <v>0.4958</v>
      </c>
      <c r="G14" s="91">
        <v>0.2626</v>
      </c>
      <c r="H14" s="91">
        <v>0.6712</v>
      </c>
      <c r="I14" s="91">
        <v>0.0662</v>
      </c>
      <c r="J14" s="93">
        <v>0.0</v>
      </c>
      <c r="K14" s="79">
        <f t="shared" si="14"/>
        <v>0.9046446558</v>
      </c>
      <c r="L14" s="79">
        <v>0.0</v>
      </c>
      <c r="M14" s="79">
        <f t="shared" si="15"/>
        <v>0.09535534415</v>
      </c>
      <c r="N14" s="80">
        <v>0.0</v>
      </c>
      <c r="O14" s="79">
        <v>0.0</v>
      </c>
      <c r="P14" s="79">
        <v>0.0</v>
      </c>
      <c r="Q14" s="79">
        <v>0.0</v>
      </c>
      <c r="R14" s="79">
        <f t="shared" ref="R14:R19" si="21">0.936/0.997</f>
        <v>0.9388164493</v>
      </c>
      <c r="S14" s="79">
        <v>0.0</v>
      </c>
      <c r="T14" s="79">
        <v>0.0</v>
      </c>
      <c r="U14" s="80">
        <f t="shared" ref="U14:U19" si="22">0.061/0.997</f>
        <v>0.06118355065</v>
      </c>
      <c r="V14" s="79">
        <v>0.0</v>
      </c>
      <c r="W14" s="79">
        <f>0.2572/0.456</f>
        <v>0.5640350877</v>
      </c>
      <c r="X14" s="79">
        <v>0.0</v>
      </c>
      <c r="Y14" s="80">
        <f>0.1992/0.456</f>
        <v>0.4368421053</v>
      </c>
      <c r="Z14" s="79">
        <v>0.0</v>
      </c>
      <c r="AA14" s="79">
        <v>1.0</v>
      </c>
      <c r="AB14" s="80">
        <v>0.0</v>
      </c>
      <c r="AC14" s="79">
        <f t="shared" si="19"/>
        <v>0.8257834758</v>
      </c>
      <c r="AD14" s="79">
        <v>0.0</v>
      </c>
      <c r="AE14" s="80">
        <f t="shared" si="20"/>
        <v>0.1737891738</v>
      </c>
      <c r="AF14" s="79">
        <f t="shared" ref="AF14:AF15" si="23">0.6098/0.902</f>
        <v>0.6760532151</v>
      </c>
      <c r="AG14" s="79">
        <v>0.0</v>
      </c>
      <c r="AH14" s="79">
        <f t="shared" ref="AH14:AH15" si="24">0.1757/0.902</f>
        <v>0.194789357</v>
      </c>
      <c r="AI14" s="80">
        <f t="shared" ref="AI14:AI15" si="25">0.1168/0.902</f>
        <v>0.1294900222</v>
      </c>
      <c r="AJ14" s="43"/>
      <c r="AK14" s="43"/>
      <c r="AL14" s="43"/>
    </row>
    <row r="15">
      <c r="A15" s="49" t="s">
        <v>129</v>
      </c>
      <c r="B15" s="1" t="s">
        <v>53</v>
      </c>
      <c r="C15" s="1" t="s">
        <v>117</v>
      </c>
      <c r="D15" s="28">
        <v>1.0</v>
      </c>
      <c r="E15" s="91">
        <v>0.5382</v>
      </c>
      <c r="F15" s="92">
        <v>0.4618</v>
      </c>
      <c r="G15" s="91">
        <v>0.2477</v>
      </c>
      <c r="H15" s="91">
        <v>0.6846</v>
      </c>
      <c r="I15" s="91">
        <v>0.0677</v>
      </c>
      <c r="J15" s="93">
        <v>0.0</v>
      </c>
      <c r="K15" s="79">
        <f t="shared" si="14"/>
        <v>0.9046446558</v>
      </c>
      <c r="L15" s="79">
        <v>0.0</v>
      </c>
      <c r="M15" s="79">
        <f t="shared" si="15"/>
        <v>0.09535534415</v>
      </c>
      <c r="N15" s="80">
        <v>0.0</v>
      </c>
      <c r="O15" s="79">
        <v>0.0</v>
      </c>
      <c r="P15" s="79">
        <v>0.0</v>
      </c>
      <c r="Q15" s="79">
        <v>0.0</v>
      </c>
      <c r="R15" s="79">
        <f t="shared" si="21"/>
        <v>0.9388164493</v>
      </c>
      <c r="S15" s="79">
        <v>0.0</v>
      </c>
      <c r="T15" s="79">
        <v>0.0</v>
      </c>
      <c r="U15" s="80">
        <f t="shared" si="22"/>
        <v>0.06118355065</v>
      </c>
      <c r="V15" s="79">
        <f>0.153/0.35</f>
        <v>0.4371428571</v>
      </c>
      <c r="W15" s="79">
        <v>0.0</v>
      </c>
      <c r="X15" s="79">
        <v>0.0</v>
      </c>
      <c r="Y15" s="80">
        <f>0.1992/0.352</f>
        <v>0.5659090909</v>
      </c>
      <c r="Z15" s="79">
        <f>0.3531/0.738</f>
        <v>0.4784552846</v>
      </c>
      <c r="AA15" s="79">
        <f>0.3845/0.738</f>
        <v>0.52100271</v>
      </c>
      <c r="AB15" s="80">
        <v>0.0</v>
      </c>
      <c r="AC15" s="79">
        <f t="shared" si="19"/>
        <v>0.8257834758</v>
      </c>
      <c r="AD15" s="79">
        <v>0.0</v>
      </c>
      <c r="AE15" s="80">
        <f t="shared" si="20"/>
        <v>0.1737891738</v>
      </c>
      <c r="AF15" s="79">
        <f t="shared" si="23"/>
        <v>0.6760532151</v>
      </c>
      <c r="AG15" s="79">
        <v>0.0</v>
      </c>
      <c r="AH15" s="79">
        <f t="shared" si="24"/>
        <v>0.194789357</v>
      </c>
      <c r="AI15" s="80">
        <f t="shared" si="25"/>
        <v>0.1294900222</v>
      </c>
      <c r="AJ15" s="43"/>
      <c r="AK15" s="43"/>
      <c r="AL15" s="43"/>
    </row>
    <row r="16">
      <c r="A16" s="49" t="s">
        <v>130</v>
      </c>
      <c r="B16" s="1" t="s">
        <v>53</v>
      </c>
      <c r="C16" s="1" t="s">
        <v>117</v>
      </c>
      <c r="D16" s="28">
        <v>0.2205</v>
      </c>
      <c r="E16" s="91">
        <v>0.5991</v>
      </c>
      <c r="F16" s="92">
        <v>0.4009</v>
      </c>
      <c r="G16" s="91">
        <v>0.203</v>
      </c>
      <c r="H16" s="91">
        <v>0.7117</v>
      </c>
      <c r="I16" s="91">
        <v>0.0853</v>
      </c>
      <c r="J16" s="93">
        <v>0.0</v>
      </c>
      <c r="K16" s="79">
        <f t="shared" si="14"/>
        <v>0.9046446558</v>
      </c>
      <c r="L16" s="79">
        <v>0.0</v>
      </c>
      <c r="M16" s="79">
        <f t="shared" si="15"/>
        <v>0.09535534415</v>
      </c>
      <c r="N16" s="80">
        <v>0.0</v>
      </c>
      <c r="O16" s="79">
        <v>0.0</v>
      </c>
      <c r="P16" s="79">
        <v>0.0</v>
      </c>
      <c r="Q16" s="79">
        <v>0.0</v>
      </c>
      <c r="R16" s="79">
        <f t="shared" si="21"/>
        <v>0.9388164493</v>
      </c>
      <c r="S16" s="79">
        <v>0.0</v>
      </c>
      <c r="T16" s="79">
        <v>0.0</v>
      </c>
      <c r="U16" s="80">
        <f t="shared" si="22"/>
        <v>0.06118355065</v>
      </c>
      <c r="V16" s="79">
        <v>0.0</v>
      </c>
      <c r="W16" s="79">
        <v>0.0</v>
      </c>
      <c r="X16" s="79">
        <v>1.0</v>
      </c>
      <c r="Y16" s="80">
        <v>0.0</v>
      </c>
      <c r="Z16" s="79">
        <v>0.0</v>
      </c>
      <c r="AA16" s="79">
        <f t="shared" ref="AA16:AA19" si="26">0.3845/0.647</f>
        <v>0.5942812983</v>
      </c>
      <c r="AB16" s="80">
        <f t="shared" ref="AB16:AB19" si="27">0.2624/0.647</f>
        <v>0.4055641422</v>
      </c>
      <c r="AC16" s="79">
        <v>0.5797</v>
      </c>
      <c r="AD16" s="79">
        <v>0.2983</v>
      </c>
      <c r="AE16" s="80">
        <v>0.122</v>
      </c>
      <c r="AF16" s="79">
        <v>1.0</v>
      </c>
      <c r="AG16" s="79">
        <v>0.0</v>
      </c>
      <c r="AH16" s="79">
        <v>0.0</v>
      </c>
      <c r="AI16" s="80">
        <v>0.0</v>
      </c>
      <c r="AJ16" s="43"/>
      <c r="AK16" s="43"/>
      <c r="AL16" s="43"/>
    </row>
    <row r="17">
      <c r="A17" s="49" t="s">
        <v>131</v>
      </c>
      <c r="B17" s="1" t="s">
        <v>53</v>
      </c>
      <c r="C17" s="1" t="s">
        <v>117</v>
      </c>
      <c r="D17" s="28">
        <v>0.2327</v>
      </c>
      <c r="E17" s="91">
        <v>0.527</v>
      </c>
      <c r="F17" s="92">
        <v>0.473</v>
      </c>
      <c r="G17" s="91">
        <v>0.2024</v>
      </c>
      <c r="H17" s="91">
        <v>0.7082</v>
      </c>
      <c r="I17" s="91">
        <v>0.0894</v>
      </c>
      <c r="J17" s="93">
        <v>0.0</v>
      </c>
      <c r="K17" s="79">
        <f t="shared" si="14"/>
        <v>0.9046446558</v>
      </c>
      <c r="L17" s="79">
        <v>0.0</v>
      </c>
      <c r="M17" s="79">
        <f t="shared" si="15"/>
        <v>0.09535534415</v>
      </c>
      <c r="N17" s="80">
        <v>0.0</v>
      </c>
      <c r="O17" s="79">
        <v>0.0</v>
      </c>
      <c r="P17" s="79">
        <v>0.0</v>
      </c>
      <c r="Q17" s="79">
        <v>0.0</v>
      </c>
      <c r="R17" s="79">
        <f t="shared" si="21"/>
        <v>0.9388164493</v>
      </c>
      <c r="S17" s="79">
        <v>0.0</v>
      </c>
      <c r="T17" s="79">
        <v>0.0</v>
      </c>
      <c r="U17" s="80">
        <f t="shared" si="22"/>
        <v>0.06118355065</v>
      </c>
      <c r="V17" s="79">
        <v>0.0</v>
      </c>
      <c r="W17" s="79">
        <v>0.0</v>
      </c>
      <c r="X17" s="79">
        <v>1.0</v>
      </c>
      <c r="Y17" s="80">
        <v>0.0</v>
      </c>
      <c r="Z17" s="79">
        <v>0.0</v>
      </c>
      <c r="AA17" s="79">
        <f t="shared" si="26"/>
        <v>0.5942812983</v>
      </c>
      <c r="AB17" s="80">
        <f t="shared" si="27"/>
        <v>0.4055641422</v>
      </c>
      <c r="AC17" s="79">
        <v>1.0</v>
      </c>
      <c r="AD17" s="79">
        <v>0.0</v>
      </c>
      <c r="AE17" s="80">
        <v>0.0</v>
      </c>
      <c r="AF17" s="79">
        <v>1.0</v>
      </c>
      <c r="AG17" s="79">
        <v>0.0</v>
      </c>
      <c r="AH17" s="79">
        <v>0.0</v>
      </c>
      <c r="AI17" s="80">
        <v>0.0</v>
      </c>
      <c r="AJ17" s="43"/>
      <c r="AK17" s="43"/>
      <c r="AL17" s="43"/>
    </row>
    <row r="18">
      <c r="A18" s="49" t="s">
        <v>132</v>
      </c>
      <c r="B18" s="1" t="s">
        <v>53</v>
      </c>
      <c r="C18" s="1" t="s">
        <v>117</v>
      </c>
      <c r="D18" s="28">
        <v>0.2837</v>
      </c>
      <c r="E18" s="91">
        <v>0.4875</v>
      </c>
      <c r="F18" s="92">
        <v>0.5125</v>
      </c>
      <c r="G18" s="91">
        <v>0.2511</v>
      </c>
      <c r="H18" s="91">
        <f t="shared" ref="H18:H19" si="28">1-(G18+I18)</f>
        <v>0.6812</v>
      </c>
      <c r="I18" s="91">
        <v>0.0677</v>
      </c>
      <c r="J18" s="93">
        <v>0.0</v>
      </c>
      <c r="K18" s="79">
        <f t="shared" si="14"/>
        <v>0.9046446558</v>
      </c>
      <c r="L18" s="79">
        <v>0.0</v>
      </c>
      <c r="M18" s="79">
        <f t="shared" si="15"/>
        <v>0.09535534415</v>
      </c>
      <c r="N18" s="80">
        <v>0.0</v>
      </c>
      <c r="O18" s="79">
        <v>0.0</v>
      </c>
      <c r="P18" s="79">
        <v>0.0</v>
      </c>
      <c r="Q18" s="79">
        <v>0.0</v>
      </c>
      <c r="R18" s="79">
        <f t="shared" si="21"/>
        <v>0.9388164493</v>
      </c>
      <c r="S18" s="79">
        <v>0.0</v>
      </c>
      <c r="T18" s="79">
        <v>0.0</v>
      </c>
      <c r="U18" s="80">
        <f t="shared" si="22"/>
        <v>0.06118355065</v>
      </c>
      <c r="V18" s="79">
        <v>0.0</v>
      </c>
      <c r="W18" s="79">
        <v>0.0</v>
      </c>
      <c r="X18" s="79">
        <v>1.0</v>
      </c>
      <c r="Y18" s="80">
        <v>0.0</v>
      </c>
      <c r="Z18" s="79">
        <v>0.0</v>
      </c>
      <c r="AA18" s="79">
        <f t="shared" si="26"/>
        <v>0.5942812983</v>
      </c>
      <c r="AB18" s="80">
        <f t="shared" si="27"/>
        <v>0.4055641422</v>
      </c>
      <c r="AC18" s="79">
        <v>0.5797</v>
      </c>
      <c r="AD18" s="79">
        <v>0.2983</v>
      </c>
      <c r="AE18" s="80">
        <v>0.122</v>
      </c>
      <c r="AF18" s="79">
        <v>1.0</v>
      </c>
      <c r="AG18" s="79">
        <v>0.0</v>
      </c>
      <c r="AH18" s="79">
        <v>0.0</v>
      </c>
      <c r="AI18" s="80">
        <v>0.0</v>
      </c>
      <c r="AJ18" s="43"/>
      <c r="AK18" s="43"/>
      <c r="AL18" s="43"/>
    </row>
    <row r="19">
      <c r="A19" s="49" t="s">
        <v>133</v>
      </c>
      <c r="B19" s="1" t="s">
        <v>53</v>
      </c>
      <c r="C19" s="1" t="s">
        <v>117</v>
      </c>
      <c r="D19" s="28">
        <v>0.0216</v>
      </c>
      <c r="E19" s="91">
        <v>0.4815</v>
      </c>
      <c r="F19" s="92">
        <v>0.5185</v>
      </c>
      <c r="G19" s="91">
        <v>0.2453</v>
      </c>
      <c r="H19" s="91">
        <f t="shared" si="28"/>
        <v>0.6879</v>
      </c>
      <c r="I19" s="91">
        <v>0.0668</v>
      </c>
      <c r="J19" s="93">
        <v>0.0</v>
      </c>
      <c r="K19" s="79">
        <f t="shared" si="14"/>
        <v>0.9046446558</v>
      </c>
      <c r="L19" s="79">
        <v>0.0</v>
      </c>
      <c r="M19" s="79">
        <f t="shared" si="15"/>
        <v>0.09535534415</v>
      </c>
      <c r="N19" s="80">
        <v>0.0</v>
      </c>
      <c r="O19" s="79">
        <v>0.0</v>
      </c>
      <c r="P19" s="79">
        <v>0.0</v>
      </c>
      <c r="Q19" s="79">
        <v>0.0</v>
      </c>
      <c r="R19" s="79">
        <f t="shared" si="21"/>
        <v>0.9388164493</v>
      </c>
      <c r="S19" s="79">
        <v>0.0</v>
      </c>
      <c r="T19" s="79">
        <v>0.0</v>
      </c>
      <c r="U19" s="80">
        <f t="shared" si="22"/>
        <v>0.06118355065</v>
      </c>
      <c r="V19" s="79">
        <v>1.0</v>
      </c>
      <c r="W19" s="79">
        <v>0.0</v>
      </c>
      <c r="X19" s="79">
        <v>0.0</v>
      </c>
      <c r="Y19" s="80">
        <v>0.0</v>
      </c>
      <c r="Z19" s="79">
        <v>0.0</v>
      </c>
      <c r="AA19" s="79">
        <f t="shared" si="26"/>
        <v>0.5942812983</v>
      </c>
      <c r="AB19" s="80">
        <f t="shared" si="27"/>
        <v>0.4055641422</v>
      </c>
      <c r="AC19" s="79">
        <v>1.0</v>
      </c>
      <c r="AD19" s="79">
        <v>0.0</v>
      </c>
      <c r="AE19" s="80">
        <v>0.0</v>
      </c>
      <c r="AF19" s="79">
        <v>1.0</v>
      </c>
      <c r="AG19" s="79">
        <v>0.0</v>
      </c>
      <c r="AH19" s="79">
        <v>0.0</v>
      </c>
      <c r="AI19" s="80">
        <v>0.0</v>
      </c>
      <c r="AJ19" s="43"/>
      <c r="AK19" s="43"/>
      <c r="AL19" s="43"/>
    </row>
    <row r="20">
      <c r="A20" s="39" t="s">
        <v>134</v>
      </c>
      <c r="B20" s="1" t="s">
        <v>65</v>
      </c>
      <c r="C20" s="1" t="s">
        <v>117</v>
      </c>
      <c r="D20" s="28">
        <v>0.6483</v>
      </c>
      <c r="E20" s="91">
        <v>0.484</v>
      </c>
      <c r="F20" s="92">
        <v>0.516</v>
      </c>
      <c r="G20" s="91">
        <f>0.098/0.852</f>
        <v>0.1150234742</v>
      </c>
      <c r="H20" s="91">
        <f>0.5665/0.852</f>
        <v>0.6649061033</v>
      </c>
      <c r="I20" s="91">
        <f>0.1872/0.852</f>
        <v>0.2197183099</v>
      </c>
      <c r="J20" s="93">
        <v>0.0</v>
      </c>
      <c r="K20" s="8">
        <v>0.8083</v>
      </c>
      <c r="L20" s="8">
        <v>0.0455</v>
      </c>
      <c r="M20" s="8">
        <v>0.0852</v>
      </c>
      <c r="N20" s="94">
        <v>0.061</v>
      </c>
      <c r="O20" s="79">
        <v>0.0015</v>
      </c>
      <c r="P20" s="79">
        <v>0.0</v>
      </c>
      <c r="Q20" s="79">
        <v>0.0</v>
      </c>
      <c r="R20" s="79">
        <v>0.936</v>
      </c>
      <c r="S20" s="79">
        <v>0.0</v>
      </c>
      <c r="T20" s="79">
        <v>0.0015</v>
      </c>
      <c r="U20" s="80">
        <v>0.061</v>
      </c>
      <c r="V20" s="79">
        <v>0.153</v>
      </c>
      <c r="W20" s="79">
        <v>0.2572</v>
      </c>
      <c r="X20" s="79">
        <v>0.3906</v>
      </c>
      <c r="Y20" s="80">
        <v>0.1992</v>
      </c>
      <c r="Z20" s="79">
        <v>0.3531</v>
      </c>
      <c r="AA20" s="79">
        <v>0.3845</v>
      </c>
      <c r="AB20" s="80">
        <v>0.2624</v>
      </c>
      <c r="AC20" s="79">
        <v>0.5797</v>
      </c>
      <c r="AD20" s="79">
        <v>0.2983</v>
      </c>
      <c r="AE20" s="80">
        <v>0.122</v>
      </c>
      <c r="AF20" s="79">
        <v>0.6098</v>
      </c>
      <c r="AG20" s="79">
        <v>0.0978</v>
      </c>
      <c r="AH20" s="79">
        <v>0.1757</v>
      </c>
      <c r="AI20" s="80">
        <v>0.1168</v>
      </c>
      <c r="AJ20" s="43"/>
      <c r="AK20" s="43"/>
      <c r="AL20" s="43"/>
    </row>
    <row r="21">
      <c r="A21" s="39" t="s">
        <v>135</v>
      </c>
      <c r="B21" s="1" t="s">
        <v>65</v>
      </c>
      <c r="C21" s="1" t="s">
        <v>117</v>
      </c>
      <c r="D21" s="95">
        <v>0.005</v>
      </c>
      <c r="E21" s="91">
        <v>0.484</v>
      </c>
      <c r="F21" s="92">
        <v>0.516</v>
      </c>
      <c r="G21" s="79">
        <f t="shared" ref="G21:G23" si="29">0.098/0.665</f>
        <v>0.1473684211</v>
      </c>
      <c r="H21" s="79">
        <f t="shared" ref="H21:H23" si="30">0.5665/0.665</f>
        <v>0.8518796992</v>
      </c>
      <c r="I21" s="79">
        <v>0.0</v>
      </c>
      <c r="J21" s="81">
        <v>0.0</v>
      </c>
      <c r="K21" s="79">
        <v>0.0</v>
      </c>
      <c r="L21" s="79">
        <f>0.0455/0.1307</f>
        <v>0.3481254782</v>
      </c>
      <c r="M21" s="79">
        <f>0.0852/0.1307</f>
        <v>0.6518745218</v>
      </c>
      <c r="N21" s="80">
        <v>0.0</v>
      </c>
      <c r="O21" s="79">
        <v>0.0</v>
      </c>
      <c r="P21" s="79">
        <v>0.0</v>
      </c>
      <c r="Q21" s="79">
        <v>0.0</v>
      </c>
      <c r="R21" s="79">
        <v>0.0</v>
      </c>
      <c r="S21" s="79">
        <v>0.0</v>
      </c>
      <c r="T21" s="79">
        <v>1.0</v>
      </c>
      <c r="U21" s="80">
        <v>0.0</v>
      </c>
      <c r="V21" s="79">
        <v>0.153</v>
      </c>
      <c r="W21" s="79">
        <v>0.2572</v>
      </c>
      <c r="X21" s="79">
        <v>0.3906</v>
      </c>
      <c r="Y21" s="80">
        <v>0.1992</v>
      </c>
      <c r="Z21" s="79">
        <v>0.3531</v>
      </c>
      <c r="AA21" s="79">
        <v>0.3845</v>
      </c>
      <c r="AB21" s="80">
        <v>0.2624</v>
      </c>
      <c r="AC21" s="79">
        <v>0.0</v>
      </c>
      <c r="AD21" s="79">
        <f>0.2983/0.42</f>
        <v>0.7102380952</v>
      </c>
      <c r="AE21" s="80">
        <f>0.122/0.42</f>
        <v>0.2904761905</v>
      </c>
      <c r="AF21" s="79">
        <v>0.0</v>
      </c>
      <c r="AG21" s="79">
        <f>0.0978/0.39</f>
        <v>0.2507692308</v>
      </c>
      <c r="AH21" s="79">
        <f>0.1757/0.39</f>
        <v>0.4505128205</v>
      </c>
      <c r="AI21" s="80">
        <f>0.1168/0.39</f>
        <v>0.2994871795</v>
      </c>
      <c r="AJ21" s="43"/>
      <c r="AK21" s="43"/>
      <c r="AL21" s="43"/>
    </row>
    <row r="22">
      <c r="A22" s="51" t="s">
        <v>136</v>
      </c>
      <c r="B22" s="1" t="s">
        <v>65</v>
      </c>
      <c r="C22" s="1" t="s">
        <v>117</v>
      </c>
      <c r="D22" s="28">
        <v>0.0523</v>
      </c>
      <c r="E22" s="91">
        <v>0.484</v>
      </c>
      <c r="F22" s="92">
        <v>0.516</v>
      </c>
      <c r="G22" s="79">
        <f t="shared" si="29"/>
        <v>0.1473684211</v>
      </c>
      <c r="H22" s="79">
        <f t="shared" si="30"/>
        <v>0.8518796992</v>
      </c>
      <c r="I22" s="79">
        <v>0.0</v>
      </c>
      <c r="J22" s="81">
        <v>0.0</v>
      </c>
      <c r="K22" s="8">
        <v>0.8083</v>
      </c>
      <c r="L22" s="8">
        <v>0.0455</v>
      </c>
      <c r="M22" s="8">
        <v>0.0852</v>
      </c>
      <c r="N22" s="94">
        <v>0.061</v>
      </c>
      <c r="O22" s="79">
        <v>0.0015</v>
      </c>
      <c r="P22" s="79">
        <v>0.0</v>
      </c>
      <c r="Q22" s="79">
        <v>0.0</v>
      </c>
      <c r="R22" s="79">
        <v>0.936</v>
      </c>
      <c r="S22" s="79">
        <v>0.0</v>
      </c>
      <c r="T22" s="79">
        <v>0.0015</v>
      </c>
      <c r="U22" s="80">
        <v>0.061</v>
      </c>
      <c r="V22" s="79">
        <v>0.153</v>
      </c>
      <c r="W22" s="79">
        <v>0.2572</v>
      </c>
      <c r="X22" s="79">
        <v>0.3906</v>
      </c>
      <c r="Y22" s="80">
        <v>0.1992</v>
      </c>
      <c r="Z22" s="79">
        <v>0.3531</v>
      </c>
      <c r="AA22" s="79">
        <v>0.3845</v>
      </c>
      <c r="AB22" s="80">
        <v>0.2624</v>
      </c>
      <c r="AC22" s="79">
        <v>0.5797</v>
      </c>
      <c r="AD22" s="79">
        <v>0.2983</v>
      </c>
      <c r="AE22" s="80">
        <v>0.122</v>
      </c>
      <c r="AF22" s="79">
        <v>0.6098</v>
      </c>
      <c r="AG22" s="79">
        <v>0.0978</v>
      </c>
      <c r="AH22" s="79">
        <v>0.1757</v>
      </c>
      <c r="AI22" s="80">
        <v>0.1168</v>
      </c>
      <c r="AJ22" s="43"/>
      <c r="AK22" s="43"/>
      <c r="AL22" s="43"/>
    </row>
    <row r="23">
      <c r="A23" s="39" t="s">
        <v>137</v>
      </c>
      <c r="B23" s="9" t="s">
        <v>65</v>
      </c>
      <c r="C23" s="9" t="s">
        <v>117</v>
      </c>
      <c r="D23" s="96">
        <v>0.005</v>
      </c>
      <c r="E23" s="15">
        <v>0.484</v>
      </c>
      <c r="F23" s="76">
        <v>0.516</v>
      </c>
      <c r="G23" s="20">
        <f t="shared" si="29"/>
        <v>0.1473684211</v>
      </c>
      <c r="H23" s="20">
        <f t="shared" si="30"/>
        <v>0.8518796992</v>
      </c>
      <c r="I23" s="20">
        <v>0.0</v>
      </c>
      <c r="J23" s="86">
        <v>0.0</v>
      </c>
      <c r="K23" s="20">
        <v>0.0</v>
      </c>
      <c r="L23" s="20">
        <f>0.0455/0.1307</f>
        <v>0.3481254782</v>
      </c>
      <c r="M23" s="20">
        <f>0.0852/0.1307</f>
        <v>0.6518745218</v>
      </c>
      <c r="N23" s="22">
        <v>0.0</v>
      </c>
      <c r="O23" s="20">
        <v>0.0</v>
      </c>
      <c r="P23" s="20">
        <v>0.0</v>
      </c>
      <c r="Q23" s="20">
        <v>0.0</v>
      </c>
      <c r="R23" s="20">
        <v>0.0</v>
      </c>
      <c r="S23" s="20">
        <v>0.0</v>
      </c>
      <c r="T23" s="20">
        <f>0.0015/0.063</f>
        <v>0.02380952381</v>
      </c>
      <c r="U23" s="22">
        <f>0.061/0.063</f>
        <v>0.9682539683</v>
      </c>
      <c r="V23" s="20">
        <v>0.153</v>
      </c>
      <c r="W23" s="20">
        <v>0.2572</v>
      </c>
      <c r="X23" s="20">
        <v>0.3906</v>
      </c>
      <c r="Y23" s="22">
        <v>0.1992</v>
      </c>
      <c r="Z23" s="20">
        <v>0.3531</v>
      </c>
      <c r="AA23" s="20">
        <v>0.3845</v>
      </c>
      <c r="AB23" s="22">
        <v>0.2624</v>
      </c>
      <c r="AC23" s="20">
        <v>0.0</v>
      </c>
      <c r="AD23" s="20">
        <f>0.2983/0.42</f>
        <v>0.7102380952</v>
      </c>
      <c r="AE23" s="22">
        <f>0.122/0.42</f>
        <v>0.2904761905</v>
      </c>
      <c r="AF23" s="20">
        <v>0.0</v>
      </c>
      <c r="AG23" s="20">
        <f>0.0978/0.273</f>
        <v>0.3582417582</v>
      </c>
      <c r="AH23" s="20">
        <f>0.1757/0.273</f>
        <v>0.6435897436</v>
      </c>
      <c r="AI23" s="22">
        <v>0.0</v>
      </c>
      <c r="AJ23" s="52"/>
      <c r="AK23" s="52"/>
      <c r="AL23" s="52"/>
    </row>
  </sheetData>
  <mergeCells count="8">
    <mergeCell ref="E1:F1"/>
    <mergeCell ref="G1:J1"/>
    <mergeCell ref="K1:N1"/>
    <mergeCell ref="O1:U1"/>
    <mergeCell ref="V1:Y1"/>
    <mergeCell ref="Z1:AB1"/>
    <mergeCell ref="AC1:AE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2"/>
      <c r="E1" s="70" t="s">
        <v>0</v>
      </c>
      <c r="F1" s="71"/>
      <c r="G1" s="72" t="s">
        <v>1</v>
      </c>
      <c r="J1" s="71"/>
      <c r="K1" s="73" t="s">
        <v>2</v>
      </c>
      <c r="N1" s="71"/>
      <c r="O1" s="74" t="s">
        <v>3</v>
      </c>
      <c r="U1" s="71"/>
      <c r="V1" s="73" t="s">
        <v>4</v>
      </c>
      <c r="Y1" s="71"/>
      <c r="Z1" s="73" t="s">
        <v>5</v>
      </c>
      <c r="AB1" s="71"/>
      <c r="AC1" s="73" t="s">
        <v>6</v>
      </c>
      <c r="AE1" s="71"/>
      <c r="AF1" s="75" t="s">
        <v>7</v>
      </c>
      <c r="AI1" s="71"/>
      <c r="AJ1" s="8"/>
      <c r="AK1" s="8"/>
      <c r="AL1" s="8"/>
    </row>
    <row r="2">
      <c r="A2" s="9" t="s">
        <v>8</v>
      </c>
      <c r="B2" s="9" t="s">
        <v>9</v>
      </c>
      <c r="C2" s="9" t="s">
        <v>10</v>
      </c>
      <c r="D2" s="10" t="s">
        <v>11</v>
      </c>
      <c r="E2" s="15" t="s">
        <v>12</v>
      </c>
      <c r="F2" s="76" t="s">
        <v>13</v>
      </c>
      <c r="G2" s="15" t="s">
        <v>14</v>
      </c>
      <c r="H2" s="14" t="s">
        <v>15</v>
      </c>
      <c r="I2" s="15" t="s">
        <v>16</v>
      </c>
      <c r="J2" s="12" t="s">
        <v>17</v>
      </c>
      <c r="K2" s="17" t="s">
        <v>18</v>
      </c>
      <c r="L2" s="17" t="s">
        <v>19</v>
      </c>
      <c r="M2" s="17" t="s">
        <v>20</v>
      </c>
      <c r="N2" s="18" t="s">
        <v>21</v>
      </c>
      <c r="O2" s="20" t="s">
        <v>22</v>
      </c>
      <c r="P2" s="20" t="s">
        <v>23</v>
      </c>
      <c r="Q2" s="20" t="s">
        <v>24</v>
      </c>
      <c r="R2" s="20" t="s">
        <v>25</v>
      </c>
      <c r="S2" s="20" t="s">
        <v>26</v>
      </c>
      <c r="T2" s="21" t="s">
        <v>27</v>
      </c>
      <c r="U2" s="22" t="s">
        <v>28</v>
      </c>
      <c r="V2" s="24" t="s">
        <v>29</v>
      </c>
      <c r="W2" s="24" t="s">
        <v>30</v>
      </c>
      <c r="X2" s="24" t="s">
        <v>31</v>
      </c>
      <c r="Y2" s="25" t="s">
        <v>32</v>
      </c>
      <c r="Z2" s="17" t="s">
        <v>33</v>
      </c>
      <c r="AA2" s="17" t="s">
        <v>34</v>
      </c>
      <c r="AB2" s="18" t="s">
        <v>35</v>
      </c>
      <c r="AC2" s="17" t="s">
        <v>36</v>
      </c>
      <c r="AD2" s="17" t="s">
        <v>37</v>
      </c>
      <c r="AE2" s="25" t="s">
        <v>32</v>
      </c>
      <c r="AF2" s="17" t="s">
        <v>38</v>
      </c>
      <c r="AG2" s="17" t="s">
        <v>39</v>
      </c>
      <c r="AH2" s="24" t="s">
        <v>40</v>
      </c>
      <c r="AI2" s="25" t="s">
        <v>32</v>
      </c>
      <c r="AJ2" s="24"/>
      <c r="AK2" s="24"/>
      <c r="AL2" s="24"/>
    </row>
    <row r="3">
      <c r="A3" s="77" t="s">
        <v>138</v>
      </c>
      <c r="B3" s="1" t="s">
        <v>42</v>
      </c>
      <c r="C3" s="1" t="s">
        <v>139</v>
      </c>
      <c r="D3" s="28">
        <v>0.6069</v>
      </c>
      <c r="E3" s="79">
        <v>0.4037</v>
      </c>
      <c r="F3" s="80">
        <v>0.5963</v>
      </c>
      <c r="G3" s="79">
        <f t="shared" ref="G3:G4" si="1">0.0959/0.839</f>
        <v>0.1143027414</v>
      </c>
      <c r="H3" s="79">
        <f t="shared" ref="H3:H4" si="2">0.5839/0.839</f>
        <v>0.6959475566</v>
      </c>
      <c r="I3" s="79">
        <f t="shared" ref="I3:I4" si="3">0.1593/0.839</f>
        <v>0.1898688915</v>
      </c>
      <c r="J3" s="81">
        <v>0.0</v>
      </c>
      <c r="K3" s="79">
        <f>0.2328/0.97</f>
        <v>0.24</v>
      </c>
      <c r="L3" s="79">
        <f>0.4656/0.97</f>
        <v>0.48</v>
      </c>
      <c r="M3" s="79">
        <f>0.2716/0.97</f>
        <v>0.28</v>
      </c>
      <c r="N3" s="80">
        <v>0.0</v>
      </c>
      <c r="O3" s="79">
        <v>0.0</v>
      </c>
      <c r="P3" s="79">
        <v>0.0</v>
      </c>
      <c r="Q3" s="79">
        <v>0.0</v>
      </c>
      <c r="R3" s="79">
        <v>0.0</v>
      </c>
      <c r="S3" s="79">
        <f>0.83/0.97</f>
        <v>0.8556701031</v>
      </c>
      <c r="T3" s="79">
        <f>0.12/0.97</f>
        <v>0.1237113402</v>
      </c>
      <c r="U3" s="80">
        <f>0.03/0.97</f>
        <v>0.03092783505</v>
      </c>
      <c r="V3" s="79">
        <v>0.0</v>
      </c>
      <c r="W3" s="79">
        <f>0.3146/0.8953</f>
        <v>0.3513905953</v>
      </c>
      <c r="X3" s="79">
        <f>0.1854/0.8953</f>
        <v>0.2070814252</v>
      </c>
      <c r="Y3" s="80">
        <f>0.3953/0.8953</f>
        <v>0.4415279794</v>
      </c>
      <c r="Z3" s="79">
        <v>0.3541</v>
      </c>
      <c r="AA3" s="79">
        <v>0.3726</v>
      </c>
      <c r="AB3" s="80">
        <v>0.2733</v>
      </c>
      <c r="AC3" s="79">
        <v>0.0</v>
      </c>
      <c r="AD3" s="79">
        <v>1.0</v>
      </c>
      <c r="AE3" s="80">
        <v>0.0</v>
      </c>
      <c r="AF3" s="79">
        <v>0.0</v>
      </c>
      <c r="AG3" s="79">
        <v>1.0</v>
      </c>
      <c r="AH3" s="79">
        <v>0.0</v>
      </c>
      <c r="AI3" s="80">
        <v>0.0</v>
      </c>
      <c r="AJ3" s="43"/>
      <c r="AK3" s="43"/>
      <c r="AL3" s="43"/>
    </row>
    <row r="4">
      <c r="A4" s="77" t="s">
        <v>140</v>
      </c>
      <c r="B4" s="1" t="s">
        <v>42</v>
      </c>
      <c r="C4" s="1" t="s">
        <v>139</v>
      </c>
      <c r="D4" s="28">
        <v>0.1319</v>
      </c>
      <c r="E4" s="79">
        <v>0.5935</v>
      </c>
      <c r="F4" s="80">
        <v>0.4065</v>
      </c>
      <c r="G4" s="79">
        <f t="shared" si="1"/>
        <v>0.1143027414</v>
      </c>
      <c r="H4" s="79">
        <f t="shared" si="2"/>
        <v>0.6959475566</v>
      </c>
      <c r="I4" s="79">
        <f t="shared" si="3"/>
        <v>0.1898688915</v>
      </c>
      <c r="J4" s="81">
        <v>0.0</v>
      </c>
      <c r="K4" s="79">
        <v>0.2328</v>
      </c>
      <c r="L4" s="79">
        <v>0.4656</v>
      </c>
      <c r="M4" s="79">
        <v>0.2716</v>
      </c>
      <c r="N4" s="80">
        <v>0.03</v>
      </c>
      <c r="O4" s="79">
        <v>0.0</v>
      </c>
      <c r="P4" s="79">
        <v>0.0</v>
      </c>
      <c r="Q4" s="79">
        <v>0.0</v>
      </c>
      <c r="R4" s="79">
        <v>0.03</v>
      </c>
      <c r="S4" s="79">
        <v>0.82</v>
      </c>
      <c r="T4" s="79">
        <v>0.12</v>
      </c>
      <c r="U4" s="80">
        <v>0.03</v>
      </c>
      <c r="V4" s="79">
        <v>0.0</v>
      </c>
      <c r="W4" s="79">
        <f>0.3146/0.5</f>
        <v>0.6292</v>
      </c>
      <c r="X4" s="79">
        <f>0.1854/0.5</f>
        <v>0.3708</v>
      </c>
      <c r="Y4" s="80">
        <v>0.0</v>
      </c>
      <c r="Z4" s="79">
        <v>0.3541</v>
      </c>
      <c r="AA4" s="79">
        <v>0.3726</v>
      </c>
      <c r="AB4" s="80">
        <v>0.2733</v>
      </c>
      <c r="AC4" s="79">
        <v>1.0</v>
      </c>
      <c r="AD4" s="79">
        <v>0.0</v>
      </c>
      <c r="AE4" s="80">
        <v>0.0</v>
      </c>
      <c r="AF4" s="79">
        <v>1.0</v>
      </c>
      <c r="AG4" s="79">
        <v>0.0</v>
      </c>
      <c r="AH4" s="79">
        <v>0.0</v>
      </c>
      <c r="AI4" s="80">
        <v>0.0</v>
      </c>
      <c r="AJ4" s="43"/>
      <c r="AK4" s="43"/>
      <c r="AL4" s="43"/>
    </row>
    <row r="5">
      <c r="A5" s="77" t="s">
        <v>141</v>
      </c>
      <c r="B5" s="1" t="s">
        <v>42</v>
      </c>
      <c r="C5" s="1" t="s">
        <v>139</v>
      </c>
      <c r="D5" s="28">
        <v>0.02</v>
      </c>
      <c r="E5" s="79">
        <v>0.47</v>
      </c>
      <c r="F5" s="80">
        <v>0.53</v>
      </c>
      <c r="G5" s="79">
        <v>0.0</v>
      </c>
      <c r="H5" s="79">
        <f>0.5839/0.743</f>
        <v>0.7858681023</v>
      </c>
      <c r="I5" s="79">
        <f>0.1593/0.743</f>
        <v>0.2144010767</v>
      </c>
      <c r="J5" s="81">
        <v>0.0</v>
      </c>
      <c r="K5" s="79">
        <v>0.0</v>
      </c>
      <c r="L5" s="79">
        <f>0.4656/0.7372</f>
        <v>0.6315789474</v>
      </c>
      <c r="M5" s="79">
        <f>0.2716/0.7372</f>
        <v>0.3684210526</v>
      </c>
      <c r="N5" s="80">
        <v>0.0</v>
      </c>
      <c r="O5" s="79">
        <v>0.0</v>
      </c>
      <c r="P5" s="79">
        <v>0.0</v>
      </c>
      <c r="Q5" s="79">
        <v>0.0</v>
      </c>
      <c r="R5" s="79">
        <v>0.0</v>
      </c>
      <c r="S5" s="79">
        <f>0.83/0.97</f>
        <v>0.8556701031</v>
      </c>
      <c r="T5" s="79">
        <f>0.12/0.97</f>
        <v>0.1237113402</v>
      </c>
      <c r="U5" s="80">
        <f>0.03/0.97</f>
        <v>0.03092783505</v>
      </c>
      <c r="V5" s="79">
        <v>0.0</v>
      </c>
      <c r="W5" s="79">
        <f>0.3146/0.8953</f>
        <v>0.3513905953</v>
      </c>
      <c r="X5" s="79">
        <f>0.1854/0.8953</f>
        <v>0.2070814252</v>
      </c>
      <c r="Y5" s="80">
        <f>0.3953/0.8953</f>
        <v>0.4415279794</v>
      </c>
      <c r="Z5" s="79">
        <f t="shared" ref="Z5:Z7" si="4">0.3541/0.727</f>
        <v>0.4870701513</v>
      </c>
      <c r="AA5" s="79">
        <f t="shared" ref="AA5:AA7" si="5">0.3726/0.727</f>
        <v>0.5125171939</v>
      </c>
      <c r="AB5" s="80">
        <v>0.0</v>
      </c>
      <c r="AC5" s="79">
        <v>0.0</v>
      </c>
      <c r="AD5" s="79">
        <v>1.0</v>
      </c>
      <c r="AE5" s="80">
        <v>0.0</v>
      </c>
      <c r="AF5" s="79">
        <v>0.0</v>
      </c>
      <c r="AG5" s="79">
        <v>1.0</v>
      </c>
      <c r="AH5" s="79">
        <v>0.0</v>
      </c>
      <c r="AI5" s="80">
        <v>0.0</v>
      </c>
      <c r="AJ5" s="43"/>
      <c r="AK5" s="43"/>
      <c r="AL5" s="43"/>
    </row>
    <row r="6">
      <c r="A6" s="84" t="s">
        <v>142</v>
      </c>
      <c r="B6" s="1" t="s">
        <v>48</v>
      </c>
      <c r="C6" s="1" t="s">
        <v>139</v>
      </c>
      <c r="D6" s="28">
        <v>0.0145</v>
      </c>
      <c r="E6" s="79">
        <v>0.503</v>
      </c>
      <c r="F6" s="80">
        <v>0.4972</v>
      </c>
      <c r="G6" s="79">
        <v>1.0</v>
      </c>
      <c r="H6" s="79">
        <v>0.0</v>
      </c>
      <c r="I6" s="79">
        <v>0.0</v>
      </c>
      <c r="J6" s="81">
        <v>0.0</v>
      </c>
      <c r="K6" s="79">
        <f t="shared" ref="K6:K7" si="6">0.2328/0.97</f>
        <v>0.24</v>
      </c>
      <c r="L6" s="79">
        <f t="shared" ref="L6:L7" si="7">0.4656/0.97</f>
        <v>0.48</v>
      </c>
      <c r="M6" s="79">
        <f t="shared" ref="M6:M7" si="8">0.2716/0.97</f>
        <v>0.28</v>
      </c>
      <c r="N6" s="80">
        <v>0.0</v>
      </c>
      <c r="O6" s="79">
        <v>0.0</v>
      </c>
      <c r="P6" s="79">
        <v>0.0</v>
      </c>
      <c r="Q6" s="79">
        <v>0.0</v>
      </c>
      <c r="R6" s="79">
        <v>0.03</v>
      </c>
      <c r="S6" s="79">
        <v>0.82</v>
      </c>
      <c r="T6" s="79">
        <v>0.12</v>
      </c>
      <c r="U6" s="80">
        <v>0.03</v>
      </c>
      <c r="V6" s="79">
        <f>0.1047/0.419</f>
        <v>0.2498806683</v>
      </c>
      <c r="W6" s="79">
        <f>0.3146/0.419</f>
        <v>0.7508353222</v>
      </c>
      <c r="X6" s="79">
        <v>0.0</v>
      </c>
      <c r="Y6" s="80">
        <v>0.0</v>
      </c>
      <c r="Z6" s="79">
        <f t="shared" si="4"/>
        <v>0.4870701513</v>
      </c>
      <c r="AA6" s="79">
        <f t="shared" si="5"/>
        <v>0.5125171939</v>
      </c>
      <c r="AB6" s="80">
        <v>0.0</v>
      </c>
      <c r="AC6" s="79">
        <v>1.0</v>
      </c>
      <c r="AD6" s="79">
        <v>0.0</v>
      </c>
      <c r="AE6" s="80">
        <v>0.0</v>
      </c>
      <c r="AF6" s="79">
        <v>1.0</v>
      </c>
      <c r="AG6" s="79">
        <v>0.0</v>
      </c>
      <c r="AH6" s="79">
        <v>0.0</v>
      </c>
      <c r="AI6" s="80">
        <v>0.0</v>
      </c>
      <c r="AJ6" s="43"/>
      <c r="AK6" s="43"/>
      <c r="AL6" s="43"/>
    </row>
    <row r="7">
      <c r="A7" s="84" t="s">
        <v>143</v>
      </c>
      <c r="B7" s="1" t="s">
        <v>48</v>
      </c>
      <c r="C7" s="1" t="s">
        <v>139</v>
      </c>
      <c r="D7" s="28">
        <v>0.1129</v>
      </c>
      <c r="E7" s="79">
        <v>0.47</v>
      </c>
      <c r="F7" s="80">
        <v>0.53</v>
      </c>
      <c r="G7" s="79">
        <v>0.0</v>
      </c>
      <c r="H7" s="79">
        <f>0.5839/0.743</f>
        <v>0.7858681023</v>
      </c>
      <c r="I7" s="79">
        <f>0.1593/0.743</f>
        <v>0.2144010767</v>
      </c>
      <c r="J7" s="81">
        <v>0.0</v>
      </c>
      <c r="K7" s="79">
        <f t="shared" si="6"/>
        <v>0.24</v>
      </c>
      <c r="L7" s="79">
        <f t="shared" si="7"/>
        <v>0.48</v>
      </c>
      <c r="M7" s="79">
        <f t="shared" si="8"/>
        <v>0.28</v>
      </c>
      <c r="N7" s="80">
        <v>0.0</v>
      </c>
      <c r="O7" s="79">
        <v>0.0</v>
      </c>
      <c r="P7" s="79">
        <v>0.0</v>
      </c>
      <c r="Q7" s="79">
        <v>0.0</v>
      </c>
      <c r="R7" s="79">
        <v>0.0</v>
      </c>
      <c r="S7" s="79">
        <f>0.82/0.85</f>
        <v>0.9647058824</v>
      </c>
      <c r="T7" s="79">
        <v>0.0</v>
      </c>
      <c r="U7" s="80">
        <f>0.03/0.85</f>
        <v>0.03529411765</v>
      </c>
      <c r="V7" s="79">
        <v>0.1047</v>
      </c>
      <c r="W7" s="79">
        <v>0.3146</v>
      </c>
      <c r="X7" s="79">
        <v>0.1854</v>
      </c>
      <c r="Y7" s="80">
        <v>0.3953</v>
      </c>
      <c r="Z7" s="79">
        <f t="shared" si="4"/>
        <v>0.4870701513</v>
      </c>
      <c r="AA7" s="79">
        <f t="shared" si="5"/>
        <v>0.5125171939</v>
      </c>
      <c r="AB7" s="80">
        <v>0.0</v>
      </c>
      <c r="AC7" s="79">
        <v>0.0</v>
      </c>
      <c r="AD7" s="79">
        <f>0.4651/0.638</f>
        <v>0.7289968652</v>
      </c>
      <c r="AE7" s="80">
        <f>0.1732/0.638</f>
        <v>0.2714733542</v>
      </c>
      <c r="AF7" s="79">
        <v>0.0</v>
      </c>
      <c r="AG7" s="79">
        <v>1.0</v>
      </c>
      <c r="AH7" s="79">
        <v>0.0</v>
      </c>
      <c r="AI7" s="80">
        <v>0.0</v>
      </c>
      <c r="AJ7" s="43"/>
      <c r="AK7" s="43"/>
      <c r="AL7" s="43"/>
    </row>
    <row r="8">
      <c r="A8" s="88" t="s">
        <v>144</v>
      </c>
      <c r="B8" s="40" t="s">
        <v>51</v>
      </c>
      <c r="C8" s="1" t="s">
        <v>139</v>
      </c>
      <c r="D8" s="28">
        <v>0.0572</v>
      </c>
      <c r="E8" s="79">
        <v>0.47</v>
      </c>
      <c r="F8" s="80">
        <v>0.53</v>
      </c>
      <c r="G8" s="79">
        <v>0.0</v>
      </c>
      <c r="H8" s="79">
        <v>1.0</v>
      </c>
      <c r="I8" s="79">
        <v>0.0</v>
      </c>
      <c r="J8" s="81">
        <v>0.0</v>
      </c>
      <c r="K8" s="79">
        <f>0.2328/0.5044</f>
        <v>0.4615384615</v>
      </c>
      <c r="L8" s="79">
        <v>0.0</v>
      </c>
      <c r="M8" s="79">
        <f>0.2716/0.5044</f>
        <v>0.5384615385</v>
      </c>
      <c r="N8" s="80">
        <v>0.0</v>
      </c>
      <c r="O8" s="79">
        <v>0.0</v>
      </c>
      <c r="P8" s="79">
        <v>0.0</v>
      </c>
      <c r="Q8" s="79">
        <v>0.0</v>
      </c>
      <c r="R8" s="79">
        <v>0.0</v>
      </c>
      <c r="S8" s="79">
        <v>1.0</v>
      </c>
      <c r="T8" s="79">
        <v>0.0</v>
      </c>
      <c r="U8" s="80">
        <v>0.0</v>
      </c>
      <c r="V8" s="79">
        <v>0.0</v>
      </c>
      <c r="W8" s="79">
        <v>0.0</v>
      </c>
      <c r="X8" s="79">
        <v>1.0</v>
      </c>
      <c r="Y8" s="80">
        <v>0.0</v>
      </c>
      <c r="Z8" s="79">
        <v>1.0</v>
      </c>
      <c r="AA8" s="79">
        <v>0.0</v>
      </c>
      <c r="AB8" s="80">
        <v>0.0</v>
      </c>
      <c r="AC8" s="79">
        <v>0.0</v>
      </c>
      <c r="AD8" s="79">
        <v>1.0</v>
      </c>
      <c r="AE8" s="80">
        <v>0.0</v>
      </c>
      <c r="AF8" s="79">
        <v>0.0</v>
      </c>
      <c r="AG8" s="79">
        <v>1.0</v>
      </c>
      <c r="AH8" s="79">
        <v>0.0</v>
      </c>
      <c r="AI8" s="80">
        <v>0.0</v>
      </c>
      <c r="AJ8" s="43"/>
      <c r="AK8" s="43"/>
      <c r="AL8" s="43"/>
    </row>
    <row r="9">
      <c r="A9" s="50" t="s">
        <v>145</v>
      </c>
      <c r="B9" s="1" t="s">
        <v>53</v>
      </c>
      <c r="C9" s="1" t="s">
        <v>139</v>
      </c>
      <c r="D9" s="28">
        <v>0.5853</v>
      </c>
      <c r="E9" s="79">
        <v>0.3957</v>
      </c>
      <c r="F9" s="80">
        <v>0.6043</v>
      </c>
      <c r="G9" s="79">
        <v>0.1151</v>
      </c>
      <c r="H9" s="79">
        <v>0.826</v>
      </c>
      <c r="I9" s="79">
        <v>0.0586</v>
      </c>
      <c r="J9" s="81">
        <v>0.0</v>
      </c>
      <c r="K9" s="79">
        <f t="shared" ref="K9:K10" si="9">0.2328/0.97</f>
        <v>0.24</v>
      </c>
      <c r="L9" s="79">
        <f t="shared" ref="L9:L10" si="10">0.4656/0.97</f>
        <v>0.48</v>
      </c>
      <c r="M9" s="79">
        <f t="shared" ref="M9:M10" si="11">0.2716/0.97</f>
        <v>0.28</v>
      </c>
      <c r="N9" s="80">
        <v>0.0</v>
      </c>
      <c r="O9" s="79">
        <v>0.0</v>
      </c>
      <c r="P9" s="79">
        <v>0.0</v>
      </c>
      <c r="Q9" s="79">
        <v>0.0</v>
      </c>
      <c r="R9" s="79">
        <v>0.0</v>
      </c>
      <c r="S9" s="79">
        <f t="shared" ref="S9:S10" si="12">0.83/0.97</f>
        <v>0.8556701031</v>
      </c>
      <c r="T9" s="79">
        <f t="shared" ref="T9:T10" si="13">0.12/0.97</f>
        <v>0.1237113402</v>
      </c>
      <c r="U9" s="80">
        <f t="shared" ref="U9:U10" si="14">0.03/0.97</f>
        <v>0.03092783505</v>
      </c>
      <c r="V9" s="79">
        <v>0.0</v>
      </c>
      <c r="W9" s="79">
        <f t="shared" ref="W9:W10" si="15">0.3146/0.5</f>
        <v>0.6292</v>
      </c>
      <c r="X9" s="79">
        <f t="shared" ref="X9:X10" si="16">0.1854/0.5</f>
        <v>0.3708</v>
      </c>
      <c r="Y9" s="80">
        <v>0.0</v>
      </c>
      <c r="Z9" s="79">
        <v>0.0</v>
      </c>
      <c r="AA9" s="79">
        <v>1.0</v>
      </c>
      <c r="AB9" s="80">
        <v>0.0</v>
      </c>
      <c r="AC9" s="79">
        <v>0.0</v>
      </c>
      <c r="AD9" s="79">
        <v>1.0</v>
      </c>
      <c r="AE9" s="80">
        <v>0.0</v>
      </c>
      <c r="AF9" s="79">
        <v>0.0</v>
      </c>
      <c r="AG9" s="79">
        <v>1.0</v>
      </c>
      <c r="AH9" s="79">
        <v>0.0</v>
      </c>
      <c r="AI9" s="80">
        <v>0.0</v>
      </c>
      <c r="AJ9" s="43"/>
      <c r="AK9" s="43"/>
      <c r="AL9" s="43"/>
    </row>
    <row r="10">
      <c r="A10" s="49" t="s">
        <v>146</v>
      </c>
      <c r="B10" s="1" t="s">
        <v>53</v>
      </c>
      <c r="C10" s="1" t="s">
        <v>139</v>
      </c>
      <c r="D10" s="28">
        <v>1.0</v>
      </c>
      <c r="E10" s="79">
        <v>0.4158</v>
      </c>
      <c r="F10" s="80">
        <v>0.5842</v>
      </c>
      <c r="G10" s="79">
        <v>0.1254</v>
      </c>
      <c r="H10" s="79">
        <v>0.818</v>
      </c>
      <c r="I10" s="79">
        <v>0.0562</v>
      </c>
      <c r="J10" s="81">
        <v>0.0</v>
      </c>
      <c r="K10" s="79">
        <f t="shared" si="9"/>
        <v>0.24</v>
      </c>
      <c r="L10" s="79">
        <f t="shared" si="10"/>
        <v>0.48</v>
      </c>
      <c r="M10" s="79">
        <f t="shared" si="11"/>
        <v>0.28</v>
      </c>
      <c r="N10" s="80">
        <v>0.0</v>
      </c>
      <c r="O10" s="79">
        <v>0.0</v>
      </c>
      <c r="P10" s="79">
        <v>0.0</v>
      </c>
      <c r="Q10" s="79">
        <v>0.0</v>
      </c>
      <c r="R10" s="79">
        <v>0.0</v>
      </c>
      <c r="S10" s="79">
        <f t="shared" si="12"/>
        <v>0.8556701031</v>
      </c>
      <c r="T10" s="79">
        <f t="shared" si="13"/>
        <v>0.1237113402</v>
      </c>
      <c r="U10" s="80">
        <f t="shared" si="14"/>
        <v>0.03092783505</v>
      </c>
      <c r="V10" s="79">
        <v>0.0</v>
      </c>
      <c r="W10" s="79">
        <f t="shared" si="15"/>
        <v>0.6292</v>
      </c>
      <c r="X10" s="79">
        <f t="shared" si="16"/>
        <v>0.3708</v>
      </c>
      <c r="Y10" s="80">
        <v>0.0</v>
      </c>
      <c r="Z10" s="79">
        <v>0.0</v>
      </c>
      <c r="AA10" s="79">
        <v>1.0</v>
      </c>
      <c r="AB10" s="80">
        <v>0.0</v>
      </c>
      <c r="AC10" s="79">
        <v>0.0</v>
      </c>
      <c r="AD10" s="79">
        <v>1.0</v>
      </c>
      <c r="AE10" s="80">
        <v>0.0</v>
      </c>
      <c r="AF10" s="79">
        <v>0.0</v>
      </c>
      <c r="AG10" s="79">
        <v>1.0</v>
      </c>
      <c r="AH10" s="79">
        <v>0.0</v>
      </c>
      <c r="AI10" s="80">
        <v>0.0</v>
      </c>
      <c r="AJ10" s="43"/>
      <c r="AK10" s="43"/>
      <c r="AL10" s="43"/>
    </row>
    <row r="11">
      <c r="A11" s="49" t="s">
        <v>147</v>
      </c>
      <c r="B11" s="1" t="s">
        <v>53</v>
      </c>
      <c r="C11" s="1" t="s">
        <v>139</v>
      </c>
      <c r="D11" s="28">
        <v>1.0</v>
      </c>
      <c r="E11" s="79">
        <v>0.5858</v>
      </c>
      <c r="F11" s="80">
        <v>0.4142</v>
      </c>
      <c r="G11" s="79">
        <v>0.139</v>
      </c>
      <c r="H11" s="79">
        <v>0.832</v>
      </c>
      <c r="I11" s="79">
        <v>0.0288</v>
      </c>
      <c r="J11" s="81">
        <v>0.0</v>
      </c>
      <c r="K11" s="79">
        <v>0.0</v>
      </c>
      <c r="L11" s="79">
        <f t="shared" ref="L11:L16" si="17">0.4656/0.7372</f>
        <v>0.6315789474</v>
      </c>
      <c r="M11" s="79">
        <f t="shared" ref="M11:M16" si="18">0.2716/0.7372</f>
        <v>0.3684210526</v>
      </c>
      <c r="N11" s="80">
        <v>0.0</v>
      </c>
      <c r="O11" s="79">
        <v>0.0</v>
      </c>
      <c r="P11" s="79">
        <v>0.0</v>
      </c>
      <c r="Q11" s="79">
        <v>0.0</v>
      </c>
      <c r="R11" s="79">
        <v>0.03</v>
      </c>
      <c r="S11" s="79">
        <v>0.82</v>
      </c>
      <c r="T11" s="79">
        <v>0.12</v>
      </c>
      <c r="U11" s="80">
        <v>0.03</v>
      </c>
      <c r="V11" s="79">
        <v>0.1047</v>
      </c>
      <c r="W11" s="79">
        <v>0.3146</v>
      </c>
      <c r="X11" s="79">
        <v>0.1854</v>
      </c>
      <c r="Y11" s="80">
        <v>0.3953</v>
      </c>
      <c r="Z11" s="79">
        <v>0.3541</v>
      </c>
      <c r="AA11" s="79">
        <v>0.3726</v>
      </c>
      <c r="AB11" s="80">
        <v>0.2733</v>
      </c>
      <c r="AC11" s="79">
        <v>0.3617</v>
      </c>
      <c r="AD11" s="79">
        <v>0.4651</v>
      </c>
      <c r="AE11" s="80">
        <v>0.1732</v>
      </c>
      <c r="AF11" s="79">
        <v>0.0709</v>
      </c>
      <c r="AG11" s="79">
        <v>0.7093</v>
      </c>
      <c r="AH11" s="79">
        <v>0.0</v>
      </c>
      <c r="AI11" s="80">
        <v>0.2198</v>
      </c>
      <c r="AJ11" s="43"/>
      <c r="AK11" s="43"/>
      <c r="AL11" s="43"/>
    </row>
    <row r="12">
      <c r="A12" s="49" t="s">
        <v>148</v>
      </c>
      <c r="B12" s="1" t="s">
        <v>53</v>
      </c>
      <c r="C12" s="1" t="s">
        <v>139</v>
      </c>
      <c r="D12" s="28">
        <v>0.4445</v>
      </c>
      <c r="E12" s="79">
        <v>0.5502</v>
      </c>
      <c r="F12" s="80">
        <v>0.4498</v>
      </c>
      <c r="G12" s="79">
        <v>0.0937</v>
      </c>
      <c r="H12" s="79">
        <v>0.795</v>
      </c>
      <c r="I12" s="79">
        <v>0.111</v>
      </c>
      <c r="J12" s="81">
        <v>0.0</v>
      </c>
      <c r="K12" s="79">
        <v>0.0</v>
      </c>
      <c r="L12" s="79">
        <f t="shared" si="17"/>
        <v>0.6315789474</v>
      </c>
      <c r="M12" s="79">
        <f t="shared" si="18"/>
        <v>0.3684210526</v>
      </c>
      <c r="N12" s="80">
        <v>0.0</v>
      </c>
      <c r="O12" s="79">
        <v>0.0</v>
      </c>
      <c r="P12" s="79">
        <v>0.0</v>
      </c>
      <c r="Q12" s="79">
        <v>0.0</v>
      </c>
      <c r="R12" s="79">
        <v>0.0</v>
      </c>
      <c r="S12" s="79">
        <f>0.83/0.97</f>
        <v>0.8556701031</v>
      </c>
      <c r="T12" s="79">
        <f>0.12/0.97</f>
        <v>0.1237113402</v>
      </c>
      <c r="U12" s="80">
        <f>0.03/0.97</f>
        <v>0.03092783505</v>
      </c>
      <c r="V12" s="79">
        <v>0.0</v>
      </c>
      <c r="W12" s="79">
        <f t="shared" ref="W12:W13" si="19">0.3146/0.5</f>
        <v>0.6292</v>
      </c>
      <c r="X12" s="79">
        <f t="shared" ref="X12:X13" si="20">0.1854/0.5</f>
        <v>0.3708</v>
      </c>
      <c r="Y12" s="80">
        <v>0.0</v>
      </c>
      <c r="Z12" s="79">
        <v>0.3541</v>
      </c>
      <c r="AA12" s="79">
        <v>0.3726</v>
      </c>
      <c r="AB12" s="80">
        <v>0.2733</v>
      </c>
      <c r="AC12" s="79">
        <v>0.0</v>
      </c>
      <c r="AD12" s="79">
        <v>1.0</v>
      </c>
      <c r="AE12" s="80">
        <v>0.0</v>
      </c>
      <c r="AF12" s="79">
        <v>0.0</v>
      </c>
      <c r="AG12" s="79">
        <v>1.0</v>
      </c>
      <c r="AH12" s="79">
        <v>0.0</v>
      </c>
      <c r="AI12" s="80">
        <v>0.0</v>
      </c>
      <c r="AJ12" s="43"/>
      <c r="AK12" s="43"/>
      <c r="AL12" s="43"/>
    </row>
    <row r="13">
      <c r="A13" s="49" t="s">
        <v>149</v>
      </c>
      <c r="B13" s="1" t="s">
        <v>53</v>
      </c>
      <c r="C13" s="1" t="s">
        <v>139</v>
      </c>
      <c r="D13" s="28">
        <v>0.6673</v>
      </c>
      <c r="E13" s="79">
        <v>0.4051</v>
      </c>
      <c r="F13" s="80">
        <v>0.5949</v>
      </c>
      <c r="G13" s="79">
        <v>0.1308</v>
      </c>
      <c r="H13" s="79">
        <v>0.811</v>
      </c>
      <c r="I13" s="79">
        <v>0.0578</v>
      </c>
      <c r="J13" s="81">
        <v>0.0</v>
      </c>
      <c r="K13" s="79">
        <v>0.0</v>
      </c>
      <c r="L13" s="79">
        <f t="shared" si="17"/>
        <v>0.6315789474</v>
      </c>
      <c r="M13" s="79">
        <f t="shared" si="18"/>
        <v>0.3684210526</v>
      </c>
      <c r="N13" s="80">
        <v>0.0</v>
      </c>
      <c r="O13" s="79">
        <v>0.0</v>
      </c>
      <c r="P13" s="79">
        <v>0.0</v>
      </c>
      <c r="Q13" s="79">
        <v>0.0</v>
      </c>
      <c r="R13" s="79">
        <v>0.03</v>
      </c>
      <c r="S13" s="79">
        <v>0.82</v>
      </c>
      <c r="T13" s="79">
        <v>0.12</v>
      </c>
      <c r="U13" s="80">
        <v>0.03</v>
      </c>
      <c r="V13" s="79">
        <v>0.0</v>
      </c>
      <c r="W13" s="79">
        <f t="shared" si="19"/>
        <v>0.6292</v>
      </c>
      <c r="X13" s="79">
        <f t="shared" si="20"/>
        <v>0.3708</v>
      </c>
      <c r="Y13" s="80">
        <v>0.0</v>
      </c>
      <c r="Z13" s="79">
        <v>0.0</v>
      </c>
      <c r="AA13" s="79">
        <f t="shared" ref="AA13:AA15" si="21">0.3726/0.646</f>
        <v>0.5767801858</v>
      </c>
      <c r="AB13" s="80">
        <f t="shared" ref="AB13:AB15" si="22">0.2733/0.646</f>
        <v>0.4230650155</v>
      </c>
      <c r="AC13" s="79">
        <v>0.0</v>
      </c>
      <c r="AD13" s="79">
        <v>1.0</v>
      </c>
      <c r="AE13" s="80">
        <v>0.0</v>
      </c>
      <c r="AF13" s="79">
        <v>0.0</v>
      </c>
      <c r="AG13" s="79">
        <v>1.0</v>
      </c>
      <c r="AH13" s="79">
        <v>0.0</v>
      </c>
      <c r="AI13" s="80">
        <v>0.0</v>
      </c>
      <c r="AJ13" s="43"/>
      <c r="AK13" s="43"/>
      <c r="AL13" s="43"/>
    </row>
    <row r="14">
      <c r="A14" s="49" t="s">
        <v>58</v>
      </c>
      <c r="B14" s="1" t="s">
        <v>53</v>
      </c>
      <c r="C14" s="1" t="s">
        <v>139</v>
      </c>
      <c r="D14" s="28">
        <v>0.0659</v>
      </c>
      <c r="E14" s="79">
        <v>0.582</v>
      </c>
      <c r="F14" s="80">
        <v>0.418</v>
      </c>
      <c r="G14" s="79">
        <v>0.0924</v>
      </c>
      <c r="H14" s="79">
        <v>0.794</v>
      </c>
      <c r="I14" s="79">
        <v>0.114</v>
      </c>
      <c r="J14" s="81">
        <v>0.0</v>
      </c>
      <c r="K14" s="79">
        <v>0.0</v>
      </c>
      <c r="L14" s="79">
        <f t="shared" si="17"/>
        <v>0.6315789474</v>
      </c>
      <c r="M14" s="79">
        <f t="shared" si="18"/>
        <v>0.3684210526</v>
      </c>
      <c r="N14" s="80">
        <v>0.0</v>
      </c>
      <c r="O14" s="79">
        <v>0.0</v>
      </c>
      <c r="P14" s="79">
        <v>0.0</v>
      </c>
      <c r="Q14" s="79">
        <v>0.0</v>
      </c>
      <c r="R14" s="79">
        <v>0.0</v>
      </c>
      <c r="S14" s="79">
        <f t="shared" ref="S14:S16" si="23">0.83/0.97</f>
        <v>0.8556701031</v>
      </c>
      <c r="T14" s="79">
        <f t="shared" ref="T14:T16" si="24">0.12/0.97</f>
        <v>0.1237113402</v>
      </c>
      <c r="U14" s="80">
        <f t="shared" ref="U14:U16" si="25">0.03/0.97</f>
        <v>0.03092783505</v>
      </c>
      <c r="V14" s="79">
        <v>0.0</v>
      </c>
      <c r="W14" s="79">
        <v>0.0</v>
      </c>
      <c r="X14" s="79">
        <v>1.0</v>
      </c>
      <c r="Y14" s="80">
        <v>0.0</v>
      </c>
      <c r="Z14" s="79">
        <v>0.0</v>
      </c>
      <c r="AA14" s="79">
        <f t="shared" si="21"/>
        <v>0.5767801858</v>
      </c>
      <c r="AB14" s="80">
        <f t="shared" si="22"/>
        <v>0.4230650155</v>
      </c>
      <c r="AC14" s="79">
        <v>0.0</v>
      </c>
      <c r="AD14" s="79">
        <v>1.0</v>
      </c>
      <c r="AE14" s="80">
        <v>0.0</v>
      </c>
      <c r="AF14" s="79">
        <v>0.0</v>
      </c>
      <c r="AG14" s="79">
        <v>1.0</v>
      </c>
      <c r="AH14" s="79">
        <v>0.0</v>
      </c>
      <c r="AI14" s="80">
        <v>0.0</v>
      </c>
      <c r="AJ14" s="43"/>
      <c r="AK14" s="43"/>
      <c r="AL14" s="43"/>
    </row>
    <row r="15">
      <c r="A15" s="49" t="s">
        <v>150</v>
      </c>
      <c r="B15" s="1" t="s">
        <v>53</v>
      </c>
      <c r="C15" s="1" t="s">
        <v>139</v>
      </c>
      <c r="D15" s="28">
        <v>0.4622</v>
      </c>
      <c r="E15" s="79">
        <v>0.554</v>
      </c>
      <c r="F15" s="80">
        <v>0.446</v>
      </c>
      <c r="G15" s="79">
        <v>0.0959</v>
      </c>
      <c r="H15" s="79">
        <v>0.829</v>
      </c>
      <c r="I15" s="79">
        <v>0.0748</v>
      </c>
      <c r="J15" s="81">
        <v>0.0</v>
      </c>
      <c r="K15" s="79">
        <v>0.0</v>
      </c>
      <c r="L15" s="79">
        <f t="shared" si="17"/>
        <v>0.6315789474</v>
      </c>
      <c r="M15" s="79">
        <f t="shared" si="18"/>
        <v>0.3684210526</v>
      </c>
      <c r="N15" s="80">
        <v>0.0</v>
      </c>
      <c r="O15" s="79">
        <v>0.0</v>
      </c>
      <c r="P15" s="79">
        <v>0.0</v>
      </c>
      <c r="Q15" s="79">
        <v>0.0</v>
      </c>
      <c r="R15" s="79">
        <v>0.0</v>
      </c>
      <c r="S15" s="79">
        <f t="shared" si="23"/>
        <v>0.8556701031</v>
      </c>
      <c r="T15" s="79">
        <f t="shared" si="24"/>
        <v>0.1237113402</v>
      </c>
      <c r="U15" s="80">
        <f t="shared" si="25"/>
        <v>0.03092783505</v>
      </c>
      <c r="V15" s="79">
        <v>0.0</v>
      </c>
      <c r="W15" s="79">
        <v>0.0</v>
      </c>
      <c r="X15" s="79">
        <v>1.0</v>
      </c>
      <c r="Y15" s="80">
        <v>0.0</v>
      </c>
      <c r="Z15" s="79">
        <v>0.0</v>
      </c>
      <c r="AA15" s="79">
        <f t="shared" si="21"/>
        <v>0.5767801858</v>
      </c>
      <c r="AB15" s="80">
        <f t="shared" si="22"/>
        <v>0.4230650155</v>
      </c>
      <c r="AC15" s="79">
        <v>0.0</v>
      </c>
      <c r="AD15" s="79">
        <v>1.0</v>
      </c>
      <c r="AE15" s="80">
        <v>0.0</v>
      </c>
      <c r="AF15" s="79">
        <v>0.0</v>
      </c>
      <c r="AG15" s="79">
        <v>1.0</v>
      </c>
      <c r="AH15" s="79">
        <v>0.0</v>
      </c>
      <c r="AI15" s="80">
        <v>0.0</v>
      </c>
      <c r="AJ15" s="43"/>
      <c r="AK15" s="43"/>
      <c r="AL15" s="43"/>
    </row>
    <row r="16">
      <c r="A16" s="49" t="s">
        <v>151</v>
      </c>
      <c r="B16" s="1" t="s">
        <v>53</v>
      </c>
      <c r="C16" s="1" t="s">
        <v>139</v>
      </c>
      <c r="D16" s="28">
        <v>0.1866</v>
      </c>
      <c r="E16" s="79">
        <v>0.4817</v>
      </c>
      <c r="F16" s="80">
        <v>0.5183</v>
      </c>
      <c r="G16" s="79">
        <v>0.1161</v>
      </c>
      <c r="H16" s="79">
        <v>0.8158</v>
      </c>
      <c r="I16" s="79">
        <v>0.0681</v>
      </c>
      <c r="J16" s="81">
        <v>0.0</v>
      </c>
      <c r="K16" s="79">
        <v>0.0</v>
      </c>
      <c r="L16" s="79">
        <f t="shared" si="17"/>
        <v>0.6315789474</v>
      </c>
      <c r="M16" s="79">
        <f t="shared" si="18"/>
        <v>0.3684210526</v>
      </c>
      <c r="N16" s="80">
        <v>0.0</v>
      </c>
      <c r="O16" s="79">
        <v>0.0</v>
      </c>
      <c r="P16" s="79">
        <v>0.0</v>
      </c>
      <c r="Q16" s="79">
        <v>0.0</v>
      </c>
      <c r="R16" s="79">
        <v>0.0</v>
      </c>
      <c r="S16" s="79">
        <f t="shared" si="23"/>
        <v>0.8556701031</v>
      </c>
      <c r="T16" s="79">
        <f t="shared" si="24"/>
        <v>0.1237113402</v>
      </c>
      <c r="U16" s="80">
        <f t="shared" si="25"/>
        <v>0.03092783505</v>
      </c>
      <c r="V16" s="79">
        <v>0.0</v>
      </c>
      <c r="W16" s="79">
        <f>0.3146/0.5</f>
        <v>0.6292</v>
      </c>
      <c r="X16" s="79">
        <f>0.1854/0.5</f>
        <v>0.3708</v>
      </c>
      <c r="Y16" s="80">
        <v>0.0</v>
      </c>
      <c r="Z16" s="79">
        <v>0.3541</v>
      </c>
      <c r="AA16" s="79">
        <v>0.3726</v>
      </c>
      <c r="AB16" s="80">
        <v>0.2733</v>
      </c>
      <c r="AC16" s="79">
        <v>0.0</v>
      </c>
      <c r="AD16" s="79">
        <v>1.0</v>
      </c>
      <c r="AE16" s="80">
        <v>0.0</v>
      </c>
      <c r="AF16" s="79">
        <v>0.0</v>
      </c>
      <c r="AG16" s="79">
        <v>1.0</v>
      </c>
      <c r="AH16" s="79">
        <v>0.0</v>
      </c>
      <c r="AI16" s="80">
        <v>0.0</v>
      </c>
      <c r="AJ16" s="43"/>
      <c r="AK16" s="43"/>
      <c r="AL16" s="43"/>
    </row>
    <row r="17">
      <c r="A17" s="49" t="s">
        <v>152</v>
      </c>
      <c r="B17" s="1" t="s">
        <v>53</v>
      </c>
      <c r="C17" s="1" t="s">
        <v>139</v>
      </c>
      <c r="D17" s="28">
        <v>0.0188</v>
      </c>
      <c r="E17" s="79">
        <v>0.47</v>
      </c>
      <c r="F17" s="80">
        <v>0.53</v>
      </c>
      <c r="G17" s="79">
        <f t="shared" ref="G17:G18" si="26">0.0959/0.68</f>
        <v>0.1410294118</v>
      </c>
      <c r="H17" s="79">
        <f t="shared" ref="H17:H18" si="27">0.5839/0.68</f>
        <v>0.8586764706</v>
      </c>
      <c r="I17" s="79">
        <v>0.0</v>
      </c>
      <c r="J17" s="81">
        <v>0.0</v>
      </c>
      <c r="K17" s="79">
        <f>0.2328/0.5044</f>
        <v>0.4615384615</v>
      </c>
      <c r="L17" s="79">
        <v>0.0</v>
      </c>
      <c r="M17" s="79">
        <f>0.2716/0.5044</f>
        <v>0.5384615385</v>
      </c>
      <c r="N17" s="80">
        <v>0.0</v>
      </c>
      <c r="O17" s="79">
        <v>0.0</v>
      </c>
      <c r="P17" s="79">
        <v>0.0</v>
      </c>
      <c r="Q17" s="79">
        <v>0.0</v>
      </c>
      <c r="R17" s="79">
        <f>0.03/0.88</f>
        <v>0.03409090909</v>
      </c>
      <c r="S17" s="79">
        <f>0.82/0.88</f>
        <v>0.9318181818</v>
      </c>
      <c r="T17" s="79">
        <v>0.0</v>
      </c>
      <c r="U17" s="80">
        <f>0.03/0.88</f>
        <v>0.03409090909</v>
      </c>
      <c r="V17" s="79">
        <v>1.0</v>
      </c>
      <c r="W17" s="79">
        <v>0.0</v>
      </c>
      <c r="X17" s="79">
        <v>0.0</v>
      </c>
      <c r="Y17" s="80">
        <v>0.0</v>
      </c>
      <c r="Z17" s="79">
        <v>0.3541</v>
      </c>
      <c r="AA17" s="79">
        <v>0.3726</v>
      </c>
      <c r="AB17" s="80">
        <v>0.2733</v>
      </c>
      <c r="AC17" s="79">
        <v>1.0</v>
      </c>
      <c r="AD17" s="79">
        <v>0.0</v>
      </c>
      <c r="AE17" s="80">
        <v>0.0</v>
      </c>
      <c r="AF17" s="79">
        <v>1.0</v>
      </c>
      <c r="AG17" s="79">
        <v>0.0</v>
      </c>
      <c r="AH17" s="79">
        <v>0.0</v>
      </c>
      <c r="AI17" s="80">
        <v>0.0</v>
      </c>
      <c r="AJ17" s="43"/>
      <c r="AK17" s="43"/>
      <c r="AL17" s="43"/>
    </row>
    <row r="18">
      <c r="A18" s="49" t="s">
        <v>153</v>
      </c>
      <c r="B18" s="1" t="s">
        <v>53</v>
      </c>
      <c r="C18" s="1" t="s">
        <v>139</v>
      </c>
      <c r="D18" s="28">
        <v>0.0829</v>
      </c>
      <c r="E18" s="79">
        <v>0.47</v>
      </c>
      <c r="F18" s="80">
        <v>0.53</v>
      </c>
      <c r="G18" s="79">
        <f t="shared" si="26"/>
        <v>0.1410294118</v>
      </c>
      <c r="H18" s="79">
        <f t="shared" si="27"/>
        <v>0.8586764706</v>
      </c>
      <c r="I18" s="79">
        <v>0.0</v>
      </c>
      <c r="J18" s="81">
        <v>0.0</v>
      </c>
      <c r="K18" s="79">
        <f>0.2328/0.97</f>
        <v>0.24</v>
      </c>
      <c r="L18" s="79">
        <f>0.4656/0.97</f>
        <v>0.48</v>
      </c>
      <c r="M18" s="79">
        <f>0.2716/0.97</f>
        <v>0.28</v>
      </c>
      <c r="N18" s="80">
        <v>0.0</v>
      </c>
      <c r="O18" s="79">
        <v>0.0</v>
      </c>
      <c r="P18" s="79">
        <v>0.0</v>
      </c>
      <c r="Q18" s="79">
        <v>0.0</v>
      </c>
      <c r="R18" s="79">
        <v>0.0</v>
      </c>
      <c r="S18" s="79">
        <f>0.82/0.85</f>
        <v>0.9647058824</v>
      </c>
      <c r="T18" s="79">
        <v>0.0</v>
      </c>
      <c r="U18" s="80">
        <f>0.03/0.85</f>
        <v>0.03529411765</v>
      </c>
      <c r="V18" s="79">
        <v>1.0</v>
      </c>
      <c r="W18" s="79">
        <v>0.0</v>
      </c>
      <c r="X18" s="79">
        <v>0.0</v>
      </c>
      <c r="Y18" s="80">
        <v>0.0</v>
      </c>
      <c r="Z18" s="79">
        <v>0.3541</v>
      </c>
      <c r="AA18" s="79">
        <v>0.3726</v>
      </c>
      <c r="AB18" s="80">
        <v>0.2733</v>
      </c>
      <c r="AC18" s="79">
        <v>1.0</v>
      </c>
      <c r="AD18" s="79">
        <v>0.0</v>
      </c>
      <c r="AE18" s="80">
        <v>0.0</v>
      </c>
      <c r="AF18" s="79">
        <v>1.0</v>
      </c>
      <c r="AG18" s="79">
        <v>0.0</v>
      </c>
      <c r="AH18" s="79">
        <v>0.0</v>
      </c>
      <c r="AI18" s="80">
        <v>0.0</v>
      </c>
      <c r="AJ18" s="43"/>
      <c r="AK18" s="43"/>
      <c r="AL18" s="43"/>
    </row>
    <row r="19">
      <c r="A19" s="39" t="s">
        <v>154</v>
      </c>
      <c r="B19" s="1" t="s">
        <v>65</v>
      </c>
      <c r="C19" s="1" t="s">
        <v>139</v>
      </c>
      <c r="D19" s="28">
        <v>0.4713</v>
      </c>
      <c r="E19" s="79">
        <v>0.47</v>
      </c>
      <c r="F19" s="80">
        <v>0.53</v>
      </c>
      <c r="G19" s="79">
        <f>0.0959/0.839</f>
        <v>0.1143027414</v>
      </c>
      <c r="H19" s="79">
        <f>0.5839/0.839</f>
        <v>0.6959475566</v>
      </c>
      <c r="I19" s="79">
        <f>0.1593/0.839</f>
        <v>0.1898688915</v>
      </c>
      <c r="J19" s="81">
        <v>0.0</v>
      </c>
      <c r="K19" s="79">
        <v>0.2328</v>
      </c>
      <c r="L19" s="79">
        <v>0.4656</v>
      </c>
      <c r="M19" s="79">
        <v>0.2716</v>
      </c>
      <c r="N19" s="80">
        <v>0.03</v>
      </c>
      <c r="O19" s="79">
        <v>0.0</v>
      </c>
      <c r="P19" s="79">
        <v>0.0</v>
      </c>
      <c r="Q19" s="79">
        <v>0.0</v>
      </c>
      <c r="R19" s="79">
        <v>0.03</v>
      </c>
      <c r="S19" s="79">
        <v>0.82</v>
      </c>
      <c r="T19" s="79">
        <v>0.12</v>
      </c>
      <c r="U19" s="80">
        <v>0.03</v>
      </c>
      <c r="V19" s="79">
        <v>0.1047</v>
      </c>
      <c r="W19" s="79">
        <v>0.3146</v>
      </c>
      <c r="X19" s="79">
        <v>0.1854</v>
      </c>
      <c r="Y19" s="80">
        <v>0.3953</v>
      </c>
      <c r="Z19" s="79">
        <v>0.3541</v>
      </c>
      <c r="AA19" s="79">
        <v>0.3726</v>
      </c>
      <c r="AB19" s="80">
        <v>0.2733</v>
      </c>
      <c r="AC19" s="79">
        <v>0.3617</v>
      </c>
      <c r="AD19" s="79">
        <v>0.4651</v>
      </c>
      <c r="AE19" s="80">
        <v>0.1732</v>
      </c>
      <c r="AF19" s="79">
        <v>0.0709</v>
      </c>
      <c r="AG19" s="79">
        <v>0.7093</v>
      </c>
      <c r="AH19" s="79">
        <v>0.0</v>
      </c>
      <c r="AI19" s="80">
        <v>0.2198</v>
      </c>
      <c r="AJ19" s="43"/>
      <c r="AK19" s="43"/>
      <c r="AL19" s="43"/>
    </row>
    <row r="20">
      <c r="A20" s="39" t="s">
        <v>155</v>
      </c>
      <c r="B20" s="1" t="s">
        <v>65</v>
      </c>
      <c r="C20" s="1" t="s">
        <v>139</v>
      </c>
      <c r="D20" s="28">
        <v>0.2991</v>
      </c>
      <c r="E20" s="79">
        <v>0.47</v>
      </c>
      <c r="F20" s="80">
        <v>0.53</v>
      </c>
      <c r="G20" s="79">
        <f t="shared" ref="G20:G23" si="28">0.0959/0.68</f>
        <v>0.1410294118</v>
      </c>
      <c r="H20" s="79">
        <f t="shared" ref="H20:H23" si="29">0.5839/0.68</f>
        <v>0.8586764706</v>
      </c>
      <c r="I20" s="79">
        <v>0.0</v>
      </c>
      <c r="J20" s="81">
        <v>0.0</v>
      </c>
      <c r="K20" s="79">
        <v>0.0</v>
      </c>
      <c r="L20" s="79">
        <f t="shared" ref="L20:L23" si="30">0.4656/0.7372</f>
        <v>0.6315789474</v>
      </c>
      <c r="M20" s="79">
        <f t="shared" ref="M20:M23" si="31">0.2716/0.7372</f>
        <v>0.3684210526</v>
      </c>
      <c r="N20" s="80">
        <v>0.0</v>
      </c>
      <c r="O20" s="79">
        <v>0.0</v>
      </c>
      <c r="P20" s="79">
        <v>0.0</v>
      </c>
      <c r="Q20" s="79">
        <v>0.0</v>
      </c>
      <c r="R20" s="79">
        <v>0.0</v>
      </c>
      <c r="S20" s="79">
        <f>0.82/0.94</f>
        <v>0.8723404255</v>
      </c>
      <c r="T20" s="79">
        <f>0.12/0.94</f>
        <v>0.1276595745</v>
      </c>
      <c r="U20" s="80">
        <v>0.0</v>
      </c>
      <c r="V20" s="79">
        <v>0.1047</v>
      </c>
      <c r="W20" s="79">
        <v>0.3146</v>
      </c>
      <c r="X20" s="79">
        <v>0.1854</v>
      </c>
      <c r="Y20" s="80">
        <v>0.3953</v>
      </c>
      <c r="Z20" s="79">
        <v>0.3541</v>
      </c>
      <c r="AA20" s="79">
        <v>0.3726</v>
      </c>
      <c r="AB20" s="80">
        <v>0.2733</v>
      </c>
      <c r="AC20" s="79">
        <v>0.0</v>
      </c>
      <c r="AD20" s="79">
        <f>0.4651/0.638</f>
        <v>0.7289968652</v>
      </c>
      <c r="AE20" s="80">
        <f>0.1732/0.638</f>
        <v>0.2714733542</v>
      </c>
      <c r="AF20" s="79">
        <v>0.0</v>
      </c>
      <c r="AG20" s="79">
        <f>0.7093/0.929</f>
        <v>0.7635091496</v>
      </c>
      <c r="AH20" s="79">
        <v>0.0</v>
      </c>
      <c r="AI20" s="80">
        <f>0.2198/0.929</f>
        <v>0.236598493</v>
      </c>
      <c r="AJ20" s="43"/>
      <c r="AK20" s="43"/>
      <c r="AL20" s="43"/>
    </row>
    <row r="21">
      <c r="A21" s="39" t="s">
        <v>156</v>
      </c>
      <c r="B21" s="1" t="s">
        <v>65</v>
      </c>
      <c r="C21" s="1" t="s">
        <v>139</v>
      </c>
      <c r="D21" s="28">
        <v>0.43</v>
      </c>
      <c r="E21" s="79">
        <v>0.47</v>
      </c>
      <c r="F21" s="80">
        <v>0.53</v>
      </c>
      <c r="G21" s="79">
        <f t="shared" si="28"/>
        <v>0.1410294118</v>
      </c>
      <c r="H21" s="79">
        <f t="shared" si="29"/>
        <v>0.8586764706</v>
      </c>
      <c r="I21" s="79">
        <v>0.0</v>
      </c>
      <c r="J21" s="81">
        <v>0.0</v>
      </c>
      <c r="K21" s="79">
        <v>0.0</v>
      </c>
      <c r="L21" s="79">
        <f t="shared" si="30"/>
        <v>0.6315789474</v>
      </c>
      <c r="M21" s="79">
        <f t="shared" si="31"/>
        <v>0.3684210526</v>
      </c>
      <c r="N21" s="80">
        <v>0.0</v>
      </c>
      <c r="O21" s="79">
        <v>0.0</v>
      </c>
      <c r="P21" s="79">
        <v>0.0</v>
      </c>
      <c r="Q21" s="79">
        <v>0.0</v>
      </c>
      <c r="R21" s="79">
        <v>0.03</v>
      </c>
      <c r="S21" s="79">
        <v>0.82</v>
      </c>
      <c r="T21" s="79">
        <v>0.12</v>
      </c>
      <c r="U21" s="80">
        <v>0.03</v>
      </c>
      <c r="V21" s="79">
        <v>0.1047</v>
      </c>
      <c r="W21" s="79">
        <v>0.3146</v>
      </c>
      <c r="X21" s="79">
        <v>0.1854</v>
      </c>
      <c r="Y21" s="80">
        <v>0.3953</v>
      </c>
      <c r="Z21" s="79">
        <v>0.3541</v>
      </c>
      <c r="AA21" s="79">
        <v>0.3726</v>
      </c>
      <c r="AB21" s="80">
        <v>0.2733</v>
      </c>
      <c r="AC21" s="79">
        <v>0.3617</v>
      </c>
      <c r="AD21" s="79">
        <v>0.4651</v>
      </c>
      <c r="AE21" s="80">
        <v>0.1732</v>
      </c>
      <c r="AF21" s="79">
        <v>0.0709</v>
      </c>
      <c r="AG21" s="79">
        <v>0.7093</v>
      </c>
      <c r="AH21" s="79">
        <v>0.0</v>
      </c>
      <c r="AI21" s="80">
        <v>0.2198</v>
      </c>
      <c r="AJ21" s="43"/>
      <c r="AK21" s="43"/>
      <c r="AL21" s="43"/>
    </row>
    <row r="22">
      <c r="A22" s="51" t="s">
        <v>157</v>
      </c>
      <c r="B22" s="1" t="s">
        <v>65</v>
      </c>
      <c r="C22" s="1" t="s">
        <v>139</v>
      </c>
      <c r="D22" s="28">
        <v>0.17</v>
      </c>
      <c r="E22" s="79">
        <v>0.47</v>
      </c>
      <c r="F22" s="80">
        <v>0.53</v>
      </c>
      <c r="G22" s="79">
        <f t="shared" si="28"/>
        <v>0.1410294118</v>
      </c>
      <c r="H22" s="79">
        <f t="shared" si="29"/>
        <v>0.8586764706</v>
      </c>
      <c r="I22" s="79">
        <v>0.0</v>
      </c>
      <c r="J22" s="81">
        <v>0.0</v>
      </c>
      <c r="K22" s="79">
        <v>0.0</v>
      </c>
      <c r="L22" s="79">
        <f t="shared" si="30"/>
        <v>0.6315789474</v>
      </c>
      <c r="M22" s="79">
        <f t="shared" si="31"/>
        <v>0.3684210526</v>
      </c>
      <c r="N22" s="80">
        <v>0.0</v>
      </c>
      <c r="O22" s="79">
        <v>0.0</v>
      </c>
      <c r="P22" s="79">
        <v>0.0</v>
      </c>
      <c r="Q22" s="79">
        <v>0.0</v>
      </c>
      <c r="R22" s="79">
        <v>0.03</v>
      </c>
      <c r="S22" s="79">
        <v>0.82</v>
      </c>
      <c r="T22" s="79">
        <v>0.12</v>
      </c>
      <c r="U22" s="80">
        <v>0.03</v>
      </c>
      <c r="V22" s="79">
        <v>0.1047</v>
      </c>
      <c r="W22" s="79">
        <v>0.3146</v>
      </c>
      <c r="X22" s="79">
        <v>0.1854</v>
      </c>
      <c r="Y22" s="80">
        <v>0.3953</v>
      </c>
      <c r="Z22" s="79">
        <v>0.3541</v>
      </c>
      <c r="AA22" s="79">
        <v>0.3726</v>
      </c>
      <c r="AB22" s="80">
        <v>0.2733</v>
      </c>
      <c r="AC22" s="79">
        <v>0.3617</v>
      </c>
      <c r="AD22" s="79">
        <v>0.4651</v>
      </c>
      <c r="AE22" s="80">
        <v>0.1732</v>
      </c>
      <c r="AF22" s="79">
        <v>0.0709</v>
      </c>
      <c r="AG22" s="79">
        <v>0.7093</v>
      </c>
      <c r="AH22" s="79">
        <v>0.0</v>
      </c>
      <c r="AI22" s="80">
        <v>0.2198</v>
      </c>
      <c r="AJ22" s="43"/>
      <c r="AK22" s="43"/>
      <c r="AL22" s="43"/>
    </row>
    <row r="23">
      <c r="A23" s="85" t="s">
        <v>158</v>
      </c>
      <c r="B23" s="9" t="s">
        <v>65</v>
      </c>
      <c r="C23" s="9" t="s">
        <v>139</v>
      </c>
      <c r="D23" s="90">
        <v>0.2991</v>
      </c>
      <c r="E23" s="20">
        <v>0.47</v>
      </c>
      <c r="F23" s="22">
        <v>0.53</v>
      </c>
      <c r="G23" s="20">
        <f t="shared" si="28"/>
        <v>0.1410294118</v>
      </c>
      <c r="H23" s="20">
        <f t="shared" si="29"/>
        <v>0.8586764706</v>
      </c>
      <c r="I23" s="20">
        <v>0.0</v>
      </c>
      <c r="J23" s="86">
        <v>0.0</v>
      </c>
      <c r="K23" s="20">
        <v>0.0</v>
      </c>
      <c r="L23" s="20">
        <f t="shared" si="30"/>
        <v>0.6315789474</v>
      </c>
      <c r="M23" s="20">
        <f t="shared" si="31"/>
        <v>0.3684210526</v>
      </c>
      <c r="N23" s="22">
        <v>0.0</v>
      </c>
      <c r="O23" s="20">
        <v>0.0</v>
      </c>
      <c r="P23" s="20">
        <v>0.0</v>
      </c>
      <c r="Q23" s="20">
        <v>0.0</v>
      </c>
      <c r="R23" s="20">
        <v>0.0</v>
      </c>
      <c r="S23" s="20">
        <f>0.83/0.97</f>
        <v>0.8556701031</v>
      </c>
      <c r="T23" s="20">
        <f>0.12/0.97</f>
        <v>0.1237113402</v>
      </c>
      <c r="U23" s="22">
        <f>0.03/0.97</f>
        <v>0.03092783505</v>
      </c>
      <c r="V23" s="20">
        <v>0.1047</v>
      </c>
      <c r="W23" s="20">
        <v>0.3146</v>
      </c>
      <c r="X23" s="20">
        <v>0.1854</v>
      </c>
      <c r="Y23" s="22">
        <v>0.3953</v>
      </c>
      <c r="Z23" s="20">
        <v>0.3541</v>
      </c>
      <c r="AA23" s="20">
        <v>0.3726</v>
      </c>
      <c r="AB23" s="22">
        <v>0.2733</v>
      </c>
      <c r="AC23" s="20">
        <v>0.0</v>
      </c>
      <c r="AD23" s="20">
        <f>0.4651/0.638</f>
        <v>0.7289968652</v>
      </c>
      <c r="AE23" s="22">
        <f>0.1732/0.638</f>
        <v>0.2714733542</v>
      </c>
      <c r="AF23" s="20">
        <v>0.0</v>
      </c>
      <c r="AG23" s="20">
        <f>0.7093/0.929</f>
        <v>0.7635091496</v>
      </c>
      <c r="AH23" s="20">
        <v>0.0</v>
      </c>
      <c r="AI23" s="22">
        <f>0.2198/0.929</f>
        <v>0.236598493</v>
      </c>
      <c r="AJ23" s="52"/>
      <c r="AK23" s="52"/>
      <c r="AL23" s="52"/>
    </row>
  </sheetData>
  <mergeCells count="8">
    <mergeCell ref="E1:F1"/>
    <mergeCell ref="G1:J1"/>
    <mergeCell ref="K1:N1"/>
    <mergeCell ref="O1:U1"/>
    <mergeCell ref="V1:Y1"/>
    <mergeCell ref="Z1:AB1"/>
    <mergeCell ref="AC1:AE1"/>
    <mergeCell ref="AF1:AI1"/>
  </mergeCells>
  <drawing r:id="rId1"/>
</worksheet>
</file>