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rikc\ICS-Agent-Factory\Data\"/>
    </mc:Choice>
  </mc:AlternateContent>
  <xr:revisionPtr revIDLastSave="0" documentId="13_ncr:1_{E1147051-CBE2-4F5B-8283-FF8D218B12EF}" xr6:coauthVersionLast="47" xr6:coauthVersionMax="47" xr10:uidLastSave="{00000000-0000-0000-0000-000000000000}"/>
  <bookViews>
    <workbookView xWindow="-28920" yWindow="6150" windowWidth="29040" windowHeight="15720" activeTab="1" xr2:uid="{00000000-000D-0000-FFFF-FFFF00000000}"/>
  </bookViews>
  <sheets>
    <sheet name="lithuania" sheetId="1" r:id="rId1"/>
    <sheet name="poland" sheetId="2" r:id="rId2"/>
    <sheet name="belaru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3" l="1"/>
  <c r="AG23" i="3"/>
  <c r="AE23" i="3"/>
  <c r="AD23" i="3"/>
  <c r="U23" i="3"/>
  <c r="T23" i="3"/>
  <c r="S23" i="3"/>
  <c r="M23" i="3"/>
  <c r="L23" i="3"/>
  <c r="H23" i="3"/>
  <c r="G23" i="3"/>
  <c r="M22" i="3"/>
  <c r="L22" i="3"/>
  <c r="H22" i="3"/>
  <c r="G22" i="3"/>
  <c r="M21" i="3"/>
  <c r="L21" i="3"/>
  <c r="H21" i="3"/>
  <c r="G21" i="3"/>
  <c r="AI20" i="3"/>
  <c r="AG20" i="3"/>
  <c r="AE20" i="3"/>
  <c r="AD20" i="3"/>
  <c r="T20" i="3"/>
  <c r="S20" i="3"/>
  <c r="M20" i="3"/>
  <c r="L20" i="3"/>
  <c r="H20" i="3"/>
  <c r="G20" i="3"/>
  <c r="I19" i="3"/>
  <c r="H19" i="3"/>
  <c r="G19" i="3"/>
  <c r="U18" i="3"/>
  <c r="S18" i="3"/>
  <c r="M18" i="3"/>
  <c r="L18" i="3"/>
  <c r="K18" i="3"/>
  <c r="H18" i="3"/>
  <c r="G18" i="3"/>
  <c r="U17" i="3"/>
  <c r="S17" i="3"/>
  <c r="R17" i="3"/>
  <c r="M17" i="3"/>
  <c r="K17" i="3"/>
  <c r="H17" i="3"/>
  <c r="G17" i="3"/>
  <c r="X16" i="3"/>
  <c r="W16" i="3"/>
  <c r="U16" i="3"/>
  <c r="T16" i="3"/>
  <c r="S16" i="3"/>
  <c r="M16" i="3"/>
  <c r="L16" i="3"/>
  <c r="AB15" i="3"/>
  <c r="AA15" i="3"/>
  <c r="U15" i="3"/>
  <c r="T15" i="3"/>
  <c r="S15" i="3"/>
  <c r="M15" i="3"/>
  <c r="L15" i="3"/>
  <c r="AB14" i="3"/>
  <c r="AA14" i="3"/>
  <c r="U14" i="3"/>
  <c r="T14" i="3"/>
  <c r="S14" i="3"/>
  <c r="M14" i="3"/>
  <c r="L14" i="3"/>
  <c r="AB13" i="3"/>
  <c r="AA13" i="3"/>
  <c r="X13" i="3"/>
  <c r="W13" i="3"/>
  <c r="M13" i="3"/>
  <c r="L13" i="3"/>
  <c r="X12" i="3"/>
  <c r="W12" i="3"/>
  <c r="U12" i="3"/>
  <c r="T12" i="3"/>
  <c r="S12" i="3"/>
  <c r="M12" i="3"/>
  <c r="L12" i="3"/>
  <c r="M11" i="3"/>
  <c r="L11" i="3"/>
  <c r="X10" i="3"/>
  <c r="W10" i="3"/>
  <c r="U10" i="3"/>
  <c r="T10" i="3"/>
  <c r="S10" i="3"/>
  <c r="M10" i="3"/>
  <c r="L10" i="3"/>
  <c r="K10" i="3"/>
  <c r="X9" i="3"/>
  <c r="W9" i="3"/>
  <c r="U9" i="3"/>
  <c r="T9" i="3"/>
  <c r="S9" i="3"/>
  <c r="M9" i="3"/>
  <c r="L9" i="3"/>
  <c r="K9" i="3"/>
  <c r="M8" i="3"/>
  <c r="K8" i="3"/>
  <c r="AE7" i="3"/>
  <c r="AD7" i="3"/>
  <c r="AA7" i="3"/>
  <c r="Z7" i="3"/>
  <c r="U7" i="3"/>
  <c r="S7" i="3"/>
  <c r="M7" i="3"/>
  <c r="L7" i="3"/>
  <c r="K7" i="3"/>
  <c r="I7" i="3"/>
  <c r="H7" i="3"/>
  <c r="AA6" i="3"/>
  <c r="Z6" i="3"/>
  <c r="W6" i="3"/>
  <c r="V6" i="3"/>
  <c r="M6" i="3"/>
  <c r="L6" i="3"/>
  <c r="K6" i="3"/>
  <c r="AA5" i="3"/>
  <c r="Z5" i="3"/>
  <c r="Y5" i="3"/>
  <c r="X5" i="3"/>
  <c r="W5" i="3"/>
  <c r="U5" i="3"/>
  <c r="T5" i="3"/>
  <c r="S5" i="3"/>
  <c r="M5" i="3"/>
  <c r="L5" i="3"/>
  <c r="I5" i="3"/>
  <c r="H5" i="3"/>
  <c r="X4" i="3"/>
  <c r="W4" i="3"/>
  <c r="I4" i="3"/>
  <c r="H4" i="3"/>
  <c r="G4" i="3"/>
  <c r="Y3" i="3"/>
  <c r="X3" i="3"/>
  <c r="W3" i="3"/>
  <c r="U3" i="3"/>
  <c r="T3" i="3"/>
  <c r="S3" i="3"/>
  <c r="M3" i="3"/>
  <c r="L3" i="3"/>
  <c r="K3" i="3"/>
  <c r="I3" i="3"/>
  <c r="H3" i="3"/>
  <c r="G3" i="3"/>
  <c r="AH23" i="2"/>
  <c r="AG23" i="2"/>
  <c r="AE23" i="2"/>
  <c r="AD23" i="2"/>
  <c r="U23" i="2"/>
  <c r="T23" i="2"/>
  <c r="M23" i="2"/>
  <c r="L23" i="2"/>
  <c r="H23" i="2"/>
  <c r="G23" i="2"/>
  <c r="H22" i="2"/>
  <c r="G22" i="2"/>
  <c r="AI21" i="2"/>
  <c r="AH21" i="2"/>
  <c r="AG21" i="2"/>
  <c r="AE21" i="2"/>
  <c r="AD21" i="2"/>
  <c r="M21" i="2"/>
  <c r="L21" i="2"/>
  <c r="H21" i="2"/>
  <c r="G21" i="2"/>
  <c r="I20" i="2"/>
  <c r="H20" i="2"/>
  <c r="G20" i="2"/>
  <c r="AB19" i="2"/>
  <c r="AA19" i="2"/>
  <c r="U19" i="2"/>
  <c r="R19" i="2"/>
  <c r="M19" i="2"/>
  <c r="K19" i="2"/>
  <c r="H19" i="2"/>
  <c r="AB18" i="2"/>
  <c r="AA18" i="2"/>
  <c r="U18" i="2"/>
  <c r="R18" i="2"/>
  <c r="M18" i="2"/>
  <c r="K18" i="2"/>
  <c r="H18" i="2"/>
  <c r="AB17" i="2"/>
  <c r="AA17" i="2"/>
  <c r="U17" i="2"/>
  <c r="R17" i="2"/>
  <c r="M17" i="2"/>
  <c r="K17" i="2"/>
  <c r="AB16" i="2"/>
  <c r="AA16" i="2"/>
  <c r="U16" i="2"/>
  <c r="R16" i="2"/>
  <c r="M16" i="2"/>
  <c r="K16" i="2"/>
  <c r="AI15" i="2"/>
  <c r="AH15" i="2"/>
  <c r="AF15" i="2"/>
  <c r="AE15" i="2"/>
  <c r="AC15" i="2"/>
  <c r="AA15" i="2"/>
  <c r="Z15" i="2"/>
  <c r="Y15" i="2"/>
  <c r="V15" i="2"/>
  <c r="U15" i="2"/>
  <c r="R15" i="2"/>
  <c r="M15" i="2"/>
  <c r="K15" i="2"/>
  <c r="AI14" i="2"/>
  <c r="AH14" i="2"/>
  <c r="AF14" i="2"/>
  <c r="AE14" i="2"/>
  <c r="AC14" i="2"/>
  <c r="Y14" i="2"/>
  <c r="W14" i="2"/>
  <c r="U14" i="2"/>
  <c r="R14" i="2"/>
  <c r="M14" i="2"/>
  <c r="K14" i="2"/>
  <c r="AI13" i="2"/>
  <c r="AH13" i="2"/>
  <c r="AE13" i="2"/>
  <c r="AC13" i="2"/>
  <c r="U13" i="2"/>
  <c r="R13" i="2"/>
  <c r="O13" i="2"/>
  <c r="M13" i="2"/>
  <c r="K13" i="2"/>
  <c r="AI12" i="2"/>
  <c r="AH12" i="2"/>
  <c r="AF12" i="2"/>
  <c r="AE12" i="2"/>
  <c r="AC12" i="2"/>
  <c r="AA12" i="2"/>
  <c r="Z12" i="2"/>
  <c r="U12" i="2"/>
  <c r="R12" i="2"/>
  <c r="O12" i="2"/>
  <c r="M12" i="2"/>
  <c r="K12" i="2"/>
  <c r="AH11" i="2"/>
  <c r="AF11" i="2"/>
  <c r="X11" i="2"/>
  <c r="W11" i="2"/>
  <c r="U11" i="2"/>
  <c r="R11" i="2"/>
  <c r="M11" i="2"/>
  <c r="K11" i="2"/>
  <c r="X10" i="2"/>
  <c r="U10" i="2"/>
  <c r="R10" i="2"/>
  <c r="N10" i="2"/>
  <c r="M10" i="2"/>
  <c r="K10" i="2"/>
  <c r="U9" i="2"/>
  <c r="R9" i="2"/>
  <c r="M9" i="2"/>
  <c r="K9" i="2"/>
  <c r="AI8" i="2"/>
  <c r="AH8" i="2"/>
  <c r="W8" i="2"/>
  <c r="V8" i="2"/>
  <c r="U8" i="2"/>
  <c r="R8" i="2"/>
  <c r="M8" i="2"/>
  <c r="K8" i="2"/>
  <c r="AI7" i="2"/>
  <c r="AF7" i="2"/>
  <c r="AA7" i="2"/>
  <c r="Z7" i="2"/>
  <c r="M7" i="2"/>
  <c r="K7" i="2"/>
  <c r="I7" i="2"/>
  <c r="H7" i="2"/>
  <c r="AI6" i="2"/>
  <c r="AH6" i="2"/>
  <c r="AF6" i="2"/>
  <c r="AA6" i="2"/>
  <c r="Z6" i="2"/>
  <c r="M6" i="2"/>
  <c r="K6" i="2"/>
  <c r="I6" i="2"/>
  <c r="H6" i="2"/>
  <c r="AB5" i="2"/>
  <c r="AA5" i="2"/>
  <c r="W5" i="2"/>
  <c r="V5" i="2"/>
  <c r="U5" i="2"/>
  <c r="R5" i="2"/>
  <c r="M5" i="2"/>
  <c r="K5" i="2"/>
  <c r="I5" i="2"/>
  <c r="H5" i="2"/>
  <c r="G5" i="2"/>
  <c r="AB4" i="2"/>
  <c r="AA4" i="2"/>
  <c r="T4" i="2"/>
  <c r="R4" i="2"/>
  <c r="M4" i="2"/>
  <c r="L4" i="2"/>
  <c r="K4" i="2"/>
  <c r="I4" i="2"/>
  <c r="H4" i="2"/>
  <c r="G4" i="2"/>
  <c r="U3" i="2"/>
  <c r="R3" i="2"/>
  <c r="N3" i="2"/>
  <c r="M3" i="2"/>
  <c r="K3" i="2"/>
  <c r="I3" i="2"/>
  <c r="H3" i="2"/>
  <c r="G3" i="2"/>
  <c r="J26" i="1"/>
  <c r="F26" i="1"/>
  <c r="J25" i="1"/>
  <c r="F25" i="1"/>
  <c r="AI24" i="1"/>
  <c r="AG24" i="1"/>
  <c r="AE24" i="1"/>
  <c r="AD24" i="1"/>
  <c r="AC24" i="1"/>
  <c r="X24" i="1"/>
  <c r="W24" i="1"/>
  <c r="S24" i="1"/>
  <c r="M24" i="1"/>
  <c r="L24" i="1"/>
  <c r="AI22" i="1"/>
  <c r="AG22" i="1"/>
  <c r="AE22" i="1"/>
  <c r="AD22" i="1"/>
  <c r="AC22" i="1"/>
  <c r="X22" i="1"/>
  <c r="W22" i="1"/>
  <c r="T22" i="1"/>
  <c r="S22" i="1"/>
  <c r="M22" i="1"/>
  <c r="L22" i="1"/>
  <c r="T20" i="1"/>
  <c r="S20" i="1"/>
  <c r="R20" i="1"/>
  <c r="D20" i="1"/>
  <c r="M19" i="1"/>
  <c r="K19" i="1"/>
  <c r="M18" i="1"/>
  <c r="K18" i="1"/>
  <c r="M17" i="1"/>
  <c r="K17" i="1"/>
  <c r="T16" i="1"/>
  <c r="M16" i="1"/>
  <c r="L16" i="1"/>
  <c r="T15" i="1"/>
  <c r="M15" i="1"/>
  <c r="L15" i="1"/>
  <c r="M14" i="1"/>
  <c r="K14" i="1"/>
  <c r="T13" i="1"/>
  <c r="S13" i="1"/>
  <c r="R13" i="1"/>
  <c r="M13" i="1"/>
  <c r="K13" i="1"/>
  <c r="T12" i="1"/>
  <c r="S12" i="1"/>
  <c r="R12" i="1"/>
  <c r="M12" i="1"/>
  <c r="L12" i="1"/>
  <c r="K12" i="1"/>
  <c r="M11" i="1"/>
  <c r="K11" i="1"/>
  <c r="AI10" i="1"/>
  <c r="M10" i="1"/>
  <c r="K10" i="1"/>
  <c r="M9" i="1"/>
  <c r="K9" i="1"/>
  <c r="D9" i="1"/>
  <c r="T8" i="1"/>
  <c r="M8" i="1"/>
  <c r="L8" i="1"/>
  <c r="M7" i="1"/>
  <c r="K7" i="1"/>
  <c r="T5" i="1"/>
  <c r="M5" i="1"/>
  <c r="L5" i="1"/>
  <c r="AI4" i="1"/>
  <c r="AH4" i="1"/>
  <c r="AE4" i="1"/>
  <c r="M4" i="1"/>
  <c r="L4" i="1"/>
  <c r="K4" i="1"/>
  <c r="AI3" i="1"/>
  <c r="AH3" i="1"/>
  <c r="AE3" i="1"/>
  <c r="U3" i="1"/>
  <c r="N3" i="1"/>
  <c r="M3" i="1"/>
  <c r="K3" i="1"/>
</calcChain>
</file>

<file path=xl/sharedStrings.xml><?xml version="1.0" encoding="utf-8"?>
<sst xmlns="http://schemas.openxmlformats.org/spreadsheetml/2006/main" count="366" uniqueCount="123">
  <si>
    <t>gender</t>
  </si>
  <si>
    <t>age</t>
  </si>
  <si>
    <t>language</t>
  </si>
  <si>
    <t>nationality</t>
  </si>
  <si>
    <t>political_spectrum</t>
  </si>
  <si>
    <t>socioeconomic_status</t>
  </si>
  <si>
    <t>eu</t>
  </si>
  <si>
    <t>nato_donovia</t>
  </si>
  <si>
    <t>soldier_type</t>
  </si>
  <si>
    <t>source</t>
  </si>
  <si>
    <t>type</t>
  </si>
  <si>
    <t>country</t>
  </si>
  <si>
    <t>% of Country Population</t>
  </si>
  <si>
    <t>male</t>
  </si>
  <si>
    <t>female</t>
  </si>
  <si>
    <t>young</t>
  </si>
  <si>
    <t>middle</t>
  </si>
  <si>
    <t>old</t>
  </si>
  <si>
    <t>not_applicable</t>
  </si>
  <si>
    <t>national_lang</t>
  </si>
  <si>
    <t>donovian_lang</t>
  </si>
  <si>
    <t>both_lang</t>
  </si>
  <si>
    <t>other_lang</t>
  </si>
  <si>
    <t>lithuanian</t>
  </si>
  <si>
    <t>estonian</t>
  </si>
  <si>
    <t>latvian</t>
  </si>
  <si>
    <t>polish</t>
  </si>
  <si>
    <t>belarusian</t>
  </si>
  <si>
    <t>donovian</t>
  </si>
  <si>
    <t>other</t>
  </si>
  <si>
    <t>left</t>
  </si>
  <si>
    <t>center</t>
  </si>
  <si>
    <t>right</t>
  </si>
  <si>
    <t>undecided</t>
  </si>
  <si>
    <t>lower_class</t>
  </si>
  <si>
    <t>middle_class</t>
  </si>
  <si>
    <t>upper_class</t>
  </si>
  <si>
    <t>pro_eu</t>
  </si>
  <si>
    <t>anti_eu</t>
  </si>
  <si>
    <t>pro_nato_anti_donovia</t>
  </si>
  <si>
    <t>anti_nato_pro_donovia</t>
  </si>
  <si>
    <t>neutral</t>
  </si>
  <si>
    <t>conscript_soldier</t>
  </si>
  <si>
    <t>contract_nco</t>
  </si>
  <si>
    <t>senior_officer</t>
  </si>
  <si>
    <t>elite_forces</t>
  </si>
  <si>
    <t>TV3 LT (tv3.lt)</t>
  </si>
  <si>
    <t>tv</t>
  </si>
  <si>
    <t>lithunia</t>
  </si>
  <si>
    <t>LRT (lrt.lt)</t>
  </si>
  <si>
    <t>PBK LT</t>
  </si>
  <si>
    <t>LNK</t>
  </si>
  <si>
    <t>Lietus radio (lietus.fm)</t>
  </si>
  <si>
    <t>radio</t>
  </si>
  <si>
    <t>RUSRADIO (rusradio.lt)</t>
  </si>
  <si>
    <t>Kauno Diena (kauno.diena.lt)</t>
  </si>
  <si>
    <t>print_news</t>
  </si>
  <si>
    <t>Lietuvos Rytas (lrytas.lt)</t>
  </si>
  <si>
    <t>online_news</t>
  </si>
  <si>
    <t>Respublika (respublika.lt)</t>
  </si>
  <si>
    <t>Delfi LT (delfi.lt)</t>
  </si>
  <si>
    <t>15min (15min.lt)</t>
  </si>
  <si>
    <t>Verslo Zinios (vz.lt)</t>
  </si>
  <si>
    <t>Lenta (lenta.ru)</t>
  </si>
  <si>
    <t>Sputnik News LT (sputniknews.ru)</t>
  </si>
  <si>
    <t>Diena (Diena.lt)</t>
  </si>
  <si>
    <t>Alfa (alfa.lt)</t>
  </si>
  <si>
    <t>Vakaru Ekspresas (ve.lt)</t>
  </si>
  <si>
    <t xml:space="preserve">L24 (l24.lt) </t>
  </si>
  <si>
    <t>Facebook(LT)</t>
  </si>
  <si>
    <t>social_media</t>
  </si>
  <si>
    <t>Odnoklassniki(LT)</t>
  </si>
  <si>
    <t>Twitter(LT)</t>
  </si>
  <si>
    <t>VK(LT)</t>
  </si>
  <si>
    <t>Pulse</t>
  </si>
  <si>
    <t>type?</t>
  </si>
  <si>
    <t>Premise</t>
  </si>
  <si>
    <t>Chain of Command</t>
  </si>
  <si>
    <t>lithuania</t>
  </si>
  <si>
    <t>TVP1 (tvp.pl)</t>
  </si>
  <si>
    <t>poland</t>
  </si>
  <si>
    <t>TVP Info (tvp.info)</t>
  </si>
  <si>
    <t>TVN24 (tvn24.pl)</t>
  </si>
  <si>
    <t>RMF FM (rmf.fm)</t>
  </si>
  <si>
    <t xml:space="preserve">radio ZET (radiozet.pl) </t>
  </si>
  <si>
    <t>Fakt (fakt.pl)</t>
  </si>
  <si>
    <t>Do Rzeczy (dorzeczy.pl)</t>
  </si>
  <si>
    <t xml:space="preserve">Gazeta Wyborcza (wyborcza.pl) </t>
  </si>
  <si>
    <t>Rzeczpospolita (rp.pl)</t>
  </si>
  <si>
    <t>Wirtualna Polska (wp.pl)</t>
  </si>
  <si>
    <t>Onet (Onet.pl)</t>
  </si>
  <si>
    <t>Interia (interia.pl)</t>
  </si>
  <si>
    <t>O2 (o2.pl)</t>
  </si>
  <si>
    <t>Niezalezna (niezalezna.pl)</t>
  </si>
  <si>
    <t>wPolityce (wpolityce.pl)</t>
  </si>
  <si>
    <t>Wprost (Wprost.eu)</t>
  </si>
  <si>
    <t>KrytykaPolitczyna.pl</t>
  </si>
  <si>
    <t>Facebook(PL)</t>
  </si>
  <si>
    <t>Odnoklassniki(PL)</t>
  </si>
  <si>
    <t>Twitter(PL)</t>
  </si>
  <si>
    <t>VK(PL)</t>
  </si>
  <si>
    <t>ONT (ont.by)</t>
  </si>
  <si>
    <t>belarus</t>
  </si>
  <si>
    <t>Belsat (Belsat.eu)</t>
  </si>
  <si>
    <t>TNT (tnt-online.ru)</t>
  </si>
  <si>
    <t>Euroradio (euroradio.fm)</t>
  </si>
  <si>
    <t>1st National Channel (tvr.by)</t>
  </si>
  <si>
    <t>Argumenty i Fakty v Belarusi (aif.ru)</t>
  </si>
  <si>
    <t>Belarus Segodnya (sb.by)</t>
  </si>
  <si>
    <t>Sputnik Belarus (sputnik.by)</t>
  </si>
  <si>
    <t>Onliner (onliner.by)</t>
  </si>
  <si>
    <t>RIA Novosti (ria.ru)</t>
  </si>
  <si>
    <t>Belta (eng.belta.by)</t>
  </si>
  <si>
    <t>RBC (rbc.ru)</t>
  </si>
  <si>
    <t>KP.ru</t>
  </si>
  <si>
    <t>NashaNiva.com</t>
  </si>
  <si>
    <t>Charter97.org</t>
  </si>
  <si>
    <t>Facebook(BY)</t>
  </si>
  <si>
    <t>Odnoklassniki(BY)</t>
  </si>
  <si>
    <t>Telegram</t>
  </si>
  <si>
    <t>Twitter(BY)</t>
  </si>
  <si>
    <t>VK(BY)</t>
  </si>
  <si>
    <t>no_type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</si>
</sst>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"/>
  </numFmts>
  <fonts count="6" x14ac:knownFonts="1">
    <font>
      <sz val="10"/>
      <color rgb="FF000000"/>
      <name val="Arial"/>
      <scheme val="minor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2FDFF"/>
        <bgColor rgb="FFE2FD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9E0FF"/>
        <bgColor rgb="FFE9E0FF"/>
      </patternFill>
    </fill>
    <fill>
      <patternFill patternType="solid">
        <fgColor rgb="FFDCFFE6"/>
        <bgColor rgb="FFDCFFE6"/>
      </patternFill>
    </fill>
    <fill>
      <patternFill patternType="solid">
        <fgColor rgb="FFFFF5D7"/>
        <bgColor rgb="FFFFF5D7"/>
      </patternFill>
    </fill>
    <fill>
      <patternFill patternType="solid">
        <fgColor rgb="FFD9D9D9"/>
        <bgColor rgb="FFD9D9D9"/>
      </patternFill>
    </fill>
    <fill>
      <patternFill patternType="solid">
        <fgColor rgb="FFFFE4D0"/>
        <bgColor rgb="FFFFE4D0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4" fontId="1" fillId="0" borderId="6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4" fontId="1" fillId="2" borderId="0" xfId="0" applyNumberFormat="1" applyFont="1" applyFill="1"/>
    <xf numFmtId="164" fontId="1" fillId="0" borderId="0" xfId="0" applyNumberFormat="1" applyFont="1"/>
    <xf numFmtId="10" fontId="1" fillId="0" borderId="1" xfId="0" applyNumberFormat="1" applyFont="1" applyBorder="1" applyAlignment="1">
      <alignment horizontal="left"/>
    </xf>
    <xf numFmtId="166" fontId="1" fillId="0" borderId="8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4" fontId="3" fillId="0" borderId="8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166" fontId="1" fillId="3" borderId="1" xfId="0" applyNumberFormat="1" applyFont="1" applyFill="1" applyBorder="1" applyAlignment="1">
      <alignment horizontal="center"/>
    </xf>
    <xf numFmtId="0" fontId="4" fillId="0" borderId="8" xfId="0" applyFont="1" applyBorder="1"/>
    <xf numFmtId="0" fontId="4" fillId="0" borderId="0" xfId="0" applyFont="1"/>
    <xf numFmtId="164" fontId="1" fillId="4" borderId="0" xfId="0" applyNumberFormat="1" applyFont="1" applyFill="1"/>
    <xf numFmtId="0" fontId="1" fillId="4" borderId="0" xfId="0" applyFont="1" applyFill="1"/>
    <xf numFmtId="0" fontId="3" fillId="0" borderId="1" xfId="0" applyFont="1" applyBorder="1"/>
    <xf numFmtId="0" fontId="3" fillId="0" borderId="0" xfId="0" applyFont="1"/>
    <xf numFmtId="0" fontId="1" fillId="5" borderId="0" xfId="0" applyFont="1" applyFill="1"/>
    <xf numFmtId="0" fontId="1" fillId="6" borderId="0" xfId="0" applyFont="1" applyFill="1"/>
    <xf numFmtId="4" fontId="1" fillId="7" borderId="0" xfId="0" applyNumberFormat="1" applyFont="1" applyFill="1"/>
    <xf numFmtId="164" fontId="1" fillId="0" borderId="1" xfId="0" applyNumberFormat="1" applyFont="1" applyBorder="1"/>
    <xf numFmtId="4" fontId="1" fillId="0" borderId="0" xfId="0" applyNumberFormat="1" applyFont="1"/>
    <xf numFmtId="4" fontId="1" fillId="0" borderId="1" xfId="0" applyNumberFormat="1" applyFont="1" applyBorder="1"/>
    <xf numFmtId="0" fontId="1" fillId="7" borderId="0" xfId="0" applyFont="1" applyFill="1"/>
    <xf numFmtId="0" fontId="1" fillId="8" borderId="0" xfId="0" applyFont="1" applyFill="1"/>
    <xf numFmtId="9" fontId="4" fillId="0" borderId="0" xfId="0" applyNumberFormat="1" applyFont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4" fillId="0" borderId="5" xfId="0" applyFont="1" applyBorder="1"/>
    <xf numFmtId="9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4" xfId="0" applyFont="1" applyBorder="1"/>
    <xf numFmtId="10" fontId="1" fillId="0" borderId="3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1" fillId="2" borderId="8" xfId="0" applyFont="1" applyFill="1" applyBorder="1"/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5" borderId="8" xfId="0" applyFont="1" applyFill="1" applyBorder="1"/>
    <xf numFmtId="0" fontId="1" fillId="6" borderId="8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10" fontId="1" fillId="9" borderId="1" xfId="0" applyNumberFormat="1" applyFont="1" applyFill="1" applyBorder="1" applyAlignment="1">
      <alignment horizontal="left"/>
    </xf>
    <xf numFmtId="0" fontId="1" fillId="8" borderId="8" xfId="0" applyFont="1" applyFill="1" applyBorder="1"/>
    <xf numFmtId="9" fontId="4" fillId="0" borderId="1" xfId="0" applyNumberFormat="1" applyFont="1" applyBorder="1"/>
    <xf numFmtId="9" fontId="4" fillId="0" borderId="6" xfId="0" applyNumberFormat="1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8" xfId="0" applyFont="1" applyBorder="1"/>
    <xf numFmtId="0" fontId="1" fillId="10" borderId="8" xfId="0" applyFont="1" applyFill="1" applyBorder="1"/>
    <xf numFmtId="9" fontId="4" fillId="0" borderId="0" xfId="0" applyNumberFormat="1" applyFont="1"/>
    <xf numFmtId="9" fontId="4" fillId="0" borderId="5" xfId="0" applyNumberFormat="1" applyFont="1" applyBorder="1"/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/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N11" sqref="AN11"/>
    </sheetView>
  </sheetViews>
  <sheetFormatPr defaultColWidth="12.54296875" defaultRowHeight="15.75" customHeight="1" x14ac:dyDescent="0.25"/>
  <cols>
    <col min="1" max="1" width="29.26953125" customWidth="1"/>
  </cols>
  <sheetData>
    <row r="1" spans="1:41" ht="14" x14ac:dyDescent="0.3">
      <c r="B1" s="1"/>
      <c r="C1" s="1"/>
      <c r="D1" s="2"/>
      <c r="E1" s="89" t="s">
        <v>0</v>
      </c>
      <c r="F1" s="88"/>
      <c r="G1" s="89" t="s">
        <v>1</v>
      </c>
      <c r="H1" s="87"/>
      <c r="I1" s="87"/>
      <c r="J1" s="88"/>
      <c r="K1" s="86" t="s">
        <v>2</v>
      </c>
      <c r="L1" s="87"/>
      <c r="M1" s="87"/>
      <c r="N1" s="88"/>
      <c r="O1" s="90" t="s">
        <v>3</v>
      </c>
      <c r="P1" s="87"/>
      <c r="Q1" s="87"/>
      <c r="R1" s="87"/>
      <c r="S1" s="87"/>
      <c r="T1" s="87"/>
      <c r="U1" s="88"/>
      <c r="V1" s="86" t="s">
        <v>4</v>
      </c>
      <c r="W1" s="87"/>
      <c r="X1" s="87"/>
      <c r="Y1" s="88"/>
      <c r="Z1" s="86" t="s">
        <v>5</v>
      </c>
      <c r="AA1" s="87"/>
      <c r="AB1" s="88"/>
      <c r="AC1" s="86" t="s">
        <v>6</v>
      </c>
      <c r="AD1" s="87"/>
      <c r="AE1" s="88"/>
      <c r="AF1" s="86" t="s">
        <v>7</v>
      </c>
      <c r="AG1" s="87"/>
      <c r="AH1" s="87"/>
      <c r="AI1" s="88"/>
      <c r="AJ1" s="86" t="s">
        <v>8</v>
      </c>
      <c r="AK1" s="87"/>
      <c r="AL1" s="87"/>
      <c r="AM1" s="87"/>
      <c r="AN1" s="88"/>
      <c r="AO1" s="3"/>
    </row>
    <row r="2" spans="1:41" ht="14" x14ac:dyDescent="0.3">
      <c r="A2" s="4" t="s">
        <v>9</v>
      </c>
      <c r="B2" s="4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6" t="s">
        <v>15</v>
      </c>
      <c r="H2" s="8" t="s">
        <v>16</v>
      </c>
      <c r="I2" s="8" t="s">
        <v>17</v>
      </c>
      <c r="J2" s="7" t="s">
        <v>18</v>
      </c>
      <c r="K2" s="9" t="s">
        <v>19</v>
      </c>
      <c r="L2" s="10" t="s">
        <v>20</v>
      </c>
      <c r="M2" s="10" t="s">
        <v>21</v>
      </c>
      <c r="N2" s="11" t="s">
        <v>22</v>
      </c>
      <c r="O2" s="12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4" t="s">
        <v>29</v>
      </c>
      <c r="V2" s="9" t="s">
        <v>30</v>
      </c>
      <c r="W2" s="10" t="s">
        <v>31</v>
      </c>
      <c r="X2" s="10" t="s">
        <v>32</v>
      </c>
      <c r="Y2" s="11" t="s">
        <v>33</v>
      </c>
      <c r="Z2" s="9" t="s">
        <v>34</v>
      </c>
      <c r="AA2" s="10" t="s">
        <v>35</v>
      </c>
      <c r="AB2" s="11" t="s">
        <v>36</v>
      </c>
      <c r="AC2" s="9" t="s">
        <v>37</v>
      </c>
      <c r="AD2" s="10" t="s">
        <v>38</v>
      </c>
      <c r="AE2" s="11" t="s">
        <v>33</v>
      </c>
      <c r="AF2" s="9" t="s">
        <v>39</v>
      </c>
      <c r="AG2" s="10" t="s">
        <v>40</v>
      </c>
      <c r="AH2" s="10" t="s">
        <v>41</v>
      </c>
      <c r="AI2" s="11" t="s">
        <v>33</v>
      </c>
      <c r="AJ2" s="9" t="s">
        <v>42</v>
      </c>
      <c r="AK2" s="10" t="s">
        <v>43</v>
      </c>
      <c r="AL2" s="10" t="s">
        <v>44</v>
      </c>
      <c r="AM2" s="10" t="s">
        <v>45</v>
      </c>
      <c r="AN2" s="11" t="s">
        <v>122</v>
      </c>
      <c r="AO2" s="3"/>
    </row>
    <row r="3" spans="1:41" ht="14" x14ac:dyDescent="0.3">
      <c r="A3" s="15" t="s">
        <v>46</v>
      </c>
      <c r="B3" s="16" t="s">
        <v>47</v>
      </c>
      <c r="C3" s="16" t="s">
        <v>78</v>
      </c>
      <c r="D3" s="17">
        <v>0.16850000000000001</v>
      </c>
      <c r="E3" s="18">
        <v>0.39700000000000002</v>
      </c>
      <c r="F3" s="19">
        <v>0.60299999999999998</v>
      </c>
      <c r="G3" s="18">
        <v>0.112</v>
      </c>
      <c r="H3" s="20">
        <v>0.65300000000000002</v>
      </c>
      <c r="I3" s="20">
        <v>0.23499999999999999</v>
      </c>
      <c r="J3" s="19">
        <v>0</v>
      </c>
      <c r="K3" s="18">
        <f>0.5406/0.956</f>
        <v>0.56548117154811717</v>
      </c>
      <c r="L3" s="20">
        <v>0</v>
      </c>
      <c r="M3" s="20">
        <f>0.387/0.956</f>
        <v>0.40481171548117156</v>
      </c>
      <c r="N3" s="19">
        <f>0.0284/0.956</f>
        <v>2.97071129707113E-2</v>
      </c>
      <c r="O3" s="21">
        <v>0.81699999999999995</v>
      </c>
      <c r="P3" s="20">
        <v>0</v>
      </c>
      <c r="Q3" s="20">
        <v>0</v>
      </c>
      <c r="R3" s="22">
        <v>0.05</v>
      </c>
      <c r="S3" s="22">
        <v>0.05</v>
      </c>
      <c r="T3" s="22">
        <v>0.05</v>
      </c>
      <c r="U3" s="19">
        <f>0.0284/0.875</f>
        <v>3.2457142857142858E-2</v>
      </c>
      <c r="V3" s="18">
        <v>0.15770000000000001</v>
      </c>
      <c r="W3" s="20">
        <v>0.26069999999999999</v>
      </c>
      <c r="X3" s="20">
        <v>0.26919999999999999</v>
      </c>
      <c r="Y3" s="19">
        <v>0.3125</v>
      </c>
      <c r="Z3" s="18">
        <v>0.30869999999999997</v>
      </c>
      <c r="AA3" s="20">
        <v>0.36969999999999997</v>
      </c>
      <c r="AB3" s="19">
        <v>0.3216</v>
      </c>
      <c r="AC3" s="21">
        <v>0.76300000000000001</v>
      </c>
      <c r="AD3" s="22">
        <v>0.05</v>
      </c>
      <c r="AE3" s="19">
        <f t="shared" ref="AE3:AE4" si="0">0.1357/0.726</f>
        <v>0.18691460055096418</v>
      </c>
      <c r="AF3" s="21">
        <v>0.65700000000000003</v>
      </c>
      <c r="AG3" s="22">
        <v>0.05</v>
      </c>
      <c r="AH3" s="20">
        <f t="shared" ref="AH3:AH4" si="1">0.1393/0.922</f>
        <v>0.15108459869848156</v>
      </c>
      <c r="AI3" s="19">
        <f t="shared" ref="AI3:AI4" si="2">0.1313/0.922</f>
        <v>0.14240780911062906</v>
      </c>
      <c r="AJ3" s="23">
        <v>0</v>
      </c>
      <c r="AK3" s="24">
        <v>0</v>
      </c>
      <c r="AL3" s="24">
        <v>0</v>
      </c>
      <c r="AM3" s="24">
        <v>0</v>
      </c>
      <c r="AN3" s="25">
        <v>1</v>
      </c>
      <c r="AO3" s="24"/>
    </row>
    <row r="4" spans="1:41" ht="19.5" customHeight="1" x14ac:dyDescent="0.3">
      <c r="A4" s="15" t="s">
        <v>49</v>
      </c>
      <c r="B4" s="16" t="s">
        <v>47</v>
      </c>
      <c r="C4" s="16" t="s">
        <v>78</v>
      </c>
      <c r="D4" s="17">
        <v>0.11559999999999999</v>
      </c>
      <c r="E4" s="18">
        <v>0.48799999999999999</v>
      </c>
      <c r="F4" s="19">
        <v>0.51200000000000001</v>
      </c>
      <c r="G4" s="18">
        <v>0.112</v>
      </c>
      <c r="H4" s="20">
        <v>0.65300000000000002</v>
      </c>
      <c r="I4" s="20">
        <v>0.23499999999999999</v>
      </c>
      <c r="J4" s="19">
        <v>0</v>
      </c>
      <c r="K4" s="18">
        <f>0.5406/0.9716</f>
        <v>0.55640181144503909</v>
      </c>
      <c r="L4" s="20">
        <f>0.044/0.9716</f>
        <v>4.5286125977768626E-2</v>
      </c>
      <c r="M4" s="20">
        <f>0.387/0.9716</f>
        <v>0.39831206257719226</v>
      </c>
      <c r="N4" s="19">
        <v>0</v>
      </c>
      <c r="O4" s="21">
        <v>0.8</v>
      </c>
      <c r="P4" s="20">
        <v>0</v>
      </c>
      <c r="Q4" s="20">
        <v>0</v>
      </c>
      <c r="R4" s="22">
        <v>0.05</v>
      </c>
      <c r="S4" s="22">
        <v>0.05</v>
      </c>
      <c r="T4" s="22">
        <v>0.05</v>
      </c>
      <c r="U4" s="26">
        <v>0.05</v>
      </c>
      <c r="V4" s="21">
        <v>0.05</v>
      </c>
      <c r="W4" s="22">
        <v>0.40500000000000003</v>
      </c>
      <c r="X4" s="22">
        <v>0.05</v>
      </c>
      <c r="Y4" s="26">
        <v>0.495</v>
      </c>
      <c r="Z4" s="18">
        <v>0.30869999999999997</v>
      </c>
      <c r="AA4" s="20">
        <v>0.36969999999999997</v>
      </c>
      <c r="AB4" s="19">
        <v>0.3216</v>
      </c>
      <c r="AC4" s="21">
        <v>0.76300000000000001</v>
      </c>
      <c r="AD4" s="22">
        <v>0.05</v>
      </c>
      <c r="AE4" s="19">
        <f t="shared" si="0"/>
        <v>0.18691460055096418</v>
      </c>
      <c r="AF4" s="21">
        <v>0.65700000000000003</v>
      </c>
      <c r="AG4" s="22">
        <v>0.05</v>
      </c>
      <c r="AH4" s="20">
        <f t="shared" si="1"/>
        <v>0.15108459869848156</v>
      </c>
      <c r="AI4" s="19">
        <f t="shared" si="2"/>
        <v>0.14240780911062906</v>
      </c>
      <c r="AJ4" s="27">
        <v>0</v>
      </c>
      <c r="AK4" s="28">
        <v>0</v>
      </c>
      <c r="AL4" s="28">
        <v>0</v>
      </c>
      <c r="AM4" s="28">
        <v>0</v>
      </c>
      <c r="AN4" s="25">
        <v>1</v>
      </c>
      <c r="AO4" s="24"/>
    </row>
    <row r="5" spans="1:41" ht="14" x14ac:dyDescent="0.3">
      <c r="A5" s="29" t="s">
        <v>50</v>
      </c>
      <c r="B5" s="16" t="s">
        <v>47</v>
      </c>
      <c r="C5" s="16" t="s">
        <v>78</v>
      </c>
      <c r="D5" s="17">
        <v>0.20799999999999999</v>
      </c>
      <c r="E5" s="18">
        <v>0.46560000000000001</v>
      </c>
      <c r="F5" s="19">
        <v>0.53439999999999999</v>
      </c>
      <c r="G5" s="21">
        <v>0.05</v>
      </c>
      <c r="H5" s="22">
        <v>0.71</v>
      </c>
      <c r="I5" s="22">
        <v>0.23899999999999999</v>
      </c>
      <c r="J5" s="26">
        <v>0</v>
      </c>
      <c r="K5" s="18">
        <v>0</v>
      </c>
      <c r="L5" s="20">
        <f>0.044/0.431</f>
        <v>0.10208816705336426</v>
      </c>
      <c r="M5" s="20">
        <f>0.387/0.431</f>
        <v>0.89791183294663579</v>
      </c>
      <c r="N5" s="19">
        <v>0</v>
      </c>
      <c r="O5" s="21">
        <v>0.79400000000000004</v>
      </c>
      <c r="P5" s="20">
        <v>0</v>
      </c>
      <c r="Q5" s="20">
        <v>0</v>
      </c>
      <c r="R5" s="22">
        <v>0.05</v>
      </c>
      <c r="S5" s="22">
        <v>0.05</v>
      </c>
      <c r="T5" s="20">
        <f>0.0502/0.896</f>
        <v>5.6026785714285716E-2</v>
      </c>
      <c r="U5" s="26">
        <v>0.05</v>
      </c>
      <c r="V5" s="21">
        <v>0.05</v>
      </c>
      <c r="W5" s="22">
        <v>0.05</v>
      </c>
      <c r="X5" s="22">
        <v>0.41299999999999998</v>
      </c>
      <c r="Y5" s="26">
        <v>0.48699999999999999</v>
      </c>
      <c r="Z5" s="21">
        <v>0.43</v>
      </c>
      <c r="AA5" s="22">
        <v>0.52</v>
      </c>
      <c r="AB5" s="26">
        <v>0.05</v>
      </c>
      <c r="AC5" s="21">
        <v>0.05</v>
      </c>
      <c r="AD5" s="22">
        <v>0.9</v>
      </c>
      <c r="AE5" s="26">
        <v>0.05</v>
      </c>
      <c r="AF5" s="21">
        <v>0.05</v>
      </c>
      <c r="AG5" s="22">
        <v>0.85</v>
      </c>
      <c r="AH5" s="22">
        <v>0.05</v>
      </c>
      <c r="AI5" s="26">
        <v>0.05</v>
      </c>
      <c r="AJ5" s="27">
        <v>0.01</v>
      </c>
      <c r="AK5" s="28">
        <v>0.03</v>
      </c>
      <c r="AL5" s="28">
        <v>0.06</v>
      </c>
      <c r="AM5" s="28">
        <v>0</v>
      </c>
      <c r="AN5" s="25">
        <v>0.9</v>
      </c>
      <c r="AO5" s="24"/>
    </row>
    <row r="6" spans="1:41" ht="14" x14ac:dyDescent="0.3">
      <c r="A6" s="30" t="s">
        <v>51</v>
      </c>
      <c r="B6" s="1" t="s">
        <v>47</v>
      </c>
      <c r="C6" s="16" t="s">
        <v>78</v>
      </c>
      <c r="D6" s="17">
        <v>0.16400000000000001</v>
      </c>
      <c r="E6" s="18">
        <v>0.46560000000000001</v>
      </c>
      <c r="F6" s="19">
        <v>0.53439999999999999</v>
      </c>
      <c r="G6" s="21">
        <v>0.05</v>
      </c>
      <c r="H6" s="22">
        <v>0.71</v>
      </c>
      <c r="I6" s="22">
        <v>0.23899999999999999</v>
      </c>
      <c r="J6" s="26">
        <v>0</v>
      </c>
      <c r="K6" s="18">
        <v>1</v>
      </c>
      <c r="L6" s="20">
        <v>0</v>
      </c>
      <c r="M6" s="20">
        <v>0</v>
      </c>
      <c r="N6" s="19">
        <v>0</v>
      </c>
      <c r="O6" s="21">
        <v>0.8</v>
      </c>
      <c r="P6" s="20">
        <v>0</v>
      </c>
      <c r="Q6" s="20">
        <v>0</v>
      </c>
      <c r="R6" s="22">
        <v>0.05</v>
      </c>
      <c r="S6" s="22">
        <v>0.05</v>
      </c>
      <c r="T6" s="22">
        <v>0.05</v>
      </c>
      <c r="U6" s="26">
        <v>0.05</v>
      </c>
      <c r="V6" s="18">
        <v>0.15770000000000001</v>
      </c>
      <c r="W6" s="20">
        <v>0.26069999999999999</v>
      </c>
      <c r="X6" s="20">
        <v>0.26919999999999999</v>
      </c>
      <c r="Y6" s="19">
        <v>0.3125</v>
      </c>
      <c r="Z6" s="18">
        <v>0.30869999999999997</v>
      </c>
      <c r="AA6" s="20">
        <v>0.36969999999999997</v>
      </c>
      <c r="AB6" s="19">
        <v>0.3216</v>
      </c>
      <c r="AC6" s="18">
        <v>0.59019999999999995</v>
      </c>
      <c r="AD6" s="20">
        <v>0.27410000000000001</v>
      </c>
      <c r="AE6" s="19">
        <v>0.13569999999999999</v>
      </c>
      <c r="AF6" s="18">
        <v>0.65169999999999995</v>
      </c>
      <c r="AG6" s="20">
        <v>7.7600000000000002E-2</v>
      </c>
      <c r="AH6" s="20">
        <v>0.13930000000000001</v>
      </c>
      <c r="AI6" s="19">
        <v>0.1313</v>
      </c>
      <c r="AJ6" s="27">
        <v>0</v>
      </c>
      <c r="AK6" s="28">
        <v>0</v>
      </c>
      <c r="AL6" s="28">
        <v>0</v>
      </c>
      <c r="AM6" s="28">
        <v>0</v>
      </c>
      <c r="AN6" s="31">
        <v>1</v>
      </c>
      <c r="AO6" s="32"/>
    </row>
    <row r="7" spans="1:41" ht="14" x14ac:dyDescent="0.3">
      <c r="A7" s="33" t="s">
        <v>52</v>
      </c>
      <c r="B7" s="1" t="s">
        <v>53</v>
      </c>
      <c r="C7" s="16" t="s">
        <v>78</v>
      </c>
      <c r="D7" s="17">
        <v>0.191</v>
      </c>
      <c r="E7" s="18">
        <v>0.46560000000000001</v>
      </c>
      <c r="F7" s="19">
        <v>0.53439999999999999</v>
      </c>
      <c r="G7" s="21">
        <v>0.05</v>
      </c>
      <c r="H7" s="22">
        <v>0.71</v>
      </c>
      <c r="I7" s="22">
        <v>0.23899999999999999</v>
      </c>
      <c r="J7" s="26">
        <v>0</v>
      </c>
      <c r="K7" s="18">
        <f>0.5406/0.9276</f>
        <v>0.58279430789133246</v>
      </c>
      <c r="L7" s="20">
        <v>0</v>
      </c>
      <c r="M7" s="20">
        <f>0.387/0.9276</f>
        <v>0.41720569210866754</v>
      </c>
      <c r="N7" s="19">
        <v>0</v>
      </c>
      <c r="O7" s="21">
        <v>0.8</v>
      </c>
      <c r="P7" s="20">
        <v>0</v>
      </c>
      <c r="Q7" s="20">
        <v>0</v>
      </c>
      <c r="R7" s="22">
        <v>0.05</v>
      </c>
      <c r="S7" s="22">
        <v>0.05</v>
      </c>
      <c r="T7" s="22">
        <v>0.05</v>
      </c>
      <c r="U7" s="26">
        <v>0.05</v>
      </c>
      <c r="V7" s="21">
        <v>0.05</v>
      </c>
      <c r="W7" s="22">
        <v>0.43</v>
      </c>
      <c r="X7" s="22">
        <v>0.05</v>
      </c>
      <c r="Y7" s="26">
        <v>0.52</v>
      </c>
      <c r="Z7" s="21">
        <v>0.05</v>
      </c>
      <c r="AA7" s="22">
        <v>0.47499999999999998</v>
      </c>
      <c r="AB7" s="26">
        <v>0.47499999999999998</v>
      </c>
      <c r="AC7" s="21">
        <v>0.78800000000000003</v>
      </c>
      <c r="AD7" s="22">
        <v>0.05</v>
      </c>
      <c r="AE7" s="26">
        <v>0.16200000000000001</v>
      </c>
      <c r="AF7" s="21">
        <v>0.78200000000000003</v>
      </c>
      <c r="AG7" s="22">
        <v>0.05</v>
      </c>
      <c r="AH7" s="22">
        <v>0.05</v>
      </c>
      <c r="AI7" s="26">
        <v>0.11799999999999999</v>
      </c>
      <c r="AJ7" s="27">
        <v>0</v>
      </c>
      <c r="AK7" s="28">
        <v>0</v>
      </c>
      <c r="AL7" s="28">
        <v>0</v>
      </c>
      <c r="AM7" s="28">
        <v>0</v>
      </c>
      <c r="AN7" s="31">
        <v>1</v>
      </c>
      <c r="AO7" s="32"/>
    </row>
    <row r="8" spans="1:41" ht="14" x14ac:dyDescent="0.3">
      <c r="A8" s="33" t="s">
        <v>54</v>
      </c>
      <c r="B8" s="1" t="s">
        <v>53</v>
      </c>
      <c r="C8" s="16" t="s">
        <v>78</v>
      </c>
      <c r="D8" s="17">
        <v>5.5E-2</v>
      </c>
      <c r="E8" s="18">
        <v>0.46560000000000001</v>
      </c>
      <c r="F8" s="19">
        <v>0.53439999999999999</v>
      </c>
      <c r="G8" s="21">
        <v>0.05</v>
      </c>
      <c r="H8" s="22">
        <v>0.71</v>
      </c>
      <c r="I8" s="22">
        <v>0.23899999999999999</v>
      </c>
      <c r="J8" s="26">
        <v>0</v>
      </c>
      <c r="K8" s="18">
        <v>0</v>
      </c>
      <c r="L8" s="20">
        <f>0.044/0.431</f>
        <v>0.10208816705336426</v>
      </c>
      <c r="M8" s="20">
        <f>0.387/0.431</f>
        <v>0.89791183294663579</v>
      </c>
      <c r="N8" s="19">
        <v>0</v>
      </c>
      <c r="O8" s="21">
        <v>0.79400000000000004</v>
      </c>
      <c r="P8" s="20">
        <v>0</v>
      </c>
      <c r="Q8" s="20">
        <v>0</v>
      </c>
      <c r="R8" s="22">
        <v>0.05</v>
      </c>
      <c r="S8" s="22">
        <v>0.05</v>
      </c>
      <c r="T8" s="20">
        <f>0.0502/0.896</f>
        <v>5.6026785714285716E-2</v>
      </c>
      <c r="U8" s="26">
        <v>0.05</v>
      </c>
      <c r="V8" s="21">
        <v>0.05</v>
      </c>
      <c r="W8" s="22">
        <v>0.05</v>
      </c>
      <c r="X8" s="22">
        <v>0.85</v>
      </c>
      <c r="Y8" s="26">
        <v>0.05</v>
      </c>
      <c r="Z8" s="21">
        <v>0.05</v>
      </c>
      <c r="AA8" s="22">
        <v>0.9</v>
      </c>
      <c r="AB8" s="26">
        <v>0.05</v>
      </c>
      <c r="AC8" s="21">
        <v>0.05</v>
      </c>
      <c r="AD8" s="22">
        <v>0.9</v>
      </c>
      <c r="AE8" s="26">
        <v>0.05</v>
      </c>
      <c r="AF8" s="21">
        <v>0.05</v>
      </c>
      <c r="AG8" s="22">
        <v>0.85</v>
      </c>
      <c r="AH8" s="22">
        <v>0.05</v>
      </c>
      <c r="AI8" s="26">
        <v>0.05</v>
      </c>
      <c r="AJ8" s="27">
        <v>0.01</v>
      </c>
      <c r="AK8" s="28">
        <v>0.03</v>
      </c>
      <c r="AL8" s="28">
        <v>0.06</v>
      </c>
      <c r="AM8" s="28">
        <v>0</v>
      </c>
      <c r="AN8" s="31">
        <v>0.9</v>
      </c>
      <c r="AO8" s="32"/>
    </row>
    <row r="9" spans="1:41" ht="14" x14ac:dyDescent="0.3">
      <c r="A9" s="34" t="s">
        <v>55</v>
      </c>
      <c r="B9" s="1" t="s">
        <v>56</v>
      </c>
      <c r="C9" s="16" t="s">
        <v>78</v>
      </c>
      <c r="D9" s="17">
        <f>50000/2850000</f>
        <v>1.7543859649122806E-2</v>
      </c>
      <c r="E9" s="18">
        <v>0.46560000000000001</v>
      </c>
      <c r="F9" s="19">
        <v>0.53439999999999999</v>
      </c>
      <c r="G9" s="21">
        <v>0.05</v>
      </c>
      <c r="H9" s="22">
        <v>0.71</v>
      </c>
      <c r="I9" s="22">
        <v>0.23899999999999999</v>
      </c>
      <c r="J9" s="26">
        <v>0</v>
      </c>
      <c r="K9" s="18">
        <f t="shared" ref="K9:K11" si="3">0.5406/0.9276</f>
        <v>0.58279430789133246</v>
      </c>
      <c r="L9" s="20">
        <v>0</v>
      </c>
      <c r="M9" s="20">
        <f t="shared" ref="M9:M11" si="4">0.387/0.9276</f>
        <v>0.41720569210866754</v>
      </c>
      <c r="N9" s="19">
        <v>0</v>
      </c>
      <c r="O9" s="21">
        <v>0.8</v>
      </c>
      <c r="P9" s="20">
        <v>0</v>
      </c>
      <c r="Q9" s="20">
        <v>0</v>
      </c>
      <c r="R9" s="22">
        <v>0.05</v>
      </c>
      <c r="S9" s="22">
        <v>0.05</v>
      </c>
      <c r="T9" s="22">
        <v>0.05</v>
      </c>
      <c r="U9" s="26">
        <v>0.05</v>
      </c>
      <c r="V9" s="21">
        <v>0.05</v>
      </c>
      <c r="W9" s="22">
        <v>0.85</v>
      </c>
      <c r="X9" s="22">
        <v>0.05</v>
      </c>
      <c r="Y9" s="26">
        <v>0.05</v>
      </c>
      <c r="Z9" s="21">
        <v>0.05</v>
      </c>
      <c r="AA9" s="22">
        <v>0.9</v>
      </c>
      <c r="AB9" s="26">
        <v>0.05</v>
      </c>
      <c r="AC9" s="21">
        <v>0.9</v>
      </c>
      <c r="AD9" s="22">
        <v>0.05</v>
      </c>
      <c r="AE9" s="26">
        <v>0.05</v>
      </c>
      <c r="AF9" s="21">
        <v>0.85</v>
      </c>
      <c r="AG9" s="22">
        <v>0.05</v>
      </c>
      <c r="AH9" s="22">
        <v>0.05</v>
      </c>
      <c r="AI9" s="26">
        <v>0.05</v>
      </c>
      <c r="AJ9" s="27">
        <v>0</v>
      </c>
      <c r="AK9" s="28">
        <v>0</v>
      </c>
      <c r="AL9" s="28">
        <v>0</v>
      </c>
      <c r="AM9" s="28">
        <v>0</v>
      </c>
      <c r="AN9" s="31">
        <v>1</v>
      </c>
      <c r="AO9" s="32"/>
    </row>
    <row r="10" spans="1:41" ht="14" x14ac:dyDescent="0.3">
      <c r="A10" s="35" t="s">
        <v>57</v>
      </c>
      <c r="B10" s="16" t="s">
        <v>58</v>
      </c>
      <c r="C10" s="16" t="s">
        <v>78</v>
      </c>
      <c r="D10" s="17">
        <v>1</v>
      </c>
      <c r="E10" s="18">
        <v>0.41199999999999998</v>
      </c>
      <c r="F10" s="19">
        <v>0.58799999999999997</v>
      </c>
      <c r="G10" s="18">
        <v>0.13800000000000001</v>
      </c>
      <c r="H10" s="20">
        <v>0.84299999999999997</v>
      </c>
      <c r="I10" s="20">
        <v>1.9E-2</v>
      </c>
      <c r="J10" s="19">
        <v>0</v>
      </c>
      <c r="K10" s="18">
        <f t="shared" si="3"/>
        <v>0.58279430789133246</v>
      </c>
      <c r="L10" s="20">
        <v>0</v>
      </c>
      <c r="M10" s="20">
        <f t="shared" si="4"/>
        <v>0.41720569210866754</v>
      </c>
      <c r="N10" s="19">
        <v>0</v>
      </c>
      <c r="O10" s="21">
        <v>0.8</v>
      </c>
      <c r="P10" s="20">
        <v>0</v>
      </c>
      <c r="Q10" s="20">
        <v>0</v>
      </c>
      <c r="R10" s="22">
        <v>0.05</v>
      </c>
      <c r="S10" s="22">
        <v>0.05</v>
      </c>
      <c r="T10" s="22">
        <v>0.05</v>
      </c>
      <c r="U10" s="26">
        <v>0.05</v>
      </c>
      <c r="V10" s="21">
        <v>0.05</v>
      </c>
      <c r="W10" s="22">
        <v>0.40500000000000003</v>
      </c>
      <c r="X10" s="22">
        <v>0.05</v>
      </c>
      <c r="Y10" s="26">
        <v>0.495</v>
      </c>
      <c r="Z10" s="21">
        <v>0.05</v>
      </c>
      <c r="AA10" s="22">
        <v>0.9</v>
      </c>
      <c r="AB10" s="26">
        <v>0.05</v>
      </c>
      <c r="AC10" s="21">
        <v>0.78800000000000003</v>
      </c>
      <c r="AD10" s="22">
        <v>0.05</v>
      </c>
      <c r="AE10" s="26">
        <v>0.16200000000000001</v>
      </c>
      <c r="AF10" s="21">
        <v>0.68200000000000005</v>
      </c>
      <c r="AG10" s="22">
        <v>0.05</v>
      </c>
      <c r="AH10" s="22">
        <v>0.126</v>
      </c>
      <c r="AI10" s="19">
        <f>0.1313/0.922</f>
        <v>0.14240780911062906</v>
      </c>
      <c r="AJ10" s="27">
        <v>0</v>
      </c>
      <c r="AK10" s="28">
        <v>0</v>
      </c>
      <c r="AL10" s="28">
        <v>0</v>
      </c>
      <c r="AM10" s="28">
        <v>0</v>
      </c>
      <c r="AN10" s="36">
        <v>1</v>
      </c>
      <c r="AO10" s="16"/>
    </row>
    <row r="11" spans="1:41" ht="14" x14ac:dyDescent="0.3">
      <c r="A11" s="35" t="s">
        <v>59</v>
      </c>
      <c r="B11" s="16" t="s">
        <v>58</v>
      </c>
      <c r="C11" s="16" t="s">
        <v>78</v>
      </c>
      <c r="D11" s="17">
        <v>0.70020000000000004</v>
      </c>
      <c r="E11" s="18">
        <v>0.441</v>
      </c>
      <c r="F11" s="19">
        <v>0.55900000000000005</v>
      </c>
      <c r="G11" s="18">
        <v>0.151</v>
      </c>
      <c r="H11" s="20">
        <v>0.81299999999999994</v>
      </c>
      <c r="I11" s="20">
        <v>3.6999999999999998E-2</v>
      </c>
      <c r="J11" s="19">
        <v>0</v>
      </c>
      <c r="K11" s="18">
        <f t="shared" si="3"/>
        <v>0.58279430789133246</v>
      </c>
      <c r="L11" s="20">
        <v>0</v>
      </c>
      <c r="M11" s="20">
        <f t="shared" si="4"/>
        <v>0.41720569210866754</v>
      </c>
      <c r="N11" s="19">
        <v>0</v>
      </c>
      <c r="O11" s="21">
        <v>0.8</v>
      </c>
      <c r="P11" s="20">
        <v>0</v>
      </c>
      <c r="Q11" s="20">
        <v>0</v>
      </c>
      <c r="R11" s="22">
        <v>0.05</v>
      </c>
      <c r="S11" s="22">
        <v>0.05</v>
      </c>
      <c r="T11" s="22">
        <v>0.05</v>
      </c>
      <c r="U11" s="26">
        <v>0.05</v>
      </c>
      <c r="V11" s="21">
        <v>0.05</v>
      </c>
      <c r="W11" s="22">
        <v>0.05</v>
      </c>
      <c r="X11" s="22">
        <v>0.41299999999999998</v>
      </c>
      <c r="Y11" s="26">
        <v>0.48699999999999999</v>
      </c>
      <c r="Z11" s="21">
        <v>0.05</v>
      </c>
      <c r="AA11" s="22">
        <v>0.9</v>
      </c>
      <c r="AB11" s="26">
        <v>0.05</v>
      </c>
      <c r="AC11" s="21">
        <v>0.05</v>
      </c>
      <c r="AD11" s="22">
        <v>0.9</v>
      </c>
      <c r="AE11" s="26">
        <v>0.05</v>
      </c>
      <c r="AF11" s="21">
        <v>0.05</v>
      </c>
      <c r="AG11" s="22">
        <v>0.85</v>
      </c>
      <c r="AH11" s="22">
        <v>0.05</v>
      </c>
      <c r="AI11" s="26">
        <v>0.05</v>
      </c>
      <c r="AJ11" s="27">
        <v>0.01</v>
      </c>
      <c r="AK11" s="28">
        <v>0.03</v>
      </c>
      <c r="AL11" s="28">
        <v>0.06</v>
      </c>
      <c r="AM11" s="28">
        <v>0</v>
      </c>
      <c r="AN11" s="36">
        <v>0.9</v>
      </c>
      <c r="AO11" s="16"/>
    </row>
    <row r="12" spans="1:41" ht="14" x14ac:dyDescent="0.3">
      <c r="A12" s="35" t="s">
        <v>60</v>
      </c>
      <c r="B12" s="37" t="s">
        <v>58</v>
      </c>
      <c r="C12" s="16" t="s">
        <v>78</v>
      </c>
      <c r="D12" s="17">
        <v>1</v>
      </c>
      <c r="E12" s="18">
        <v>0.47799999999999998</v>
      </c>
      <c r="F12" s="19">
        <v>0.51200000000000001</v>
      </c>
      <c r="G12" s="18">
        <v>0.13</v>
      </c>
      <c r="H12" s="20">
        <v>0.84</v>
      </c>
      <c r="I12" s="20">
        <v>0.03</v>
      </c>
      <c r="J12" s="19">
        <v>0</v>
      </c>
      <c r="K12" s="18">
        <f>0.5406/0.9716</f>
        <v>0.55640181144503909</v>
      </c>
      <c r="L12" s="20">
        <f>0.044/0.9716</f>
        <v>4.5286125977768626E-2</v>
      </c>
      <c r="M12" s="20">
        <f>0.387/0.9716</f>
        <v>0.39831206257719226</v>
      </c>
      <c r="N12" s="19">
        <v>0</v>
      </c>
      <c r="O12" s="21">
        <v>0.80800000000000005</v>
      </c>
      <c r="P12" s="20">
        <v>0</v>
      </c>
      <c r="Q12" s="20">
        <v>0</v>
      </c>
      <c r="R12" s="22">
        <f t="shared" ref="R12:R13" si="5">0.0653/0.972</f>
        <v>6.7181069958847733E-2</v>
      </c>
      <c r="S12" s="22">
        <f t="shared" ref="S12:S13" si="6">0.01/0.972</f>
        <v>1.0288065843621399E-2</v>
      </c>
      <c r="T12" s="22">
        <f t="shared" ref="T12:T13" si="7">0.0502/0.972</f>
        <v>5.1646090534979427E-2</v>
      </c>
      <c r="U12" s="26">
        <v>0.05</v>
      </c>
      <c r="V12" s="21">
        <v>0.28599999999999998</v>
      </c>
      <c r="W12" s="22">
        <v>0.05</v>
      </c>
      <c r="X12" s="22">
        <v>0.05</v>
      </c>
      <c r="Y12" s="26">
        <v>0.61499999999999999</v>
      </c>
      <c r="Z12" s="21">
        <v>0.05</v>
      </c>
      <c r="AA12" s="22">
        <v>0.51</v>
      </c>
      <c r="AB12" s="26">
        <v>0.44</v>
      </c>
      <c r="AC12" s="21">
        <v>0.78800000000000003</v>
      </c>
      <c r="AD12" s="22">
        <v>0.05</v>
      </c>
      <c r="AE12" s="26">
        <v>0.16200000000000001</v>
      </c>
      <c r="AF12" s="21">
        <v>0.68200000000000005</v>
      </c>
      <c r="AG12" s="22">
        <v>0.05</v>
      </c>
      <c r="AH12" s="22">
        <v>0.13850000000000001</v>
      </c>
      <c r="AI12" s="26">
        <v>0.1295</v>
      </c>
      <c r="AJ12" s="27">
        <v>0</v>
      </c>
      <c r="AK12" s="28">
        <v>0</v>
      </c>
      <c r="AL12" s="28">
        <v>0</v>
      </c>
      <c r="AM12" s="28">
        <v>0</v>
      </c>
      <c r="AN12" s="38">
        <v>1</v>
      </c>
      <c r="AO12" s="37"/>
    </row>
    <row r="13" spans="1:41" ht="14" x14ac:dyDescent="0.3">
      <c r="A13" s="39" t="s">
        <v>61</v>
      </c>
      <c r="B13" s="1" t="s">
        <v>58</v>
      </c>
      <c r="C13" s="16" t="s">
        <v>78</v>
      </c>
      <c r="D13" s="17">
        <v>1</v>
      </c>
      <c r="E13" s="18">
        <v>0.46560000000000001</v>
      </c>
      <c r="F13" s="19">
        <v>0.53439999999999999</v>
      </c>
      <c r="G13" s="18">
        <v>0.33300000000000002</v>
      </c>
      <c r="H13" s="20">
        <v>0.33300000000000002</v>
      </c>
      <c r="I13" s="20">
        <v>0.33300000000000002</v>
      </c>
      <c r="J13" s="19">
        <v>0</v>
      </c>
      <c r="K13" s="18">
        <f t="shared" ref="K13:K14" si="8">0.5406/0.9276</f>
        <v>0.58279430789133246</v>
      </c>
      <c r="L13" s="20">
        <v>0</v>
      </c>
      <c r="M13" s="20">
        <f t="shared" ref="M13:M14" si="9">0.387/0.9276</f>
        <v>0.41720569210866754</v>
      </c>
      <c r="N13" s="19">
        <v>0</v>
      </c>
      <c r="O13" s="21">
        <v>0.82050000000000001</v>
      </c>
      <c r="P13" s="20">
        <v>0</v>
      </c>
      <c r="Q13" s="20">
        <v>0</v>
      </c>
      <c r="R13" s="20">
        <f t="shared" si="5"/>
        <v>6.7181069958847733E-2</v>
      </c>
      <c r="S13" s="20">
        <f t="shared" si="6"/>
        <v>1.0288065843621399E-2</v>
      </c>
      <c r="T13" s="20">
        <f t="shared" si="7"/>
        <v>5.1646090534979427E-2</v>
      </c>
      <c r="U13" s="26">
        <v>0.05</v>
      </c>
      <c r="V13" s="21">
        <v>0.05</v>
      </c>
      <c r="W13" s="22">
        <v>0.40500000000000003</v>
      </c>
      <c r="X13" s="22">
        <v>0.05</v>
      </c>
      <c r="Y13" s="26">
        <v>0.49540000000000001</v>
      </c>
      <c r="Z13" s="21">
        <v>0.05</v>
      </c>
      <c r="AA13" s="22">
        <v>0.51</v>
      </c>
      <c r="AB13" s="26">
        <v>0.44</v>
      </c>
      <c r="AC13" s="21">
        <v>0.05</v>
      </c>
      <c r="AD13" s="22">
        <v>0.05</v>
      </c>
      <c r="AE13" s="26">
        <v>0.9</v>
      </c>
      <c r="AF13" s="21">
        <v>0.05</v>
      </c>
      <c r="AG13" s="22">
        <v>0.05</v>
      </c>
      <c r="AH13" s="22">
        <v>0.46400000000000002</v>
      </c>
      <c r="AI13" s="26">
        <v>0.4345</v>
      </c>
      <c r="AJ13" s="27">
        <v>0</v>
      </c>
      <c r="AK13" s="28">
        <v>0</v>
      </c>
      <c r="AL13" s="28">
        <v>0</v>
      </c>
      <c r="AM13" s="28">
        <v>0</v>
      </c>
      <c r="AN13" s="31">
        <v>1</v>
      </c>
      <c r="AO13" s="32"/>
    </row>
    <row r="14" spans="1:41" ht="14" x14ac:dyDescent="0.3">
      <c r="A14" s="39" t="s">
        <v>62</v>
      </c>
      <c r="B14" s="1" t="s">
        <v>58</v>
      </c>
      <c r="C14" s="16" t="s">
        <v>78</v>
      </c>
      <c r="D14" s="17">
        <v>1</v>
      </c>
      <c r="E14" s="18">
        <v>0.48499999999999999</v>
      </c>
      <c r="F14" s="19">
        <v>0.51500000000000001</v>
      </c>
      <c r="G14" s="18">
        <v>0.129</v>
      </c>
      <c r="H14" s="20">
        <v>0.85499999999999998</v>
      </c>
      <c r="I14" s="20">
        <v>1.6E-2</v>
      </c>
      <c r="J14" s="19">
        <v>0</v>
      </c>
      <c r="K14" s="18">
        <f t="shared" si="8"/>
        <v>0.58279430789133246</v>
      </c>
      <c r="L14" s="20">
        <v>0</v>
      </c>
      <c r="M14" s="20">
        <f t="shared" si="9"/>
        <v>0.41720569210866754</v>
      </c>
      <c r="N14" s="19">
        <v>0</v>
      </c>
      <c r="O14" s="21">
        <v>0.78</v>
      </c>
      <c r="P14" s="20">
        <v>0</v>
      </c>
      <c r="Q14" s="20">
        <v>0</v>
      </c>
      <c r="R14" s="20">
        <v>7.0000000000000007E-2</v>
      </c>
      <c r="S14" s="22">
        <v>0.05</v>
      </c>
      <c r="T14" s="22">
        <v>0.05</v>
      </c>
      <c r="U14" s="26">
        <v>0.05</v>
      </c>
      <c r="V14" s="18">
        <v>0.25</v>
      </c>
      <c r="W14" s="20">
        <v>0.25</v>
      </c>
      <c r="X14" s="20">
        <v>0.25</v>
      </c>
      <c r="Y14" s="19">
        <v>0.25</v>
      </c>
      <c r="Z14" s="21">
        <v>0.05</v>
      </c>
      <c r="AA14" s="22">
        <v>0.51</v>
      </c>
      <c r="AB14" s="26">
        <v>0.44</v>
      </c>
      <c r="AC14" s="21">
        <v>0.05</v>
      </c>
      <c r="AD14" s="22">
        <v>0.05</v>
      </c>
      <c r="AE14" s="26">
        <v>0.9</v>
      </c>
      <c r="AF14" s="21">
        <v>0.05</v>
      </c>
      <c r="AG14" s="22">
        <v>0.05</v>
      </c>
      <c r="AH14" s="22">
        <v>0.46400000000000002</v>
      </c>
      <c r="AI14" s="26">
        <v>0.4345</v>
      </c>
      <c r="AJ14" s="27">
        <v>0</v>
      </c>
      <c r="AK14" s="28">
        <v>0</v>
      </c>
      <c r="AL14" s="28">
        <v>0</v>
      </c>
      <c r="AM14" s="28">
        <v>0</v>
      </c>
      <c r="AN14" s="31">
        <v>1</v>
      </c>
      <c r="AO14" s="32"/>
    </row>
    <row r="15" spans="1:41" ht="14" x14ac:dyDescent="0.3">
      <c r="A15" s="39" t="s">
        <v>63</v>
      </c>
      <c r="B15" s="1" t="s">
        <v>58</v>
      </c>
      <c r="C15" s="16" t="s">
        <v>78</v>
      </c>
      <c r="D15" s="17">
        <v>0.28739999999999999</v>
      </c>
      <c r="E15" s="18">
        <v>0.58199999999999996</v>
      </c>
      <c r="F15" s="19">
        <v>0.41799999999999998</v>
      </c>
      <c r="G15" s="18">
        <v>9.1999999999999998E-2</v>
      </c>
      <c r="H15" s="20">
        <v>0.79400000000000004</v>
      </c>
      <c r="I15" s="20">
        <v>0.114</v>
      </c>
      <c r="J15" s="19">
        <v>0</v>
      </c>
      <c r="K15" s="18">
        <v>0</v>
      </c>
      <c r="L15" s="20">
        <f t="shared" ref="L15:L16" si="10">0.044/0.431</f>
        <v>0.10208816705336426</v>
      </c>
      <c r="M15" s="20">
        <f t="shared" ref="M15:M16" si="11">0.387/0.431</f>
        <v>0.89791183294663579</v>
      </c>
      <c r="N15" s="19">
        <v>0</v>
      </c>
      <c r="O15" s="21">
        <v>0.79430000000000001</v>
      </c>
      <c r="P15" s="20">
        <v>0</v>
      </c>
      <c r="Q15" s="20">
        <v>0</v>
      </c>
      <c r="R15" s="22">
        <v>0.05</v>
      </c>
      <c r="S15" s="22">
        <v>0.05</v>
      </c>
      <c r="T15" s="20">
        <f t="shared" ref="T15:T16" si="12">0.0502/0.896</f>
        <v>5.6026785714285716E-2</v>
      </c>
      <c r="U15" s="26">
        <v>0.05</v>
      </c>
      <c r="V15" s="21">
        <v>0.05</v>
      </c>
      <c r="W15" s="22">
        <v>0.44190000000000002</v>
      </c>
      <c r="X15" s="22">
        <v>0.45789999999999997</v>
      </c>
      <c r="Y15" s="26">
        <v>0.05</v>
      </c>
      <c r="Z15" s="21">
        <v>0.05</v>
      </c>
      <c r="AA15" s="22">
        <v>0.9</v>
      </c>
      <c r="AB15" s="26">
        <v>0.05</v>
      </c>
      <c r="AC15" s="21">
        <v>0.05</v>
      </c>
      <c r="AD15" s="22">
        <v>0.9</v>
      </c>
      <c r="AE15" s="26">
        <v>0.05</v>
      </c>
      <c r="AF15" s="21">
        <v>0.05</v>
      </c>
      <c r="AG15" s="22">
        <v>0.85</v>
      </c>
      <c r="AH15" s="22">
        <v>0.05</v>
      </c>
      <c r="AI15" s="26">
        <v>0.05</v>
      </c>
      <c r="AJ15" s="27">
        <v>0.01</v>
      </c>
      <c r="AK15" s="28">
        <v>0.03</v>
      </c>
      <c r="AL15" s="28">
        <v>0.06</v>
      </c>
      <c r="AM15" s="28">
        <v>0</v>
      </c>
      <c r="AN15" s="31">
        <v>0.9</v>
      </c>
      <c r="AO15" s="32"/>
    </row>
    <row r="16" spans="1:41" ht="14" x14ac:dyDescent="0.3">
      <c r="A16" s="39" t="s">
        <v>64</v>
      </c>
      <c r="B16" s="1" t="s">
        <v>58</v>
      </c>
      <c r="C16" s="16" t="s">
        <v>78</v>
      </c>
      <c r="D16" s="17">
        <v>0.49120000000000003</v>
      </c>
      <c r="E16" s="18">
        <v>0.67800000000000005</v>
      </c>
      <c r="F16" s="19">
        <v>0.32200000000000001</v>
      </c>
      <c r="G16" s="18">
        <v>0.20399999999999999</v>
      </c>
      <c r="H16" s="20">
        <v>0.71599999999999997</v>
      </c>
      <c r="I16" s="20">
        <v>0.08</v>
      </c>
      <c r="J16" s="19">
        <v>0</v>
      </c>
      <c r="K16" s="18">
        <v>0</v>
      </c>
      <c r="L16" s="20">
        <f t="shared" si="10"/>
        <v>0.10208816705336426</v>
      </c>
      <c r="M16" s="20">
        <f t="shared" si="11"/>
        <v>0.89791183294663579</v>
      </c>
      <c r="N16" s="19">
        <v>0</v>
      </c>
      <c r="O16" s="21">
        <v>0.79430000000000001</v>
      </c>
      <c r="P16" s="20">
        <v>0</v>
      </c>
      <c r="Q16" s="20">
        <v>0</v>
      </c>
      <c r="R16" s="22">
        <v>0.05</v>
      </c>
      <c r="S16" s="22">
        <v>0.05</v>
      </c>
      <c r="T16" s="20">
        <f t="shared" si="12"/>
        <v>5.6026785714285716E-2</v>
      </c>
      <c r="U16" s="26">
        <v>0.05</v>
      </c>
      <c r="V16" s="21">
        <v>0.05</v>
      </c>
      <c r="W16" s="22">
        <v>0.44190000000000002</v>
      </c>
      <c r="X16" s="22">
        <v>0.45789999999999997</v>
      </c>
      <c r="Y16" s="26">
        <v>0.05</v>
      </c>
      <c r="Z16" s="21">
        <v>0.05</v>
      </c>
      <c r="AA16" s="22">
        <v>0.9</v>
      </c>
      <c r="AB16" s="26">
        <v>0.05</v>
      </c>
      <c r="AC16" s="21">
        <v>0.05</v>
      </c>
      <c r="AD16" s="22">
        <v>0.9</v>
      </c>
      <c r="AE16" s="26">
        <v>0.05</v>
      </c>
      <c r="AF16" s="21">
        <v>0.05</v>
      </c>
      <c r="AG16" s="22">
        <v>0.85</v>
      </c>
      <c r="AH16" s="22">
        <v>0.05</v>
      </c>
      <c r="AI16" s="26">
        <v>0.05</v>
      </c>
      <c r="AJ16" s="27">
        <v>0.01</v>
      </c>
      <c r="AK16" s="28">
        <v>0.03</v>
      </c>
      <c r="AL16" s="28">
        <v>0.06</v>
      </c>
      <c r="AM16" s="28">
        <v>0</v>
      </c>
      <c r="AN16" s="31">
        <v>0.9</v>
      </c>
      <c r="AO16" s="32"/>
    </row>
    <row r="17" spans="1:41" ht="14" x14ac:dyDescent="0.3">
      <c r="A17" s="39" t="s">
        <v>65</v>
      </c>
      <c r="B17" s="1" t="s">
        <v>58</v>
      </c>
      <c r="C17" s="16" t="s">
        <v>78</v>
      </c>
      <c r="D17" s="17">
        <v>0.95740000000000003</v>
      </c>
      <c r="E17" s="18">
        <v>0.37</v>
      </c>
      <c r="F17" s="19">
        <v>0.63</v>
      </c>
      <c r="G17" s="18">
        <v>0.13900000000000001</v>
      </c>
      <c r="H17" s="20">
        <v>0.84799999999999998</v>
      </c>
      <c r="I17" s="20">
        <v>1.4E-2</v>
      </c>
      <c r="J17" s="19">
        <v>0</v>
      </c>
      <c r="K17" s="18">
        <f t="shared" ref="K17:K19" si="13">0.5406/0.9276</f>
        <v>0.58279430789133246</v>
      </c>
      <c r="L17" s="20">
        <v>0</v>
      </c>
      <c r="M17" s="20">
        <f t="shared" ref="M17:M19" si="14">0.387/0.9276</f>
        <v>0.41720569210866754</v>
      </c>
      <c r="N17" s="19">
        <v>0</v>
      </c>
      <c r="O17" s="21">
        <v>0.78</v>
      </c>
      <c r="P17" s="20">
        <v>0</v>
      </c>
      <c r="Q17" s="20">
        <v>0</v>
      </c>
      <c r="R17" s="20">
        <v>7.0000000000000007E-2</v>
      </c>
      <c r="S17" s="22">
        <v>0.05</v>
      </c>
      <c r="T17" s="22">
        <v>0.05</v>
      </c>
      <c r="U17" s="26">
        <v>0.05</v>
      </c>
      <c r="V17" s="21">
        <v>0.05</v>
      </c>
      <c r="W17" s="22">
        <v>0.85</v>
      </c>
      <c r="X17" s="22">
        <v>0.05</v>
      </c>
      <c r="Y17" s="26">
        <v>0.05</v>
      </c>
      <c r="Z17" s="21">
        <v>0.05</v>
      </c>
      <c r="AA17" s="22">
        <v>0.9</v>
      </c>
      <c r="AB17" s="26">
        <v>0.05</v>
      </c>
      <c r="AC17" s="21">
        <v>0.78790000000000004</v>
      </c>
      <c r="AD17" s="22">
        <v>0.05</v>
      </c>
      <c r="AE17" s="26">
        <v>0.16189999999999999</v>
      </c>
      <c r="AF17" s="21">
        <v>0.05</v>
      </c>
      <c r="AG17" s="22">
        <v>0.05</v>
      </c>
      <c r="AH17" s="22">
        <v>0.46400000000000002</v>
      </c>
      <c r="AI17" s="26">
        <v>0.4345</v>
      </c>
      <c r="AJ17" s="27">
        <v>0</v>
      </c>
      <c r="AK17" s="28">
        <v>0</v>
      </c>
      <c r="AL17" s="28">
        <v>0</v>
      </c>
      <c r="AM17" s="28">
        <v>0</v>
      </c>
      <c r="AN17" s="31">
        <v>1</v>
      </c>
      <c r="AO17" s="32"/>
    </row>
    <row r="18" spans="1:41" ht="14" x14ac:dyDescent="0.3">
      <c r="A18" s="39" t="s">
        <v>66</v>
      </c>
      <c r="B18" s="1" t="s">
        <v>58</v>
      </c>
      <c r="C18" s="16" t="s">
        <v>78</v>
      </c>
      <c r="D18" s="17">
        <v>0.31540000000000001</v>
      </c>
      <c r="E18" s="18">
        <v>0.42699999999999999</v>
      </c>
      <c r="F18" s="19">
        <v>0.57299999999999995</v>
      </c>
      <c r="G18" s="18">
        <v>0.13800000000000001</v>
      </c>
      <c r="H18" s="20">
        <v>0.84699999999999998</v>
      </c>
      <c r="I18" s="20">
        <v>1.4999999999999999E-2</v>
      </c>
      <c r="J18" s="19">
        <v>0</v>
      </c>
      <c r="K18" s="18">
        <f t="shared" si="13"/>
        <v>0.58279430789133246</v>
      </c>
      <c r="L18" s="20">
        <v>0</v>
      </c>
      <c r="M18" s="20">
        <f t="shared" si="14"/>
        <v>0.41720569210866754</v>
      </c>
      <c r="N18" s="19">
        <v>0</v>
      </c>
      <c r="O18" s="21">
        <v>0.78</v>
      </c>
      <c r="P18" s="20">
        <v>0</v>
      </c>
      <c r="Q18" s="20">
        <v>0</v>
      </c>
      <c r="R18" s="20">
        <v>7.0000000000000007E-2</v>
      </c>
      <c r="S18" s="22">
        <v>0.05</v>
      </c>
      <c r="T18" s="22">
        <v>0.05</v>
      </c>
      <c r="U18" s="26">
        <v>0.05</v>
      </c>
      <c r="V18" s="21">
        <v>0.05</v>
      </c>
      <c r="W18" s="22">
        <v>0.40500000000000003</v>
      </c>
      <c r="X18" s="22">
        <v>0.05</v>
      </c>
      <c r="Y18" s="26">
        <v>0.49540000000000001</v>
      </c>
      <c r="Z18" s="21">
        <v>0.05</v>
      </c>
      <c r="AA18" s="22">
        <v>0.9</v>
      </c>
      <c r="AB18" s="26">
        <v>0.05</v>
      </c>
      <c r="AC18" s="21">
        <v>0.05</v>
      </c>
      <c r="AD18" s="22">
        <v>0.05</v>
      </c>
      <c r="AE18" s="26">
        <v>0.9</v>
      </c>
      <c r="AF18" s="21">
        <v>0.68179999999999996</v>
      </c>
      <c r="AG18" s="22">
        <v>0.05</v>
      </c>
      <c r="AH18" s="22">
        <v>0.1386</v>
      </c>
      <c r="AI18" s="26">
        <v>0.12989999999999999</v>
      </c>
      <c r="AJ18" s="27">
        <v>0</v>
      </c>
      <c r="AK18" s="28">
        <v>0</v>
      </c>
      <c r="AL18" s="28">
        <v>0</v>
      </c>
      <c r="AM18" s="28">
        <v>0</v>
      </c>
      <c r="AN18" s="31">
        <v>1</v>
      </c>
      <c r="AO18" s="32"/>
    </row>
    <row r="19" spans="1:41" ht="14" x14ac:dyDescent="0.3">
      <c r="A19" s="39" t="s">
        <v>67</v>
      </c>
      <c r="B19" s="1" t="s">
        <v>58</v>
      </c>
      <c r="C19" s="16" t="s">
        <v>78</v>
      </c>
      <c r="D19" s="17">
        <v>0.3876</v>
      </c>
      <c r="E19" s="18">
        <v>0.32500000000000001</v>
      </c>
      <c r="F19" s="19">
        <v>0.67500000000000004</v>
      </c>
      <c r="G19" s="18">
        <v>0.13700000000000001</v>
      </c>
      <c r="H19" s="20">
        <v>0.84</v>
      </c>
      <c r="I19" s="20">
        <v>2.3E-2</v>
      </c>
      <c r="J19" s="19">
        <v>0</v>
      </c>
      <c r="K19" s="18">
        <f t="shared" si="13"/>
        <v>0.58279430789133246</v>
      </c>
      <c r="L19" s="20">
        <v>0</v>
      </c>
      <c r="M19" s="20">
        <f t="shared" si="14"/>
        <v>0.41720569210866754</v>
      </c>
      <c r="N19" s="19">
        <v>0</v>
      </c>
      <c r="O19" s="21">
        <v>0.8</v>
      </c>
      <c r="P19" s="20">
        <v>0</v>
      </c>
      <c r="Q19" s="20">
        <v>0</v>
      </c>
      <c r="R19" s="22">
        <v>0.05</v>
      </c>
      <c r="S19" s="22">
        <v>0.05</v>
      </c>
      <c r="T19" s="22">
        <v>0.05</v>
      </c>
      <c r="U19" s="26">
        <v>0.05</v>
      </c>
      <c r="V19" s="21">
        <v>0.05</v>
      </c>
      <c r="W19" s="22">
        <v>0.442</v>
      </c>
      <c r="X19" s="22">
        <v>0.45800000000000002</v>
      </c>
      <c r="Y19" s="26">
        <v>0.05</v>
      </c>
      <c r="Z19" s="21">
        <v>0.05</v>
      </c>
      <c r="AA19" s="22">
        <v>0.9</v>
      </c>
      <c r="AB19" s="26">
        <v>0.05</v>
      </c>
      <c r="AC19" s="21">
        <v>0.05</v>
      </c>
      <c r="AD19" s="22">
        <v>0.05</v>
      </c>
      <c r="AE19" s="26">
        <v>0.9</v>
      </c>
      <c r="AF19" s="21">
        <v>0.05</v>
      </c>
      <c r="AG19" s="22">
        <v>0.05</v>
      </c>
      <c r="AH19" s="22">
        <v>0.46500000000000002</v>
      </c>
      <c r="AI19" s="26">
        <v>0.435</v>
      </c>
      <c r="AJ19" s="27">
        <v>0</v>
      </c>
      <c r="AK19" s="28">
        <v>0</v>
      </c>
      <c r="AL19" s="28">
        <v>0</v>
      </c>
      <c r="AM19" s="28">
        <v>0</v>
      </c>
      <c r="AN19" s="31">
        <v>1</v>
      </c>
      <c r="AO19" s="32"/>
    </row>
    <row r="20" spans="1:41" ht="14" x14ac:dyDescent="0.3">
      <c r="A20" s="39" t="s">
        <v>68</v>
      </c>
      <c r="B20" s="1" t="s">
        <v>58</v>
      </c>
      <c r="C20" s="16" t="s">
        <v>78</v>
      </c>
      <c r="D20" s="17">
        <f>129000/2850000</f>
        <v>4.5263157894736845E-2</v>
      </c>
      <c r="E20" s="18">
        <v>0.60319999999999996</v>
      </c>
      <c r="F20" s="19">
        <v>0.39679999999999999</v>
      </c>
      <c r="G20" s="18">
        <v>0.2268</v>
      </c>
      <c r="H20" s="20">
        <v>0.72099999999999997</v>
      </c>
      <c r="I20" s="20">
        <v>5.2499999999999998E-2</v>
      </c>
      <c r="J20" s="19">
        <v>0</v>
      </c>
      <c r="K20" s="18">
        <v>0.54059999999999997</v>
      </c>
      <c r="L20" s="20">
        <v>4.3999999999999997E-2</v>
      </c>
      <c r="M20" s="20">
        <v>0.38700000000000001</v>
      </c>
      <c r="N20" s="19">
        <v>2.8400000000000002E-2</v>
      </c>
      <c r="O20" s="21">
        <v>0.82050000000000001</v>
      </c>
      <c r="P20" s="20">
        <v>0</v>
      </c>
      <c r="Q20" s="20">
        <v>0</v>
      </c>
      <c r="R20" s="20">
        <f>0.0653/0.972</f>
        <v>6.7181069958847733E-2</v>
      </c>
      <c r="S20" s="20">
        <f>0.01/0.972</f>
        <v>1.0288065843621399E-2</v>
      </c>
      <c r="T20" s="20">
        <f>0.0502/0.972</f>
        <v>5.1646090534979427E-2</v>
      </c>
      <c r="U20" s="26">
        <v>0.05</v>
      </c>
      <c r="V20" s="21">
        <v>0.05</v>
      </c>
      <c r="W20" s="22">
        <v>0.442</v>
      </c>
      <c r="X20" s="22">
        <v>0.45800000000000002</v>
      </c>
      <c r="Y20" s="26">
        <v>0.05</v>
      </c>
      <c r="Z20" s="21">
        <v>0.05</v>
      </c>
      <c r="AA20" s="22">
        <v>0.51</v>
      </c>
      <c r="AB20" s="26">
        <v>0.44</v>
      </c>
      <c r="AC20" s="21">
        <v>0.9</v>
      </c>
      <c r="AD20" s="22">
        <v>0.05</v>
      </c>
      <c r="AE20" s="26">
        <v>0.05</v>
      </c>
      <c r="AF20" s="21">
        <v>0.85</v>
      </c>
      <c r="AG20" s="22">
        <v>0.05</v>
      </c>
      <c r="AH20" s="22">
        <v>0.05</v>
      </c>
      <c r="AI20" s="26">
        <v>0.05</v>
      </c>
      <c r="AJ20" s="27">
        <v>0</v>
      </c>
      <c r="AK20" s="28">
        <v>0</v>
      </c>
      <c r="AL20" s="28">
        <v>0</v>
      </c>
      <c r="AM20" s="28">
        <v>0</v>
      </c>
      <c r="AN20" s="31">
        <v>1</v>
      </c>
      <c r="AO20" s="32"/>
    </row>
    <row r="21" spans="1:41" ht="14" x14ac:dyDescent="0.3">
      <c r="A21" s="30" t="s">
        <v>69</v>
      </c>
      <c r="B21" s="1" t="s">
        <v>70</v>
      </c>
      <c r="C21" s="16" t="s">
        <v>78</v>
      </c>
      <c r="D21" s="17">
        <v>0.75860000000000005</v>
      </c>
      <c r="E21" s="18">
        <v>0.55200000000000005</v>
      </c>
      <c r="F21" s="19">
        <v>0.44800000000000001</v>
      </c>
      <c r="G21" s="18">
        <v>0.11</v>
      </c>
      <c r="H21" s="20">
        <v>0.85299999999999998</v>
      </c>
      <c r="I21" s="20">
        <v>0.04</v>
      </c>
      <c r="J21" s="19">
        <v>0</v>
      </c>
      <c r="K21" s="18">
        <v>0.54059999999999997</v>
      </c>
      <c r="L21" s="20">
        <v>4.3999999999999997E-2</v>
      </c>
      <c r="M21" s="20">
        <v>0.38700000000000001</v>
      </c>
      <c r="N21" s="19">
        <v>2.8400000000000002E-2</v>
      </c>
      <c r="O21" s="18">
        <v>0.84609999999999996</v>
      </c>
      <c r="P21" s="20">
        <v>0</v>
      </c>
      <c r="Q21" s="20">
        <v>0</v>
      </c>
      <c r="R21" s="20">
        <v>6.5299999999999997E-2</v>
      </c>
      <c r="S21" s="20">
        <v>0.01</v>
      </c>
      <c r="T21" s="20">
        <v>5.0200000000000002E-2</v>
      </c>
      <c r="U21" s="19">
        <v>2.8400000000000002E-2</v>
      </c>
      <c r="V21" s="18">
        <v>0.25</v>
      </c>
      <c r="W21" s="20">
        <v>0.25</v>
      </c>
      <c r="X21" s="20">
        <v>0.25</v>
      </c>
      <c r="Y21" s="19">
        <v>0.25</v>
      </c>
      <c r="Z21" s="18">
        <v>0.30869999999999997</v>
      </c>
      <c r="AA21" s="20">
        <v>0.36969999999999997</v>
      </c>
      <c r="AB21" s="19">
        <v>0.3216</v>
      </c>
      <c r="AC21" s="18">
        <v>0.59019999999999995</v>
      </c>
      <c r="AD21" s="20">
        <v>0.27410000000000001</v>
      </c>
      <c r="AE21" s="19">
        <v>0.13569999999999999</v>
      </c>
      <c r="AF21" s="18">
        <v>0.65169999999999995</v>
      </c>
      <c r="AG21" s="20">
        <v>7.7600000000000002E-2</v>
      </c>
      <c r="AH21" s="20">
        <v>0.13930000000000001</v>
      </c>
      <c r="AI21" s="19">
        <v>0.1313</v>
      </c>
      <c r="AJ21" s="27">
        <v>0</v>
      </c>
      <c r="AK21" s="28">
        <v>0</v>
      </c>
      <c r="AL21" s="28">
        <v>0</v>
      </c>
      <c r="AM21" s="28">
        <v>0</v>
      </c>
      <c r="AN21" s="31">
        <v>1</v>
      </c>
      <c r="AO21" s="32"/>
    </row>
    <row r="22" spans="1:41" ht="14" x14ac:dyDescent="0.3">
      <c r="A22" s="30" t="s">
        <v>71</v>
      </c>
      <c r="B22" s="1" t="s">
        <v>70</v>
      </c>
      <c r="C22" s="16" t="s">
        <v>78</v>
      </c>
      <c r="D22" s="17">
        <v>6.1100000000000002E-2</v>
      </c>
      <c r="E22" s="18">
        <v>0.46560000000000001</v>
      </c>
      <c r="F22" s="19">
        <v>0.53439999999999999</v>
      </c>
      <c r="G22" s="21">
        <v>0.12180000000000001</v>
      </c>
      <c r="H22" s="22">
        <v>0.80210000000000004</v>
      </c>
      <c r="I22" s="22">
        <v>0.05</v>
      </c>
      <c r="J22" s="26">
        <v>0</v>
      </c>
      <c r="K22" s="18">
        <v>0</v>
      </c>
      <c r="L22" s="20">
        <f>0.044/0.431</f>
        <v>0.10208816705336426</v>
      </c>
      <c r="M22" s="20">
        <f>0.387/0.431</f>
        <v>0.89791183294663579</v>
      </c>
      <c r="N22" s="19">
        <v>0</v>
      </c>
      <c r="O22" s="21">
        <v>0.83389999999999997</v>
      </c>
      <c r="P22" s="20">
        <v>0</v>
      </c>
      <c r="Q22" s="20">
        <v>0</v>
      </c>
      <c r="R22" s="22">
        <v>0.05</v>
      </c>
      <c r="S22" s="20">
        <f>0.01/0.906</f>
        <v>1.1037527593818984E-2</v>
      </c>
      <c r="T22" s="20">
        <f>0.0502/0.906</f>
        <v>5.5408388520971304E-2</v>
      </c>
      <c r="U22" s="26">
        <v>0.05</v>
      </c>
      <c r="V22" s="21">
        <v>0.05</v>
      </c>
      <c r="W22" s="20">
        <f>0.2607/0.842</f>
        <v>0.30961995249406177</v>
      </c>
      <c r="X22" s="20">
        <f>0.2692/0.842</f>
        <v>0.31971496437054631</v>
      </c>
      <c r="Y22" s="26">
        <v>0.3211</v>
      </c>
      <c r="Z22" s="18">
        <v>0.30869999999999997</v>
      </c>
      <c r="AA22" s="20">
        <v>0.36969999999999997</v>
      </c>
      <c r="AB22" s="19">
        <v>0.3216</v>
      </c>
      <c r="AC22" s="18">
        <f>1-0.5902</f>
        <v>0.40980000000000005</v>
      </c>
      <c r="AD22" s="20">
        <f>0.2741/0.41</f>
        <v>0.6685365853658537</v>
      </c>
      <c r="AE22" s="19">
        <f>0.1357/0.41</f>
        <v>0.33097560975609758</v>
      </c>
      <c r="AF22" s="21">
        <v>0.05</v>
      </c>
      <c r="AG22" s="20">
        <f>0.0776/0.348</f>
        <v>0.22298850574712645</v>
      </c>
      <c r="AH22" s="22">
        <v>0.3503</v>
      </c>
      <c r="AI22" s="19">
        <f>0.1313/0.348</f>
        <v>0.37729885057471269</v>
      </c>
      <c r="AJ22" s="27">
        <v>0.01</v>
      </c>
      <c r="AK22" s="28">
        <v>0.03</v>
      </c>
      <c r="AL22" s="28">
        <v>0.06</v>
      </c>
      <c r="AM22" s="28">
        <v>0</v>
      </c>
      <c r="AN22" s="31">
        <v>0.9</v>
      </c>
      <c r="AO22" s="32"/>
    </row>
    <row r="23" spans="1:41" ht="14" x14ac:dyDescent="0.3">
      <c r="A23" s="40" t="s">
        <v>72</v>
      </c>
      <c r="B23" s="1" t="s">
        <v>70</v>
      </c>
      <c r="C23" s="16" t="s">
        <v>78</v>
      </c>
      <c r="D23" s="17">
        <v>4.9099999999999998E-2</v>
      </c>
      <c r="E23" s="18">
        <v>0.46560000000000001</v>
      </c>
      <c r="F23" s="19">
        <v>0.53439999999999999</v>
      </c>
      <c r="G23" s="21">
        <v>0.12180000000000001</v>
      </c>
      <c r="H23" s="22">
        <v>0.80210000000000004</v>
      </c>
      <c r="I23" s="22">
        <v>0.05</v>
      </c>
      <c r="J23" s="26">
        <v>0</v>
      </c>
      <c r="K23" s="18">
        <v>0.54059999999999997</v>
      </c>
      <c r="L23" s="20">
        <v>4.3999999999999997E-2</v>
      </c>
      <c r="M23" s="20">
        <v>0.38700000000000001</v>
      </c>
      <c r="N23" s="19">
        <v>2.8400000000000002E-2</v>
      </c>
      <c r="O23" s="18">
        <v>0.84609999999999996</v>
      </c>
      <c r="P23" s="20">
        <v>0</v>
      </c>
      <c r="Q23" s="20">
        <v>0</v>
      </c>
      <c r="R23" s="20">
        <v>6.5299999999999997E-2</v>
      </c>
      <c r="S23" s="20">
        <v>0.01</v>
      </c>
      <c r="T23" s="20">
        <v>5.0200000000000002E-2</v>
      </c>
      <c r="U23" s="19">
        <v>2.8400000000000002E-2</v>
      </c>
      <c r="V23" s="18">
        <v>0.25</v>
      </c>
      <c r="W23" s="20">
        <v>0.25</v>
      </c>
      <c r="X23" s="20">
        <v>0.25</v>
      </c>
      <c r="Y23" s="19">
        <v>0.25</v>
      </c>
      <c r="Z23" s="18">
        <v>0.30869999999999997</v>
      </c>
      <c r="AA23" s="20">
        <v>0.36969999999999997</v>
      </c>
      <c r="AB23" s="19">
        <v>0.3216</v>
      </c>
      <c r="AC23" s="18">
        <v>0.59019999999999995</v>
      </c>
      <c r="AD23" s="20">
        <v>0.27410000000000001</v>
      </c>
      <c r="AE23" s="19">
        <v>0.13569999999999999</v>
      </c>
      <c r="AF23" s="18">
        <v>0.65169999999999995</v>
      </c>
      <c r="AG23" s="20">
        <v>7.7600000000000002E-2</v>
      </c>
      <c r="AH23" s="20">
        <v>0.13930000000000001</v>
      </c>
      <c r="AI23" s="19">
        <v>0.1313</v>
      </c>
      <c r="AJ23" s="27">
        <v>0</v>
      </c>
      <c r="AK23" s="28">
        <v>0</v>
      </c>
      <c r="AL23" s="28">
        <v>0</v>
      </c>
      <c r="AM23" s="28">
        <v>0</v>
      </c>
      <c r="AN23" s="31">
        <v>1</v>
      </c>
      <c r="AO23" s="32"/>
    </row>
    <row r="24" spans="1:41" ht="14" x14ac:dyDescent="0.3">
      <c r="A24" s="30" t="s">
        <v>73</v>
      </c>
      <c r="B24" s="1" t="s">
        <v>70</v>
      </c>
      <c r="C24" s="16" t="s">
        <v>78</v>
      </c>
      <c r="D24" s="17">
        <v>9.0200000000000002E-2</v>
      </c>
      <c r="E24" s="18">
        <v>0.46560000000000001</v>
      </c>
      <c r="F24" s="19">
        <v>0.53439999999999999</v>
      </c>
      <c r="G24" s="21">
        <v>0.12180000000000001</v>
      </c>
      <c r="H24" s="22">
        <v>0.80210000000000004</v>
      </c>
      <c r="I24" s="22">
        <v>0.05</v>
      </c>
      <c r="J24" s="26">
        <v>0</v>
      </c>
      <c r="K24" s="18">
        <v>0</v>
      </c>
      <c r="L24" s="20">
        <f>0.044/0.431</f>
        <v>0.10208816705336426</v>
      </c>
      <c r="M24" s="20">
        <f>0.387/0.431</f>
        <v>0.89791183294663579</v>
      </c>
      <c r="N24" s="19">
        <v>0</v>
      </c>
      <c r="O24" s="21">
        <v>0.05</v>
      </c>
      <c r="P24" s="20">
        <v>0</v>
      </c>
      <c r="Q24" s="20">
        <v>0</v>
      </c>
      <c r="R24" s="22">
        <v>0.05</v>
      </c>
      <c r="S24" s="20">
        <f>0.01/0.089</f>
        <v>0.11235955056179776</v>
      </c>
      <c r="T24" s="22">
        <v>0.51400000000000001</v>
      </c>
      <c r="U24" s="26">
        <v>0.26910000000000001</v>
      </c>
      <c r="V24" s="21">
        <v>0.05</v>
      </c>
      <c r="W24" s="20">
        <f>0.2607/0.842</f>
        <v>0.30961995249406177</v>
      </c>
      <c r="X24" s="20">
        <f>0.2692/0.842</f>
        <v>0.31971496437054631</v>
      </c>
      <c r="Y24" s="26">
        <v>0.3211</v>
      </c>
      <c r="Z24" s="18">
        <v>0.30869999999999997</v>
      </c>
      <c r="AA24" s="20">
        <v>0.36969999999999997</v>
      </c>
      <c r="AB24" s="19">
        <v>0.3216</v>
      </c>
      <c r="AC24" s="18">
        <f>1-0.5902</f>
        <v>0.40980000000000005</v>
      </c>
      <c r="AD24" s="20">
        <f>0.2741/0.41</f>
        <v>0.6685365853658537</v>
      </c>
      <c r="AE24" s="19">
        <f>0.1357/0.41</f>
        <v>0.33097560975609758</v>
      </c>
      <c r="AF24" s="21">
        <v>0.05</v>
      </c>
      <c r="AG24" s="20">
        <f>0.0776/0.348</f>
        <v>0.22298850574712645</v>
      </c>
      <c r="AH24" s="22">
        <v>0.3503</v>
      </c>
      <c r="AI24" s="19">
        <f>0.1313/0.348</f>
        <v>0.37729885057471269</v>
      </c>
      <c r="AJ24" s="27">
        <v>0.01</v>
      </c>
      <c r="AK24" s="28">
        <v>0.03</v>
      </c>
      <c r="AL24" s="28">
        <v>0.06</v>
      </c>
      <c r="AM24" s="28">
        <v>0</v>
      </c>
      <c r="AN24" s="31">
        <v>0.9</v>
      </c>
      <c r="AO24" s="32"/>
    </row>
    <row r="25" spans="1:41" ht="14" x14ac:dyDescent="0.3">
      <c r="A25" s="28" t="s">
        <v>74</v>
      </c>
      <c r="B25" s="28" t="s">
        <v>75</v>
      </c>
      <c r="C25" s="28" t="s">
        <v>48</v>
      </c>
      <c r="D25" s="41">
        <v>0.75</v>
      </c>
      <c r="E25" s="42">
        <v>0.46560000000000001</v>
      </c>
      <c r="F25" s="43">
        <f t="shared" ref="F25:F26" si="15">1-E25</f>
        <v>0.53439999999999999</v>
      </c>
      <c r="G25" s="3">
        <v>6.7699999999999996E-2</v>
      </c>
      <c r="H25" s="3">
        <v>0.55569999999999997</v>
      </c>
      <c r="I25" s="3">
        <v>0.19969999999999999</v>
      </c>
      <c r="J25" s="3">
        <f t="shared" ref="J25:J26" si="16">1-(G25+H25+I25)</f>
        <v>0.17690000000000006</v>
      </c>
      <c r="K25" s="44">
        <v>0.54059999999999997</v>
      </c>
      <c r="L25" s="45">
        <v>4.3999999999999997E-2</v>
      </c>
      <c r="M25" s="45">
        <v>0.38700000000000001</v>
      </c>
      <c r="N25" s="46">
        <v>2.8400000000000002E-2</v>
      </c>
      <c r="O25" s="3">
        <v>0.84609999999999996</v>
      </c>
      <c r="P25" s="3">
        <v>0</v>
      </c>
      <c r="Q25" s="3">
        <v>0</v>
      </c>
      <c r="R25" s="3">
        <v>6.5199999999999994E-2</v>
      </c>
      <c r="S25" s="3">
        <v>0.01</v>
      </c>
      <c r="T25" s="3">
        <v>0.05</v>
      </c>
      <c r="U25" s="3">
        <v>2.8400000000000002E-2</v>
      </c>
      <c r="V25" s="44">
        <v>0.15770000000000001</v>
      </c>
      <c r="W25" s="45">
        <v>0.26069999999999999</v>
      </c>
      <c r="X25" s="45">
        <v>0.26919999999999999</v>
      </c>
      <c r="Y25" s="46">
        <v>0.3125</v>
      </c>
      <c r="Z25" s="45">
        <v>0.30869999999999997</v>
      </c>
      <c r="AA25" s="45">
        <v>0.36969999999999997</v>
      </c>
      <c r="AB25" s="45">
        <v>0.3216</v>
      </c>
      <c r="AC25" s="44">
        <v>0.59019999999999995</v>
      </c>
      <c r="AD25" s="45">
        <v>0.27410000000000001</v>
      </c>
      <c r="AE25" s="46">
        <v>0.13569999999999999</v>
      </c>
      <c r="AF25" s="44">
        <v>0.65169999999999995</v>
      </c>
      <c r="AG25" s="45">
        <v>7.7600000000000002E-2</v>
      </c>
      <c r="AH25" s="45">
        <v>0.13930000000000001</v>
      </c>
      <c r="AI25" s="46">
        <v>0.1313</v>
      </c>
      <c r="AJ25" s="27">
        <v>0</v>
      </c>
      <c r="AK25" s="28">
        <v>0</v>
      </c>
      <c r="AL25" s="28">
        <v>0</v>
      </c>
      <c r="AM25" s="28">
        <v>0</v>
      </c>
      <c r="AN25" s="47">
        <v>1</v>
      </c>
    </row>
    <row r="26" spans="1:41" ht="14" x14ac:dyDescent="0.3">
      <c r="A26" s="28" t="s">
        <v>76</v>
      </c>
      <c r="B26" s="28" t="s">
        <v>75</v>
      </c>
      <c r="C26" s="28" t="s">
        <v>48</v>
      </c>
      <c r="D26" s="41">
        <v>0.75</v>
      </c>
      <c r="E26" s="42">
        <v>0.46560000000000001</v>
      </c>
      <c r="F26" s="43">
        <f t="shared" si="15"/>
        <v>0.53439999999999999</v>
      </c>
      <c r="G26" s="3">
        <v>6.7699999999999996E-2</v>
      </c>
      <c r="H26" s="3">
        <v>0.55569999999999997</v>
      </c>
      <c r="I26" s="3">
        <v>0.19969999999999999</v>
      </c>
      <c r="J26" s="3">
        <f t="shared" si="16"/>
        <v>0.17690000000000006</v>
      </c>
      <c r="K26" s="44">
        <v>0.54059999999999997</v>
      </c>
      <c r="L26" s="45">
        <v>4.3999999999999997E-2</v>
      </c>
      <c r="M26" s="45">
        <v>0.38700000000000001</v>
      </c>
      <c r="N26" s="46">
        <v>2.8400000000000002E-2</v>
      </c>
      <c r="O26" s="3">
        <v>0.84609999999999996</v>
      </c>
      <c r="P26" s="3">
        <v>0</v>
      </c>
      <c r="Q26" s="3">
        <v>0</v>
      </c>
      <c r="R26" s="3">
        <v>6.5199999999999994E-2</v>
      </c>
      <c r="S26" s="3">
        <v>0.01</v>
      </c>
      <c r="T26" s="3">
        <v>0.05</v>
      </c>
      <c r="U26" s="3">
        <v>2.8400000000000002E-2</v>
      </c>
      <c r="V26" s="44">
        <v>0.15770000000000001</v>
      </c>
      <c r="W26" s="45">
        <v>0.26069999999999999</v>
      </c>
      <c r="X26" s="45">
        <v>0.26919999999999999</v>
      </c>
      <c r="Y26" s="46">
        <v>0.3125</v>
      </c>
      <c r="Z26" s="45">
        <v>0.30869999999999997</v>
      </c>
      <c r="AA26" s="45">
        <v>0.36969999999999997</v>
      </c>
      <c r="AB26" s="45">
        <v>0.3216</v>
      </c>
      <c r="AC26" s="44">
        <v>0.59019999999999995</v>
      </c>
      <c r="AD26" s="45">
        <v>0.27410000000000001</v>
      </c>
      <c r="AE26" s="46">
        <v>0.13569999999999999</v>
      </c>
      <c r="AF26" s="44">
        <v>0.65169999999999995</v>
      </c>
      <c r="AG26" s="45">
        <v>7.7600000000000002E-2</v>
      </c>
      <c r="AH26" s="45">
        <v>0.13930000000000001</v>
      </c>
      <c r="AI26" s="46">
        <v>0.1313</v>
      </c>
      <c r="AJ26" s="27">
        <v>0</v>
      </c>
      <c r="AK26" s="28">
        <v>0</v>
      </c>
      <c r="AL26" s="28">
        <v>0</v>
      </c>
      <c r="AM26" s="28">
        <v>0</v>
      </c>
      <c r="AN26" s="47">
        <v>1</v>
      </c>
    </row>
    <row r="27" spans="1:41" ht="14" x14ac:dyDescent="0.3">
      <c r="A27" s="48" t="s">
        <v>77</v>
      </c>
      <c r="B27" s="49" t="s">
        <v>75</v>
      </c>
      <c r="C27" s="50" t="s">
        <v>78</v>
      </c>
      <c r="D27" s="51">
        <v>1</v>
      </c>
      <c r="E27" s="50">
        <v>1</v>
      </c>
      <c r="F27" s="50">
        <v>1</v>
      </c>
      <c r="G27" s="52">
        <v>1</v>
      </c>
      <c r="H27" s="50">
        <v>1</v>
      </c>
      <c r="I27" s="50">
        <v>1</v>
      </c>
      <c r="J27" s="53">
        <v>1</v>
      </c>
      <c r="K27" s="50">
        <v>1</v>
      </c>
      <c r="L27" s="50">
        <v>1</v>
      </c>
      <c r="M27" s="50">
        <v>1</v>
      </c>
      <c r="N27" s="50">
        <v>1</v>
      </c>
      <c r="O27" s="52">
        <v>1</v>
      </c>
      <c r="P27" s="50">
        <v>1</v>
      </c>
      <c r="Q27" s="50">
        <v>1</v>
      </c>
      <c r="R27" s="50">
        <v>1</v>
      </c>
      <c r="S27" s="50">
        <v>1</v>
      </c>
      <c r="T27" s="50">
        <v>1</v>
      </c>
      <c r="U27" s="53">
        <v>1</v>
      </c>
      <c r="V27" s="50">
        <v>1</v>
      </c>
      <c r="W27" s="50">
        <v>1</v>
      </c>
      <c r="X27" s="50">
        <v>1</v>
      </c>
      <c r="Y27" s="50">
        <v>1</v>
      </c>
      <c r="Z27" s="52">
        <v>1</v>
      </c>
      <c r="AA27" s="50">
        <v>1</v>
      </c>
      <c r="AB27" s="53">
        <v>1</v>
      </c>
      <c r="AC27" s="50">
        <v>1</v>
      </c>
      <c r="AD27" s="50">
        <v>1</v>
      </c>
      <c r="AE27" s="50">
        <v>1</v>
      </c>
      <c r="AF27" s="52">
        <v>1</v>
      </c>
      <c r="AG27" s="50">
        <v>1</v>
      </c>
      <c r="AH27" s="50">
        <v>1</v>
      </c>
      <c r="AI27" s="53">
        <v>1</v>
      </c>
      <c r="AJ27" s="50">
        <v>1</v>
      </c>
      <c r="AK27" s="50">
        <v>1</v>
      </c>
      <c r="AL27" s="50">
        <v>1</v>
      </c>
      <c r="AM27" s="50">
        <v>1</v>
      </c>
      <c r="AN27" s="53">
        <v>0</v>
      </c>
    </row>
    <row r="28" spans="1:41" ht="14" x14ac:dyDescent="0.3">
      <c r="A28" s="1"/>
      <c r="B28" s="1"/>
      <c r="D28" s="54"/>
    </row>
    <row r="29" spans="1:41" ht="14" x14ac:dyDescent="0.3">
      <c r="B29" s="1"/>
      <c r="D29" s="54"/>
    </row>
    <row r="30" spans="1:41" ht="14" x14ac:dyDescent="0.3">
      <c r="A30" s="1"/>
      <c r="B30" s="37"/>
      <c r="D30" s="54"/>
    </row>
    <row r="31" spans="1:41" ht="14" x14ac:dyDescent="0.3">
      <c r="A31" s="37"/>
      <c r="B31" s="1"/>
      <c r="D31" s="54"/>
    </row>
    <row r="32" spans="1:41" ht="14" x14ac:dyDescent="0.3">
      <c r="A32" s="1"/>
      <c r="B32" s="1"/>
      <c r="D32" s="54"/>
    </row>
    <row r="33" spans="4:4" ht="12.5" x14ac:dyDescent="0.25">
      <c r="D33" s="54"/>
    </row>
    <row r="34" spans="4:4" ht="12.5" x14ac:dyDescent="0.25">
      <c r="D34" s="54"/>
    </row>
    <row r="35" spans="4:4" ht="12.5" x14ac:dyDescent="0.25">
      <c r="D35" s="54"/>
    </row>
    <row r="36" spans="4:4" ht="12.5" x14ac:dyDescent="0.25">
      <c r="D36" s="54"/>
    </row>
    <row r="37" spans="4:4" ht="12.5" x14ac:dyDescent="0.25">
      <c r="D37" s="54"/>
    </row>
    <row r="38" spans="4:4" ht="12.5" x14ac:dyDescent="0.25">
      <c r="D38" s="54"/>
    </row>
    <row r="39" spans="4:4" ht="12.5" x14ac:dyDescent="0.25">
      <c r="D39" s="54"/>
    </row>
    <row r="40" spans="4:4" ht="12.5" x14ac:dyDescent="0.25">
      <c r="D40" s="54"/>
    </row>
    <row r="41" spans="4:4" ht="12.5" x14ac:dyDescent="0.25">
      <c r="D41" s="54"/>
    </row>
  </sheetData>
  <mergeCells count="9">
    <mergeCell ref="Z1:AB1"/>
    <mergeCell ref="AC1:AE1"/>
    <mergeCell ref="AF1:AI1"/>
    <mergeCell ref="AJ1:AN1"/>
    <mergeCell ref="E1:F1"/>
    <mergeCell ref="G1:J1"/>
    <mergeCell ref="K1:N1"/>
    <mergeCell ref="O1:U1"/>
    <mergeCell ref="V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26"/>
  <sheetViews>
    <sheetView tabSelected="1" workbookViewId="0">
      <pane xSplit="1" ySplit="2" topLeftCell="I3" activePane="bottomRight" state="frozen"/>
      <selection activeCell="AN11" sqref="AN11"/>
      <selection pane="topRight" activeCell="AN11" sqref="AN11"/>
      <selection pane="bottomLeft" activeCell="AN11" sqref="AN11"/>
      <selection pane="bottomRight" activeCell="P9" sqref="P9"/>
    </sheetView>
  </sheetViews>
  <sheetFormatPr defaultColWidth="12.54296875" defaultRowHeight="15.75" customHeight="1" x14ac:dyDescent="0.25"/>
  <sheetData>
    <row r="1" spans="1:40" ht="15.75" customHeight="1" x14ac:dyDescent="0.3">
      <c r="B1" s="1"/>
      <c r="C1" s="1"/>
      <c r="D1" s="2"/>
      <c r="E1" s="95" t="s">
        <v>0</v>
      </c>
      <c r="F1" s="93"/>
      <c r="G1" s="96" t="s">
        <v>1</v>
      </c>
      <c r="H1" s="92"/>
      <c r="I1" s="92"/>
      <c r="J1" s="93"/>
      <c r="K1" s="91" t="s">
        <v>2</v>
      </c>
      <c r="L1" s="92"/>
      <c r="M1" s="92"/>
      <c r="N1" s="93"/>
      <c r="O1" s="97" t="s">
        <v>3</v>
      </c>
      <c r="P1" s="92"/>
      <c r="Q1" s="92"/>
      <c r="R1" s="92"/>
      <c r="S1" s="92"/>
      <c r="T1" s="92"/>
      <c r="U1" s="93"/>
      <c r="V1" s="91" t="s">
        <v>4</v>
      </c>
      <c r="W1" s="92"/>
      <c r="X1" s="92"/>
      <c r="Y1" s="93"/>
      <c r="Z1" s="91" t="s">
        <v>5</v>
      </c>
      <c r="AA1" s="92"/>
      <c r="AB1" s="93"/>
      <c r="AC1" s="91" t="s">
        <v>6</v>
      </c>
      <c r="AD1" s="92"/>
      <c r="AE1" s="93"/>
      <c r="AF1" s="94" t="s">
        <v>7</v>
      </c>
      <c r="AG1" s="92"/>
      <c r="AH1" s="92"/>
      <c r="AI1" s="93"/>
      <c r="AJ1" s="86" t="s">
        <v>8</v>
      </c>
      <c r="AK1" s="87"/>
      <c r="AL1" s="87"/>
      <c r="AM1" s="87"/>
      <c r="AN1" s="88"/>
    </row>
    <row r="2" spans="1:40" ht="15.75" customHeight="1" x14ac:dyDescent="0.3">
      <c r="A2" s="4" t="s">
        <v>9</v>
      </c>
      <c r="B2" s="4" t="s">
        <v>10</v>
      </c>
      <c r="C2" s="4" t="s">
        <v>11</v>
      </c>
      <c r="D2" s="5" t="s">
        <v>12</v>
      </c>
      <c r="E2" s="8" t="s">
        <v>13</v>
      </c>
      <c r="F2" s="7" t="s">
        <v>14</v>
      </c>
      <c r="G2" s="8" t="s">
        <v>15</v>
      </c>
      <c r="H2" s="8" t="s">
        <v>16</v>
      </c>
      <c r="I2" s="8" t="s">
        <v>17</v>
      </c>
      <c r="J2" s="7" t="s">
        <v>18</v>
      </c>
      <c r="K2" s="10" t="s">
        <v>19</v>
      </c>
      <c r="L2" s="10" t="s">
        <v>20</v>
      </c>
      <c r="M2" s="10" t="s">
        <v>21</v>
      </c>
      <c r="N2" s="11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4" t="s">
        <v>29</v>
      </c>
      <c r="V2" s="10" t="s">
        <v>30</v>
      </c>
      <c r="W2" s="10" t="s">
        <v>31</v>
      </c>
      <c r="X2" s="10" t="s">
        <v>32</v>
      </c>
      <c r="Y2" s="11" t="s">
        <v>33</v>
      </c>
      <c r="Z2" s="10" t="s">
        <v>34</v>
      </c>
      <c r="AA2" s="10" t="s">
        <v>35</v>
      </c>
      <c r="AB2" s="11" t="s">
        <v>36</v>
      </c>
      <c r="AC2" s="10" t="s">
        <v>37</v>
      </c>
      <c r="AD2" s="10" t="s">
        <v>38</v>
      </c>
      <c r="AE2" s="11" t="s">
        <v>33</v>
      </c>
      <c r="AF2" s="10" t="s">
        <v>39</v>
      </c>
      <c r="AG2" s="10" t="s">
        <v>40</v>
      </c>
      <c r="AH2" s="10" t="s">
        <v>41</v>
      </c>
      <c r="AI2" s="11" t="s">
        <v>33</v>
      </c>
      <c r="AJ2" s="9" t="s">
        <v>42</v>
      </c>
      <c r="AK2" s="10" t="s">
        <v>43</v>
      </c>
      <c r="AL2" s="10" t="s">
        <v>44</v>
      </c>
      <c r="AM2" s="10" t="s">
        <v>45</v>
      </c>
      <c r="AN2" s="43" t="s">
        <v>122</v>
      </c>
    </row>
    <row r="3" spans="1:40" ht="15.75" customHeight="1" x14ac:dyDescent="0.3">
      <c r="A3" s="55" t="s">
        <v>79</v>
      </c>
      <c r="B3" s="56" t="s">
        <v>47</v>
      </c>
      <c r="C3" s="56" t="s">
        <v>80</v>
      </c>
      <c r="D3" s="57">
        <v>9.2100000000000001E-2</v>
      </c>
      <c r="E3" s="58">
        <v>0.45</v>
      </c>
      <c r="F3" s="59">
        <v>0.55000000000000004</v>
      </c>
      <c r="G3" s="60">
        <f t="shared" ref="G3:G5" si="0">0.098/0.852</f>
        <v>0.11502347417840376</v>
      </c>
      <c r="H3" s="58">
        <f t="shared" ref="H3:H5" si="1">0.5665/0.852</f>
        <v>0.664906103286385</v>
      </c>
      <c r="I3" s="58">
        <f t="shared" ref="I3:I5" si="2">0.1872/0.852</f>
        <v>0.21971830985915494</v>
      </c>
      <c r="J3" s="59">
        <v>0</v>
      </c>
      <c r="K3" s="61">
        <f>0.8083/0.9545</f>
        <v>0.8468308014667365</v>
      </c>
      <c r="L3" s="61">
        <v>0</v>
      </c>
      <c r="M3" s="61">
        <f>0.0852/0.9545</f>
        <v>8.9261393399685696E-2</v>
      </c>
      <c r="N3" s="62">
        <f>0.061/0.9545</f>
        <v>6.3907805133577786E-2</v>
      </c>
      <c r="O3" s="63">
        <v>0</v>
      </c>
      <c r="P3" s="61">
        <v>0</v>
      </c>
      <c r="Q3" s="61">
        <v>0</v>
      </c>
      <c r="R3" s="61">
        <f>0.936/0.997</f>
        <v>0.9388164493480442</v>
      </c>
      <c r="S3" s="61">
        <v>0</v>
      </c>
      <c r="T3" s="61">
        <v>0</v>
      </c>
      <c r="U3" s="62">
        <f>0.061/0.997</f>
        <v>6.1183550651955868E-2</v>
      </c>
      <c r="V3" s="61">
        <v>0.153</v>
      </c>
      <c r="W3" s="61">
        <v>0.25719999999999998</v>
      </c>
      <c r="X3" s="61">
        <v>0.3906</v>
      </c>
      <c r="Y3" s="62">
        <v>0.19919999999999999</v>
      </c>
      <c r="Z3" s="63">
        <v>0.35310000000000002</v>
      </c>
      <c r="AA3" s="61">
        <v>0.38450000000000001</v>
      </c>
      <c r="AB3" s="62">
        <v>0.26240000000000002</v>
      </c>
      <c r="AC3" s="61">
        <v>0.57969999999999999</v>
      </c>
      <c r="AD3" s="61">
        <v>0.29830000000000001</v>
      </c>
      <c r="AE3" s="62">
        <v>0.122</v>
      </c>
      <c r="AF3" s="63">
        <v>0.60980000000000001</v>
      </c>
      <c r="AG3" s="61">
        <v>9.7799999999999998E-2</v>
      </c>
      <c r="AH3" s="61">
        <v>0.1757</v>
      </c>
      <c r="AI3" s="62">
        <v>0.1168</v>
      </c>
      <c r="AJ3" s="32">
        <v>0</v>
      </c>
      <c r="AK3" s="32">
        <v>0</v>
      </c>
      <c r="AL3" s="32">
        <v>0</v>
      </c>
      <c r="AM3" s="32">
        <v>0</v>
      </c>
      <c r="AN3" s="64">
        <v>1</v>
      </c>
    </row>
    <row r="4" spans="1:40" ht="15.75" customHeight="1" x14ac:dyDescent="0.3">
      <c r="A4" s="65" t="s">
        <v>81</v>
      </c>
      <c r="B4" s="1" t="s">
        <v>47</v>
      </c>
      <c r="C4" s="1" t="s">
        <v>80</v>
      </c>
      <c r="D4" s="17">
        <v>0.04</v>
      </c>
      <c r="E4" s="66">
        <v>0.53990000000000005</v>
      </c>
      <c r="F4" s="67">
        <v>0.46010000000000001</v>
      </c>
      <c r="G4" s="68">
        <f t="shared" si="0"/>
        <v>0.11502347417840376</v>
      </c>
      <c r="H4" s="66">
        <f t="shared" si="1"/>
        <v>0.664906103286385</v>
      </c>
      <c r="I4" s="66">
        <f t="shared" si="2"/>
        <v>0.21971830985915494</v>
      </c>
      <c r="J4" s="67">
        <v>0</v>
      </c>
      <c r="K4" s="69">
        <f>0.8083/0.939</f>
        <v>0.86080937167199156</v>
      </c>
      <c r="L4" s="69">
        <f>0.0455/0.939</f>
        <v>4.8455804046858363E-2</v>
      </c>
      <c r="M4" s="69">
        <f>0.0852/0.939</f>
        <v>9.0734824281150164E-2</v>
      </c>
      <c r="N4" s="70">
        <v>0</v>
      </c>
      <c r="O4" s="71">
        <v>0</v>
      </c>
      <c r="P4" s="69">
        <v>0</v>
      </c>
      <c r="Q4" s="69">
        <v>0</v>
      </c>
      <c r="R4" s="69">
        <f>0.936/0.938</f>
        <v>0.99786780383795326</v>
      </c>
      <c r="S4" s="69">
        <v>0</v>
      </c>
      <c r="T4" s="69">
        <f>0.0015/0.938</f>
        <v>1.5991471215351814E-3</v>
      </c>
      <c r="U4" s="70">
        <v>0</v>
      </c>
      <c r="V4" s="69">
        <v>0</v>
      </c>
      <c r="W4" s="69">
        <v>0</v>
      </c>
      <c r="X4" s="69">
        <v>1</v>
      </c>
      <c r="Y4" s="70">
        <v>0</v>
      </c>
      <c r="Z4" s="71">
        <v>0</v>
      </c>
      <c r="AA4" s="69">
        <f t="shared" ref="AA4:AA5" si="3">0.3845/0.647</f>
        <v>0.59428129829984544</v>
      </c>
      <c r="AB4" s="70">
        <f t="shared" ref="AB4:AB5" si="4">0.2624/0.647</f>
        <v>0.40556414219474501</v>
      </c>
      <c r="AC4" s="69">
        <v>1</v>
      </c>
      <c r="AD4" s="69">
        <v>0</v>
      </c>
      <c r="AE4" s="70">
        <v>0</v>
      </c>
      <c r="AF4" s="71">
        <v>1</v>
      </c>
      <c r="AG4" s="69">
        <v>0</v>
      </c>
      <c r="AH4" s="69">
        <v>0</v>
      </c>
      <c r="AI4" s="70">
        <v>0</v>
      </c>
      <c r="AJ4" s="32">
        <v>0</v>
      </c>
      <c r="AK4" s="32">
        <v>0</v>
      </c>
      <c r="AL4" s="32">
        <v>0</v>
      </c>
      <c r="AM4" s="32">
        <v>0</v>
      </c>
      <c r="AN4" s="31">
        <v>1</v>
      </c>
    </row>
    <row r="5" spans="1:40" ht="15.75" customHeight="1" x14ac:dyDescent="0.3">
      <c r="A5" s="65" t="s">
        <v>82</v>
      </c>
      <c r="B5" s="1" t="s">
        <v>47</v>
      </c>
      <c r="C5" s="1" t="s">
        <v>80</v>
      </c>
      <c r="D5" s="17">
        <v>4.8500000000000001E-2</v>
      </c>
      <c r="E5" s="66">
        <v>0.50929999999999997</v>
      </c>
      <c r="F5" s="67">
        <v>0.49070000000000003</v>
      </c>
      <c r="G5" s="68">
        <f t="shared" si="0"/>
        <v>0.11502347417840376</v>
      </c>
      <c r="H5" s="66">
        <f t="shared" si="1"/>
        <v>0.664906103286385</v>
      </c>
      <c r="I5" s="66">
        <f t="shared" si="2"/>
        <v>0.21971830985915494</v>
      </c>
      <c r="J5" s="67">
        <v>0</v>
      </c>
      <c r="K5" s="69">
        <f t="shared" ref="K5:K9" si="5">0.8083/0.8935</f>
        <v>0.90464465584778964</v>
      </c>
      <c r="L5" s="69">
        <v>0</v>
      </c>
      <c r="M5" s="69">
        <f t="shared" ref="M5:M9" si="6">0.0852/0.8935</f>
        <v>9.5355344152210406E-2</v>
      </c>
      <c r="N5" s="70">
        <v>0</v>
      </c>
      <c r="O5" s="71">
        <v>0</v>
      </c>
      <c r="P5" s="69">
        <v>0</v>
      </c>
      <c r="Q5" s="69">
        <v>0</v>
      </c>
      <c r="R5" s="69">
        <f>0.936/0.997</f>
        <v>0.9388164493480442</v>
      </c>
      <c r="S5" s="69">
        <v>0</v>
      </c>
      <c r="T5" s="69">
        <v>0</v>
      </c>
      <c r="U5" s="70">
        <f>0.061/0.997</f>
        <v>6.1183550651955868E-2</v>
      </c>
      <c r="V5" s="69">
        <f>0.153/0.41</f>
        <v>0.37317073170731707</v>
      </c>
      <c r="W5" s="69">
        <f>0.2572/0.41</f>
        <v>0.62731707317073171</v>
      </c>
      <c r="X5" s="69">
        <v>0</v>
      </c>
      <c r="Y5" s="70">
        <v>0</v>
      </c>
      <c r="Z5" s="71">
        <v>0</v>
      </c>
      <c r="AA5" s="69">
        <f t="shared" si="3"/>
        <v>0.59428129829984544</v>
      </c>
      <c r="AB5" s="70">
        <f t="shared" si="4"/>
        <v>0.40556414219474501</v>
      </c>
      <c r="AC5" s="69">
        <v>1</v>
      </c>
      <c r="AD5" s="69">
        <v>0</v>
      </c>
      <c r="AE5" s="70">
        <v>0</v>
      </c>
      <c r="AF5" s="71">
        <v>1</v>
      </c>
      <c r="AG5" s="69">
        <v>0</v>
      </c>
      <c r="AH5" s="69">
        <v>0</v>
      </c>
      <c r="AI5" s="70">
        <v>0</v>
      </c>
      <c r="AJ5" s="32">
        <v>0</v>
      </c>
      <c r="AK5" s="32">
        <v>0</v>
      </c>
      <c r="AL5" s="32">
        <v>0</v>
      </c>
      <c r="AM5" s="32">
        <v>0</v>
      </c>
      <c r="AN5" s="31">
        <v>1</v>
      </c>
    </row>
    <row r="6" spans="1:40" ht="15.75" customHeight="1" x14ac:dyDescent="0.3">
      <c r="A6" s="72" t="s">
        <v>83</v>
      </c>
      <c r="B6" s="1" t="s">
        <v>53</v>
      </c>
      <c r="C6" s="1" t="s">
        <v>80</v>
      </c>
      <c r="D6" s="17">
        <v>0.317</v>
      </c>
      <c r="E6" s="66">
        <v>0.48399999999999999</v>
      </c>
      <c r="F6" s="67">
        <v>0.51600000000000001</v>
      </c>
      <c r="G6" s="68">
        <v>0</v>
      </c>
      <c r="H6" s="66">
        <f t="shared" ref="H6:H7" si="7">0.5665/0.754</f>
        <v>0.75132625994694957</v>
      </c>
      <c r="I6" s="66">
        <f t="shared" ref="I6:I7" si="8">0.1872/0.754</f>
        <v>0.24827586206896551</v>
      </c>
      <c r="J6" s="67">
        <v>0</v>
      </c>
      <c r="K6" s="69">
        <f t="shared" si="5"/>
        <v>0.90464465584778964</v>
      </c>
      <c r="L6" s="69">
        <v>0</v>
      </c>
      <c r="M6" s="69">
        <f t="shared" si="6"/>
        <v>9.5355344152210406E-2</v>
      </c>
      <c r="N6" s="70">
        <v>0</v>
      </c>
      <c r="O6" s="71">
        <v>0</v>
      </c>
      <c r="P6" s="69">
        <v>0</v>
      </c>
      <c r="Q6" s="69">
        <v>0</v>
      </c>
      <c r="R6" s="69">
        <v>1</v>
      </c>
      <c r="S6" s="69">
        <v>0</v>
      </c>
      <c r="T6" s="69">
        <v>0</v>
      </c>
      <c r="U6" s="70">
        <v>0</v>
      </c>
      <c r="V6" s="69">
        <v>0.153</v>
      </c>
      <c r="W6" s="69">
        <v>0.25719999999999998</v>
      </c>
      <c r="X6" s="69">
        <v>0.3906</v>
      </c>
      <c r="Y6" s="70">
        <v>0.19919999999999999</v>
      </c>
      <c r="Z6" s="71">
        <f t="shared" ref="Z6:Z7" si="9">0.3531/0.738</f>
        <v>0.47845528455284558</v>
      </c>
      <c r="AA6" s="69">
        <f t="shared" ref="AA6:AA7" si="10">0.3845/0.738</f>
        <v>0.5210027100271003</v>
      </c>
      <c r="AB6" s="70">
        <v>0</v>
      </c>
      <c r="AC6" s="69">
        <v>0.57969999999999999</v>
      </c>
      <c r="AD6" s="69">
        <v>0.29830000000000001</v>
      </c>
      <c r="AE6" s="70">
        <v>0.122</v>
      </c>
      <c r="AF6" s="71">
        <f>0.6098/0.902</f>
        <v>0.6760532150776053</v>
      </c>
      <c r="AG6" s="69">
        <v>0</v>
      </c>
      <c r="AH6" s="69">
        <f>0.1757/0.902</f>
        <v>0.19478935698447891</v>
      </c>
      <c r="AI6" s="70">
        <f>0.1168/0.902</f>
        <v>0.129490022172949</v>
      </c>
      <c r="AJ6" s="32">
        <v>0</v>
      </c>
      <c r="AK6" s="32">
        <v>0</v>
      </c>
      <c r="AL6" s="32">
        <v>0</v>
      </c>
      <c r="AM6" s="32">
        <v>0</v>
      </c>
      <c r="AN6" s="31">
        <v>1</v>
      </c>
    </row>
    <row r="7" spans="1:40" ht="15.75" customHeight="1" x14ac:dyDescent="0.3">
      <c r="A7" s="72" t="s">
        <v>84</v>
      </c>
      <c r="B7" s="1" t="s">
        <v>53</v>
      </c>
      <c r="C7" s="1" t="s">
        <v>80</v>
      </c>
      <c r="D7" s="17">
        <v>0.127</v>
      </c>
      <c r="E7" s="66">
        <v>0.48399999999999999</v>
      </c>
      <c r="F7" s="67">
        <v>0.51600000000000001</v>
      </c>
      <c r="G7" s="68">
        <v>0</v>
      </c>
      <c r="H7" s="66">
        <f t="shared" si="7"/>
        <v>0.75132625994694957</v>
      </c>
      <c r="I7" s="66">
        <f t="shared" si="8"/>
        <v>0.24827586206896551</v>
      </c>
      <c r="J7" s="67">
        <v>0</v>
      </c>
      <c r="K7" s="69">
        <f t="shared" si="5"/>
        <v>0.90464465584778964</v>
      </c>
      <c r="L7" s="69">
        <v>0</v>
      </c>
      <c r="M7" s="69">
        <f t="shared" si="6"/>
        <v>9.5355344152210406E-2</v>
      </c>
      <c r="N7" s="70">
        <v>0</v>
      </c>
      <c r="O7" s="71">
        <v>0</v>
      </c>
      <c r="P7" s="69">
        <v>0</v>
      </c>
      <c r="Q7" s="69">
        <v>0</v>
      </c>
      <c r="R7" s="69">
        <v>1</v>
      </c>
      <c r="S7" s="69">
        <v>0</v>
      </c>
      <c r="T7" s="69">
        <v>0</v>
      </c>
      <c r="U7" s="70">
        <v>0</v>
      </c>
      <c r="V7" s="69">
        <v>0</v>
      </c>
      <c r="W7" s="69">
        <v>1</v>
      </c>
      <c r="X7" s="69">
        <v>0</v>
      </c>
      <c r="Y7" s="70">
        <v>0</v>
      </c>
      <c r="Z7" s="71">
        <f t="shared" si="9"/>
        <v>0.47845528455284558</v>
      </c>
      <c r="AA7" s="69">
        <f t="shared" si="10"/>
        <v>0.5210027100271003</v>
      </c>
      <c r="AB7" s="70">
        <v>0</v>
      </c>
      <c r="AC7" s="69">
        <v>0</v>
      </c>
      <c r="AD7" s="69">
        <v>0</v>
      </c>
      <c r="AE7" s="70">
        <v>1</v>
      </c>
      <c r="AF7" s="71">
        <f>0.6098/0.727</f>
        <v>0.83878954607977996</v>
      </c>
      <c r="AG7" s="69">
        <v>0</v>
      </c>
      <c r="AH7" s="69">
        <v>0</v>
      </c>
      <c r="AI7" s="70">
        <f>0.1168/0.727</f>
        <v>0.16066024759284733</v>
      </c>
      <c r="AJ7" s="32">
        <v>0</v>
      </c>
      <c r="AK7" s="32">
        <v>0</v>
      </c>
      <c r="AL7" s="32">
        <v>0</v>
      </c>
      <c r="AM7" s="32">
        <v>0</v>
      </c>
      <c r="AN7" s="31">
        <v>1</v>
      </c>
    </row>
    <row r="8" spans="1:40" ht="15.75" customHeight="1" x14ac:dyDescent="0.3">
      <c r="A8" s="73" t="s">
        <v>85</v>
      </c>
      <c r="B8" s="1" t="s">
        <v>56</v>
      </c>
      <c r="C8" s="1" t="s">
        <v>80</v>
      </c>
      <c r="D8" s="17">
        <v>3.8E-3</v>
      </c>
      <c r="E8" s="66">
        <v>0.51949999999999996</v>
      </c>
      <c r="F8" s="67">
        <v>0.48049999999999998</v>
      </c>
      <c r="G8" s="68">
        <v>0.24990000000000001</v>
      </c>
      <c r="H8" s="66">
        <v>0.68520000000000003</v>
      </c>
      <c r="I8" s="66">
        <v>6.4899999999999999E-2</v>
      </c>
      <c r="J8" s="67">
        <v>0</v>
      </c>
      <c r="K8" s="69">
        <f t="shared" si="5"/>
        <v>0.90464465584778964</v>
      </c>
      <c r="L8" s="69">
        <v>0</v>
      </c>
      <c r="M8" s="69">
        <f t="shared" si="6"/>
        <v>9.5355344152210406E-2</v>
      </c>
      <c r="N8" s="70">
        <v>0</v>
      </c>
      <c r="O8" s="71">
        <v>0</v>
      </c>
      <c r="P8" s="69">
        <v>0</v>
      </c>
      <c r="Q8" s="69">
        <v>0</v>
      </c>
      <c r="R8" s="69">
        <f t="shared" ref="R8:R11" si="11">0.936/0.997</f>
        <v>0.9388164493480442</v>
      </c>
      <c r="S8" s="69">
        <v>0</v>
      </c>
      <c r="T8" s="69">
        <v>0</v>
      </c>
      <c r="U8" s="70">
        <f t="shared" ref="U8:U11" si="12">0.061/0.997</f>
        <v>6.1183550651955868E-2</v>
      </c>
      <c r="V8" s="69">
        <f>0.153/0.41</f>
        <v>0.37317073170731707</v>
      </c>
      <c r="W8" s="69">
        <f>0.2572/0.41</f>
        <v>0.62731707317073171</v>
      </c>
      <c r="X8" s="69">
        <v>0</v>
      </c>
      <c r="Y8" s="70">
        <v>0</v>
      </c>
      <c r="Z8" s="71">
        <v>0.35310000000000002</v>
      </c>
      <c r="AA8" s="69">
        <v>0.38450000000000001</v>
      </c>
      <c r="AB8" s="70">
        <v>0.26240000000000002</v>
      </c>
      <c r="AC8" s="69">
        <v>0.57969999999999999</v>
      </c>
      <c r="AD8" s="69">
        <v>0.29830000000000001</v>
      </c>
      <c r="AE8" s="70">
        <v>0.122</v>
      </c>
      <c r="AF8" s="71">
        <v>0</v>
      </c>
      <c r="AG8" s="69">
        <v>0</v>
      </c>
      <c r="AH8" s="69">
        <f>0.1756/0.292</f>
        <v>0.60136986301369866</v>
      </c>
      <c r="AI8" s="70">
        <f>0.1168/0.292</f>
        <v>0.4</v>
      </c>
      <c r="AJ8" s="32">
        <v>0</v>
      </c>
      <c r="AK8" s="32">
        <v>0</v>
      </c>
      <c r="AL8" s="32">
        <v>0</v>
      </c>
      <c r="AM8" s="32">
        <v>0</v>
      </c>
      <c r="AN8" s="31">
        <v>1</v>
      </c>
    </row>
    <row r="9" spans="1:40" ht="15.75" customHeight="1" x14ac:dyDescent="0.3">
      <c r="A9" s="74" t="s">
        <v>86</v>
      </c>
      <c r="B9" s="1" t="s">
        <v>58</v>
      </c>
      <c r="C9" s="1" t="s">
        <v>80</v>
      </c>
      <c r="D9" s="17">
        <v>0.2077</v>
      </c>
      <c r="E9" s="66">
        <v>0.58750000000000002</v>
      </c>
      <c r="F9" s="67">
        <v>0.41249999999999998</v>
      </c>
      <c r="G9" s="68">
        <v>0.22520000000000001</v>
      </c>
      <c r="H9" s="66">
        <v>0.66920000000000002</v>
      </c>
      <c r="I9" s="66">
        <v>0.1056</v>
      </c>
      <c r="J9" s="67">
        <v>0</v>
      </c>
      <c r="K9" s="69">
        <f t="shared" si="5"/>
        <v>0.90464465584778964</v>
      </c>
      <c r="L9" s="69">
        <v>0</v>
      </c>
      <c r="M9" s="69">
        <f t="shared" si="6"/>
        <v>9.5355344152210406E-2</v>
      </c>
      <c r="N9" s="70">
        <v>0</v>
      </c>
      <c r="O9" s="71">
        <v>0</v>
      </c>
      <c r="P9" s="69">
        <v>0</v>
      </c>
      <c r="Q9" s="69">
        <v>0</v>
      </c>
      <c r="R9" s="69">
        <f t="shared" si="11"/>
        <v>0.9388164493480442</v>
      </c>
      <c r="S9" s="69">
        <v>0</v>
      </c>
      <c r="T9" s="69">
        <v>0</v>
      </c>
      <c r="U9" s="70">
        <f t="shared" si="12"/>
        <v>6.1183550651955868E-2</v>
      </c>
      <c r="V9" s="69">
        <v>0</v>
      </c>
      <c r="W9" s="69">
        <v>0</v>
      </c>
      <c r="X9" s="69">
        <v>1</v>
      </c>
      <c r="Y9" s="70">
        <v>0</v>
      </c>
      <c r="Z9" s="71">
        <v>0</v>
      </c>
      <c r="AA9" s="69">
        <v>1</v>
      </c>
      <c r="AB9" s="70">
        <v>0</v>
      </c>
      <c r="AC9" s="69">
        <v>1</v>
      </c>
      <c r="AD9" s="69">
        <v>0</v>
      </c>
      <c r="AE9" s="70">
        <v>0</v>
      </c>
      <c r="AF9" s="71">
        <v>1</v>
      </c>
      <c r="AG9" s="69">
        <v>0</v>
      </c>
      <c r="AH9" s="69">
        <v>0</v>
      </c>
      <c r="AI9" s="70">
        <v>0</v>
      </c>
      <c r="AJ9" s="32">
        <v>0</v>
      </c>
      <c r="AK9" s="32">
        <v>0</v>
      </c>
      <c r="AL9" s="32">
        <v>0</v>
      </c>
      <c r="AM9" s="32">
        <v>0</v>
      </c>
      <c r="AN9" s="31">
        <v>1</v>
      </c>
    </row>
    <row r="10" spans="1:40" ht="15.75" customHeight="1" x14ac:dyDescent="0.3">
      <c r="A10" s="74" t="s">
        <v>87</v>
      </c>
      <c r="B10" s="1" t="s">
        <v>58</v>
      </c>
      <c r="C10" s="1" t="s">
        <v>80</v>
      </c>
      <c r="D10" s="17">
        <v>0.72609999999999997</v>
      </c>
      <c r="E10" s="66">
        <v>0.49930000000000002</v>
      </c>
      <c r="F10" s="67">
        <v>0.50070000000000003</v>
      </c>
      <c r="G10" s="68">
        <v>0.23710000000000001</v>
      </c>
      <c r="H10" s="66">
        <v>0.70230000000000004</v>
      </c>
      <c r="I10" s="66">
        <v>6.0600000000000001E-2</v>
      </c>
      <c r="J10" s="67">
        <v>0</v>
      </c>
      <c r="K10" s="69">
        <f>0.8083/0.9545</f>
        <v>0.8468308014667365</v>
      </c>
      <c r="L10" s="69">
        <v>0</v>
      </c>
      <c r="M10" s="69">
        <f>0.0852/0.9545</f>
        <v>8.9261393399685696E-2</v>
      </c>
      <c r="N10" s="70">
        <f>0.061/0.9545</f>
        <v>6.3907805133577786E-2</v>
      </c>
      <c r="O10" s="71">
        <v>0</v>
      </c>
      <c r="P10" s="69">
        <v>0</v>
      </c>
      <c r="Q10" s="69">
        <v>0</v>
      </c>
      <c r="R10" s="69">
        <f t="shared" si="11"/>
        <v>0.9388164493480442</v>
      </c>
      <c r="S10" s="69">
        <v>0</v>
      </c>
      <c r="T10" s="69">
        <v>0</v>
      </c>
      <c r="U10" s="70">
        <f t="shared" si="12"/>
        <v>6.1183550651955868E-2</v>
      </c>
      <c r="V10" s="69">
        <v>1</v>
      </c>
      <c r="W10" s="69">
        <v>0</v>
      </c>
      <c r="X10" s="69">
        <f>1-0.3906-0.1992</f>
        <v>0.41019999999999995</v>
      </c>
      <c r="Y10" s="70">
        <v>0</v>
      </c>
      <c r="Z10" s="71">
        <v>0</v>
      </c>
      <c r="AA10" s="69">
        <v>1</v>
      </c>
      <c r="AB10" s="70">
        <v>0</v>
      </c>
      <c r="AC10" s="69">
        <v>1</v>
      </c>
      <c r="AD10" s="69">
        <v>0</v>
      </c>
      <c r="AE10" s="70">
        <v>0</v>
      </c>
      <c r="AF10" s="71">
        <v>1</v>
      </c>
      <c r="AG10" s="69">
        <v>0</v>
      </c>
      <c r="AH10" s="69">
        <v>0</v>
      </c>
      <c r="AI10" s="70">
        <v>0</v>
      </c>
      <c r="AJ10" s="32">
        <v>0</v>
      </c>
      <c r="AK10" s="32">
        <v>0</v>
      </c>
      <c r="AL10" s="32">
        <v>0</v>
      </c>
      <c r="AM10" s="32">
        <v>0</v>
      </c>
      <c r="AN10" s="31">
        <v>1</v>
      </c>
    </row>
    <row r="11" spans="1:40" ht="15.75" customHeight="1" x14ac:dyDescent="0.3">
      <c r="A11" s="74" t="s">
        <v>88</v>
      </c>
      <c r="B11" s="1" t="s">
        <v>58</v>
      </c>
      <c r="C11" s="1" t="s">
        <v>80</v>
      </c>
      <c r="D11" s="17">
        <v>0.3513</v>
      </c>
      <c r="E11" s="66">
        <v>0.50690000000000002</v>
      </c>
      <c r="F11" s="67">
        <v>0.49309999999999998</v>
      </c>
      <c r="G11" s="68">
        <v>0.2276</v>
      </c>
      <c r="H11" s="66">
        <v>0.70979999999999999</v>
      </c>
      <c r="I11" s="66">
        <v>6.2600000000000003E-2</v>
      </c>
      <c r="J11" s="67">
        <v>0</v>
      </c>
      <c r="K11" s="69">
        <f t="shared" ref="K11:K19" si="13">0.8083/0.8935</f>
        <v>0.90464465584778964</v>
      </c>
      <c r="L11" s="69">
        <v>0</v>
      </c>
      <c r="M11" s="69">
        <f t="shared" ref="M11:M19" si="14">0.0852/0.8935</f>
        <v>9.5355344152210406E-2</v>
      </c>
      <c r="N11" s="70">
        <v>0</v>
      </c>
      <c r="O11" s="71">
        <v>0</v>
      </c>
      <c r="P11" s="69">
        <v>0</v>
      </c>
      <c r="Q11" s="69">
        <v>0</v>
      </c>
      <c r="R11" s="69">
        <f t="shared" si="11"/>
        <v>0.9388164493480442</v>
      </c>
      <c r="S11" s="69">
        <v>0</v>
      </c>
      <c r="T11" s="69">
        <v>0</v>
      </c>
      <c r="U11" s="70">
        <f t="shared" si="12"/>
        <v>6.1183550651955868E-2</v>
      </c>
      <c r="V11" s="69">
        <v>0</v>
      </c>
      <c r="W11" s="69">
        <f>0.2573/0.648</f>
        <v>0.39706790123456787</v>
      </c>
      <c r="X11" s="69">
        <f>0.3906/0.648</f>
        <v>0.60277777777777775</v>
      </c>
      <c r="Y11" s="70">
        <v>0</v>
      </c>
      <c r="Z11" s="71">
        <v>0</v>
      </c>
      <c r="AA11" s="69">
        <v>0</v>
      </c>
      <c r="AB11" s="70">
        <v>1</v>
      </c>
      <c r="AC11" s="69">
        <v>0.57969999999999999</v>
      </c>
      <c r="AD11" s="69">
        <v>0.29830000000000001</v>
      </c>
      <c r="AE11" s="70">
        <v>0.122</v>
      </c>
      <c r="AF11" s="71">
        <f>0.6098/0.785</f>
        <v>0.77681528662420385</v>
      </c>
      <c r="AG11" s="69">
        <v>0</v>
      </c>
      <c r="AH11" s="69">
        <f>0.1757/0.785</f>
        <v>0.22382165605095539</v>
      </c>
      <c r="AI11" s="70">
        <v>0</v>
      </c>
      <c r="AJ11" s="32">
        <v>0</v>
      </c>
      <c r="AK11" s="32">
        <v>0</v>
      </c>
      <c r="AL11" s="32">
        <v>0</v>
      </c>
      <c r="AM11" s="32">
        <v>0</v>
      </c>
      <c r="AN11" s="31">
        <v>1</v>
      </c>
    </row>
    <row r="12" spans="1:40" ht="15.75" customHeight="1" x14ac:dyDescent="0.3">
      <c r="A12" s="74" t="s">
        <v>89</v>
      </c>
      <c r="B12" s="1" t="s">
        <v>58</v>
      </c>
      <c r="C12" s="1" t="s">
        <v>80</v>
      </c>
      <c r="D12" s="17">
        <v>1</v>
      </c>
      <c r="E12" s="66">
        <v>0.51400000000000001</v>
      </c>
      <c r="F12" s="67">
        <v>0.48599999999999999</v>
      </c>
      <c r="G12" s="68">
        <v>0.2505</v>
      </c>
      <c r="H12" s="66">
        <v>0.6825</v>
      </c>
      <c r="I12" s="66">
        <v>6.7000000000000004E-2</v>
      </c>
      <c r="J12" s="67">
        <v>0</v>
      </c>
      <c r="K12" s="69">
        <f t="shared" si="13"/>
        <v>0.90464465584778964</v>
      </c>
      <c r="L12" s="69">
        <v>0</v>
      </c>
      <c r="M12" s="69">
        <f t="shared" si="14"/>
        <v>9.5355344152210406E-2</v>
      </c>
      <c r="N12" s="70">
        <v>0</v>
      </c>
      <c r="O12" s="71">
        <f t="shared" ref="O12:O13" si="15">0.0015/0.999</f>
        <v>1.5015015015015015E-3</v>
      </c>
      <c r="P12" s="69">
        <v>0</v>
      </c>
      <c r="Q12" s="69">
        <v>0</v>
      </c>
      <c r="R12" s="69">
        <f t="shared" ref="R12:R13" si="16">0.936/0.999</f>
        <v>0.93693693693693703</v>
      </c>
      <c r="S12" s="69">
        <v>0</v>
      </c>
      <c r="T12" s="69">
        <v>0</v>
      </c>
      <c r="U12" s="70">
        <f t="shared" ref="U12:U13" si="17">0.061/0.999</f>
        <v>6.1061061061061059E-2</v>
      </c>
      <c r="V12" s="69">
        <v>0.153</v>
      </c>
      <c r="W12" s="69">
        <v>0.25719999999999998</v>
      </c>
      <c r="X12" s="69">
        <v>0.3906</v>
      </c>
      <c r="Y12" s="70">
        <v>0.19919999999999999</v>
      </c>
      <c r="Z12" s="71">
        <f>0.3531/0.738</f>
        <v>0.47845528455284558</v>
      </c>
      <c r="AA12" s="69">
        <f>0.3845/0.738</f>
        <v>0.5210027100271003</v>
      </c>
      <c r="AB12" s="70">
        <v>0</v>
      </c>
      <c r="AC12" s="69">
        <f t="shared" ref="AC12:AC15" si="18">0.5797/0.702</f>
        <v>0.82578347578347577</v>
      </c>
      <c r="AD12" s="69">
        <v>0</v>
      </c>
      <c r="AE12" s="70">
        <f t="shared" ref="AE12:AE15" si="19">0.122/0.702</f>
        <v>0.1737891737891738</v>
      </c>
      <c r="AF12" s="71">
        <f>0.6098/0.902</f>
        <v>0.6760532150776053</v>
      </c>
      <c r="AG12" s="69">
        <v>0</v>
      </c>
      <c r="AH12" s="69">
        <f>0.1757/0.902</f>
        <v>0.19478935698447891</v>
      </c>
      <c r="AI12" s="70">
        <f>0.1168/0.902</f>
        <v>0.129490022172949</v>
      </c>
      <c r="AJ12" s="32">
        <v>0</v>
      </c>
      <c r="AK12" s="32">
        <v>0</v>
      </c>
      <c r="AL12" s="32">
        <v>0</v>
      </c>
      <c r="AM12" s="32">
        <v>0</v>
      </c>
      <c r="AN12" s="31">
        <v>1</v>
      </c>
    </row>
    <row r="13" spans="1:40" ht="15.75" customHeight="1" x14ac:dyDescent="0.3">
      <c r="A13" s="74" t="s">
        <v>90</v>
      </c>
      <c r="B13" s="1" t="s">
        <v>58</v>
      </c>
      <c r="C13" s="1" t="s">
        <v>80</v>
      </c>
      <c r="D13" s="17">
        <v>1</v>
      </c>
      <c r="E13" s="66">
        <v>0.51790000000000003</v>
      </c>
      <c r="F13" s="67">
        <v>0.48209999999999997</v>
      </c>
      <c r="G13" s="68">
        <v>0.25409999999999999</v>
      </c>
      <c r="H13" s="66">
        <v>0.6804</v>
      </c>
      <c r="I13" s="66">
        <v>6.5500000000000003E-2</v>
      </c>
      <c r="J13" s="67">
        <v>0</v>
      </c>
      <c r="K13" s="69">
        <f t="shared" si="13"/>
        <v>0.90464465584778964</v>
      </c>
      <c r="L13" s="69">
        <v>0</v>
      </c>
      <c r="M13" s="69">
        <f t="shared" si="14"/>
        <v>9.5355344152210406E-2</v>
      </c>
      <c r="N13" s="70">
        <v>0</v>
      </c>
      <c r="O13" s="71">
        <f t="shared" si="15"/>
        <v>1.5015015015015015E-3</v>
      </c>
      <c r="P13" s="69">
        <v>0</v>
      </c>
      <c r="Q13" s="69">
        <v>0</v>
      </c>
      <c r="R13" s="69">
        <f t="shared" si="16"/>
        <v>0.93693693693693703</v>
      </c>
      <c r="S13" s="69">
        <v>0</v>
      </c>
      <c r="T13" s="69">
        <v>0</v>
      </c>
      <c r="U13" s="70">
        <f t="shared" si="17"/>
        <v>6.1061061061061059E-2</v>
      </c>
      <c r="V13" s="69">
        <v>0.153</v>
      </c>
      <c r="W13" s="69">
        <v>0.25719999999999998</v>
      </c>
      <c r="X13" s="69">
        <v>0.3906</v>
      </c>
      <c r="Y13" s="70">
        <v>0.19919999999999999</v>
      </c>
      <c r="Z13" s="71">
        <v>0</v>
      </c>
      <c r="AA13" s="69">
        <v>1</v>
      </c>
      <c r="AB13" s="70">
        <v>0</v>
      </c>
      <c r="AC13" s="69">
        <f t="shared" si="18"/>
        <v>0.82578347578347577</v>
      </c>
      <c r="AD13" s="69">
        <v>0</v>
      </c>
      <c r="AE13" s="70">
        <f t="shared" si="19"/>
        <v>0.1737891737891738</v>
      </c>
      <c r="AF13" s="71">
        <v>0</v>
      </c>
      <c r="AG13" s="69">
        <v>0</v>
      </c>
      <c r="AH13" s="69">
        <f>0.1756/0.292</f>
        <v>0.60136986301369866</v>
      </c>
      <c r="AI13" s="70">
        <f>0.1168/0.292</f>
        <v>0.4</v>
      </c>
      <c r="AJ13" s="32">
        <v>0</v>
      </c>
      <c r="AK13" s="32">
        <v>0</v>
      </c>
      <c r="AL13" s="32">
        <v>0</v>
      </c>
      <c r="AM13" s="32">
        <v>0</v>
      </c>
      <c r="AN13" s="31">
        <v>1</v>
      </c>
    </row>
    <row r="14" spans="1:40" ht="15.75" customHeight="1" x14ac:dyDescent="0.3">
      <c r="A14" s="74" t="s">
        <v>91</v>
      </c>
      <c r="B14" s="1" t="s">
        <v>58</v>
      </c>
      <c r="C14" s="1" t="s">
        <v>80</v>
      </c>
      <c r="D14" s="17">
        <v>1</v>
      </c>
      <c r="E14" s="66">
        <v>0.50419999999999998</v>
      </c>
      <c r="F14" s="67">
        <v>0.49580000000000002</v>
      </c>
      <c r="G14" s="68">
        <v>0.2626</v>
      </c>
      <c r="H14" s="66">
        <v>0.67120000000000002</v>
      </c>
      <c r="I14" s="66">
        <v>6.6199999999999995E-2</v>
      </c>
      <c r="J14" s="67">
        <v>0</v>
      </c>
      <c r="K14" s="69">
        <f t="shared" si="13"/>
        <v>0.90464465584778964</v>
      </c>
      <c r="L14" s="69">
        <v>0</v>
      </c>
      <c r="M14" s="69">
        <f t="shared" si="14"/>
        <v>9.5355344152210406E-2</v>
      </c>
      <c r="N14" s="70">
        <v>0</v>
      </c>
      <c r="O14" s="71">
        <v>0</v>
      </c>
      <c r="P14" s="69">
        <v>0</v>
      </c>
      <c r="Q14" s="69">
        <v>0</v>
      </c>
      <c r="R14" s="69">
        <f t="shared" ref="R14:R19" si="20">0.936/0.997</f>
        <v>0.9388164493480442</v>
      </c>
      <c r="S14" s="69">
        <v>0</v>
      </c>
      <c r="T14" s="69">
        <v>0</v>
      </c>
      <c r="U14" s="70">
        <f t="shared" ref="U14:U19" si="21">0.061/0.997</f>
        <v>6.1183550651955868E-2</v>
      </c>
      <c r="V14" s="69">
        <v>0</v>
      </c>
      <c r="W14" s="69">
        <f>0.2572/0.456</f>
        <v>0.56403508771929822</v>
      </c>
      <c r="X14" s="69">
        <v>0</v>
      </c>
      <c r="Y14" s="70">
        <f>0.1992/0.456</f>
        <v>0.43684210526315786</v>
      </c>
      <c r="Z14" s="71">
        <v>0</v>
      </c>
      <c r="AA14" s="69">
        <v>1</v>
      </c>
      <c r="AB14" s="70">
        <v>0</v>
      </c>
      <c r="AC14" s="69">
        <f t="shared" si="18"/>
        <v>0.82578347578347577</v>
      </c>
      <c r="AD14" s="69">
        <v>0</v>
      </c>
      <c r="AE14" s="70">
        <f t="shared" si="19"/>
        <v>0.1737891737891738</v>
      </c>
      <c r="AF14" s="71">
        <f t="shared" ref="AF14:AF15" si="22">0.6098/0.902</f>
        <v>0.6760532150776053</v>
      </c>
      <c r="AG14" s="69">
        <v>0</v>
      </c>
      <c r="AH14" s="69">
        <f t="shared" ref="AH14:AH15" si="23">0.1757/0.902</f>
        <v>0.19478935698447891</v>
      </c>
      <c r="AI14" s="70">
        <f t="shared" ref="AI14:AI15" si="24">0.1168/0.902</f>
        <v>0.129490022172949</v>
      </c>
      <c r="AJ14" s="32">
        <v>0</v>
      </c>
      <c r="AK14" s="32">
        <v>0</v>
      </c>
      <c r="AL14" s="32">
        <v>0</v>
      </c>
      <c r="AM14" s="32">
        <v>0</v>
      </c>
      <c r="AN14" s="31">
        <v>1</v>
      </c>
    </row>
    <row r="15" spans="1:40" ht="15.75" customHeight="1" x14ac:dyDescent="0.3">
      <c r="A15" s="74" t="s">
        <v>92</v>
      </c>
      <c r="B15" s="1" t="s">
        <v>58</v>
      </c>
      <c r="C15" s="1" t="s">
        <v>80</v>
      </c>
      <c r="D15" s="17">
        <v>1</v>
      </c>
      <c r="E15" s="66">
        <v>0.53820000000000001</v>
      </c>
      <c r="F15" s="67">
        <v>0.46179999999999999</v>
      </c>
      <c r="G15" s="68">
        <v>0.2477</v>
      </c>
      <c r="H15" s="66">
        <v>0.68459999999999999</v>
      </c>
      <c r="I15" s="66">
        <v>6.7699999999999996E-2</v>
      </c>
      <c r="J15" s="67">
        <v>0</v>
      </c>
      <c r="K15" s="69">
        <f t="shared" si="13"/>
        <v>0.90464465584778964</v>
      </c>
      <c r="L15" s="69">
        <v>0</v>
      </c>
      <c r="M15" s="69">
        <f t="shared" si="14"/>
        <v>9.5355344152210406E-2</v>
      </c>
      <c r="N15" s="70">
        <v>0</v>
      </c>
      <c r="O15" s="71">
        <v>0</v>
      </c>
      <c r="P15" s="69">
        <v>0</v>
      </c>
      <c r="Q15" s="69">
        <v>0</v>
      </c>
      <c r="R15" s="69">
        <f t="shared" si="20"/>
        <v>0.9388164493480442</v>
      </c>
      <c r="S15" s="69">
        <v>0</v>
      </c>
      <c r="T15" s="69">
        <v>0</v>
      </c>
      <c r="U15" s="70">
        <f t="shared" si="21"/>
        <v>6.1183550651955868E-2</v>
      </c>
      <c r="V15" s="69">
        <f>0.153/0.35</f>
        <v>0.43714285714285717</v>
      </c>
      <c r="W15" s="69">
        <v>0</v>
      </c>
      <c r="X15" s="69">
        <v>0</v>
      </c>
      <c r="Y15" s="70">
        <f>0.1992/0.352</f>
        <v>0.56590909090909092</v>
      </c>
      <c r="Z15" s="71">
        <f>0.3531/0.738</f>
        <v>0.47845528455284558</v>
      </c>
      <c r="AA15" s="69">
        <f>0.3845/0.738</f>
        <v>0.5210027100271003</v>
      </c>
      <c r="AB15" s="70">
        <v>0</v>
      </c>
      <c r="AC15" s="69">
        <f t="shared" si="18"/>
        <v>0.82578347578347577</v>
      </c>
      <c r="AD15" s="69">
        <v>0</v>
      </c>
      <c r="AE15" s="70">
        <f t="shared" si="19"/>
        <v>0.1737891737891738</v>
      </c>
      <c r="AF15" s="71">
        <f t="shared" si="22"/>
        <v>0.6760532150776053</v>
      </c>
      <c r="AG15" s="69">
        <v>0</v>
      </c>
      <c r="AH15" s="69">
        <f t="shared" si="23"/>
        <v>0.19478935698447891</v>
      </c>
      <c r="AI15" s="70">
        <f t="shared" si="24"/>
        <v>0.129490022172949</v>
      </c>
      <c r="AJ15" s="32">
        <v>0</v>
      </c>
      <c r="AK15" s="32">
        <v>0</v>
      </c>
      <c r="AL15" s="32">
        <v>0</v>
      </c>
      <c r="AM15" s="32">
        <v>0</v>
      </c>
      <c r="AN15" s="31">
        <v>1</v>
      </c>
    </row>
    <row r="16" spans="1:40" ht="15.75" customHeight="1" x14ac:dyDescent="0.3">
      <c r="A16" s="74" t="s">
        <v>93</v>
      </c>
      <c r="B16" s="1" t="s">
        <v>58</v>
      </c>
      <c r="C16" s="1" t="s">
        <v>80</v>
      </c>
      <c r="D16" s="17">
        <v>0.2205</v>
      </c>
      <c r="E16" s="66">
        <v>0.59909999999999997</v>
      </c>
      <c r="F16" s="67">
        <v>0.40089999999999998</v>
      </c>
      <c r="G16" s="68">
        <v>0.20300000000000001</v>
      </c>
      <c r="H16" s="66">
        <v>0.7117</v>
      </c>
      <c r="I16" s="66">
        <v>8.5300000000000001E-2</v>
      </c>
      <c r="J16" s="67">
        <v>0</v>
      </c>
      <c r="K16" s="69">
        <f t="shared" si="13"/>
        <v>0.90464465584778964</v>
      </c>
      <c r="L16" s="69">
        <v>0</v>
      </c>
      <c r="M16" s="69">
        <f t="shared" si="14"/>
        <v>9.5355344152210406E-2</v>
      </c>
      <c r="N16" s="70">
        <v>0</v>
      </c>
      <c r="O16" s="71">
        <v>0</v>
      </c>
      <c r="P16" s="69">
        <v>0</v>
      </c>
      <c r="Q16" s="69">
        <v>0</v>
      </c>
      <c r="R16" s="69">
        <f t="shared" si="20"/>
        <v>0.9388164493480442</v>
      </c>
      <c r="S16" s="69">
        <v>0</v>
      </c>
      <c r="T16" s="69">
        <v>0</v>
      </c>
      <c r="U16" s="70">
        <f t="shared" si="21"/>
        <v>6.1183550651955868E-2</v>
      </c>
      <c r="V16" s="69">
        <v>0</v>
      </c>
      <c r="W16" s="69">
        <v>0</v>
      </c>
      <c r="X16" s="69">
        <v>1</v>
      </c>
      <c r="Y16" s="70">
        <v>0</v>
      </c>
      <c r="Z16" s="71">
        <v>0</v>
      </c>
      <c r="AA16" s="69">
        <f t="shared" ref="AA16:AA19" si="25">0.3845/0.647</f>
        <v>0.59428129829984544</v>
      </c>
      <c r="AB16" s="70">
        <f t="shared" ref="AB16:AB19" si="26">0.2624/0.647</f>
        <v>0.40556414219474501</v>
      </c>
      <c r="AC16" s="69">
        <v>0.57969999999999999</v>
      </c>
      <c r="AD16" s="69">
        <v>0.29830000000000001</v>
      </c>
      <c r="AE16" s="70">
        <v>0.122</v>
      </c>
      <c r="AF16" s="71">
        <v>1</v>
      </c>
      <c r="AG16" s="69">
        <v>0</v>
      </c>
      <c r="AH16" s="69">
        <v>0</v>
      </c>
      <c r="AI16" s="70">
        <v>0</v>
      </c>
      <c r="AJ16" s="32">
        <v>0</v>
      </c>
      <c r="AK16" s="32">
        <v>0</v>
      </c>
      <c r="AL16" s="32">
        <v>0</v>
      </c>
      <c r="AM16" s="32">
        <v>0</v>
      </c>
      <c r="AN16" s="31">
        <v>1</v>
      </c>
    </row>
    <row r="17" spans="1:40" ht="15.75" customHeight="1" x14ac:dyDescent="0.3">
      <c r="A17" s="74" t="s">
        <v>94</v>
      </c>
      <c r="B17" s="1" t="s">
        <v>58</v>
      </c>
      <c r="C17" s="1" t="s">
        <v>80</v>
      </c>
      <c r="D17" s="17">
        <v>0.23269999999999999</v>
      </c>
      <c r="E17" s="66">
        <v>0.52700000000000002</v>
      </c>
      <c r="F17" s="67">
        <v>0.47299999999999998</v>
      </c>
      <c r="G17" s="68">
        <v>0.2024</v>
      </c>
      <c r="H17" s="66">
        <v>0.70820000000000005</v>
      </c>
      <c r="I17" s="66">
        <v>8.9399999999999993E-2</v>
      </c>
      <c r="J17" s="67">
        <v>0</v>
      </c>
      <c r="K17" s="69">
        <f t="shared" si="13"/>
        <v>0.90464465584778964</v>
      </c>
      <c r="L17" s="69">
        <v>0</v>
      </c>
      <c r="M17" s="69">
        <f t="shared" si="14"/>
        <v>9.5355344152210406E-2</v>
      </c>
      <c r="N17" s="70">
        <v>0</v>
      </c>
      <c r="O17" s="71">
        <v>0</v>
      </c>
      <c r="P17" s="69">
        <v>0</v>
      </c>
      <c r="Q17" s="69">
        <v>0</v>
      </c>
      <c r="R17" s="69">
        <f t="shared" si="20"/>
        <v>0.9388164493480442</v>
      </c>
      <c r="S17" s="69">
        <v>0</v>
      </c>
      <c r="T17" s="69">
        <v>0</v>
      </c>
      <c r="U17" s="70">
        <f t="shared" si="21"/>
        <v>6.1183550651955868E-2</v>
      </c>
      <c r="V17" s="69">
        <v>0</v>
      </c>
      <c r="W17" s="69">
        <v>0</v>
      </c>
      <c r="X17" s="69">
        <v>1</v>
      </c>
      <c r="Y17" s="70">
        <v>0</v>
      </c>
      <c r="Z17" s="71">
        <v>0</v>
      </c>
      <c r="AA17" s="69">
        <f t="shared" si="25"/>
        <v>0.59428129829984544</v>
      </c>
      <c r="AB17" s="70">
        <f t="shared" si="26"/>
        <v>0.40556414219474501</v>
      </c>
      <c r="AC17" s="69">
        <v>1</v>
      </c>
      <c r="AD17" s="69">
        <v>0</v>
      </c>
      <c r="AE17" s="70">
        <v>0</v>
      </c>
      <c r="AF17" s="71">
        <v>1</v>
      </c>
      <c r="AG17" s="69">
        <v>0</v>
      </c>
      <c r="AH17" s="69">
        <v>0</v>
      </c>
      <c r="AI17" s="70">
        <v>0</v>
      </c>
      <c r="AJ17" s="32">
        <v>0</v>
      </c>
      <c r="AK17" s="32">
        <v>0</v>
      </c>
      <c r="AL17" s="32">
        <v>0</v>
      </c>
      <c r="AM17" s="32">
        <v>0</v>
      </c>
      <c r="AN17" s="31">
        <v>1</v>
      </c>
    </row>
    <row r="18" spans="1:40" ht="15.75" customHeight="1" x14ac:dyDescent="0.3">
      <c r="A18" s="74" t="s">
        <v>95</v>
      </c>
      <c r="B18" s="1" t="s">
        <v>58</v>
      </c>
      <c r="C18" s="1" t="s">
        <v>80</v>
      </c>
      <c r="D18" s="17">
        <v>0.28370000000000001</v>
      </c>
      <c r="E18" s="66">
        <v>0.48749999999999999</v>
      </c>
      <c r="F18" s="67">
        <v>0.51249999999999996</v>
      </c>
      <c r="G18" s="68">
        <v>0.25109999999999999</v>
      </c>
      <c r="H18" s="66">
        <f t="shared" ref="H18:H19" si="27">1-(G18+I18)</f>
        <v>0.68120000000000003</v>
      </c>
      <c r="I18" s="66">
        <v>6.7699999999999996E-2</v>
      </c>
      <c r="J18" s="67">
        <v>0</v>
      </c>
      <c r="K18" s="69">
        <f t="shared" si="13"/>
        <v>0.90464465584778964</v>
      </c>
      <c r="L18" s="69">
        <v>0</v>
      </c>
      <c r="M18" s="69">
        <f t="shared" si="14"/>
        <v>9.5355344152210406E-2</v>
      </c>
      <c r="N18" s="70">
        <v>0</v>
      </c>
      <c r="O18" s="71">
        <v>0</v>
      </c>
      <c r="P18" s="69">
        <v>0</v>
      </c>
      <c r="Q18" s="69">
        <v>0</v>
      </c>
      <c r="R18" s="69">
        <f t="shared" si="20"/>
        <v>0.9388164493480442</v>
      </c>
      <c r="S18" s="69">
        <v>0</v>
      </c>
      <c r="T18" s="69">
        <v>0</v>
      </c>
      <c r="U18" s="70">
        <f t="shared" si="21"/>
        <v>6.1183550651955868E-2</v>
      </c>
      <c r="V18" s="69">
        <v>0</v>
      </c>
      <c r="W18" s="69">
        <v>0</v>
      </c>
      <c r="X18" s="69">
        <v>1</v>
      </c>
      <c r="Y18" s="70">
        <v>0</v>
      </c>
      <c r="Z18" s="71">
        <v>0</v>
      </c>
      <c r="AA18" s="69">
        <f t="shared" si="25"/>
        <v>0.59428129829984544</v>
      </c>
      <c r="AB18" s="70">
        <f t="shared" si="26"/>
        <v>0.40556414219474501</v>
      </c>
      <c r="AC18" s="69">
        <v>0.57969999999999999</v>
      </c>
      <c r="AD18" s="69">
        <v>0.29830000000000001</v>
      </c>
      <c r="AE18" s="70">
        <v>0.122</v>
      </c>
      <c r="AF18" s="71">
        <v>1</v>
      </c>
      <c r="AG18" s="69">
        <v>0</v>
      </c>
      <c r="AH18" s="69">
        <v>0</v>
      </c>
      <c r="AI18" s="70">
        <v>0</v>
      </c>
      <c r="AJ18" s="32">
        <v>0</v>
      </c>
      <c r="AK18" s="32">
        <v>0</v>
      </c>
      <c r="AL18" s="32">
        <v>0</v>
      </c>
      <c r="AM18" s="32">
        <v>0</v>
      </c>
      <c r="AN18" s="31">
        <v>1</v>
      </c>
    </row>
    <row r="19" spans="1:40" ht="15.75" customHeight="1" x14ac:dyDescent="0.3">
      <c r="A19" s="74" t="s">
        <v>96</v>
      </c>
      <c r="B19" s="1" t="s">
        <v>58</v>
      </c>
      <c r="C19" s="1" t="s">
        <v>80</v>
      </c>
      <c r="D19" s="17">
        <v>2.1600000000000001E-2</v>
      </c>
      <c r="E19" s="66">
        <v>0.48149999999999998</v>
      </c>
      <c r="F19" s="67">
        <v>0.51849999999999996</v>
      </c>
      <c r="G19" s="68">
        <v>0.24529999999999999</v>
      </c>
      <c r="H19" s="66">
        <f t="shared" si="27"/>
        <v>0.68789999999999996</v>
      </c>
      <c r="I19" s="66">
        <v>6.6799999999999998E-2</v>
      </c>
      <c r="J19" s="67">
        <v>0</v>
      </c>
      <c r="K19" s="69">
        <f t="shared" si="13"/>
        <v>0.90464465584778964</v>
      </c>
      <c r="L19" s="69">
        <v>0</v>
      </c>
      <c r="M19" s="69">
        <f t="shared" si="14"/>
        <v>9.5355344152210406E-2</v>
      </c>
      <c r="N19" s="70">
        <v>0</v>
      </c>
      <c r="O19" s="71">
        <v>0</v>
      </c>
      <c r="P19" s="69">
        <v>0</v>
      </c>
      <c r="Q19" s="69">
        <v>0</v>
      </c>
      <c r="R19" s="69">
        <f t="shared" si="20"/>
        <v>0.9388164493480442</v>
      </c>
      <c r="S19" s="69">
        <v>0</v>
      </c>
      <c r="T19" s="69">
        <v>0</v>
      </c>
      <c r="U19" s="70">
        <f t="shared" si="21"/>
        <v>6.1183550651955868E-2</v>
      </c>
      <c r="V19" s="69">
        <v>1</v>
      </c>
      <c r="W19" s="69">
        <v>0</v>
      </c>
      <c r="X19" s="69">
        <v>0</v>
      </c>
      <c r="Y19" s="70">
        <v>0</v>
      </c>
      <c r="Z19" s="71">
        <v>0</v>
      </c>
      <c r="AA19" s="69">
        <f t="shared" si="25"/>
        <v>0.59428129829984544</v>
      </c>
      <c r="AB19" s="70">
        <f t="shared" si="26"/>
        <v>0.40556414219474501</v>
      </c>
      <c r="AC19" s="69">
        <v>1</v>
      </c>
      <c r="AD19" s="69">
        <v>0</v>
      </c>
      <c r="AE19" s="70">
        <v>0</v>
      </c>
      <c r="AF19" s="71">
        <v>1</v>
      </c>
      <c r="AG19" s="69">
        <v>0</v>
      </c>
      <c r="AH19" s="69">
        <v>0</v>
      </c>
      <c r="AI19" s="70">
        <v>0</v>
      </c>
      <c r="AJ19" s="32">
        <v>0</v>
      </c>
      <c r="AK19" s="32">
        <v>0</v>
      </c>
      <c r="AL19" s="32">
        <v>0</v>
      </c>
      <c r="AM19" s="32">
        <v>0</v>
      </c>
      <c r="AN19" s="31">
        <v>1</v>
      </c>
    </row>
    <row r="20" spans="1:40" ht="15.75" customHeight="1" x14ac:dyDescent="0.3">
      <c r="A20" s="75" t="s">
        <v>97</v>
      </c>
      <c r="B20" s="1" t="s">
        <v>70</v>
      </c>
      <c r="C20" s="1" t="s">
        <v>80</v>
      </c>
      <c r="D20" s="17">
        <v>0.64829999999999999</v>
      </c>
      <c r="E20" s="66">
        <v>0.48399999999999999</v>
      </c>
      <c r="F20" s="67">
        <v>0.51600000000000001</v>
      </c>
      <c r="G20" s="68">
        <f>0.098/0.852</f>
        <v>0.11502347417840376</v>
      </c>
      <c r="H20" s="66">
        <f>0.5665/0.852</f>
        <v>0.664906103286385</v>
      </c>
      <c r="I20" s="66">
        <f>0.1872/0.852</f>
        <v>0.21971830985915494</v>
      </c>
      <c r="J20" s="67">
        <v>0</v>
      </c>
      <c r="K20" s="3">
        <v>0.80830000000000002</v>
      </c>
      <c r="L20" s="3">
        <v>4.5499999999999999E-2</v>
      </c>
      <c r="M20" s="3">
        <v>8.5199999999999998E-2</v>
      </c>
      <c r="N20" s="43">
        <v>6.0999999999999999E-2</v>
      </c>
      <c r="O20" s="71">
        <v>1.5E-3</v>
      </c>
      <c r="P20" s="69">
        <v>0</v>
      </c>
      <c r="Q20" s="69">
        <v>0</v>
      </c>
      <c r="R20" s="69">
        <v>0.93600000000000005</v>
      </c>
      <c r="S20" s="69">
        <v>0</v>
      </c>
      <c r="T20" s="69">
        <v>1.5E-3</v>
      </c>
      <c r="U20" s="70">
        <v>6.0999999999999999E-2</v>
      </c>
      <c r="V20" s="69">
        <v>0.153</v>
      </c>
      <c r="W20" s="69">
        <v>0.25719999999999998</v>
      </c>
      <c r="X20" s="69">
        <v>0.3906</v>
      </c>
      <c r="Y20" s="70">
        <v>0.19919999999999999</v>
      </c>
      <c r="Z20" s="71">
        <v>0.35310000000000002</v>
      </c>
      <c r="AA20" s="69">
        <v>0.38450000000000001</v>
      </c>
      <c r="AB20" s="70">
        <v>0.26240000000000002</v>
      </c>
      <c r="AC20" s="69">
        <v>0.57969999999999999</v>
      </c>
      <c r="AD20" s="69">
        <v>0.29830000000000001</v>
      </c>
      <c r="AE20" s="70">
        <v>0.122</v>
      </c>
      <c r="AF20" s="71">
        <v>0.60980000000000001</v>
      </c>
      <c r="AG20" s="69">
        <v>9.7799999999999998E-2</v>
      </c>
      <c r="AH20" s="69">
        <v>0.1757</v>
      </c>
      <c r="AI20" s="70">
        <v>0.1168</v>
      </c>
      <c r="AJ20" s="32">
        <v>0</v>
      </c>
      <c r="AK20" s="32">
        <v>0</v>
      </c>
      <c r="AL20" s="32">
        <v>0</v>
      </c>
      <c r="AM20" s="32">
        <v>0</v>
      </c>
      <c r="AN20" s="31">
        <v>1</v>
      </c>
    </row>
    <row r="21" spans="1:40" ht="15.75" customHeight="1" x14ac:dyDescent="0.3">
      <c r="A21" s="75" t="s">
        <v>98</v>
      </c>
      <c r="B21" s="1" t="s">
        <v>70</v>
      </c>
      <c r="C21" s="1" t="s">
        <v>80</v>
      </c>
      <c r="D21" s="76">
        <v>5.0000000000000001E-3</v>
      </c>
      <c r="E21" s="66">
        <v>0.48399999999999999</v>
      </c>
      <c r="F21" s="67">
        <v>0.51600000000000001</v>
      </c>
      <c r="G21" s="71">
        <f t="shared" ref="G21:G23" si="28">0.098/0.665</f>
        <v>0.14736842105263157</v>
      </c>
      <c r="H21" s="69">
        <f t="shared" ref="H21:H23" si="29">0.5665/0.665</f>
        <v>0.85187969924812024</v>
      </c>
      <c r="I21" s="69">
        <v>0</v>
      </c>
      <c r="J21" s="70">
        <v>0</v>
      </c>
      <c r="K21" s="69">
        <v>0</v>
      </c>
      <c r="L21" s="69">
        <f>0.0455/0.1307</f>
        <v>0.34812547819433814</v>
      </c>
      <c r="M21" s="69">
        <f>0.0852/0.1307</f>
        <v>0.65187452180566174</v>
      </c>
      <c r="N21" s="70">
        <v>0</v>
      </c>
      <c r="O21" s="71">
        <v>0</v>
      </c>
      <c r="P21" s="69">
        <v>0</v>
      </c>
      <c r="Q21" s="69">
        <v>0</v>
      </c>
      <c r="R21" s="69">
        <v>0</v>
      </c>
      <c r="S21" s="69">
        <v>0</v>
      </c>
      <c r="T21" s="69">
        <v>1</v>
      </c>
      <c r="U21" s="70">
        <v>0</v>
      </c>
      <c r="V21" s="69">
        <v>0.153</v>
      </c>
      <c r="W21" s="69">
        <v>0.25719999999999998</v>
      </c>
      <c r="X21" s="69">
        <v>0.3906</v>
      </c>
      <c r="Y21" s="70">
        <v>0.19919999999999999</v>
      </c>
      <c r="Z21" s="71">
        <v>0.35310000000000002</v>
      </c>
      <c r="AA21" s="69">
        <v>0.38450000000000001</v>
      </c>
      <c r="AB21" s="70">
        <v>0.26240000000000002</v>
      </c>
      <c r="AC21" s="69">
        <v>0</v>
      </c>
      <c r="AD21" s="69">
        <f>0.2983/0.42</f>
        <v>0.71023809523809533</v>
      </c>
      <c r="AE21" s="70">
        <f>0.122/0.42</f>
        <v>0.2904761904761905</v>
      </c>
      <c r="AF21" s="71">
        <v>0</v>
      </c>
      <c r="AG21" s="69">
        <f>0.0978/0.39</f>
        <v>0.25076923076923074</v>
      </c>
      <c r="AH21" s="69">
        <f>0.1757/0.39</f>
        <v>0.45051282051282049</v>
      </c>
      <c r="AI21" s="70">
        <f>0.1168/0.39</f>
        <v>0.29948717948717946</v>
      </c>
      <c r="AJ21" s="27">
        <v>0.01</v>
      </c>
      <c r="AK21" s="28">
        <v>0.03</v>
      </c>
      <c r="AL21" s="28">
        <v>0.06</v>
      </c>
      <c r="AM21" s="32">
        <v>0</v>
      </c>
      <c r="AN21" s="31">
        <v>0.9</v>
      </c>
    </row>
    <row r="22" spans="1:40" ht="15.75" customHeight="1" x14ac:dyDescent="0.3">
      <c r="A22" s="77" t="s">
        <v>99</v>
      </c>
      <c r="B22" s="1" t="s">
        <v>70</v>
      </c>
      <c r="C22" s="1" t="s">
        <v>80</v>
      </c>
      <c r="D22" s="17">
        <v>5.2299999999999999E-2</v>
      </c>
      <c r="E22" s="66">
        <v>0.48399999999999999</v>
      </c>
      <c r="F22" s="67">
        <v>0.51600000000000001</v>
      </c>
      <c r="G22" s="71">
        <f t="shared" si="28"/>
        <v>0.14736842105263157</v>
      </c>
      <c r="H22" s="69">
        <f t="shared" si="29"/>
        <v>0.85187969924812024</v>
      </c>
      <c r="I22" s="69">
        <v>0</v>
      </c>
      <c r="J22" s="70">
        <v>0</v>
      </c>
      <c r="K22" s="3">
        <v>0.80830000000000002</v>
      </c>
      <c r="L22" s="3">
        <v>4.5499999999999999E-2</v>
      </c>
      <c r="M22" s="3">
        <v>8.5199999999999998E-2</v>
      </c>
      <c r="N22" s="43">
        <v>6.0999999999999999E-2</v>
      </c>
      <c r="O22" s="71">
        <v>1.5E-3</v>
      </c>
      <c r="P22" s="69">
        <v>0</v>
      </c>
      <c r="Q22" s="69">
        <v>0</v>
      </c>
      <c r="R22" s="69">
        <v>0.93600000000000005</v>
      </c>
      <c r="S22" s="69">
        <v>0</v>
      </c>
      <c r="T22" s="69">
        <v>1.5E-3</v>
      </c>
      <c r="U22" s="70">
        <v>6.0999999999999999E-2</v>
      </c>
      <c r="V22" s="69">
        <v>0.153</v>
      </c>
      <c r="W22" s="69">
        <v>0.25719999999999998</v>
      </c>
      <c r="X22" s="69">
        <v>0.3906</v>
      </c>
      <c r="Y22" s="70">
        <v>0.19919999999999999</v>
      </c>
      <c r="Z22" s="71">
        <v>0.35310000000000002</v>
      </c>
      <c r="AA22" s="69">
        <v>0.38450000000000001</v>
      </c>
      <c r="AB22" s="70">
        <v>0.26240000000000002</v>
      </c>
      <c r="AC22" s="69">
        <v>0.57969999999999999</v>
      </c>
      <c r="AD22" s="69">
        <v>0.29830000000000001</v>
      </c>
      <c r="AE22" s="70">
        <v>0.122</v>
      </c>
      <c r="AF22" s="71">
        <v>0.60980000000000001</v>
      </c>
      <c r="AG22" s="69">
        <v>9.7799999999999998E-2</v>
      </c>
      <c r="AH22" s="69">
        <v>0.1757</v>
      </c>
      <c r="AI22" s="70">
        <v>0.1168</v>
      </c>
      <c r="AJ22" s="32">
        <v>0</v>
      </c>
      <c r="AK22" s="32">
        <v>0</v>
      </c>
      <c r="AL22" s="32">
        <v>0</v>
      </c>
      <c r="AM22" s="32">
        <v>0</v>
      </c>
      <c r="AN22" s="31">
        <v>0</v>
      </c>
    </row>
    <row r="23" spans="1:40" ht="15.75" customHeight="1" x14ac:dyDescent="0.3">
      <c r="A23" s="75" t="s">
        <v>100</v>
      </c>
      <c r="B23" s="1" t="s">
        <v>70</v>
      </c>
      <c r="C23" s="1" t="s">
        <v>80</v>
      </c>
      <c r="D23" s="76">
        <v>5.0000000000000001E-3</v>
      </c>
      <c r="E23" s="66">
        <v>0.48399999999999999</v>
      </c>
      <c r="F23" s="67">
        <v>0.51600000000000001</v>
      </c>
      <c r="G23" s="71">
        <f t="shared" si="28"/>
        <v>0.14736842105263157</v>
      </c>
      <c r="H23" s="69">
        <f t="shared" si="29"/>
        <v>0.85187969924812024</v>
      </c>
      <c r="I23" s="69">
        <v>0</v>
      </c>
      <c r="J23" s="70">
        <v>0</v>
      </c>
      <c r="K23" s="69">
        <v>0</v>
      </c>
      <c r="L23" s="69">
        <f>0.0455/0.1307</f>
        <v>0.34812547819433814</v>
      </c>
      <c r="M23" s="69">
        <f>0.0852/0.1307</f>
        <v>0.65187452180566174</v>
      </c>
      <c r="N23" s="70">
        <v>0</v>
      </c>
      <c r="O23" s="71">
        <v>0</v>
      </c>
      <c r="P23" s="69">
        <v>0</v>
      </c>
      <c r="Q23" s="69">
        <v>0</v>
      </c>
      <c r="R23" s="69">
        <v>0</v>
      </c>
      <c r="S23" s="69">
        <v>0</v>
      </c>
      <c r="T23" s="69">
        <f>0.0015/0.063</f>
        <v>2.3809523809523808E-2</v>
      </c>
      <c r="U23" s="70">
        <f>0.061/0.063</f>
        <v>0.96825396825396826</v>
      </c>
      <c r="V23" s="69">
        <v>0.153</v>
      </c>
      <c r="W23" s="69">
        <v>0.25719999999999998</v>
      </c>
      <c r="X23" s="69">
        <v>0.3906</v>
      </c>
      <c r="Y23" s="70">
        <v>0.19919999999999999</v>
      </c>
      <c r="Z23" s="71">
        <v>0.35310000000000002</v>
      </c>
      <c r="AA23" s="69">
        <v>0.38450000000000001</v>
      </c>
      <c r="AB23" s="70">
        <v>0.26240000000000002</v>
      </c>
      <c r="AC23" s="69">
        <v>0</v>
      </c>
      <c r="AD23" s="69">
        <f>0.2983/0.42</f>
        <v>0.71023809523809533</v>
      </c>
      <c r="AE23" s="70">
        <f>0.122/0.42</f>
        <v>0.2904761904761905</v>
      </c>
      <c r="AF23" s="71">
        <v>0</v>
      </c>
      <c r="AG23" s="69">
        <f>0.0978/0.273</f>
        <v>0.35824175824175819</v>
      </c>
      <c r="AH23" s="69">
        <f>0.1757/0.273</f>
        <v>0.64358974358974352</v>
      </c>
      <c r="AI23" s="70">
        <v>0</v>
      </c>
      <c r="AJ23" s="27">
        <v>0.01</v>
      </c>
      <c r="AK23" s="28">
        <v>0.03</v>
      </c>
      <c r="AL23" s="28">
        <v>0.06</v>
      </c>
      <c r="AM23" s="32">
        <v>0</v>
      </c>
      <c r="AN23" s="31">
        <v>0.9</v>
      </c>
    </row>
    <row r="24" spans="1:40" ht="15.75" customHeight="1" x14ac:dyDescent="0.25">
      <c r="A24" s="27" t="s">
        <v>74</v>
      </c>
      <c r="B24" s="28" t="s">
        <v>75</v>
      </c>
      <c r="C24" s="28" t="s">
        <v>80</v>
      </c>
      <c r="D24" s="78">
        <v>0.75</v>
      </c>
      <c r="E24" s="28">
        <v>0.48399999999999999</v>
      </c>
      <c r="F24" s="28">
        <v>0.51600000000000001</v>
      </c>
      <c r="G24" s="27">
        <v>6.8599999999999994E-2</v>
      </c>
      <c r="H24" s="28">
        <v>0.55869999999999997</v>
      </c>
      <c r="I24" s="28">
        <v>0.1903</v>
      </c>
      <c r="J24" s="47">
        <v>0.18240000000000001</v>
      </c>
      <c r="K24" s="28">
        <v>0.80830000000000002</v>
      </c>
      <c r="L24" s="28">
        <v>4.5499999999999999E-2</v>
      </c>
      <c r="M24" s="28">
        <v>8.5199999999999998E-2</v>
      </c>
      <c r="N24" s="28">
        <v>6.0999999999999999E-2</v>
      </c>
      <c r="O24" s="27">
        <v>1.5E-3</v>
      </c>
      <c r="P24" s="28">
        <v>0</v>
      </c>
      <c r="Q24" s="28">
        <v>0</v>
      </c>
      <c r="R24" s="28">
        <v>0.93600000000000005</v>
      </c>
      <c r="S24" s="28">
        <v>0</v>
      </c>
      <c r="T24" s="28">
        <v>1.5E-3</v>
      </c>
      <c r="U24" s="47">
        <v>6.0999999999999999E-2</v>
      </c>
      <c r="V24" s="28">
        <v>0.153</v>
      </c>
      <c r="W24" s="28">
        <v>0.25719999999999998</v>
      </c>
      <c r="X24" s="28">
        <v>0.3906</v>
      </c>
      <c r="Y24" s="28">
        <v>0.19919999999999999</v>
      </c>
      <c r="Z24" s="27">
        <v>0.35310000000000002</v>
      </c>
      <c r="AA24" s="28">
        <v>0.38450000000000001</v>
      </c>
      <c r="AB24" s="47">
        <v>0.26240000000000002</v>
      </c>
      <c r="AC24" s="28">
        <v>0.57969999999999999</v>
      </c>
      <c r="AD24" s="28">
        <v>0.29830000000000001</v>
      </c>
      <c r="AE24" s="28">
        <v>0.122</v>
      </c>
      <c r="AF24" s="27">
        <v>0.60980000000000001</v>
      </c>
      <c r="AG24" s="28">
        <v>9.7799999999999998E-2</v>
      </c>
      <c r="AH24" s="28">
        <v>0.1757</v>
      </c>
      <c r="AI24" s="47">
        <v>0.1168</v>
      </c>
      <c r="AJ24" s="32">
        <v>0</v>
      </c>
      <c r="AK24" s="32">
        <v>0</v>
      </c>
      <c r="AL24" s="32">
        <v>0</v>
      </c>
      <c r="AM24" s="32">
        <v>0</v>
      </c>
      <c r="AN24" s="31">
        <v>1</v>
      </c>
    </row>
    <row r="25" spans="1:40" ht="15.75" customHeight="1" x14ac:dyDescent="0.25">
      <c r="A25" s="27" t="s">
        <v>76</v>
      </c>
      <c r="B25" s="28" t="s">
        <v>75</v>
      </c>
      <c r="C25" s="28" t="s">
        <v>80</v>
      </c>
      <c r="D25" s="78">
        <v>0.75</v>
      </c>
      <c r="E25" s="28">
        <v>0.48399999999999999</v>
      </c>
      <c r="F25" s="28">
        <v>0.51600000000000001</v>
      </c>
      <c r="G25" s="27">
        <v>6.8599999999999994E-2</v>
      </c>
      <c r="H25" s="28">
        <v>0.55869999999999997</v>
      </c>
      <c r="I25" s="28">
        <v>0.1903</v>
      </c>
      <c r="J25" s="47">
        <v>0.18240000000000001</v>
      </c>
      <c r="K25" s="28">
        <v>0.80830000000000002</v>
      </c>
      <c r="L25" s="28">
        <v>4.5499999999999999E-2</v>
      </c>
      <c r="M25" s="28">
        <v>8.5199999999999998E-2</v>
      </c>
      <c r="N25" s="28">
        <v>6.0999999999999999E-2</v>
      </c>
      <c r="O25" s="27">
        <v>1.5E-3</v>
      </c>
      <c r="P25" s="28">
        <v>0</v>
      </c>
      <c r="Q25" s="28">
        <v>0</v>
      </c>
      <c r="R25" s="28">
        <v>0.93600000000000005</v>
      </c>
      <c r="S25" s="28">
        <v>0</v>
      </c>
      <c r="T25" s="28">
        <v>1.5E-3</v>
      </c>
      <c r="U25" s="47">
        <v>6.0999999999999999E-2</v>
      </c>
      <c r="V25" s="28">
        <v>0.153</v>
      </c>
      <c r="W25" s="28">
        <v>0.25719999999999998</v>
      </c>
      <c r="X25" s="28">
        <v>0.3906</v>
      </c>
      <c r="Y25" s="28">
        <v>0.19919999999999999</v>
      </c>
      <c r="Z25" s="27">
        <v>0.35310000000000002</v>
      </c>
      <c r="AA25" s="28">
        <v>0.38450000000000001</v>
      </c>
      <c r="AB25" s="47">
        <v>0.26240000000000002</v>
      </c>
      <c r="AC25" s="28">
        <v>0.57969999999999999</v>
      </c>
      <c r="AD25" s="28">
        <v>0.29830000000000001</v>
      </c>
      <c r="AE25" s="28">
        <v>0.122</v>
      </c>
      <c r="AF25" s="27">
        <v>0.60980000000000001</v>
      </c>
      <c r="AG25" s="28">
        <v>9.7799999999999998E-2</v>
      </c>
      <c r="AH25" s="28">
        <v>0.1757</v>
      </c>
      <c r="AI25" s="47">
        <v>0.1168</v>
      </c>
      <c r="AJ25" s="32">
        <v>0</v>
      </c>
      <c r="AK25" s="32">
        <v>0</v>
      </c>
      <c r="AL25" s="32">
        <v>0</v>
      </c>
      <c r="AM25" s="32">
        <v>0</v>
      </c>
      <c r="AN25" s="31">
        <v>1</v>
      </c>
    </row>
    <row r="26" spans="1:40" ht="15.75" customHeight="1" x14ac:dyDescent="0.25">
      <c r="A26" s="52" t="s">
        <v>77</v>
      </c>
      <c r="B26" s="50" t="s">
        <v>75</v>
      </c>
      <c r="C26" s="50" t="s">
        <v>80</v>
      </c>
      <c r="D26" s="79">
        <v>1</v>
      </c>
      <c r="E26" s="50">
        <v>1</v>
      </c>
      <c r="F26" s="50">
        <v>1</v>
      </c>
      <c r="G26" s="52">
        <v>1</v>
      </c>
      <c r="H26" s="50">
        <v>1</v>
      </c>
      <c r="I26" s="50">
        <v>1</v>
      </c>
      <c r="J26" s="53">
        <v>1</v>
      </c>
      <c r="K26" s="50">
        <v>1</v>
      </c>
      <c r="L26" s="50">
        <v>1</v>
      </c>
      <c r="M26" s="50">
        <v>1</v>
      </c>
      <c r="N26" s="50">
        <v>1</v>
      </c>
      <c r="O26" s="52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  <c r="U26" s="53">
        <v>1</v>
      </c>
      <c r="V26" s="50">
        <v>1</v>
      </c>
      <c r="W26" s="50">
        <v>1</v>
      </c>
      <c r="X26" s="50">
        <v>1</v>
      </c>
      <c r="Y26" s="50">
        <v>1</v>
      </c>
      <c r="Z26" s="52">
        <v>1</v>
      </c>
      <c r="AA26" s="50">
        <v>1</v>
      </c>
      <c r="AB26" s="53">
        <v>1</v>
      </c>
      <c r="AC26" s="50">
        <v>1</v>
      </c>
      <c r="AD26" s="50">
        <v>1</v>
      </c>
      <c r="AE26" s="50">
        <v>1</v>
      </c>
      <c r="AF26" s="52">
        <v>1</v>
      </c>
      <c r="AG26" s="50">
        <v>1</v>
      </c>
      <c r="AH26" s="50">
        <v>1</v>
      </c>
      <c r="AI26" s="53">
        <v>1</v>
      </c>
      <c r="AJ26" s="50">
        <v>1</v>
      </c>
      <c r="AK26" s="50">
        <v>1</v>
      </c>
      <c r="AL26" s="50">
        <v>1</v>
      </c>
      <c r="AM26" s="50">
        <v>1</v>
      </c>
      <c r="AN26" s="53">
        <v>0</v>
      </c>
    </row>
  </sheetData>
  <mergeCells count="9">
    <mergeCell ref="Z1:AB1"/>
    <mergeCell ref="AC1:AE1"/>
    <mergeCell ref="AF1:AI1"/>
    <mergeCell ref="AJ1:AN1"/>
    <mergeCell ref="E1:F1"/>
    <mergeCell ref="G1:J1"/>
    <mergeCell ref="K1:N1"/>
    <mergeCell ref="O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26"/>
  <sheetViews>
    <sheetView workbookViewId="0">
      <pane xSplit="1" ySplit="2" topLeftCell="B3" activePane="bottomRight" state="frozen"/>
      <selection activeCell="AN11" sqref="AN11"/>
      <selection pane="topRight" activeCell="AN11" sqref="AN11"/>
      <selection pane="bottomLeft" activeCell="AN11" sqref="AN11"/>
      <selection pane="bottomRight" activeCell="O15" sqref="O15"/>
    </sheetView>
  </sheetViews>
  <sheetFormatPr defaultColWidth="12.54296875" defaultRowHeight="15.75" customHeight="1" x14ac:dyDescent="0.25"/>
  <sheetData>
    <row r="1" spans="1:40" ht="15.75" customHeight="1" x14ac:dyDescent="0.3">
      <c r="B1" s="1"/>
      <c r="C1" s="1"/>
      <c r="D1" s="2"/>
      <c r="E1" s="95" t="s">
        <v>0</v>
      </c>
      <c r="F1" s="93"/>
      <c r="G1" s="96" t="s">
        <v>1</v>
      </c>
      <c r="H1" s="92"/>
      <c r="I1" s="92"/>
      <c r="J1" s="93"/>
      <c r="K1" s="91" t="s">
        <v>2</v>
      </c>
      <c r="L1" s="92"/>
      <c r="M1" s="92"/>
      <c r="N1" s="93"/>
      <c r="O1" s="97" t="s">
        <v>3</v>
      </c>
      <c r="P1" s="92"/>
      <c r="Q1" s="92"/>
      <c r="R1" s="92"/>
      <c r="S1" s="92"/>
      <c r="T1" s="92"/>
      <c r="U1" s="93"/>
      <c r="V1" s="91" t="s">
        <v>4</v>
      </c>
      <c r="W1" s="92"/>
      <c r="X1" s="92"/>
      <c r="Y1" s="93"/>
      <c r="Z1" s="91" t="s">
        <v>5</v>
      </c>
      <c r="AA1" s="92"/>
      <c r="AB1" s="93"/>
      <c r="AC1" s="91" t="s">
        <v>6</v>
      </c>
      <c r="AD1" s="92"/>
      <c r="AE1" s="93"/>
      <c r="AF1" s="94" t="s">
        <v>7</v>
      </c>
      <c r="AG1" s="92"/>
      <c r="AH1" s="92"/>
      <c r="AI1" s="93"/>
      <c r="AJ1" s="86" t="s">
        <v>8</v>
      </c>
      <c r="AK1" s="87"/>
      <c r="AL1" s="87"/>
      <c r="AM1" s="87"/>
      <c r="AN1" s="88"/>
    </row>
    <row r="2" spans="1:40" ht="15.75" customHeight="1" x14ac:dyDescent="0.3">
      <c r="A2" s="4" t="s">
        <v>9</v>
      </c>
      <c r="B2" s="4" t="s">
        <v>10</v>
      </c>
      <c r="C2" s="4" t="s">
        <v>11</v>
      </c>
      <c r="D2" s="5" t="s">
        <v>12</v>
      </c>
      <c r="E2" s="8" t="s">
        <v>13</v>
      </c>
      <c r="F2" s="7" t="s">
        <v>14</v>
      </c>
      <c r="G2" s="8" t="s">
        <v>15</v>
      </c>
      <c r="H2" s="8" t="s">
        <v>16</v>
      </c>
      <c r="I2" s="8" t="s">
        <v>17</v>
      </c>
      <c r="J2" s="7" t="s">
        <v>18</v>
      </c>
      <c r="K2" s="10" t="s">
        <v>19</v>
      </c>
      <c r="L2" s="10" t="s">
        <v>20</v>
      </c>
      <c r="M2" s="10" t="s">
        <v>21</v>
      </c>
      <c r="N2" s="11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4" t="s">
        <v>29</v>
      </c>
      <c r="V2" s="10" t="s">
        <v>30</v>
      </c>
      <c r="W2" s="10" t="s">
        <v>31</v>
      </c>
      <c r="X2" s="10" t="s">
        <v>32</v>
      </c>
      <c r="Y2" s="11" t="s">
        <v>33</v>
      </c>
      <c r="Z2" s="10" t="s">
        <v>34</v>
      </c>
      <c r="AA2" s="10" t="s">
        <v>35</v>
      </c>
      <c r="AB2" s="11" t="s">
        <v>36</v>
      </c>
      <c r="AC2" s="10" t="s">
        <v>37</v>
      </c>
      <c r="AD2" s="10" t="s">
        <v>38</v>
      </c>
      <c r="AE2" s="11" t="s">
        <v>33</v>
      </c>
      <c r="AF2" s="10" t="s">
        <v>39</v>
      </c>
      <c r="AG2" s="10" t="s">
        <v>40</v>
      </c>
      <c r="AH2" s="10" t="s">
        <v>41</v>
      </c>
      <c r="AI2" s="11" t="s">
        <v>33</v>
      </c>
      <c r="AJ2" s="9" t="s">
        <v>42</v>
      </c>
      <c r="AK2" s="10" t="s">
        <v>43</v>
      </c>
      <c r="AL2" s="10" t="s">
        <v>44</v>
      </c>
      <c r="AM2" s="10" t="s">
        <v>45</v>
      </c>
      <c r="AN2" s="11" t="s">
        <v>122</v>
      </c>
    </row>
    <row r="3" spans="1:40" ht="15.75" customHeight="1" x14ac:dyDescent="0.3">
      <c r="A3" s="55" t="s">
        <v>101</v>
      </c>
      <c r="B3" s="56" t="s">
        <v>47</v>
      </c>
      <c r="C3" s="56" t="s">
        <v>102</v>
      </c>
      <c r="D3" s="57">
        <v>0.6069</v>
      </c>
      <c r="E3" s="63">
        <v>0.4037</v>
      </c>
      <c r="F3" s="62">
        <v>0.59630000000000005</v>
      </c>
      <c r="G3" s="61">
        <f t="shared" ref="G3:G4" si="0">0.0959/0.839</f>
        <v>0.11430274135876044</v>
      </c>
      <c r="H3" s="61">
        <f t="shared" ref="H3:H4" si="1">0.5839/0.839</f>
        <v>0.69594755661501784</v>
      </c>
      <c r="I3" s="61">
        <f t="shared" ref="I3:I4" si="2">0.1593/0.839</f>
        <v>0.18986889153754469</v>
      </c>
      <c r="J3" s="62">
        <v>0</v>
      </c>
      <c r="K3" s="63">
        <f>0.2328/0.97</f>
        <v>0.24000000000000002</v>
      </c>
      <c r="L3" s="61">
        <f>0.4656/0.97</f>
        <v>0.48000000000000004</v>
      </c>
      <c r="M3" s="61">
        <f>0.2716/0.97</f>
        <v>0.28000000000000003</v>
      </c>
      <c r="N3" s="62">
        <v>0</v>
      </c>
      <c r="O3" s="61">
        <v>0</v>
      </c>
      <c r="P3" s="61">
        <v>0</v>
      </c>
      <c r="Q3" s="61">
        <v>0</v>
      </c>
      <c r="R3" s="61">
        <v>0</v>
      </c>
      <c r="S3" s="61">
        <f>0.83/0.97</f>
        <v>0.85567010309278346</v>
      </c>
      <c r="T3" s="61">
        <f>0.12/0.97</f>
        <v>0.12371134020618557</v>
      </c>
      <c r="U3" s="62">
        <f>0.03/0.97</f>
        <v>3.0927835051546393E-2</v>
      </c>
      <c r="V3" s="63">
        <v>0</v>
      </c>
      <c r="W3" s="61">
        <f>0.3146/0.8953</f>
        <v>0.35139059533117389</v>
      </c>
      <c r="X3" s="61">
        <f>0.1854/0.8953</f>
        <v>0.20708142522059647</v>
      </c>
      <c r="Y3" s="62">
        <f>0.3953/0.8953</f>
        <v>0.44152797944822963</v>
      </c>
      <c r="Z3" s="61">
        <v>0.35410000000000003</v>
      </c>
      <c r="AA3" s="61">
        <v>0.37259999999999999</v>
      </c>
      <c r="AB3" s="62">
        <v>0.27329999999999999</v>
      </c>
      <c r="AC3" s="63">
        <v>0</v>
      </c>
      <c r="AD3" s="61">
        <v>1</v>
      </c>
      <c r="AE3" s="62">
        <v>0</v>
      </c>
      <c r="AF3" s="61">
        <v>0</v>
      </c>
      <c r="AG3" s="61">
        <v>1</v>
      </c>
      <c r="AH3" s="61">
        <v>0</v>
      </c>
      <c r="AI3" s="62">
        <v>0</v>
      </c>
      <c r="AJ3" s="80">
        <v>0</v>
      </c>
      <c r="AK3" s="81">
        <v>0</v>
      </c>
      <c r="AL3" s="81">
        <v>0</v>
      </c>
      <c r="AM3" s="81">
        <v>0</v>
      </c>
      <c r="AN3" s="31">
        <v>1</v>
      </c>
    </row>
    <row r="4" spans="1:40" ht="15.75" customHeight="1" x14ac:dyDescent="0.3">
      <c r="A4" s="65" t="s">
        <v>103</v>
      </c>
      <c r="B4" s="1" t="s">
        <v>47</v>
      </c>
      <c r="C4" s="1" t="s">
        <v>102</v>
      </c>
      <c r="D4" s="17">
        <v>0.13189999999999999</v>
      </c>
      <c r="E4" s="71">
        <v>0.59350000000000003</v>
      </c>
      <c r="F4" s="70">
        <v>0.40649999999999997</v>
      </c>
      <c r="G4" s="69">
        <f t="shared" si="0"/>
        <v>0.11430274135876044</v>
      </c>
      <c r="H4" s="69">
        <f t="shared" si="1"/>
        <v>0.69594755661501784</v>
      </c>
      <c r="I4" s="69">
        <f t="shared" si="2"/>
        <v>0.18986889153754469</v>
      </c>
      <c r="J4" s="70">
        <v>0</v>
      </c>
      <c r="K4" s="71">
        <v>0.23280000000000001</v>
      </c>
      <c r="L4" s="69">
        <v>0.46560000000000001</v>
      </c>
      <c r="M4" s="69">
        <v>0.27160000000000001</v>
      </c>
      <c r="N4" s="70">
        <v>0.03</v>
      </c>
      <c r="O4" s="69">
        <v>0</v>
      </c>
      <c r="P4" s="69">
        <v>0</v>
      </c>
      <c r="Q4" s="69">
        <v>0</v>
      </c>
      <c r="R4" s="69">
        <v>0.03</v>
      </c>
      <c r="S4" s="69">
        <v>0.82</v>
      </c>
      <c r="T4" s="69">
        <v>0.12</v>
      </c>
      <c r="U4" s="70">
        <v>0.03</v>
      </c>
      <c r="V4" s="71">
        <v>0</v>
      </c>
      <c r="W4" s="69">
        <f>0.3146/0.5</f>
        <v>0.62919999999999998</v>
      </c>
      <c r="X4" s="69">
        <f>0.1854/0.5</f>
        <v>0.37080000000000002</v>
      </c>
      <c r="Y4" s="70">
        <v>0</v>
      </c>
      <c r="Z4" s="69">
        <v>0.35410000000000003</v>
      </c>
      <c r="AA4" s="69">
        <v>0.37259999999999999</v>
      </c>
      <c r="AB4" s="70">
        <v>0.27329999999999999</v>
      </c>
      <c r="AC4" s="71">
        <v>1</v>
      </c>
      <c r="AD4" s="69">
        <v>0</v>
      </c>
      <c r="AE4" s="70">
        <v>0</v>
      </c>
      <c r="AF4" s="69">
        <v>1</v>
      </c>
      <c r="AG4" s="69">
        <v>0</v>
      </c>
      <c r="AH4" s="69">
        <v>0</v>
      </c>
      <c r="AI4" s="70">
        <v>0</v>
      </c>
      <c r="AJ4" s="82">
        <v>0</v>
      </c>
      <c r="AK4" s="32">
        <v>0</v>
      </c>
      <c r="AL4" s="32">
        <v>0</v>
      </c>
      <c r="AM4" s="32">
        <v>0</v>
      </c>
      <c r="AN4" s="31">
        <v>1</v>
      </c>
    </row>
    <row r="5" spans="1:40" ht="15.75" customHeight="1" x14ac:dyDescent="0.3">
      <c r="A5" s="65" t="s">
        <v>104</v>
      </c>
      <c r="B5" s="1" t="s">
        <v>47</v>
      </c>
      <c r="C5" s="1" t="s">
        <v>102</v>
      </c>
      <c r="D5" s="17">
        <v>0.02</v>
      </c>
      <c r="E5" s="71">
        <v>0.47</v>
      </c>
      <c r="F5" s="70">
        <v>0.53</v>
      </c>
      <c r="G5" s="69">
        <v>0</v>
      </c>
      <c r="H5" s="69">
        <f>0.5839/0.743</f>
        <v>0.78586810228802151</v>
      </c>
      <c r="I5" s="69">
        <f>0.1593/0.743</f>
        <v>0.21440107671601616</v>
      </c>
      <c r="J5" s="70">
        <v>0</v>
      </c>
      <c r="K5" s="71">
        <v>0</v>
      </c>
      <c r="L5" s="69">
        <f>0.4656/0.7372</f>
        <v>0.63157894736842113</v>
      </c>
      <c r="M5" s="69">
        <f>0.2716/0.7372</f>
        <v>0.36842105263157898</v>
      </c>
      <c r="N5" s="70">
        <v>0</v>
      </c>
      <c r="O5" s="69">
        <v>0</v>
      </c>
      <c r="P5" s="69">
        <v>0</v>
      </c>
      <c r="Q5" s="69">
        <v>0</v>
      </c>
      <c r="R5" s="69">
        <v>0</v>
      </c>
      <c r="S5" s="69">
        <f>0.83/0.97</f>
        <v>0.85567010309278346</v>
      </c>
      <c r="T5" s="69">
        <f>0.12/0.97</f>
        <v>0.12371134020618557</v>
      </c>
      <c r="U5" s="70">
        <f>0.03/0.97</f>
        <v>3.0927835051546393E-2</v>
      </c>
      <c r="V5" s="71">
        <v>0</v>
      </c>
      <c r="W5" s="69">
        <f>0.3146/0.8953</f>
        <v>0.35139059533117389</v>
      </c>
      <c r="X5" s="69">
        <f>0.1854/0.8953</f>
        <v>0.20708142522059647</v>
      </c>
      <c r="Y5" s="70">
        <f>0.3953/0.8953</f>
        <v>0.44152797944822963</v>
      </c>
      <c r="Z5" s="69">
        <f t="shared" ref="Z5:Z7" si="3">0.3541/0.727</f>
        <v>0.48707015130674008</v>
      </c>
      <c r="AA5" s="69">
        <f t="shared" ref="AA5:AA7" si="4">0.3726/0.727</f>
        <v>0.51251719394773043</v>
      </c>
      <c r="AB5" s="70">
        <v>0</v>
      </c>
      <c r="AC5" s="71">
        <v>0</v>
      </c>
      <c r="AD5" s="69">
        <v>1</v>
      </c>
      <c r="AE5" s="70">
        <v>0</v>
      </c>
      <c r="AF5" s="69">
        <v>0</v>
      </c>
      <c r="AG5" s="69">
        <v>1</v>
      </c>
      <c r="AH5" s="69">
        <v>0</v>
      </c>
      <c r="AI5" s="70">
        <v>0</v>
      </c>
      <c r="AJ5" s="82">
        <v>0</v>
      </c>
      <c r="AK5" s="32">
        <v>0</v>
      </c>
      <c r="AL5" s="32">
        <v>0</v>
      </c>
      <c r="AM5" s="32">
        <v>0</v>
      </c>
      <c r="AN5" s="31">
        <v>1</v>
      </c>
    </row>
    <row r="6" spans="1:40" ht="15.75" customHeight="1" x14ac:dyDescent="0.3">
      <c r="A6" s="83" t="s">
        <v>105</v>
      </c>
      <c r="B6" s="1" t="s">
        <v>53</v>
      </c>
      <c r="C6" s="1" t="s">
        <v>102</v>
      </c>
      <c r="D6" s="17">
        <v>1.4500000000000001E-2</v>
      </c>
      <c r="E6" s="71">
        <v>0.503</v>
      </c>
      <c r="F6" s="70">
        <v>0.49719999999999998</v>
      </c>
      <c r="G6" s="69">
        <v>1</v>
      </c>
      <c r="H6" s="69">
        <v>0</v>
      </c>
      <c r="I6" s="69">
        <v>0</v>
      </c>
      <c r="J6" s="70">
        <v>0</v>
      </c>
      <c r="K6" s="71">
        <f t="shared" ref="K6:K7" si="5">0.2328/0.97</f>
        <v>0.24000000000000002</v>
      </c>
      <c r="L6" s="69">
        <f t="shared" ref="L6:L7" si="6">0.4656/0.97</f>
        <v>0.48000000000000004</v>
      </c>
      <c r="M6" s="69">
        <f t="shared" ref="M6:M7" si="7">0.2716/0.97</f>
        <v>0.28000000000000003</v>
      </c>
      <c r="N6" s="70">
        <v>0</v>
      </c>
      <c r="O6" s="69">
        <v>0</v>
      </c>
      <c r="P6" s="69">
        <v>0</v>
      </c>
      <c r="Q6" s="69">
        <v>0</v>
      </c>
      <c r="R6" s="69">
        <v>0.03</v>
      </c>
      <c r="S6" s="69">
        <v>0.82</v>
      </c>
      <c r="T6" s="69">
        <v>0.12</v>
      </c>
      <c r="U6" s="70">
        <v>0.03</v>
      </c>
      <c r="V6" s="71">
        <f>0.1047/0.419</f>
        <v>0.24988066825775657</v>
      </c>
      <c r="W6" s="69">
        <f>0.3146/0.419</f>
        <v>0.75083532219570404</v>
      </c>
      <c r="X6" s="69">
        <v>0</v>
      </c>
      <c r="Y6" s="70">
        <v>0</v>
      </c>
      <c r="Z6" s="69">
        <f t="shared" si="3"/>
        <v>0.48707015130674008</v>
      </c>
      <c r="AA6" s="69">
        <f t="shared" si="4"/>
        <v>0.51251719394773043</v>
      </c>
      <c r="AB6" s="70">
        <v>0</v>
      </c>
      <c r="AC6" s="71">
        <v>1</v>
      </c>
      <c r="AD6" s="69">
        <v>0</v>
      </c>
      <c r="AE6" s="70">
        <v>0</v>
      </c>
      <c r="AF6" s="69">
        <v>1</v>
      </c>
      <c r="AG6" s="69">
        <v>0</v>
      </c>
      <c r="AH6" s="69">
        <v>0</v>
      </c>
      <c r="AI6" s="70">
        <v>0</v>
      </c>
      <c r="AJ6" s="82">
        <v>0</v>
      </c>
      <c r="AK6" s="32">
        <v>0</v>
      </c>
      <c r="AL6" s="32">
        <v>0</v>
      </c>
      <c r="AM6" s="32">
        <v>0</v>
      </c>
      <c r="AN6" s="31">
        <v>1</v>
      </c>
    </row>
    <row r="7" spans="1:40" ht="15.75" customHeight="1" x14ac:dyDescent="0.3">
      <c r="A7" s="83" t="s">
        <v>106</v>
      </c>
      <c r="B7" s="1" t="s">
        <v>53</v>
      </c>
      <c r="C7" s="1" t="s">
        <v>102</v>
      </c>
      <c r="D7" s="17">
        <v>0.1129</v>
      </c>
      <c r="E7" s="71">
        <v>0.47</v>
      </c>
      <c r="F7" s="70">
        <v>0.53</v>
      </c>
      <c r="G7" s="69">
        <v>0</v>
      </c>
      <c r="H7" s="69">
        <f>0.5839/0.743</f>
        <v>0.78586810228802151</v>
      </c>
      <c r="I7" s="69">
        <f>0.1593/0.743</f>
        <v>0.21440107671601616</v>
      </c>
      <c r="J7" s="70">
        <v>0</v>
      </c>
      <c r="K7" s="71">
        <f t="shared" si="5"/>
        <v>0.24000000000000002</v>
      </c>
      <c r="L7" s="69">
        <f t="shared" si="6"/>
        <v>0.48000000000000004</v>
      </c>
      <c r="M7" s="69">
        <f t="shared" si="7"/>
        <v>0.28000000000000003</v>
      </c>
      <c r="N7" s="70">
        <v>0</v>
      </c>
      <c r="O7" s="69">
        <v>0</v>
      </c>
      <c r="P7" s="69">
        <v>0</v>
      </c>
      <c r="Q7" s="69">
        <v>0</v>
      </c>
      <c r="R7" s="69">
        <v>0</v>
      </c>
      <c r="S7" s="69">
        <f>0.82/0.85</f>
        <v>0.96470588235294119</v>
      </c>
      <c r="T7" s="69">
        <v>0</v>
      </c>
      <c r="U7" s="70">
        <f>0.03/0.85</f>
        <v>3.5294117647058823E-2</v>
      </c>
      <c r="V7" s="71">
        <v>0.1047</v>
      </c>
      <c r="W7" s="69">
        <v>0.31459999999999999</v>
      </c>
      <c r="X7" s="69">
        <v>0.18540000000000001</v>
      </c>
      <c r="Y7" s="70">
        <v>0.39529999999999998</v>
      </c>
      <c r="Z7" s="69">
        <f t="shared" si="3"/>
        <v>0.48707015130674008</v>
      </c>
      <c r="AA7" s="69">
        <f t="shared" si="4"/>
        <v>0.51251719394773043</v>
      </c>
      <c r="AB7" s="70">
        <v>0</v>
      </c>
      <c r="AC7" s="71">
        <v>0</v>
      </c>
      <c r="AD7" s="69">
        <f>0.4651/0.638</f>
        <v>0.72899686520376172</v>
      </c>
      <c r="AE7" s="70">
        <f>0.1732/0.638</f>
        <v>0.27147335423197488</v>
      </c>
      <c r="AF7" s="69">
        <v>0</v>
      </c>
      <c r="AG7" s="69">
        <v>1</v>
      </c>
      <c r="AH7" s="69">
        <v>0</v>
      </c>
      <c r="AI7" s="70">
        <v>0</v>
      </c>
      <c r="AJ7" s="82">
        <v>0</v>
      </c>
      <c r="AK7" s="32">
        <v>0</v>
      </c>
      <c r="AL7" s="32">
        <v>0</v>
      </c>
      <c r="AM7" s="32">
        <v>0</v>
      </c>
      <c r="AN7" s="31">
        <v>1</v>
      </c>
    </row>
    <row r="8" spans="1:40" ht="15.75" customHeight="1" x14ac:dyDescent="0.3">
      <c r="A8" s="73" t="s">
        <v>107</v>
      </c>
      <c r="B8" s="1" t="s">
        <v>56</v>
      </c>
      <c r="C8" s="1" t="s">
        <v>102</v>
      </c>
      <c r="D8" s="17">
        <v>5.7200000000000001E-2</v>
      </c>
      <c r="E8" s="71">
        <v>0.47</v>
      </c>
      <c r="F8" s="70">
        <v>0.53</v>
      </c>
      <c r="G8" s="69">
        <v>0</v>
      </c>
      <c r="H8" s="69">
        <v>1</v>
      </c>
      <c r="I8" s="69">
        <v>0</v>
      </c>
      <c r="J8" s="70">
        <v>0</v>
      </c>
      <c r="K8" s="71">
        <f>0.2328/0.5044</f>
        <v>0.46153846153846156</v>
      </c>
      <c r="L8" s="69">
        <v>0</v>
      </c>
      <c r="M8" s="69">
        <f>0.2716/0.5044</f>
        <v>0.53846153846153855</v>
      </c>
      <c r="N8" s="70">
        <v>0</v>
      </c>
      <c r="O8" s="69">
        <v>0</v>
      </c>
      <c r="P8" s="69">
        <v>0</v>
      </c>
      <c r="Q8" s="69">
        <v>0</v>
      </c>
      <c r="R8" s="69">
        <v>0</v>
      </c>
      <c r="S8" s="69">
        <v>1</v>
      </c>
      <c r="T8" s="69">
        <v>0</v>
      </c>
      <c r="U8" s="70">
        <v>0</v>
      </c>
      <c r="V8" s="71">
        <v>0</v>
      </c>
      <c r="W8" s="69">
        <v>0</v>
      </c>
      <c r="X8" s="69">
        <v>1</v>
      </c>
      <c r="Y8" s="70">
        <v>0</v>
      </c>
      <c r="Z8" s="69">
        <v>1</v>
      </c>
      <c r="AA8" s="69">
        <v>0</v>
      </c>
      <c r="AB8" s="70">
        <v>0</v>
      </c>
      <c r="AC8" s="71">
        <v>0</v>
      </c>
      <c r="AD8" s="69">
        <v>1</v>
      </c>
      <c r="AE8" s="70">
        <v>0</v>
      </c>
      <c r="AF8" s="69">
        <v>0</v>
      </c>
      <c r="AG8" s="69">
        <v>1</v>
      </c>
      <c r="AH8" s="69">
        <v>0</v>
      </c>
      <c r="AI8" s="70">
        <v>0</v>
      </c>
      <c r="AJ8" s="82">
        <v>0</v>
      </c>
      <c r="AK8" s="32">
        <v>0</v>
      </c>
      <c r="AL8" s="32">
        <v>0</v>
      </c>
      <c r="AM8" s="32">
        <v>0</v>
      </c>
      <c r="AN8" s="31">
        <v>1</v>
      </c>
    </row>
    <row r="9" spans="1:40" ht="15.75" customHeight="1" x14ac:dyDescent="0.3">
      <c r="A9" s="74" t="s">
        <v>108</v>
      </c>
      <c r="B9" s="1" t="s">
        <v>58</v>
      </c>
      <c r="C9" s="1" t="s">
        <v>102</v>
      </c>
      <c r="D9" s="17">
        <v>0.58530000000000004</v>
      </c>
      <c r="E9" s="71">
        <v>0.3957</v>
      </c>
      <c r="F9" s="70">
        <v>0.60429999999999995</v>
      </c>
      <c r="G9" s="69">
        <v>0.11509999999999999</v>
      </c>
      <c r="H9" s="69">
        <v>0.82599999999999996</v>
      </c>
      <c r="I9" s="69">
        <v>5.8599999999999999E-2</v>
      </c>
      <c r="J9" s="70">
        <v>0</v>
      </c>
      <c r="K9" s="71">
        <f t="shared" ref="K9:K10" si="8">0.2328/0.97</f>
        <v>0.24000000000000002</v>
      </c>
      <c r="L9" s="69">
        <f t="shared" ref="L9:L10" si="9">0.4656/0.97</f>
        <v>0.48000000000000004</v>
      </c>
      <c r="M9" s="69">
        <f t="shared" ref="M9:M10" si="10">0.2716/0.97</f>
        <v>0.28000000000000003</v>
      </c>
      <c r="N9" s="70">
        <v>0</v>
      </c>
      <c r="O9" s="69">
        <v>0</v>
      </c>
      <c r="P9" s="69">
        <v>0</v>
      </c>
      <c r="Q9" s="69">
        <v>0</v>
      </c>
      <c r="R9" s="69">
        <v>0</v>
      </c>
      <c r="S9" s="69">
        <f t="shared" ref="S9:S10" si="11">0.83/0.97</f>
        <v>0.85567010309278346</v>
      </c>
      <c r="T9" s="69">
        <f t="shared" ref="T9:T10" si="12">0.12/0.97</f>
        <v>0.12371134020618557</v>
      </c>
      <c r="U9" s="70">
        <f t="shared" ref="U9:U10" si="13">0.03/0.97</f>
        <v>3.0927835051546393E-2</v>
      </c>
      <c r="V9" s="71">
        <v>0</v>
      </c>
      <c r="W9" s="69">
        <f t="shared" ref="W9:W10" si="14">0.3146/0.5</f>
        <v>0.62919999999999998</v>
      </c>
      <c r="X9" s="69">
        <f t="shared" ref="X9:X10" si="15">0.1854/0.5</f>
        <v>0.37080000000000002</v>
      </c>
      <c r="Y9" s="70">
        <v>0</v>
      </c>
      <c r="Z9" s="69">
        <v>0</v>
      </c>
      <c r="AA9" s="69">
        <v>1</v>
      </c>
      <c r="AB9" s="70">
        <v>0</v>
      </c>
      <c r="AC9" s="71">
        <v>0</v>
      </c>
      <c r="AD9" s="69">
        <v>1</v>
      </c>
      <c r="AE9" s="70">
        <v>0</v>
      </c>
      <c r="AF9" s="69">
        <v>0</v>
      </c>
      <c r="AG9" s="69">
        <v>1</v>
      </c>
      <c r="AH9" s="69">
        <v>0</v>
      </c>
      <c r="AI9" s="70">
        <v>0</v>
      </c>
      <c r="AJ9" s="82">
        <v>0</v>
      </c>
      <c r="AK9" s="32">
        <v>0</v>
      </c>
      <c r="AL9" s="32">
        <v>0</v>
      </c>
      <c r="AM9" s="32">
        <v>0</v>
      </c>
      <c r="AN9" s="31">
        <v>1</v>
      </c>
    </row>
    <row r="10" spans="1:40" ht="15.75" customHeight="1" x14ac:dyDescent="0.3">
      <c r="A10" s="74" t="s">
        <v>109</v>
      </c>
      <c r="B10" s="1" t="s">
        <v>58</v>
      </c>
      <c r="C10" s="1" t="s">
        <v>102</v>
      </c>
      <c r="D10" s="17">
        <v>1</v>
      </c>
      <c r="E10" s="71">
        <v>0.4158</v>
      </c>
      <c r="F10" s="70">
        <v>0.58420000000000005</v>
      </c>
      <c r="G10" s="69">
        <v>0.12540000000000001</v>
      </c>
      <c r="H10" s="69">
        <v>0.81799999999999995</v>
      </c>
      <c r="I10" s="69">
        <v>5.62E-2</v>
      </c>
      <c r="J10" s="70">
        <v>0</v>
      </c>
      <c r="K10" s="71">
        <f t="shared" si="8"/>
        <v>0.24000000000000002</v>
      </c>
      <c r="L10" s="69">
        <f t="shared" si="9"/>
        <v>0.48000000000000004</v>
      </c>
      <c r="M10" s="69">
        <f t="shared" si="10"/>
        <v>0.28000000000000003</v>
      </c>
      <c r="N10" s="70">
        <v>0</v>
      </c>
      <c r="O10" s="69">
        <v>0</v>
      </c>
      <c r="P10" s="69">
        <v>0</v>
      </c>
      <c r="Q10" s="69">
        <v>0</v>
      </c>
      <c r="R10" s="69">
        <v>0</v>
      </c>
      <c r="S10" s="69">
        <f t="shared" si="11"/>
        <v>0.85567010309278346</v>
      </c>
      <c r="T10" s="69">
        <f t="shared" si="12"/>
        <v>0.12371134020618557</v>
      </c>
      <c r="U10" s="70">
        <f t="shared" si="13"/>
        <v>3.0927835051546393E-2</v>
      </c>
      <c r="V10" s="71">
        <v>0</v>
      </c>
      <c r="W10" s="69">
        <f t="shared" si="14"/>
        <v>0.62919999999999998</v>
      </c>
      <c r="X10" s="69">
        <f t="shared" si="15"/>
        <v>0.37080000000000002</v>
      </c>
      <c r="Y10" s="70">
        <v>0</v>
      </c>
      <c r="Z10" s="69">
        <v>0</v>
      </c>
      <c r="AA10" s="69">
        <v>1</v>
      </c>
      <c r="AB10" s="70">
        <v>0</v>
      </c>
      <c r="AC10" s="71">
        <v>0</v>
      </c>
      <c r="AD10" s="69">
        <v>1</v>
      </c>
      <c r="AE10" s="70">
        <v>0</v>
      </c>
      <c r="AF10" s="69">
        <v>0</v>
      </c>
      <c r="AG10" s="69">
        <v>1</v>
      </c>
      <c r="AH10" s="69">
        <v>0</v>
      </c>
      <c r="AI10" s="70">
        <v>0</v>
      </c>
      <c r="AJ10" s="82">
        <v>0</v>
      </c>
      <c r="AK10" s="32">
        <v>0</v>
      </c>
      <c r="AL10" s="32">
        <v>0</v>
      </c>
      <c r="AM10" s="32">
        <v>0</v>
      </c>
      <c r="AN10" s="31">
        <v>1</v>
      </c>
    </row>
    <row r="11" spans="1:40" ht="15.75" customHeight="1" x14ac:dyDescent="0.3">
      <c r="A11" s="74" t="s">
        <v>110</v>
      </c>
      <c r="B11" s="1" t="s">
        <v>58</v>
      </c>
      <c r="C11" s="1" t="s">
        <v>102</v>
      </c>
      <c r="D11" s="17">
        <v>1</v>
      </c>
      <c r="E11" s="71">
        <v>0.58579999999999999</v>
      </c>
      <c r="F11" s="70">
        <v>0.41420000000000001</v>
      </c>
      <c r="G11" s="69">
        <v>0.13900000000000001</v>
      </c>
      <c r="H11" s="69">
        <v>0.83199999999999996</v>
      </c>
      <c r="I11" s="69">
        <v>2.8799999999999999E-2</v>
      </c>
      <c r="J11" s="70">
        <v>0</v>
      </c>
      <c r="K11" s="71">
        <v>0</v>
      </c>
      <c r="L11" s="69">
        <f t="shared" ref="L11:L16" si="16">0.4656/0.7372</f>
        <v>0.63157894736842113</v>
      </c>
      <c r="M11" s="69">
        <f t="shared" ref="M11:M16" si="17">0.2716/0.7372</f>
        <v>0.36842105263157898</v>
      </c>
      <c r="N11" s="70">
        <v>0</v>
      </c>
      <c r="O11" s="69">
        <v>0</v>
      </c>
      <c r="P11" s="69">
        <v>0</v>
      </c>
      <c r="Q11" s="69">
        <v>0</v>
      </c>
      <c r="R11" s="69">
        <v>0.03</v>
      </c>
      <c r="S11" s="69">
        <v>0.82</v>
      </c>
      <c r="T11" s="69">
        <v>0.12</v>
      </c>
      <c r="U11" s="70">
        <v>0.03</v>
      </c>
      <c r="V11" s="71">
        <v>0.1047</v>
      </c>
      <c r="W11" s="69">
        <v>0.31459999999999999</v>
      </c>
      <c r="X11" s="69">
        <v>0.18540000000000001</v>
      </c>
      <c r="Y11" s="70">
        <v>0.39529999999999998</v>
      </c>
      <c r="Z11" s="69">
        <v>0.35410000000000003</v>
      </c>
      <c r="AA11" s="69">
        <v>0.37259999999999999</v>
      </c>
      <c r="AB11" s="70">
        <v>0.27329999999999999</v>
      </c>
      <c r="AC11" s="71">
        <v>0.36170000000000002</v>
      </c>
      <c r="AD11" s="69">
        <v>0.46510000000000001</v>
      </c>
      <c r="AE11" s="70">
        <v>0.17319999999999999</v>
      </c>
      <c r="AF11" s="69">
        <v>7.0900000000000005E-2</v>
      </c>
      <c r="AG11" s="69">
        <v>0.70930000000000004</v>
      </c>
      <c r="AH11" s="69">
        <v>0</v>
      </c>
      <c r="AI11" s="70">
        <v>0.2198</v>
      </c>
      <c r="AJ11" s="82">
        <v>0</v>
      </c>
      <c r="AK11" s="32">
        <v>0</v>
      </c>
      <c r="AL11" s="32">
        <v>0</v>
      </c>
      <c r="AM11" s="32">
        <v>0</v>
      </c>
      <c r="AN11" s="31">
        <v>1</v>
      </c>
    </row>
    <row r="12" spans="1:40" ht="15.75" customHeight="1" x14ac:dyDescent="0.3">
      <c r="A12" s="74" t="s">
        <v>111</v>
      </c>
      <c r="B12" s="1" t="s">
        <v>58</v>
      </c>
      <c r="C12" s="1" t="s">
        <v>102</v>
      </c>
      <c r="D12" s="17">
        <v>0.44450000000000001</v>
      </c>
      <c r="E12" s="71">
        <v>0.55020000000000002</v>
      </c>
      <c r="F12" s="70">
        <v>0.44979999999999998</v>
      </c>
      <c r="G12" s="69">
        <v>9.3700000000000006E-2</v>
      </c>
      <c r="H12" s="69">
        <v>0.79500000000000004</v>
      </c>
      <c r="I12" s="69">
        <v>0.111</v>
      </c>
      <c r="J12" s="70">
        <v>0</v>
      </c>
      <c r="K12" s="71">
        <v>0</v>
      </c>
      <c r="L12" s="69">
        <f t="shared" si="16"/>
        <v>0.63157894736842113</v>
      </c>
      <c r="M12" s="69">
        <f t="shared" si="17"/>
        <v>0.36842105263157898</v>
      </c>
      <c r="N12" s="70">
        <v>0</v>
      </c>
      <c r="O12" s="69">
        <v>0</v>
      </c>
      <c r="P12" s="69">
        <v>0</v>
      </c>
      <c r="Q12" s="69">
        <v>0</v>
      </c>
      <c r="R12" s="69">
        <v>0</v>
      </c>
      <c r="S12" s="69">
        <f>0.83/0.97</f>
        <v>0.85567010309278346</v>
      </c>
      <c r="T12" s="69">
        <f>0.12/0.97</f>
        <v>0.12371134020618557</v>
      </c>
      <c r="U12" s="70">
        <f>0.03/0.97</f>
        <v>3.0927835051546393E-2</v>
      </c>
      <c r="V12" s="71">
        <v>0</v>
      </c>
      <c r="W12" s="69">
        <f t="shared" ref="W12:W13" si="18">0.3146/0.5</f>
        <v>0.62919999999999998</v>
      </c>
      <c r="X12" s="69">
        <f t="shared" ref="X12:X13" si="19">0.1854/0.5</f>
        <v>0.37080000000000002</v>
      </c>
      <c r="Y12" s="70">
        <v>0</v>
      </c>
      <c r="Z12" s="69">
        <v>0.35410000000000003</v>
      </c>
      <c r="AA12" s="69">
        <v>0.37259999999999999</v>
      </c>
      <c r="AB12" s="70">
        <v>0.27329999999999999</v>
      </c>
      <c r="AC12" s="71">
        <v>0</v>
      </c>
      <c r="AD12" s="69">
        <v>1</v>
      </c>
      <c r="AE12" s="70">
        <v>0</v>
      </c>
      <c r="AF12" s="69">
        <v>0</v>
      </c>
      <c r="AG12" s="69">
        <v>1</v>
      </c>
      <c r="AH12" s="69">
        <v>0</v>
      </c>
      <c r="AI12" s="70">
        <v>0</v>
      </c>
      <c r="AJ12" s="82">
        <v>0</v>
      </c>
      <c r="AK12" s="32">
        <v>0</v>
      </c>
      <c r="AL12" s="32">
        <v>0</v>
      </c>
      <c r="AM12" s="32">
        <v>0</v>
      </c>
      <c r="AN12" s="31">
        <v>1</v>
      </c>
    </row>
    <row r="13" spans="1:40" ht="15.75" customHeight="1" x14ac:dyDescent="0.3">
      <c r="A13" s="74" t="s">
        <v>112</v>
      </c>
      <c r="B13" s="1" t="s">
        <v>58</v>
      </c>
      <c r="C13" s="1" t="s">
        <v>102</v>
      </c>
      <c r="D13" s="17">
        <v>0.6673</v>
      </c>
      <c r="E13" s="71">
        <v>0.40510000000000002</v>
      </c>
      <c r="F13" s="70">
        <v>0.59489999999999998</v>
      </c>
      <c r="G13" s="69">
        <v>0.1308</v>
      </c>
      <c r="H13" s="69">
        <v>0.81100000000000005</v>
      </c>
      <c r="I13" s="69">
        <v>5.7799999999999997E-2</v>
      </c>
      <c r="J13" s="70">
        <v>0</v>
      </c>
      <c r="K13" s="71">
        <v>0</v>
      </c>
      <c r="L13" s="69">
        <f t="shared" si="16"/>
        <v>0.63157894736842113</v>
      </c>
      <c r="M13" s="69">
        <f t="shared" si="17"/>
        <v>0.36842105263157898</v>
      </c>
      <c r="N13" s="70">
        <v>0</v>
      </c>
      <c r="O13" s="69">
        <v>0</v>
      </c>
      <c r="P13" s="69">
        <v>0</v>
      </c>
      <c r="Q13" s="69">
        <v>0</v>
      </c>
      <c r="R13" s="69">
        <v>0.03</v>
      </c>
      <c r="S13" s="69">
        <v>0.82</v>
      </c>
      <c r="T13" s="69">
        <v>0.12</v>
      </c>
      <c r="U13" s="70">
        <v>0.03</v>
      </c>
      <c r="V13" s="71">
        <v>0</v>
      </c>
      <c r="W13" s="69">
        <f t="shared" si="18"/>
        <v>0.62919999999999998</v>
      </c>
      <c r="X13" s="69">
        <f t="shared" si="19"/>
        <v>0.37080000000000002</v>
      </c>
      <c r="Y13" s="70">
        <v>0</v>
      </c>
      <c r="Z13" s="69">
        <v>0</v>
      </c>
      <c r="AA13" s="69">
        <f t="shared" ref="AA13:AA15" si="20">0.3726/0.646</f>
        <v>0.57678018575851386</v>
      </c>
      <c r="AB13" s="70">
        <f t="shared" ref="AB13:AB15" si="21">0.2733/0.646</f>
        <v>0.42306501547987613</v>
      </c>
      <c r="AC13" s="71">
        <v>0</v>
      </c>
      <c r="AD13" s="69">
        <v>1</v>
      </c>
      <c r="AE13" s="70">
        <v>0</v>
      </c>
      <c r="AF13" s="69">
        <v>0</v>
      </c>
      <c r="AG13" s="69">
        <v>1</v>
      </c>
      <c r="AH13" s="69">
        <v>0</v>
      </c>
      <c r="AI13" s="70">
        <v>0</v>
      </c>
      <c r="AJ13" s="82">
        <v>0</v>
      </c>
      <c r="AK13" s="32">
        <v>0</v>
      </c>
      <c r="AL13" s="32">
        <v>0</v>
      </c>
      <c r="AM13" s="32">
        <v>0</v>
      </c>
      <c r="AN13" s="31">
        <v>1</v>
      </c>
    </row>
    <row r="14" spans="1:40" ht="15.75" customHeight="1" x14ac:dyDescent="0.3">
      <c r="A14" s="74" t="s">
        <v>63</v>
      </c>
      <c r="B14" s="1" t="s">
        <v>58</v>
      </c>
      <c r="C14" s="1" t="s">
        <v>102</v>
      </c>
      <c r="D14" s="17">
        <v>6.59E-2</v>
      </c>
      <c r="E14" s="71">
        <v>0.58199999999999996</v>
      </c>
      <c r="F14" s="70">
        <v>0.41799999999999998</v>
      </c>
      <c r="G14" s="69">
        <v>9.2399999999999996E-2</v>
      </c>
      <c r="H14" s="69">
        <v>0.79400000000000004</v>
      </c>
      <c r="I14" s="69">
        <v>0.114</v>
      </c>
      <c r="J14" s="70">
        <v>0</v>
      </c>
      <c r="K14" s="71">
        <v>0</v>
      </c>
      <c r="L14" s="69">
        <f t="shared" si="16"/>
        <v>0.63157894736842113</v>
      </c>
      <c r="M14" s="69">
        <f t="shared" si="17"/>
        <v>0.36842105263157898</v>
      </c>
      <c r="N14" s="70">
        <v>0</v>
      </c>
      <c r="O14" s="69">
        <v>0</v>
      </c>
      <c r="P14" s="69">
        <v>0</v>
      </c>
      <c r="Q14" s="69">
        <v>0</v>
      </c>
      <c r="R14" s="69">
        <v>0</v>
      </c>
      <c r="S14" s="69">
        <f t="shared" ref="S14:S16" si="22">0.83/0.97</f>
        <v>0.85567010309278346</v>
      </c>
      <c r="T14" s="69">
        <f t="shared" ref="T14:T16" si="23">0.12/0.97</f>
        <v>0.12371134020618557</v>
      </c>
      <c r="U14" s="70">
        <f t="shared" ref="U14:U16" si="24">0.03/0.97</f>
        <v>3.0927835051546393E-2</v>
      </c>
      <c r="V14" s="71">
        <v>0</v>
      </c>
      <c r="W14" s="69">
        <v>0</v>
      </c>
      <c r="X14" s="69">
        <v>1</v>
      </c>
      <c r="Y14" s="70">
        <v>0</v>
      </c>
      <c r="Z14" s="69">
        <v>0</v>
      </c>
      <c r="AA14" s="69">
        <f t="shared" si="20"/>
        <v>0.57678018575851386</v>
      </c>
      <c r="AB14" s="70">
        <f t="shared" si="21"/>
        <v>0.42306501547987613</v>
      </c>
      <c r="AC14" s="71">
        <v>0</v>
      </c>
      <c r="AD14" s="69">
        <v>1</v>
      </c>
      <c r="AE14" s="70">
        <v>0</v>
      </c>
      <c r="AF14" s="69">
        <v>0</v>
      </c>
      <c r="AG14" s="69">
        <v>1</v>
      </c>
      <c r="AH14" s="69">
        <v>0</v>
      </c>
      <c r="AI14" s="70">
        <v>0</v>
      </c>
      <c r="AJ14" s="82">
        <v>0</v>
      </c>
      <c r="AK14" s="32">
        <v>0</v>
      </c>
      <c r="AL14" s="32">
        <v>0</v>
      </c>
      <c r="AM14" s="32">
        <v>0</v>
      </c>
      <c r="AN14" s="31">
        <v>1</v>
      </c>
    </row>
    <row r="15" spans="1:40" ht="15.75" customHeight="1" x14ac:dyDescent="0.3">
      <c r="A15" s="74" t="s">
        <v>113</v>
      </c>
      <c r="B15" s="1" t="s">
        <v>58</v>
      </c>
      <c r="C15" s="1" t="s">
        <v>102</v>
      </c>
      <c r="D15" s="17">
        <v>0.4622</v>
      </c>
      <c r="E15" s="71">
        <v>0.55400000000000005</v>
      </c>
      <c r="F15" s="70">
        <v>0.44600000000000001</v>
      </c>
      <c r="G15" s="69">
        <v>9.5899999999999999E-2</v>
      </c>
      <c r="H15" s="69">
        <v>0.82899999999999996</v>
      </c>
      <c r="I15" s="69">
        <v>7.4800000000000005E-2</v>
      </c>
      <c r="J15" s="70">
        <v>0</v>
      </c>
      <c r="K15" s="71">
        <v>0</v>
      </c>
      <c r="L15" s="69">
        <f t="shared" si="16"/>
        <v>0.63157894736842113</v>
      </c>
      <c r="M15" s="69">
        <f t="shared" si="17"/>
        <v>0.36842105263157898</v>
      </c>
      <c r="N15" s="70">
        <v>0</v>
      </c>
      <c r="O15" s="69">
        <v>0</v>
      </c>
      <c r="P15" s="69">
        <v>0</v>
      </c>
      <c r="Q15" s="69">
        <v>0</v>
      </c>
      <c r="R15" s="69">
        <v>0</v>
      </c>
      <c r="S15" s="69">
        <f t="shared" si="22"/>
        <v>0.85567010309278346</v>
      </c>
      <c r="T15" s="69">
        <f t="shared" si="23"/>
        <v>0.12371134020618557</v>
      </c>
      <c r="U15" s="70">
        <f t="shared" si="24"/>
        <v>3.0927835051546393E-2</v>
      </c>
      <c r="V15" s="71">
        <v>0</v>
      </c>
      <c r="W15" s="69">
        <v>0</v>
      </c>
      <c r="X15" s="69">
        <v>1</v>
      </c>
      <c r="Y15" s="70">
        <v>0</v>
      </c>
      <c r="Z15" s="69">
        <v>0</v>
      </c>
      <c r="AA15" s="69">
        <f t="shared" si="20"/>
        <v>0.57678018575851386</v>
      </c>
      <c r="AB15" s="70">
        <f t="shared" si="21"/>
        <v>0.42306501547987613</v>
      </c>
      <c r="AC15" s="71">
        <v>0</v>
      </c>
      <c r="AD15" s="69">
        <v>1</v>
      </c>
      <c r="AE15" s="70">
        <v>0</v>
      </c>
      <c r="AF15" s="69">
        <v>0</v>
      </c>
      <c r="AG15" s="69">
        <v>1</v>
      </c>
      <c r="AH15" s="69">
        <v>0</v>
      </c>
      <c r="AI15" s="70">
        <v>0</v>
      </c>
      <c r="AJ15" s="82">
        <v>0</v>
      </c>
      <c r="AK15" s="32">
        <v>0</v>
      </c>
      <c r="AL15" s="32">
        <v>0</v>
      </c>
      <c r="AM15" s="32">
        <v>0</v>
      </c>
      <c r="AN15" s="31">
        <v>1</v>
      </c>
    </row>
    <row r="16" spans="1:40" ht="15.75" customHeight="1" x14ac:dyDescent="0.3">
      <c r="A16" s="74" t="s">
        <v>114</v>
      </c>
      <c r="B16" s="1" t="s">
        <v>58</v>
      </c>
      <c r="C16" s="1" t="s">
        <v>102</v>
      </c>
      <c r="D16" s="17">
        <v>0.18659999999999999</v>
      </c>
      <c r="E16" s="71">
        <v>0.48170000000000002</v>
      </c>
      <c r="F16" s="70">
        <v>0.51829999999999998</v>
      </c>
      <c r="G16" s="69">
        <v>0.11609999999999999</v>
      </c>
      <c r="H16" s="69">
        <v>0.81579999999999997</v>
      </c>
      <c r="I16" s="69">
        <v>6.8099999999999994E-2</v>
      </c>
      <c r="J16" s="70">
        <v>0</v>
      </c>
      <c r="K16" s="71">
        <v>0</v>
      </c>
      <c r="L16" s="69">
        <f t="shared" si="16"/>
        <v>0.63157894736842113</v>
      </c>
      <c r="M16" s="69">
        <f t="shared" si="17"/>
        <v>0.36842105263157898</v>
      </c>
      <c r="N16" s="70">
        <v>0</v>
      </c>
      <c r="O16" s="69">
        <v>0</v>
      </c>
      <c r="P16" s="69">
        <v>0</v>
      </c>
      <c r="Q16" s="69">
        <v>0</v>
      </c>
      <c r="R16" s="69">
        <v>0</v>
      </c>
      <c r="S16" s="69">
        <f t="shared" si="22"/>
        <v>0.85567010309278346</v>
      </c>
      <c r="T16" s="69">
        <f t="shared" si="23"/>
        <v>0.12371134020618557</v>
      </c>
      <c r="U16" s="70">
        <f t="shared" si="24"/>
        <v>3.0927835051546393E-2</v>
      </c>
      <c r="V16" s="71">
        <v>0</v>
      </c>
      <c r="W16" s="69">
        <f>0.3146/0.5</f>
        <v>0.62919999999999998</v>
      </c>
      <c r="X16" s="69">
        <f>0.1854/0.5</f>
        <v>0.37080000000000002</v>
      </c>
      <c r="Y16" s="70">
        <v>0</v>
      </c>
      <c r="Z16" s="69">
        <v>0.35410000000000003</v>
      </c>
      <c r="AA16" s="69">
        <v>0.37259999999999999</v>
      </c>
      <c r="AB16" s="70">
        <v>0.27329999999999999</v>
      </c>
      <c r="AC16" s="71">
        <v>0</v>
      </c>
      <c r="AD16" s="69">
        <v>1</v>
      </c>
      <c r="AE16" s="70">
        <v>0</v>
      </c>
      <c r="AF16" s="69">
        <v>0</v>
      </c>
      <c r="AG16" s="69">
        <v>1</v>
      </c>
      <c r="AH16" s="69">
        <v>0</v>
      </c>
      <c r="AI16" s="70">
        <v>0</v>
      </c>
      <c r="AJ16" s="82">
        <v>0</v>
      </c>
      <c r="AK16" s="32">
        <v>0</v>
      </c>
      <c r="AL16" s="32">
        <v>0</v>
      </c>
      <c r="AM16" s="32">
        <v>0</v>
      </c>
      <c r="AN16" s="31">
        <v>1</v>
      </c>
    </row>
    <row r="17" spans="1:40" ht="15.75" customHeight="1" x14ac:dyDescent="0.3">
      <c r="A17" s="74" t="s">
        <v>115</v>
      </c>
      <c r="B17" s="1" t="s">
        <v>58</v>
      </c>
      <c r="C17" s="1" t="s">
        <v>102</v>
      </c>
      <c r="D17" s="17">
        <v>1.8800000000000001E-2</v>
      </c>
      <c r="E17" s="71">
        <v>0.47</v>
      </c>
      <c r="F17" s="70">
        <v>0.53</v>
      </c>
      <c r="G17" s="69">
        <f t="shared" ref="G17:G18" si="25">0.0959/0.68</f>
        <v>0.14102941176470588</v>
      </c>
      <c r="H17" s="69">
        <f t="shared" ref="H17:H18" si="26">0.5839/0.68</f>
        <v>0.85867647058823515</v>
      </c>
      <c r="I17" s="69">
        <v>0</v>
      </c>
      <c r="J17" s="70">
        <v>0</v>
      </c>
      <c r="K17" s="71">
        <f>0.2328/0.5044</f>
        <v>0.46153846153846156</v>
      </c>
      <c r="L17" s="69">
        <v>0</v>
      </c>
      <c r="M17" s="69">
        <f>0.2716/0.5044</f>
        <v>0.53846153846153855</v>
      </c>
      <c r="N17" s="70">
        <v>0</v>
      </c>
      <c r="O17" s="69">
        <v>0</v>
      </c>
      <c r="P17" s="69">
        <v>0</v>
      </c>
      <c r="Q17" s="69">
        <v>0</v>
      </c>
      <c r="R17" s="69">
        <f>0.03/0.88</f>
        <v>3.4090909090909088E-2</v>
      </c>
      <c r="S17" s="69">
        <f>0.82/0.88</f>
        <v>0.93181818181818177</v>
      </c>
      <c r="T17" s="69">
        <v>0</v>
      </c>
      <c r="U17" s="70">
        <f>0.03/0.88</f>
        <v>3.4090909090909088E-2</v>
      </c>
      <c r="V17" s="71">
        <v>1</v>
      </c>
      <c r="W17" s="69">
        <v>0</v>
      </c>
      <c r="X17" s="69">
        <v>0</v>
      </c>
      <c r="Y17" s="70">
        <v>0</v>
      </c>
      <c r="Z17" s="69">
        <v>0.35410000000000003</v>
      </c>
      <c r="AA17" s="69">
        <v>0.37259999999999999</v>
      </c>
      <c r="AB17" s="70">
        <v>0.27329999999999999</v>
      </c>
      <c r="AC17" s="71">
        <v>1</v>
      </c>
      <c r="AD17" s="69">
        <v>0</v>
      </c>
      <c r="AE17" s="70">
        <v>0</v>
      </c>
      <c r="AF17" s="69">
        <v>1</v>
      </c>
      <c r="AG17" s="69">
        <v>0</v>
      </c>
      <c r="AH17" s="69">
        <v>0</v>
      </c>
      <c r="AI17" s="70">
        <v>0</v>
      </c>
      <c r="AJ17" s="82">
        <v>0</v>
      </c>
      <c r="AK17" s="32">
        <v>0</v>
      </c>
      <c r="AL17" s="32">
        <v>0</v>
      </c>
      <c r="AM17" s="32">
        <v>0</v>
      </c>
      <c r="AN17" s="31">
        <v>1</v>
      </c>
    </row>
    <row r="18" spans="1:40" ht="15.75" customHeight="1" x14ac:dyDescent="0.3">
      <c r="A18" s="74" t="s">
        <v>116</v>
      </c>
      <c r="B18" s="1" t="s">
        <v>58</v>
      </c>
      <c r="C18" s="1" t="s">
        <v>102</v>
      </c>
      <c r="D18" s="17">
        <v>8.2900000000000001E-2</v>
      </c>
      <c r="E18" s="71">
        <v>0.47</v>
      </c>
      <c r="F18" s="70">
        <v>0.53</v>
      </c>
      <c r="G18" s="69">
        <f t="shared" si="25"/>
        <v>0.14102941176470588</v>
      </c>
      <c r="H18" s="69">
        <f t="shared" si="26"/>
        <v>0.85867647058823515</v>
      </c>
      <c r="I18" s="69">
        <v>0</v>
      </c>
      <c r="J18" s="70">
        <v>0</v>
      </c>
      <c r="K18" s="71">
        <f>0.2328/0.97</f>
        <v>0.24000000000000002</v>
      </c>
      <c r="L18" s="69">
        <f>0.4656/0.97</f>
        <v>0.48000000000000004</v>
      </c>
      <c r="M18" s="69">
        <f>0.2716/0.97</f>
        <v>0.28000000000000003</v>
      </c>
      <c r="N18" s="70">
        <v>0</v>
      </c>
      <c r="O18" s="69">
        <v>0</v>
      </c>
      <c r="P18" s="69">
        <v>0</v>
      </c>
      <c r="Q18" s="69">
        <v>0</v>
      </c>
      <c r="R18" s="69">
        <v>0</v>
      </c>
      <c r="S18" s="69">
        <f>0.82/0.85</f>
        <v>0.96470588235294119</v>
      </c>
      <c r="T18" s="69">
        <v>0</v>
      </c>
      <c r="U18" s="70">
        <f>0.03/0.85</f>
        <v>3.5294117647058823E-2</v>
      </c>
      <c r="V18" s="71">
        <v>1</v>
      </c>
      <c r="W18" s="69">
        <v>0</v>
      </c>
      <c r="X18" s="69">
        <v>0</v>
      </c>
      <c r="Y18" s="70">
        <v>0</v>
      </c>
      <c r="Z18" s="69">
        <v>0.35410000000000003</v>
      </c>
      <c r="AA18" s="69">
        <v>0.37259999999999999</v>
      </c>
      <c r="AB18" s="70">
        <v>0.27329999999999999</v>
      </c>
      <c r="AC18" s="71">
        <v>1</v>
      </c>
      <c r="AD18" s="69">
        <v>0</v>
      </c>
      <c r="AE18" s="70">
        <v>0</v>
      </c>
      <c r="AF18" s="69">
        <v>1</v>
      </c>
      <c r="AG18" s="69">
        <v>0</v>
      </c>
      <c r="AH18" s="69">
        <v>0</v>
      </c>
      <c r="AI18" s="70">
        <v>0</v>
      </c>
      <c r="AJ18" s="82">
        <v>0</v>
      </c>
      <c r="AK18" s="32">
        <v>0</v>
      </c>
      <c r="AL18" s="32">
        <v>0</v>
      </c>
      <c r="AM18" s="32">
        <v>0</v>
      </c>
      <c r="AN18" s="31">
        <v>1</v>
      </c>
    </row>
    <row r="19" spans="1:40" ht="15.75" customHeight="1" x14ac:dyDescent="0.3">
      <c r="A19" s="75" t="s">
        <v>117</v>
      </c>
      <c r="B19" s="1" t="s">
        <v>70</v>
      </c>
      <c r="C19" s="1" t="s">
        <v>102</v>
      </c>
      <c r="D19" s="17">
        <v>0.4713</v>
      </c>
      <c r="E19" s="71">
        <v>0.47</v>
      </c>
      <c r="F19" s="70">
        <v>0.53</v>
      </c>
      <c r="G19" s="69">
        <f>0.0959/0.839</f>
        <v>0.11430274135876044</v>
      </c>
      <c r="H19" s="69">
        <f>0.5839/0.839</f>
        <v>0.69594755661501784</v>
      </c>
      <c r="I19" s="69">
        <f>0.1593/0.839</f>
        <v>0.18986889153754469</v>
      </c>
      <c r="J19" s="70">
        <v>0</v>
      </c>
      <c r="K19" s="71">
        <v>0.23280000000000001</v>
      </c>
      <c r="L19" s="69">
        <v>0.46560000000000001</v>
      </c>
      <c r="M19" s="69">
        <v>0.27160000000000001</v>
      </c>
      <c r="N19" s="70">
        <v>0.03</v>
      </c>
      <c r="O19" s="69">
        <v>0</v>
      </c>
      <c r="P19" s="69">
        <v>0</v>
      </c>
      <c r="Q19" s="69">
        <v>0</v>
      </c>
      <c r="R19" s="69">
        <v>0.03</v>
      </c>
      <c r="S19" s="69">
        <v>0.82</v>
      </c>
      <c r="T19" s="69">
        <v>0.12</v>
      </c>
      <c r="U19" s="70">
        <v>0.03</v>
      </c>
      <c r="V19" s="71">
        <v>0.1047</v>
      </c>
      <c r="W19" s="69">
        <v>0.31459999999999999</v>
      </c>
      <c r="X19" s="69">
        <v>0.18540000000000001</v>
      </c>
      <c r="Y19" s="70">
        <v>0.39529999999999998</v>
      </c>
      <c r="Z19" s="69">
        <v>0.35410000000000003</v>
      </c>
      <c r="AA19" s="69">
        <v>0.37259999999999999</v>
      </c>
      <c r="AB19" s="70">
        <v>0.27329999999999999</v>
      </c>
      <c r="AC19" s="71">
        <v>0.36170000000000002</v>
      </c>
      <c r="AD19" s="69">
        <v>0.46510000000000001</v>
      </c>
      <c r="AE19" s="70">
        <v>0.17319999999999999</v>
      </c>
      <c r="AF19" s="69">
        <v>7.0900000000000005E-2</v>
      </c>
      <c r="AG19" s="69">
        <v>0.70930000000000004</v>
      </c>
      <c r="AH19" s="69">
        <v>0</v>
      </c>
      <c r="AI19" s="70">
        <v>0.2198</v>
      </c>
      <c r="AJ19" s="82">
        <v>0</v>
      </c>
      <c r="AK19" s="32">
        <v>0</v>
      </c>
      <c r="AL19" s="32">
        <v>0</v>
      </c>
      <c r="AM19" s="32">
        <v>0</v>
      </c>
      <c r="AN19" s="31">
        <v>1</v>
      </c>
    </row>
    <row r="20" spans="1:40" ht="15.75" customHeight="1" x14ac:dyDescent="0.3">
      <c r="A20" s="75" t="s">
        <v>118</v>
      </c>
      <c r="B20" s="1" t="s">
        <v>70</v>
      </c>
      <c r="C20" s="1" t="s">
        <v>102</v>
      </c>
      <c r="D20" s="17">
        <v>0.29909999999999998</v>
      </c>
      <c r="E20" s="71">
        <v>0.47</v>
      </c>
      <c r="F20" s="70">
        <v>0.53</v>
      </c>
      <c r="G20" s="69">
        <f t="shared" ref="G20:G23" si="27">0.0959/0.68</f>
        <v>0.14102941176470588</v>
      </c>
      <c r="H20" s="69">
        <f t="shared" ref="H20:H23" si="28">0.5839/0.68</f>
        <v>0.85867647058823515</v>
      </c>
      <c r="I20" s="69">
        <v>0</v>
      </c>
      <c r="J20" s="70">
        <v>0</v>
      </c>
      <c r="K20" s="71">
        <v>0</v>
      </c>
      <c r="L20" s="69">
        <f t="shared" ref="L20:L23" si="29">0.4656/0.7372</f>
        <v>0.63157894736842113</v>
      </c>
      <c r="M20" s="69">
        <f t="shared" ref="M20:M23" si="30">0.2716/0.7372</f>
        <v>0.36842105263157898</v>
      </c>
      <c r="N20" s="70">
        <v>0</v>
      </c>
      <c r="O20" s="69">
        <v>0</v>
      </c>
      <c r="P20" s="69">
        <v>0</v>
      </c>
      <c r="Q20" s="69">
        <v>0</v>
      </c>
      <c r="R20" s="69">
        <v>0</v>
      </c>
      <c r="S20" s="69">
        <f>0.82/0.94</f>
        <v>0.87234042553191493</v>
      </c>
      <c r="T20" s="69">
        <f>0.12/0.94</f>
        <v>0.1276595744680851</v>
      </c>
      <c r="U20" s="70">
        <v>0</v>
      </c>
      <c r="V20" s="71">
        <v>0.1047</v>
      </c>
      <c r="W20" s="69">
        <v>0.31459999999999999</v>
      </c>
      <c r="X20" s="69">
        <v>0.18540000000000001</v>
      </c>
      <c r="Y20" s="70">
        <v>0.39529999999999998</v>
      </c>
      <c r="Z20" s="69">
        <v>0.35410000000000003</v>
      </c>
      <c r="AA20" s="69">
        <v>0.37259999999999999</v>
      </c>
      <c r="AB20" s="70">
        <v>0.27329999999999999</v>
      </c>
      <c r="AC20" s="71">
        <v>0</v>
      </c>
      <c r="AD20" s="69">
        <f>0.4651/0.638</f>
        <v>0.72899686520376172</v>
      </c>
      <c r="AE20" s="70">
        <f>0.1732/0.638</f>
        <v>0.27147335423197488</v>
      </c>
      <c r="AF20" s="69">
        <v>0</v>
      </c>
      <c r="AG20" s="69">
        <f>0.7093/0.929</f>
        <v>0.76350914962325078</v>
      </c>
      <c r="AH20" s="69">
        <v>0</v>
      </c>
      <c r="AI20" s="70">
        <f>0.2198/0.929</f>
        <v>0.23659849300322927</v>
      </c>
      <c r="AJ20" s="27">
        <v>0.01</v>
      </c>
      <c r="AK20" s="28">
        <v>0.03</v>
      </c>
      <c r="AL20" s="28">
        <v>0.06</v>
      </c>
      <c r="AM20" s="32">
        <v>0</v>
      </c>
      <c r="AN20" s="31">
        <v>0.9</v>
      </c>
    </row>
    <row r="21" spans="1:40" ht="15.75" customHeight="1" x14ac:dyDescent="0.3">
      <c r="A21" s="75" t="s">
        <v>119</v>
      </c>
      <c r="B21" s="1" t="s">
        <v>70</v>
      </c>
      <c r="C21" s="1" t="s">
        <v>102</v>
      </c>
      <c r="D21" s="17">
        <v>0.43</v>
      </c>
      <c r="E21" s="71">
        <v>0.47</v>
      </c>
      <c r="F21" s="70">
        <v>0.53</v>
      </c>
      <c r="G21" s="69">
        <f t="shared" si="27"/>
        <v>0.14102941176470588</v>
      </c>
      <c r="H21" s="69">
        <f t="shared" si="28"/>
        <v>0.85867647058823515</v>
      </c>
      <c r="I21" s="69">
        <v>0</v>
      </c>
      <c r="J21" s="70">
        <v>0</v>
      </c>
      <c r="K21" s="71">
        <v>0</v>
      </c>
      <c r="L21" s="69">
        <f t="shared" si="29"/>
        <v>0.63157894736842113</v>
      </c>
      <c r="M21" s="69">
        <f t="shared" si="30"/>
        <v>0.36842105263157898</v>
      </c>
      <c r="N21" s="70">
        <v>0</v>
      </c>
      <c r="O21" s="69">
        <v>0</v>
      </c>
      <c r="P21" s="69">
        <v>0</v>
      </c>
      <c r="Q21" s="69">
        <v>0</v>
      </c>
      <c r="R21" s="69">
        <v>0.03</v>
      </c>
      <c r="S21" s="69">
        <v>0.82</v>
      </c>
      <c r="T21" s="69">
        <v>0.12</v>
      </c>
      <c r="U21" s="70">
        <v>0.03</v>
      </c>
      <c r="V21" s="71">
        <v>0.1047</v>
      </c>
      <c r="W21" s="69">
        <v>0.31459999999999999</v>
      </c>
      <c r="X21" s="69">
        <v>0.18540000000000001</v>
      </c>
      <c r="Y21" s="70">
        <v>0.39529999999999998</v>
      </c>
      <c r="Z21" s="69">
        <v>0.35410000000000003</v>
      </c>
      <c r="AA21" s="69">
        <v>0.37259999999999999</v>
      </c>
      <c r="AB21" s="70">
        <v>0.27329999999999999</v>
      </c>
      <c r="AC21" s="71">
        <v>0.36170000000000002</v>
      </c>
      <c r="AD21" s="69">
        <v>0.46510000000000001</v>
      </c>
      <c r="AE21" s="70">
        <v>0.17319999999999999</v>
      </c>
      <c r="AF21" s="69">
        <v>7.0900000000000005E-2</v>
      </c>
      <c r="AG21" s="69">
        <v>0.70930000000000004</v>
      </c>
      <c r="AH21" s="69">
        <v>0</v>
      </c>
      <c r="AI21" s="70">
        <v>0.2198</v>
      </c>
      <c r="AJ21" s="82">
        <v>0</v>
      </c>
      <c r="AK21" s="32">
        <v>0</v>
      </c>
      <c r="AL21" s="32">
        <v>0</v>
      </c>
      <c r="AM21" s="32">
        <v>0</v>
      </c>
      <c r="AN21" s="31">
        <v>1</v>
      </c>
    </row>
    <row r="22" spans="1:40" ht="15.75" customHeight="1" x14ac:dyDescent="0.3">
      <c r="A22" s="77" t="s">
        <v>120</v>
      </c>
      <c r="B22" s="1" t="s">
        <v>70</v>
      </c>
      <c r="C22" s="1" t="s">
        <v>102</v>
      </c>
      <c r="D22" s="17">
        <v>0.17</v>
      </c>
      <c r="E22" s="71">
        <v>0.47</v>
      </c>
      <c r="F22" s="70">
        <v>0.53</v>
      </c>
      <c r="G22" s="69">
        <f t="shared" si="27"/>
        <v>0.14102941176470588</v>
      </c>
      <c r="H22" s="69">
        <f t="shared" si="28"/>
        <v>0.85867647058823515</v>
      </c>
      <c r="I22" s="69">
        <v>0</v>
      </c>
      <c r="J22" s="70">
        <v>0</v>
      </c>
      <c r="K22" s="71">
        <v>0</v>
      </c>
      <c r="L22" s="69">
        <f t="shared" si="29"/>
        <v>0.63157894736842113</v>
      </c>
      <c r="M22" s="69">
        <f t="shared" si="30"/>
        <v>0.36842105263157898</v>
      </c>
      <c r="N22" s="70">
        <v>0</v>
      </c>
      <c r="O22" s="69">
        <v>0</v>
      </c>
      <c r="P22" s="69">
        <v>0</v>
      </c>
      <c r="Q22" s="69">
        <v>0</v>
      </c>
      <c r="R22" s="69">
        <v>0.03</v>
      </c>
      <c r="S22" s="69">
        <v>0.82</v>
      </c>
      <c r="T22" s="69">
        <v>0.12</v>
      </c>
      <c r="U22" s="70">
        <v>0.03</v>
      </c>
      <c r="V22" s="71">
        <v>0.1047</v>
      </c>
      <c r="W22" s="69">
        <v>0.31459999999999999</v>
      </c>
      <c r="X22" s="69">
        <v>0.18540000000000001</v>
      </c>
      <c r="Y22" s="70">
        <v>0.39529999999999998</v>
      </c>
      <c r="Z22" s="69">
        <v>0.35410000000000003</v>
      </c>
      <c r="AA22" s="69">
        <v>0.37259999999999999</v>
      </c>
      <c r="AB22" s="70">
        <v>0.27329999999999999</v>
      </c>
      <c r="AC22" s="71">
        <v>0.36170000000000002</v>
      </c>
      <c r="AD22" s="69">
        <v>0.46510000000000001</v>
      </c>
      <c r="AE22" s="70">
        <v>0.17319999999999999</v>
      </c>
      <c r="AF22" s="69">
        <v>7.0900000000000005E-2</v>
      </c>
      <c r="AG22" s="69">
        <v>0.70930000000000004</v>
      </c>
      <c r="AH22" s="69">
        <v>0</v>
      </c>
      <c r="AI22" s="70">
        <v>0.2198</v>
      </c>
      <c r="AJ22" s="82">
        <v>0</v>
      </c>
      <c r="AK22" s="32">
        <v>0</v>
      </c>
      <c r="AL22" s="32">
        <v>0</v>
      </c>
      <c r="AM22" s="32">
        <v>0</v>
      </c>
      <c r="AN22" s="31">
        <v>1</v>
      </c>
    </row>
    <row r="23" spans="1:40" ht="15.75" customHeight="1" x14ac:dyDescent="0.3">
      <c r="A23" s="75" t="s">
        <v>121</v>
      </c>
      <c r="B23" s="1" t="s">
        <v>70</v>
      </c>
      <c r="C23" s="1" t="s">
        <v>102</v>
      </c>
      <c r="D23" s="17">
        <v>0.29909999999999998</v>
      </c>
      <c r="E23" s="71">
        <v>0.47</v>
      </c>
      <c r="F23" s="70">
        <v>0.53</v>
      </c>
      <c r="G23" s="69">
        <f t="shared" si="27"/>
        <v>0.14102941176470588</v>
      </c>
      <c r="H23" s="69">
        <f t="shared" si="28"/>
        <v>0.85867647058823515</v>
      </c>
      <c r="I23" s="69">
        <v>0</v>
      </c>
      <c r="J23" s="70">
        <v>0</v>
      </c>
      <c r="K23" s="71">
        <v>0</v>
      </c>
      <c r="L23" s="69">
        <f t="shared" si="29"/>
        <v>0.63157894736842113</v>
      </c>
      <c r="M23" s="69">
        <f t="shared" si="30"/>
        <v>0.36842105263157898</v>
      </c>
      <c r="N23" s="70">
        <v>0</v>
      </c>
      <c r="O23" s="69">
        <v>0</v>
      </c>
      <c r="P23" s="69">
        <v>0</v>
      </c>
      <c r="Q23" s="69">
        <v>0</v>
      </c>
      <c r="R23" s="69">
        <v>0</v>
      </c>
      <c r="S23" s="69">
        <f>0.83/0.97</f>
        <v>0.85567010309278346</v>
      </c>
      <c r="T23" s="69">
        <f>0.12/0.97</f>
        <v>0.12371134020618557</v>
      </c>
      <c r="U23" s="70">
        <f>0.03/0.97</f>
        <v>3.0927835051546393E-2</v>
      </c>
      <c r="V23" s="71">
        <v>0.1047</v>
      </c>
      <c r="W23" s="69">
        <v>0.31459999999999999</v>
      </c>
      <c r="X23" s="69">
        <v>0.18540000000000001</v>
      </c>
      <c r="Y23" s="70">
        <v>0.39529999999999998</v>
      </c>
      <c r="Z23" s="69">
        <v>0.35410000000000003</v>
      </c>
      <c r="AA23" s="69">
        <v>0.37259999999999999</v>
      </c>
      <c r="AB23" s="70">
        <v>0.27329999999999999</v>
      </c>
      <c r="AC23" s="71">
        <v>0</v>
      </c>
      <c r="AD23" s="69">
        <f>0.4651/0.638</f>
        <v>0.72899686520376172</v>
      </c>
      <c r="AE23" s="70">
        <f>0.1732/0.638</f>
        <v>0.27147335423197488</v>
      </c>
      <c r="AF23" s="69">
        <v>0</v>
      </c>
      <c r="AG23" s="69">
        <f>0.7093/0.929</f>
        <v>0.76350914962325078</v>
      </c>
      <c r="AH23" s="69">
        <v>0</v>
      </c>
      <c r="AI23" s="70">
        <f>0.2198/0.929</f>
        <v>0.23659849300322927</v>
      </c>
      <c r="AJ23" s="27">
        <v>0.01</v>
      </c>
      <c r="AK23" s="28">
        <v>0.03</v>
      </c>
      <c r="AL23" s="28">
        <v>0.06</v>
      </c>
      <c r="AM23" s="32">
        <v>0</v>
      </c>
      <c r="AN23" s="31">
        <v>0.9</v>
      </c>
    </row>
    <row r="24" spans="1:40" ht="15.75" customHeight="1" x14ac:dyDescent="0.25">
      <c r="A24" s="27" t="s">
        <v>74</v>
      </c>
      <c r="B24" s="28" t="s">
        <v>75</v>
      </c>
      <c r="C24" s="28" t="s">
        <v>102</v>
      </c>
      <c r="D24" s="84">
        <v>0.75</v>
      </c>
      <c r="E24" s="27">
        <v>0.46300000000000002</v>
      </c>
      <c r="F24" s="47">
        <v>0.53700000000000003</v>
      </c>
      <c r="G24" s="28">
        <v>6.5000000000000002E-2</v>
      </c>
      <c r="H24" s="28">
        <v>0.57999999999999996</v>
      </c>
      <c r="I24" s="28">
        <v>0.156</v>
      </c>
      <c r="J24" s="28">
        <v>0.19900000000000001</v>
      </c>
      <c r="K24" s="27">
        <v>0.23280000000000001</v>
      </c>
      <c r="L24" s="28">
        <v>0.46560000000000001</v>
      </c>
      <c r="M24" s="28">
        <v>0.27160000000000001</v>
      </c>
      <c r="N24" s="47">
        <v>0.03</v>
      </c>
      <c r="O24" s="28">
        <v>1E-3</v>
      </c>
      <c r="P24" s="28">
        <v>0</v>
      </c>
      <c r="Q24" s="28">
        <v>0</v>
      </c>
      <c r="R24" s="28">
        <v>3.6999999999999998E-2</v>
      </c>
      <c r="S24" s="28">
        <v>0.84199999999999997</v>
      </c>
      <c r="T24" s="28">
        <v>7.5999999999999998E-2</v>
      </c>
      <c r="U24" s="28">
        <v>4.3999999999999997E-2</v>
      </c>
      <c r="V24" s="27">
        <v>0.1047</v>
      </c>
      <c r="W24" s="28">
        <v>0.31459999999999999</v>
      </c>
      <c r="X24" s="28">
        <v>0.18540000000000001</v>
      </c>
      <c r="Y24" s="47">
        <v>0.39529999999999998</v>
      </c>
      <c r="Z24" s="28">
        <v>0.35410000000000003</v>
      </c>
      <c r="AA24" s="28">
        <v>0.37259999999999999</v>
      </c>
      <c r="AB24" s="28">
        <v>0.27329999999999999</v>
      </c>
      <c r="AC24" s="27">
        <v>0.36170000000000002</v>
      </c>
      <c r="AD24" s="28">
        <v>0.46510000000000001</v>
      </c>
      <c r="AE24" s="47">
        <v>0.17319999999999999</v>
      </c>
      <c r="AF24" s="28">
        <v>7.0900000000000005E-2</v>
      </c>
      <c r="AG24" s="28">
        <v>0.70930000000000004</v>
      </c>
      <c r="AH24" s="28">
        <v>0</v>
      </c>
      <c r="AI24" s="28">
        <v>0.2198</v>
      </c>
      <c r="AJ24" s="27">
        <v>0</v>
      </c>
      <c r="AK24" s="28">
        <v>0</v>
      </c>
      <c r="AL24" s="28">
        <v>0</v>
      </c>
      <c r="AM24" s="28">
        <v>0</v>
      </c>
      <c r="AN24" s="47">
        <v>1</v>
      </c>
    </row>
    <row r="25" spans="1:40" ht="15.75" customHeight="1" x14ac:dyDescent="0.25">
      <c r="A25" s="27" t="s">
        <v>76</v>
      </c>
      <c r="B25" s="28" t="s">
        <v>75</v>
      </c>
      <c r="C25" s="28" t="s">
        <v>102</v>
      </c>
      <c r="D25" s="84">
        <v>0.1</v>
      </c>
      <c r="E25" s="27">
        <v>0.46300000000000002</v>
      </c>
      <c r="F25" s="47">
        <v>0.53700000000000003</v>
      </c>
      <c r="G25" s="28">
        <v>6.5000000000000002E-2</v>
      </c>
      <c r="H25" s="28">
        <v>0.57999999999999996</v>
      </c>
      <c r="I25" s="28">
        <v>0.156</v>
      </c>
      <c r="J25" s="28">
        <v>0.19900000000000001</v>
      </c>
      <c r="K25" s="27">
        <v>0.23280000000000001</v>
      </c>
      <c r="L25" s="28">
        <v>0.46560000000000001</v>
      </c>
      <c r="M25" s="28">
        <v>0.27160000000000001</v>
      </c>
      <c r="N25" s="47">
        <v>0.03</v>
      </c>
      <c r="O25" s="28">
        <v>1E-3</v>
      </c>
      <c r="P25" s="28">
        <v>0</v>
      </c>
      <c r="Q25" s="28">
        <v>0</v>
      </c>
      <c r="R25" s="28">
        <v>3.6999999999999998E-2</v>
      </c>
      <c r="S25" s="28">
        <v>0.84199999999999997</v>
      </c>
      <c r="T25" s="28">
        <v>7.5999999999999998E-2</v>
      </c>
      <c r="U25" s="28">
        <v>4.3999999999999997E-2</v>
      </c>
      <c r="V25" s="27">
        <v>0.1047</v>
      </c>
      <c r="W25" s="28">
        <v>0.31459999999999999</v>
      </c>
      <c r="X25" s="28">
        <v>0.18540000000000001</v>
      </c>
      <c r="Y25" s="47">
        <v>0.39529999999999998</v>
      </c>
      <c r="Z25" s="28">
        <v>0.35410000000000003</v>
      </c>
      <c r="AA25" s="28">
        <v>0.37259999999999999</v>
      </c>
      <c r="AB25" s="28">
        <v>0.27329999999999999</v>
      </c>
      <c r="AC25" s="27">
        <v>0.36170000000000002</v>
      </c>
      <c r="AD25" s="28">
        <v>0.46510000000000001</v>
      </c>
      <c r="AE25" s="47">
        <v>0.17319999999999999</v>
      </c>
      <c r="AF25" s="28">
        <v>7.0900000000000005E-2</v>
      </c>
      <c r="AG25" s="28">
        <v>0.70930000000000004</v>
      </c>
      <c r="AH25" s="28">
        <v>0</v>
      </c>
      <c r="AI25" s="28">
        <v>0.2198</v>
      </c>
      <c r="AJ25" s="27">
        <v>0</v>
      </c>
      <c r="AK25" s="28">
        <v>0</v>
      </c>
      <c r="AL25" s="28">
        <v>0</v>
      </c>
      <c r="AM25" s="28">
        <v>0</v>
      </c>
      <c r="AN25" s="47">
        <v>1</v>
      </c>
    </row>
    <row r="26" spans="1:40" ht="15.75" customHeight="1" x14ac:dyDescent="0.25">
      <c r="A26" s="52" t="s">
        <v>77</v>
      </c>
      <c r="B26" s="50" t="s">
        <v>75</v>
      </c>
      <c r="C26" s="50" t="s">
        <v>102</v>
      </c>
      <c r="D26" s="85">
        <v>1</v>
      </c>
      <c r="E26" s="50">
        <v>1</v>
      </c>
      <c r="F26" s="50">
        <v>1</v>
      </c>
      <c r="G26" s="52">
        <v>1</v>
      </c>
      <c r="H26" s="50">
        <v>1</v>
      </c>
      <c r="I26" s="50">
        <v>1</v>
      </c>
      <c r="J26" s="53">
        <v>1</v>
      </c>
      <c r="K26" s="50">
        <v>1</v>
      </c>
      <c r="L26" s="50">
        <v>1</v>
      </c>
      <c r="M26" s="50">
        <v>1</v>
      </c>
      <c r="N26" s="50">
        <v>1</v>
      </c>
      <c r="O26" s="52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  <c r="U26" s="53">
        <v>1</v>
      </c>
      <c r="V26" s="50">
        <v>1</v>
      </c>
      <c r="W26" s="50">
        <v>1</v>
      </c>
      <c r="X26" s="50">
        <v>1</v>
      </c>
      <c r="Y26" s="50">
        <v>1</v>
      </c>
      <c r="Z26" s="52">
        <v>1</v>
      </c>
      <c r="AA26" s="50">
        <v>1</v>
      </c>
      <c r="AB26" s="53">
        <v>1</v>
      </c>
      <c r="AC26" s="50">
        <v>1</v>
      </c>
      <c r="AD26" s="50">
        <v>1</v>
      </c>
      <c r="AE26" s="50">
        <v>1</v>
      </c>
      <c r="AF26" s="52">
        <v>1</v>
      </c>
      <c r="AG26" s="50">
        <v>1</v>
      </c>
      <c r="AH26" s="50">
        <v>1</v>
      </c>
      <c r="AI26" s="53">
        <v>1</v>
      </c>
      <c r="AJ26" s="52">
        <v>1</v>
      </c>
      <c r="AK26" s="50">
        <v>1</v>
      </c>
      <c r="AL26" s="50">
        <v>1</v>
      </c>
      <c r="AM26" s="50">
        <v>1</v>
      </c>
      <c r="AN26" s="53">
        <v>0</v>
      </c>
    </row>
  </sheetData>
  <mergeCells count="9">
    <mergeCell ref="Z1:AB1"/>
    <mergeCell ref="AC1:AE1"/>
    <mergeCell ref="AF1:AI1"/>
    <mergeCell ref="AJ1:AN1"/>
    <mergeCell ref="E1:F1"/>
    <mergeCell ref="G1:J1"/>
    <mergeCell ref="K1:N1"/>
    <mergeCell ref="O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lithuania</vt:lpstr>
      <vt:lpstr>poland</vt:lpstr>
      <vt:lpstr>belarus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Connerty</cp:lastModifiedBy>
  <dcterms:modified xsi:type="dcterms:W3CDTF">2023-03-26T17:26:52Z</dcterms:modified>
</cp:coreProperties>
</file>