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2450" windowHeight="6450" firstSheet="1" activeTab="1"/>
  </bookViews>
  <sheets>
    <sheet name="2DS volumes in Vol &amp; EJ" sheetId="4" state="hidden" r:id="rId1"/>
    <sheet name="TCEP2017_Figure_43" sheetId="17" r:id="rId2"/>
    <sheet name="Convert" sheetId="3" state="hidden" r:id="rId3"/>
    <sheet name="LOG" sheetId="2" state="hidden" r:id="rId4"/>
    <sheet name="2 DS Graph - not for TCEP" sheetId="5" state="hidden" r:id="rId5"/>
    <sheet name="TCEP 2DS target data" sheetId="7" state="hidden" r:id="rId6"/>
    <sheet name="2DS biofuels by type " sheetId="15" state="hidden" r:id="rId7"/>
    <sheet name="Brazil data" sheetId="14" state="hidden" r:id="rId8"/>
  </sheets>
  <externalReferences>
    <externalReference r:id="rId9"/>
    <externalReference r:id="rId10"/>
    <externalReference r:id="rId11"/>
    <externalReference r:id="rId12"/>
    <externalReference r:id="rId13"/>
  </externalReferences>
  <definedNames>
    <definedName name="CO2EmissionFactors">Convert!$F$17:$F$26</definedName>
    <definedName name="CostForImprovementInput" localSheetId="5">'[1]Input sheet'!#REF!</definedName>
    <definedName name="CostForImprovementInput" localSheetId="1">'[1]Input sheet'!#REF!</definedName>
    <definedName name="CostForImprovementInput">'[1]Input sheet'!#REF!</definedName>
    <definedName name="FullHybridsShareInHybrids" localSheetId="5">[2]LDVdata!#REF!</definedName>
    <definedName name="FullHybridsShareInHybrids" localSheetId="1">[2]LDVdata!#REF!</definedName>
    <definedName name="FullHybridsShareInHybrids">[2]LDVdata!#REF!</definedName>
    <definedName name="GDPperCapita_CAR" localSheetId="5">[1]CARall!#REF!</definedName>
    <definedName name="GDPperCapita_CAR" localSheetId="1">[1]CARall!#REF!</definedName>
    <definedName name="GDPperCapita_CAR">[1]CARall!#REF!</definedName>
    <definedName name="GDPperCapita_SUV" localSheetId="5">[1]SUVall!#REF!</definedName>
    <definedName name="GDPperCapita_SUV" localSheetId="1">[1]SUVall!#REF!</definedName>
    <definedName name="GDPperCapita_SUV">[1]SUVall!#REF!</definedName>
    <definedName name="GDPperCapitaGrowth_CAR" localSheetId="5">[1]CARall!#REF!</definedName>
    <definedName name="GDPperCapitaGrowth_CAR" localSheetId="1">[1]CARall!#REF!</definedName>
    <definedName name="GDPperCapitaGrowth_CAR">[1]CARall!#REF!</definedName>
    <definedName name="GDPperCapitaGrowth_SUV" localSheetId="5">[1]SUVall!#REF!</definedName>
    <definedName name="GDPperCapitaGrowth_SUV" localSheetId="1">[1]SUVall!#REF!</definedName>
    <definedName name="GDPperCapitaGrowth_SUV">[1]SUVall!#REF!</definedName>
    <definedName name="growth">[3]air2!$C$23</definedName>
    <definedName name="growth02">[4]air2!$C$23</definedName>
    <definedName name="growth03">[4]air2!$C$23</definedName>
    <definedName name="growth2">[5]air2!$C$23</definedName>
    <definedName name="growth3">[5]air2!$C$23</definedName>
    <definedName name="HybShareInput" localSheetId="5">[2]A!#REF!</definedName>
    <definedName name="HybShareInput" localSheetId="1">[2]A!#REF!</definedName>
    <definedName name="HybShareInput">[2]A!#REF!</definedName>
    <definedName name="PAWS_Basis">1</definedName>
    <definedName name="PAWS_EndDate">39465</definedName>
    <definedName name="PAWS_GraphMode">TRUE</definedName>
    <definedName name="PAWS_LastDate" localSheetId="5">#REF!</definedName>
    <definedName name="PAWS_LastDate" localSheetId="1">#REF!</definedName>
    <definedName name="PAWS_LastDate">#REF!</definedName>
    <definedName name="PAWS_LastNDays">10</definedName>
    <definedName name="PAWS_PasteRows">FALSE</definedName>
    <definedName name="PAWS_Periodicity">1</definedName>
    <definedName name="PAWS_PeriodSpec">2</definedName>
    <definedName name="PAWS_StartDate">38595</definedName>
    <definedName name="PAWS_UseDates">TRUE</definedName>
    <definedName name="PAWS_UseLastSelection">FALSE</definedName>
    <definedName name="PAWS_UseUnits">FALSE</definedName>
    <definedName name="PAWS_ZeroMode">TRUE</definedName>
    <definedName name="SUVCARTechIncrementalFactors" localSheetId="5">'[1]Input sheet'!#REF!</definedName>
    <definedName name="SUVCARTechIncrementalFactors" localSheetId="1">'[1]Input sheet'!#REF!</definedName>
    <definedName name="SUVCARTechIncrementalFactors">'[1]Input sheet'!#REF!</definedName>
  </definedNames>
  <calcPr calcId="145621"/>
</workbook>
</file>

<file path=xl/calcChain.xml><?xml version="1.0" encoding="utf-8"?>
<calcChain xmlns="http://schemas.openxmlformats.org/spreadsheetml/2006/main">
  <c r="L36" i="7" l="1"/>
  <c r="M36" i="7"/>
  <c r="P50" i="17"/>
  <c r="P49" i="17"/>
  <c r="P48" i="17"/>
  <c r="P47" i="17"/>
  <c r="Q33" i="7"/>
  <c r="H60" i="7"/>
  <c r="K33" i="7"/>
  <c r="B60" i="7"/>
  <c r="Q27" i="7" l="1"/>
  <c r="R8" i="7" l="1"/>
  <c r="R9" i="7"/>
  <c r="L5" i="7"/>
  <c r="D5" i="7"/>
  <c r="K4" i="7"/>
  <c r="C4" i="7"/>
  <c r="J3" i="7"/>
  <c r="B14" i="7"/>
  <c r="B3" i="7" s="1"/>
  <c r="C14" i="7"/>
  <c r="C3" i="7" s="1"/>
  <c r="D14" i="7"/>
  <c r="D3" i="7" s="1"/>
  <c r="E14" i="7"/>
  <c r="E3" i="7" s="1"/>
  <c r="F14" i="7"/>
  <c r="G14" i="7"/>
  <c r="G3" i="7" s="1"/>
  <c r="H14" i="7"/>
  <c r="H3" i="7" s="1"/>
  <c r="I14" i="7"/>
  <c r="I3" i="7" s="1"/>
  <c r="J14" i="7"/>
  <c r="K14" i="7"/>
  <c r="K3" i="7" s="1"/>
  <c r="L14" i="7"/>
  <c r="L3" i="7" s="1"/>
  <c r="B15" i="7"/>
  <c r="B4" i="7" s="1"/>
  <c r="C15" i="7"/>
  <c r="D15" i="7"/>
  <c r="D4" i="7" s="1"/>
  <c r="E15" i="7"/>
  <c r="E4" i="7" s="1"/>
  <c r="F15" i="7"/>
  <c r="F4" i="7" s="1"/>
  <c r="G15" i="7"/>
  <c r="G4" i="7" s="1"/>
  <c r="H15" i="7"/>
  <c r="H4" i="7" s="1"/>
  <c r="I15" i="7"/>
  <c r="I4" i="7" s="1"/>
  <c r="J15" i="7"/>
  <c r="J4" i="7" s="1"/>
  <c r="K15" i="7"/>
  <c r="L15" i="7"/>
  <c r="L4" i="7" s="1"/>
  <c r="B16" i="7"/>
  <c r="B5" i="7" s="1"/>
  <c r="C16" i="7"/>
  <c r="C5" i="7" s="1"/>
  <c r="D16" i="7"/>
  <c r="E16" i="7"/>
  <c r="E5" i="7" s="1"/>
  <c r="F16" i="7"/>
  <c r="S31" i="7" s="1"/>
  <c r="S34" i="7" s="1"/>
  <c r="G16" i="7"/>
  <c r="G5" i="7" s="1"/>
  <c r="H16" i="7"/>
  <c r="H5" i="7" s="1"/>
  <c r="I16" i="7"/>
  <c r="I5" i="7" s="1"/>
  <c r="J16" i="7"/>
  <c r="J5" i="7" s="1"/>
  <c r="K16" i="7"/>
  <c r="K5" i="7" s="1"/>
  <c r="L16" i="7"/>
  <c r="B17" i="7"/>
  <c r="B6" i="7" s="1"/>
  <c r="C17" i="7"/>
  <c r="C6" i="7" s="1"/>
  <c r="D17" i="7"/>
  <c r="D6" i="7" s="1"/>
  <c r="E17" i="7"/>
  <c r="E6" i="7" s="1"/>
  <c r="F17" i="7"/>
  <c r="S30" i="7" s="1"/>
  <c r="G17" i="7"/>
  <c r="T30" i="7" s="1"/>
  <c r="H17" i="7"/>
  <c r="H6" i="7" s="1"/>
  <c r="I17" i="7"/>
  <c r="I6" i="7" s="1"/>
  <c r="J17" i="7"/>
  <c r="J6" i="7" s="1"/>
  <c r="K17" i="7"/>
  <c r="K6" i="7" s="1"/>
  <c r="L17" i="7"/>
  <c r="L6" i="7" s="1"/>
  <c r="B18" i="7"/>
  <c r="B7" i="7" s="1"/>
  <c r="C18" i="7"/>
  <c r="C7" i="7" s="1"/>
  <c r="D18" i="7"/>
  <c r="D7" i="7" s="1"/>
  <c r="E18" i="7"/>
  <c r="E7" i="7" s="1"/>
  <c r="F18" i="7"/>
  <c r="S32" i="7" s="1"/>
  <c r="G18" i="7"/>
  <c r="G7" i="7" s="1"/>
  <c r="H18" i="7"/>
  <c r="H7" i="7" s="1"/>
  <c r="I18" i="7"/>
  <c r="I7" i="7" s="1"/>
  <c r="J18" i="7"/>
  <c r="J7" i="7" s="1"/>
  <c r="K18" i="7"/>
  <c r="K7" i="7" s="1"/>
  <c r="L18" i="7"/>
  <c r="L7" i="7" s="1"/>
  <c r="B19" i="7"/>
  <c r="B8" i="7" s="1"/>
  <c r="C19" i="7"/>
  <c r="C8" i="7" s="1"/>
  <c r="D19" i="7"/>
  <c r="D8" i="7" s="1"/>
  <c r="E19" i="7"/>
  <c r="E8" i="7" s="1"/>
  <c r="F19" i="7"/>
  <c r="F8" i="7" s="1"/>
  <c r="G19" i="7"/>
  <c r="G8" i="7" s="1"/>
  <c r="H19" i="7"/>
  <c r="H8" i="7" s="1"/>
  <c r="I19" i="7"/>
  <c r="I8" i="7" s="1"/>
  <c r="J19" i="7"/>
  <c r="J8" i="7" s="1"/>
  <c r="K19" i="7"/>
  <c r="K8" i="7" s="1"/>
  <c r="L19" i="7"/>
  <c r="L8" i="7" s="1"/>
  <c r="B20" i="7"/>
  <c r="C20" i="7"/>
  <c r="D20" i="7"/>
  <c r="E20" i="7"/>
  <c r="F20" i="7"/>
  <c r="G20" i="7"/>
  <c r="H20" i="7"/>
  <c r="I20" i="7"/>
  <c r="J20" i="7"/>
  <c r="K20" i="7"/>
  <c r="L20" i="7"/>
  <c r="B21" i="7"/>
  <c r="B9" i="7" s="1"/>
  <c r="C21" i="7"/>
  <c r="C10" i="7" s="1"/>
  <c r="D21" i="7"/>
  <c r="D10" i="7" s="1"/>
  <c r="E21" i="7"/>
  <c r="E10" i="7" s="1"/>
  <c r="F21" i="7"/>
  <c r="F9" i="7" s="1"/>
  <c r="G21" i="7"/>
  <c r="G9" i="7" s="1"/>
  <c r="H21" i="7"/>
  <c r="H10" i="7" s="1"/>
  <c r="I21" i="7"/>
  <c r="I9" i="7" s="1"/>
  <c r="J21" i="7"/>
  <c r="J10" i="7" s="1"/>
  <c r="K21" i="7"/>
  <c r="K10" i="7" s="1"/>
  <c r="L21" i="7"/>
  <c r="L10" i="7" s="1"/>
  <c r="E13" i="7"/>
  <c r="F13" i="7"/>
  <c r="G13" i="7"/>
  <c r="H13" i="7"/>
  <c r="I13" i="7"/>
  <c r="J13" i="7"/>
  <c r="K13" i="7"/>
  <c r="L13" i="7"/>
  <c r="D13" i="7"/>
  <c r="C13" i="7"/>
  <c r="B13" i="7"/>
  <c r="S29" i="7" l="1"/>
  <c r="F3" i="7"/>
  <c r="F7" i="7"/>
  <c r="D9" i="7"/>
  <c r="L9" i="7"/>
  <c r="H9" i="7"/>
  <c r="I10" i="7"/>
  <c r="G6" i="7"/>
  <c r="C9" i="7"/>
  <c r="F10" i="7"/>
  <c r="F5" i="7"/>
  <c r="F2" i="7" s="1"/>
  <c r="E9" i="7"/>
  <c r="K9" i="7"/>
  <c r="F6" i="7"/>
  <c r="J9" i="7"/>
  <c r="G10" i="7"/>
  <c r="B10" i="7"/>
  <c r="D41" i="15" l="1"/>
  <c r="E41" i="15"/>
  <c r="F41" i="15"/>
  <c r="G41" i="15"/>
  <c r="H41" i="15"/>
  <c r="I41" i="15"/>
  <c r="J41" i="15"/>
  <c r="D42" i="15"/>
  <c r="E42" i="15"/>
  <c r="F42" i="15"/>
  <c r="G42" i="15"/>
  <c r="H42" i="15"/>
  <c r="I42" i="15"/>
  <c r="J42" i="15"/>
  <c r="D43" i="15"/>
  <c r="E43" i="15"/>
  <c r="F43" i="15"/>
  <c r="G43" i="15"/>
  <c r="H43" i="15"/>
  <c r="I43" i="15"/>
  <c r="J43" i="15"/>
  <c r="D44" i="15"/>
  <c r="E44" i="15"/>
  <c r="F44" i="15"/>
  <c r="G44" i="15"/>
  <c r="H44" i="15"/>
  <c r="I44" i="15"/>
  <c r="J44" i="15"/>
  <c r="D45" i="15"/>
  <c r="E45" i="15"/>
  <c r="F45" i="15"/>
  <c r="G45" i="15"/>
  <c r="H45" i="15"/>
  <c r="I45" i="15"/>
  <c r="J45" i="15"/>
  <c r="D46" i="15"/>
  <c r="E46" i="15"/>
  <c r="F46" i="15"/>
  <c r="G46" i="15"/>
  <c r="H46" i="15"/>
  <c r="I46" i="15"/>
  <c r="J46" i="15"/>
  <c r="D47" i="15"/>
  <c r="E47" i="15"/>
  <c r="F47" i="15"/>
  <c r="G47" i="15"/>
  <c r="H47" i="15"/>
  <c r="I47" i="15"/>
  <c r="J47" i="15"/>
  <c r="D48" i="15"/>
  <c r="E48" i="15"/>
  <c r="F48" i="15"/>
  <c r="G48" i="15"/>
  <c r="H48" i="15"/>
  <c r="I48" i="15"/>
  <c r="J48" i="15"/>
  <c r="D49" i="15"/>
  <c r="E49" i="15"/>
  <c r="F49" i="15"/>
  <c r="G49" i="15"/>
  <c r="H49" i="15"/>
  <c r="I49" i="15"/>
  <c r="J49" i="15"/>
  <c r="C42" i="15"/>
  <c r="C43" i="15"/>
  <c r="C44" i="15"/>
  <c r="C45" i="15"/>
  <c r="C46" i="15"/>
  <c r="C47" i="15"/>
  <c r="C48" i="15"/>
  <c r="C49" i="15"/>
  <c r="C41" i="15"/>
  <c r="D2" i="7"/>
  <c r="T29" i="7" l="1"/>
  <c r="E18" i="14" l="1"/>
  <c r="I14" i="14"/>
  <c r="I3" i="14"/>
  <c r="I4" i="14"/>
  <c r="I5" i="14"/>
  <c r="I6" i="14"/>
  <c r="I7" i="14"/>
  <c r="I8" i="14"/>
  <c r="I9" i="14"/>
  <c r="I10" i="14"/>
  <c r="I11" i="14"/>
  <c r="I12" i="14"/>
  <c r="I13" i="14"/>
  <c r="E14" i="14"/>
  <c r="F14" i="14"/>
  <c r="G14" i="14"/>
  <c r="H14" i="14"/>
  <c r="H61" i="7" l="1"/>
  <c r="C28" i="7" l="1"/>
  <c r="D28" i="7"/>
  <c r="E28" i="7"/>
  <c r="F28" i="7"/>
  <c r="G28" i="7"/>
  <c r="H28" i="7"/>
  <c r="I28" i="7"/>
  <c r="J28" i="7"/>
  <c r="K28" i="7"/>
  <c r="L28" i="7"/>
  <c r="M28" i="7"/>
  <c r="N28" i="7"/>
  <c r="O28" i="7"/>
  <c r="P28" i="7"/>
  <c r="Q28" i="7"/>
  <c r="B28" i="7"/>
  <c r="C27" i="7"/>
  <c r="D27" i="7"/>
  <c r="E27" i="7"/>
  <c r="F27" i="7"/>
  <c r="G27" i="7"/>
  <c r="H27" i="7"/>
  <c r="I27" i="7"/>
  <c r="J27" i="7"/>
  <c r="K27" i="7"/>
  <c r="L27" i="7"/>
  <c r="M27" i="7"/>
  <c r="N27" i="7"/>
  <c r="O27" i="7"/>
  <c r="P27" i="7"/>
  <c r="B27" i="7"/>
  <c r="Q34" i="7" l="1"/>
  <c r="C61" i="7"/>
  <c r="L34" i="7" s="1"/>
  <c r="D61" i="7"/>
  <c r="M34" i="7" s="1"/>
  <c r="E61" i="7"/>
  <c r="N34" i="7" s="1"/>
  <c r="F61" i="7"/>
  <c r="O34" i="7" s="1"/>
  <c r="G61" i="7"/>
  <c r="P34" i="7" s="1"/>
  <c r="B61" i="7"/>
  <c r="K34" i="7" s="1"/>
  <c r="C60" i="7"/>
  <c r="L33" i="7" s="1"/>
  <c r="D60" i="7"/>
  <c r="M33" i="7" s="1"/>
  <c r="E60" i="7"/>
  <c r="N33" i="7" s="1"/>
  <c r="F60" i="7"/>
  <c r="O33" i="7" s="1"/>
  <c r="G60" i="7"/>
  <c r="P33" i="7" s="1"/>
  <c r="G4" i="4" l="1"/>
  <c r="L4" i="4"/>
  <c r="E3" i="4"/>
  <c r="Q8" i="7" l="1"/>
  <c r="P7" i="7"/>
  <c r="R7" i="7" s="1"/>
  <c r="P6" i="7"/>
  <c r="R6" i="7" s="1"/>
  <c r="O6" i="7"/>
  <c r="P5" i="7"/>
  <c r="R5" i="7" s="1"/>
  <c r="O5" i="7"/>
  <c r="P4" i="7"/>
  <c r="R4" i="7" s="1"/>
  <c r="O4" i="7"/>
  <c r="P3" i="7"/>
  <c r="R3" i="7" s="1"/>
  <c r="O3" i="7"/>
  <c r="P2" i="7"/>
  <c r="R2" i="7" s="1"/>
  <c r="Q7" i="7" l="1"/>
  <c r="Q4" i="7"/>
  <c r="Q6" i="7"/>
  <c r="Q5" i="7"/>
  <c r="Q2" i="7"/>
  <c r="R3" i="4"/>
  <c r="R4" i="4"/>
  <c r="R5" i="4"/>
  <c r="R6" i="4"/>
  <c r="R7" i="4"/>
  <c r="R8" i="4"/>
  <c r="R2" i="4"/>
  <c r="Q4" i="4"/>
  <c r="Q8" i="4"/>
  <c r="P2" i="4"/>
  <c r="P7" i="4" l="1"/>
  <c r="O5" i="4"/>
  <c r="P5" i="4"/>
  <c r="P6" i="4"/>
  <c r="O6" i="4"/>
  <c r="P4" i="4"/>
  <c r="O4" i="4"/>
  <c r="P3" i="4"/>
  <c r="O3" i="4"/>
  <c r="Q5" i="4" l="1"/>
  <c r="Q7" i="4"/>
  <c r="Q2" i="4"/>
  <c r="Q6" i="4"/>
  <c r="G52" i="3" l="1"/>
  <c r="B72" i="3"/>
  <c r="C767" i="3"/>
  <c r="C766" i="3"/>
  <c r="Q739" i="3"/>
  <c r="J739" i="3"/>
  <c r="J738" i="3"/>
  <c r="Q737" i="3"/>
  <c r="J737" i="3"/>
  <c r="Q736" i="3"/>
  <c r="J736" i="3"/>
  <c r="J735" i="3"/>
  <c r="Q733" i="3"/>
  <c r="Q730" i="3"/>
  <c r="Q729" i="3"/>
  <c r="I717" i="3"/>
  <c r="K717" i="3" s="1"/>
  <c r="I716" i="3"/>
  <c r="K716" i="3" s="1"/>
  <c r="J715" i="3"/>
  <c r="I715" i="3"/>
  <c r="K715" i="3" s="1"/>
  <c r="H707" i="3"/>
  <c r="H706" i="3"/>
  <c r="H705" i="3"/>
  <c r="H704" i="3"/>
  <c r="H703" i="3"/>
  <c r="H702" i="3"/>
  <c r="H696" i="3"/>
  <c r="G575" i="3"/>
  <c r="C575" i="3"/>
  <c r="G574" i="3"/>
  <c r="C574" i="3"/>
  <c r="C573" i="3"/>
  <c r="B570" i="3"/>
  <c r="B569" i="3"/>
  <c r="F568" i="3"/>
  <c r="B568" i="3"/>
  <c r="C568" i="3" s="1"/>
  <c r="B567" i="3"/>
  <c r="F566" i="3"/>
  <c r="F565" i="3"/>
  <c r="F564" i="3"/>
  <c r="K463" i="3"/>
  <c r="K456" i="3"/>
  <c r="K455" i="3"/>
  <c r="L374" i="3"/>
  <c r="L373" i="3"/>
  <c r="L370" i="3"/>
  <c r="L368" i="3"/>
  <c r="L367" i="3"/>
  <c r="L366" i="3"/>
  <c r="L365" i="3"/>
  <c r="L364" i="3"/>
  <c r="L343" i="3"/>
  <c r="L341" i="3"/>
  <c r="L372" i="3" s="1"/>
  <c r="L340" i="3"/>
  <c r="L371" i="3" s="1"/>
  <c r="L339" i="3"/>
  <c r="O337" i="3"/>
  <c r="G266" i="3"/>
  <c r="A209" i="3"/>
  <c r="A208" i="3"/>
  <c r="A207" i="3"/>
  <c r="A206" i="3"/>
  <c r="A205" i="3"/>
  <c r="A203" i="3"/>
  <c r="A201" i="3"/>
  <c r="A200" i="3"/>
  <c r="A199" i="3"/>
  <c r="A184" i="3"/>
  <c r="A169" i="3"/>
  <c r="I164" i="3"/>
  <c r="I163" i="3"/>
  <c r="B163" i="3"/>
  <c r="I160" i="3"/>
  <c r="I159" i="3"/>
  <c r="I157" i="3"/>
  <c r="A154" i="3"/>
  <c r="M151" i="3"/>
  <c r="B149" i="3"/>
  <c r="M144" i="3"/>
  <c r="M143" i="3"/>
  <c r="M142" i="3"/>
  <c r="M141" i="3"/>
  <c r="M152" i="3" s="1"/>
  <c r="B152" i="3" s="1"/>
  <c r="A139" i="3"/>
  <c r="C136" i="3"/>
  <c r="C151" i="3" s="1"/>
  <c r="B134" i="3"/>
  <c r="B132" i="3"/>
  <c r="C130" i="3"/>
  <c r="C145" i="3" s="1"/>
  <c r="C129" i="3"/>
  <c r="C144" i="3" s="1"/>
  <c r="C128" i="3"/>
  <c r="C143" i="3" s="1"/>
  <c r="C127" i="3"/>
  <c r="C142" i="3" s="1"/>
  <c r="C126" i="3"/>
  <c r="C141" i="3" s="1"/>
  <c r="A124" i="3"/>
  <c r="G121" i="3"/>
  <c r="G118" i="3"/>
  <c r="D118" i="3"/>
  <c r="G117" i="3"/>
  <c r="G114" i="3"/>
  <c r="G113" i="3"/>
  <c r="G112" i="3"/>
  <c r="G111" i="3"/>
  <c r="D111" i="3"/>
  <c r="G110" i="3"/>
  <c r="F110" i="3"/>
  <c r="N106" i="3"/>
  <c r="L106" i="3"/>
  <c r="B106" i="3"/>
  <c r="A104" i="3"/>
  <c r="A119" i="3" s="1"/>
  <c r="N103" i="3"/>
  <c r="L103" i="3"/>
  <c r="F103" i="3"/>
  <c r="N102" i="3"/>
  <c r="L102" i="3"/>
  <c r="F102" i="3"/>
  <c r="L101" i="3"/>
  <c r="N99" i="3"/>
  <c r="L99" i="3"/>
  <c r="D99" i="3"/>
  <c r="L98" i="3"/>
  <c r="N96" i="3"/>
  <c r="L96" i="3"/>
  <c r="F96" i="3"/>
  <c r="N95" i="3"/>
  <c r="L95" i="3"/>
  <c r="F95" i="3"/>
  <c r="D95" i="3"/>
  <c r="N91" i="3"/>
  <c r="L91" i="3"/>
  <c r="B91" i="3" s="1"/>
  <c r="F91" i="3"/>
  <c r="O89" i="3"/>
  <c r="B89" i="3" s="1"/>
  <c r="N88" i="3"/>
  <c r="F88" i="3"/>
  <c r="E88" i="3"/>
  <c r="B88" i="3" s="1"/>
  <c r="D88" i="3"/>
  <c r="N87" i="3"/>
  <c r="L87" i="3"/>
  <c r="F87" i="3"/>
  <c r="E87" i="3"/>
  <c r="B87" i="3" s="1"/>
  <c r="N84" i="3"/>
  <c r="I84" i="3"/>
  <c r="B84" i="3"/>
  <c r="L83" i="3"/>
  <c r="B83" i="3" s="1"/>
  <c r="N81" i="3"/>
  <c r="F81" i="3"/>
  <c r="E81" i="3"/>
  <c r="B81" i="3" s="1"/>
  <c r="D81" i="3"/>
  <c r="N80" i="3"/>
  <c r="F80" i="3"/>
  <c r="E80" i="3"/>
  <c r="B80" i="3"/>
  <c r="K61" i="3"/>
  <c r="G61" i="3"/>
  <c r="B61" i="3"/>
  <c r="G58" i="3"/>
  <c r="B58" i="3" s="1"/>
  <c r="A58" i="3"/>
  <c r="A73" i="3" s="1"/>
  <c r="K57" i="3"/>
  <c r="B57" i="3" s="1"/>
  <c r="G57" i="3"/>
  <c r="K56" i="3"/>
  <c r="J56" i="3"/>
  <c r="B56" i="3" s="1"/>
  <c r="B71" i="3" s="1"/>
  <c r="G54" i="3"/>
  <c r="B54" i="3"/>
  <c r="B69" i="3" s="1"/>
  <c r="K53" i="3"/>
  <c r="J53" i="3"/>
  <c r="G53" i="3"/>
  <c r="B53" i="3" s="1"/>
  <c r="K52" i="3"/>
  <c r="K51" i="3"/>
  <c r="J51" i="3"/>
  <c r="B51" i="3" s="1"/>
  <c r="B66" i="3" s="1"/>
  <c r="G51" i="3"/>
  <c r="K50" i="3"/>
  <c r="J50" i="3"/>
  <c r="G50" i="3"/>
  <c r="F50" i="3"/>
  <c r="B50" i="3"/>
  <c r="N46" i="3"/>
  <c r="L46" i="3"/>
  <c r="B46" i="3"/>
  <c r="A46" i="3"/>
  <c r="A61" i="3" s="1"/>
  <c r="A76" i="3" s="1"/>
  <c r="C45" i="3"/>
  <c r="B45" i="3" s="1"/>
  <c r="A45" i="3"/>
  <c r="O44" i="3"/>
  <c r="O104" i="3" s="1"/>
  <c r="B44" i="3"/>
  <c r="B104" i="3" s="1"/>
  <c r="N43" i="3"/>
  <c r="L43" i="3"/>
  <c r="B43" i="3" s="1"/>
  <c r="F43" i="3"/>
  <c r="A43" i="3"/>
  <c r="A88" i="3" s="1"/>
  <c r="A103" i="3" s="1"/>
  <c r="N42" i="3"/>
  <c r="L42" i="3"/>
  <c r="F42" i="3"/>
  <c r="B42" i="3" s="1"/>
  <c r="A42" i="3"/>
  <c r="N41" i="3"/>
  <c r="L41" i="3"/>
  <c r="L86" i="3" s="1"/>
  <c r="B86" i="3" s="1"/>
  <c r="K41" i="3"/>
  <c r="J41" i="3"/>
  <c r="B41" i="3" s="1"/>
  <c r="A41" i="3"/>
  <c r="A56" i="3" s="1"/>
  <c r="A71" i="3" s="1"/>
  <c r="N39" i="3"/>
  <c r="I39" i="3"/>
  <c r="C39" i="3"/>
  <c r="B39" i="3"/>
  <c r="B99" i="3" s="1"/>
  <c r="B114" i="3" s="1"/>
  <c r="N38" i="3"/>
  <c r="B38" i="3" s="1"/>
  <c r="B98" i="3" s="1"/>
  <c r="L38" i="3"/>
  <c r="J38" i="3"/>
  <c r="C37" i="3"/>
  <c r="B37" i="3"/>
  <c r="N36" i="3"/>
  <c r="L36" i="3"/>
  <c r="L81" i="3" s="1"/>
  <c r="J36" i="3"/>
  <c r="F36" i="3"/>
  <c r="C36" i="3"/>
  <c r="B36" i="3" s="1"/>
  <c r="B96" i="3" s="1"/>
  <c r="N35" i="3"/>
  <c r="L35" i="3"/>
  <c r="K35" i="3"/>
  <c r="J35" i="3"/>
  <c r="F35" i="3"/>
  <c r="C35" i="3"/>
  <c r="B35" i="3" s="1"/>
  <c r="A35" i="3"/>
  <c r="A80" i="3" s="1"/>
  <c r="A95" i="3" s="1"/>
  <c r="E31" i="3"/>
  <c r="D31" i="3"/>
  <c r="D27" i="3"/>
  <c r="C27" i="3"/>
  <c r="L25" i="3"/>
  <c r="K25" i="3"/>
  <c r="D23" i="3"/>
  <c r="A21" i="3"/>
  <c r="A39" i="3" s="1"/>
  <c r="A20" i="3"/>
  <c r="J732" i="3" s="1"/>
  <c r="A19" i="3"/>
  <c r="J731" i="3" s="1"/>
  <c r="D18" i="3"/>
  <c r="A18" i="3"/>
  <c r="A17" i="3"/>
  <c r="J729" i="3" s="1"/>
  <c r="O7" i="3"/>
  <c r="O8" i="3" s="1"/>
  <c r="G7" i="3"/>
  <c r="G5" i="3"/>
  <c r="A54" i="3" l="1"/>
  <c r="A69" i="3" s="1"/>
  <c r="A84" i="3"/>
  <c r="A99" i="3" s="1"/>
  <c r="C20" i="3"/>
  <c r="A90" i="3"/>
  <c r="A105" i="3" s="1"/>
  <c r="A60" i="3"/>
  <c r="A75" i="3" s="1"/>
  <c r="B141" i="3"/>
  <c r="B145" i="3"/>
  <c r="C21" i="3"/>
  <c r="A38" i="3"/>
  <c r="B60" i="3"/>
  <c r="B105" i="3"/>
  <c r="B142" i="3"/>
  <c r="B137" i="3"/>
  <c r="D20" i="3"/>
  <c r="D26" i="3"/>
  <c r="B111" i="3"/>
  <c r="C18" i="3"/>
  <c r="B101" i="3"/>
  <c r="A57" i="3"/>
  <c r="A72" i="3" s="1"/>
  <c r="A87" i="3"/>
  <c r="A102" i="3" s="1"/>
  <c r="A118" i="3"/>
  <c r="A134" i="3"/>
  <c r="A149" i="3" s="1"/>
  <c r="B65" i="3"/>
  <c r="B73" i="3"/>
  <c r="L88" i="3"/>
  <c r="B143" i="3"/>
  <c r="A36" i="3"/>
  <c r="J730" i="3"/>
  <c r="A126" i="3"/>
  <c r="A141" i="3" s="1"/>
  <c r="A110" i="3"/>
  <c r="B102" i="3"/>
  <c r="D24" i="3"/>
  <c r="B76" i="3"/>
  <c r="B121" i="3" s="1"/>
  <c r="B167" i="3" s="1"/>
  <c r="B82" i="3"/>
  <c r="B90" i="3"/>
  <c r="B144" i="3"/>
  <c r="B151" i="3"/>
  <c r="B68" i="3"/>
  <c r="B113" i="3" s="1"/>
  <c r="D25" i="3"/>
  <c r="B164" i="3"/>
  <c r="B103" i="3"/>
  <c r="B95" i="3"/>
  <c r="B182" i="3" s="1"/>
  <c r="D17" i="3"/>
  <c r="B75" i="3"/>
  <c r="B67" i="3"/>
  <c r="B52" i="3" s="1"/>
  <c r="L80" i="3"/>
  <c r="J733" i="3"/>
  <c r="D21" i="3"/>
  <c r="A37" i="3"/>
  <c r="A86" i="3"/>
  <c r="A101" i="3" s="1"/>
  <c r="A91" i="3"/>
  <c r="A106" i="3" s="1"/>
  <c r="B97" i="3"/>
  <c r="D19" i="3"/>
  <c r="A50" i="3"/>
  <c r="A65" i="3" s="1"/>
  <c r="B197" i="3" l="1"/>
  <c r="F27" i="3"/>
  <c r="A179" i="3"/>
  <c r="A194" i="3" s="1"/>
  <c r="P651" i="3" s="1"/>
  <c r="P671" i="3" s="1"/>
  <c r="A164" i="3"/>
  <c r="B116" i="3"/>
  <c r="B162" i="3"/>
  <c r="C23" i="3"/>
  <c r="A52" i="3"/>
  <c r="A67" i="3" s="1"/>
  <c r="A82" i="3"/>
  <c r="A97" i="3" s="1"/>
  <c r="C25" i="3"/>
  <c r="B118" i="3"/>
  <c r="B181" i="3"/>
  <c r="B136" i="3"/>
  <c r="B148" i="3"/>
  <c r="B117" i="3"/>
  <c r="C24" i="3"/>
  <c r="B172" i="3"/>
  <c r="B157" i="3"/>
  <c r="B127" i="3"/>
  <c r="B175" i="3"/>
  <c r="B130" i="3"/>
  <c r="B160" i="3"/>
  <c r="A136" i="3"/>
  <c r="A151" i="3" s="1"/>
  <c r="A120" i="3"/>
  <c r="A135" i="3" s="1"/>
  <c r="A150" i="3" s="1"/>
  <c r="A165" i="3" s="1"/>
  <c r="A180" i="3" s="1"/>
  <c r="A195" i="3" s="1"/>
  <c r="B112" i="3"/>
  <c r="C19" i="3"/>
  <c r="A81" i="3"/>
  <c r="A96" i="3" s="1"/>
  <c r="A51" i="3"/>
  <c r="A66" i="3" s="1"/>
  <c r="A133" i="3"/>
  <c r="A148" i="3" s="1"/>
  <c r="A117" i="3"/>
  <c r="A83" i="3"/>
  <c r="A98" i="3" s="1"/>
  <c r="A53" i="3"/>
  <c r="A68" i="3" s="1"/>
  <c r="A137" i="3"/>
  <c r="A152" i="3" s="1"/>
  <c r="A121" i="3"/>
  <c r="B171" i="3"/>
  <c r="B126" i="3"/>
  <c r="A116" i="3"/>
  <c r="A132" i="3"/>
  <c r="A147" i="3" s="1"/>
  <c r="B179" i="3"/>
  <c r="B177" i="3"/>
  <c r="B110" i="3"/>
  <c r="B156" i="3" s="1"/>
  <c r="C17" i="3"/>
  <c r="B159" i="3"/>
  <c r="B174" i="3"/>
  <c r="B129" i="3"/>
  <c r="B173" i="3"/>
  <c r="B158" i="3"/>
  <c r="B128" i="3"/>
  <c r="A114" i="3"/>
  <c r="A130" i="3"/>
  <c r="A145" i="3" s="1"/>
  <c r="A156" i="3"/>
  <c r="A171" i="3"/>
  <c r="A186" i="3" s="1"/>
  <c r="P643" i="3" s="1"/>
  <c r="P663" i="3" s="1"/>
  <c r="C26" i="3"/>
  <c r="B120" i="3"/>
  <c r="B166" i="3" s="1"/>
  <c r="A175" i="3" l="1"/>
  <c r="A190" i="3" s="1"/>
  <c r="P647" i="3" s="1"/>
  <c r="P667" i="3" s="1"/>
  <c r="A160" i="3"/>
  <c r="B188" i="3"/>
  <c r="F19" i="3"/>
  <c r="B9" i="3"/>
  <c r="C174" i="3"/>
  <c r="C175" i="3"/>
  <c r="C173" i="3"/>
  <c r="C171" i="3"/>
  <c r="C172" i="3"/>
  <c r="C181" i="3"/>
  <c r="A177" i="3"/>
  <c r="A192" i="3" s="1"/>
  <c r="P649" i="3" s="1"/>
  <c r="P669" i="3" s="1"/>
  <c r="A162" i="3"/>
  <c r="B186" i="3"/>
  <c r="F17" i="3"/>
  <c r="A129" i="3"/>
  <c r="A144" i="3" s="1"/>
  <c r="A113" i="3"/>
  <c r="A127" i="3"/>
  <c r="A142" i="3" s="1"/>
  <c r="A111" i="3"/>
  <c r="A166" i="3"/>
  <c r="A181" i="3"/>
  <c r="A196" i="3" s="1"/>
  <c r="P652" i="3" s="1"/>
  <c r="P672" i="3" s="1"/>
  <c r="B178" i="3"/>
  <c r="B133" i="3"/>
  <c r="B189" i="3"/>
  <c r="F20" i="3"/>
  <c r="F23" i="3"/>
  <c r="B192" i="3"/>
  <c r="A182" i="3"/>
  <c r="A197" i="3" s="1"/>
  <c r="P653" i="3" s="1"/>
  <c r="P673" i="3" s="1"/>
  <c r="A167" i="3"/>
  <c r="A178" i="3"/>
  <c r="A193" i="3" s="1"/>
  <c r="P650" i="3" s="1"/>
  <c r="P670" i="3" s="1"/>
  <c r="A163" i="3"/>
  <c r="F18" i="3"/>
  <c r="B187" i="3"/>
  <c r="F25" i="3"/>
  <c r="B194" i="3"/>
  <c r="B190" i="3"/>
  <c r="F21" i="3"/>
  <c r="F26" i="3"/>
  <c r="B196" i="3"/>
  <c r="A112" i="3"/>
  <c r="A128" i="3"/>
  <c r="A143" i="3" s="1"/>
  <c r="A2" i="7" l="1"/>
  <c r="A2" i="4"/>
  <c r="A8" i="7"/>
  <c r="A8" i="4"/>
  <c r="J1" i="7"/>
  <c r="H40" i="15" s="1"/>
  <c r="J1" i="4"/>
  <c r="F1" i="7"/>
  <c r="D40" i="15" s="1"/>
  <c r="F1" i="4"/>
  <c r="L1" i="7"/>
  <c r="J40" i="15" s="1"/>
  <c r="L1" i="4"/>
  <c r="A3" i="7"/>
  <c r="A3" i="4"/>
  <c r="A4" i="7"/>
  <c r="A4" i="4"/>
  <c r="A5" i="7"/>
  <c r="A5" i="4"/>
  <c r="A9" i="7"/>
  <c r="A9" i="4"/>
  <c r="I1" i="7"/>
  <c r="G40" i="15" s="1"/>
  <c r="I1" i="4"/>
  <c r="E1" i="7"/>
  <c r="C40" i="15" s="1"/>
  <c r="E1" i="4"/>
  <c r="K1" i="7"/>
  <c r="I40" i="15" s="1"/>
  <c r="K1" i="4"/>
  <c r="A6" i="7"/>
  <c r="A6" i="4"/>
  <c r="A10" i="7"/>
  <c r="A10" i="4"/>
  <c r="H1" i="7"/>
  <c r="F40" i="15" s="1"/>
  <c r="H1" i="4"/>
  <c r="D1" i="7"/>
  <c r="D1" i="4"/>
  <c r="A7" i="7"/>
  <c r="A7" i="4"/>
  <c r="B1" i="7"/>
  <c r="B1" i="4"/>
  <c r="G1" i="7"/>
  <c r="E40" i="15" s="1"/>
  <c r="G1" i="4"/>
  <c r="C1" i="7"/>
  <c r="C1" i="4"/>
  <c r="A174" i="3"/>
  <c r="A189" i="3" s="1"/>
  <c r="P646" i="3" s="1"/>
  <c r="A159" i="3"/>
  <c r="G26" i="3"/>
  <c r="A173" i="3"/>
  <c r="A188" i="3" s="1"/>
  <c r="P645" i="3" s="1"/>
  <c r="P665" i="3" s="1"/>
  <c r="A158" i="3"/>
  <c r="B193" i="3"/>
  <c r="F24" i="3"/>
  <c r="G24" i="3" s="1"/>
  <c r="A172" i="3"/>
  <c r="A187" i="3" s="1"/>
  <c r="P644" i="3" s="1"/>
  <c r="P664" i="3" s="1"/>
  <c r="A157" i="3"/>
  <c r="B8" i="3"/>
  <c r="I5" i="3" s="1"/>
  <c r="I4" i="3"/>
  <c r="B13" i="3"/>
  <c r="G19" i="3" s="1"/>
  <c r="G6" i="3"/>
  <c r="F31" i="3"/>
  <c r="L10" i="4" l="1"/>
  <c r="L21" i="4" s="1"/>
  <c r="B9" i="4"/>
  <c r="B20" i="4" s="1"/>
  <c r="C9" i="4"/>
  <c r="C20" i="4" s="1"/>
  <c r="G20" i="3"/>
  <c r="G18" i="3"/>
  <c r="G23" i="3"/>
  <c r="G17" i="3"/>
  <c r="G22" i="3"/>
  <c r="G27" i="3"/>
  <c r="G21" i="3"/>
  <c r="G25" i="3"/>
  <c r="B10" i="4" l="1"/>
  <c r="B21" i="4" s="1"/>
  <c r="G10" i="4"/>
  <c r="G21" i="4" s="1"/>
  <c r="K10" i="4"/>
  <c r="K21" i="4" s="1"/>
  <c r="J10" i="4"/>
  <c r="J21" i="4" s="1"/>
  <c r="F10" i="4"/>
  <c r="F21" i="4" s="1"/>
  <c r="C10" i="4"/>
  <c r="C21" i="4" s="1"/>
  <c r="H10" i="4"/>
  <c r="H21" i="4" s="1"/>
  <c r="E10" i="4"/>
  <c r="E21" i="4" s="1"/>
  <c r="D10" i="4"/>
  <c r="D21" i="4" s="1"/>
  <c r="I10" i="4" l="1"/>
  <c r="I21" i="4" s="1"/>
  <c r="D9" i="4"/>
  <c r="D20" i="4" s="1"/>
  <c r="E9" i="4" l="1"/>
  <c r="E20" i="4" s="1"/>
  <c r="F9" i="4" l="1"/>
  <c r="F20" i="4" s="1"/>
  <c r="G9" i="4" l="1"/>
  <c r="G20" i="4" s="1"/>
  <c r="H9" i="4" l="1"/>
  <c r="H20" i="4" s="1"/>
  <c r="I9" i="4" l="1"/>
  <c r="I20" i="4" s="1"/>
  <c r="J9" i="4" l="1"/>
  <c r="J20" i="4" s="1"/>
  <c r="K9" i="4" l="1"/>
  <c r="K20" i="4" s="1"/>
  <c r="L9" i="4" l="1"/>
  <c r="L20" i="4" s="1"/>
  <c r="D8" i="4" l="1"/>
  <c r="D19" i="4" s="1"/>
  <c r="C5" i="4" l="1"/>
  <c r="C16" i="4" s="1"/>
  <c r="C7" i="4"/>
  <c r="C18" i="4" s="1"/>
  <c r="C6" i="4"/>
  <c r="C17" i="4" s="1"/>
  <c r="C8" i="4"/>
  <c r="C19" i="4" s="1"/>
  <c r="B8" i="4" l="1"/>
  <c r="B19" i="4" s="1"/>
  <c r="B7" i="4" l="1"/>
  <c r="B18" i="4" s="1"/>
  <c r="B6" i="4"/>
  <c r="B17" i="4" s="1"/>
  <c r="B3" i="4" l="1"/>
  <c r="B5" i="4"/>
  <c r="B16" i="4" s="1"/>
  <c r="C4" i="4"/>
  <c r="C15" i="4" s="1"/>
  <c r="B4" i="4"/>
  <c r="B15" i="4" s="1"/>
  <c r="B2" i="4" l="1"/>
  <c r="B14" i="4"/>
  <c r="B13" i="4" s="1"/>
  <c r="C3" i="4"/>
  <c r="B2" i="7"/>
  <c r="C2" i="7" l="1"/>
  <c r="C14" i="4"/>
  <c r="C13" i="4" s="1"/>
  <c r="C2" i="4"/>
  <c r="D7" i="4" l="1"/>
  <c r="D18" i="4" s="1"/>
  <c r="D5" i="4" l="1"/>
  <c r="D16" i="4" s="1"/>
  <c r="D6" i="4"/>
  <c r="D17" i="4" s="1"/>
  <c r="D4" i="4"/>
  <c r="D15" i="4" s="1"/>
  <c r="D3" i="4" l="1"/>
  <c r="D14" i="4" l="1"/>
  <c r="D13" i="4" s="1"/>
  <c r="D2" i="4"/>
  <c r="E8" i="4" l="1"/>
  <c r="E19" i="4" s="1"/>
  <c r="E7" i="4" l="1"/>
  <c r="E18" i="4" s="1"/>
  <c r="E6" i="4"/>
  <c r="E17" i="4" s="1"/>
  <c r="E4" i="4" l="1"/>
  <c r="E5" i="4"/>
  <c r="E16" i="4" s="1"/>
  <c r="E15" i="4" l="1"/>
  <c r="E2" i="4"/>
  <c r="F8" i="4"/>
  <c r="F19" i="4" s="1"/>
  <c r="E2" i="7"/>
  <c r="E14" i="4"/>
  <c r="E13" i="4" s="1"/>
  <c r="F6" i="4" l="1"/>
  <c r="F17" i="4" s="1"/>
  <c r="F5" i="4" l="1"/>
  <c r="F16" i="4" s="1"/>
  <c r="F4" i="4" l="1"/>
  <c r="F15" i="4" s="1"/>
  <c r="F7" i="4"/>
  <c r="F18" i="4" s="1"/>
  <c r="F3" i="4" l="1"/>
  <c r="F2" i="4" l="1"/>
  <c r="F14" i="4"/>
  <c r="F13" i="4" s="1"/>
  <c r="G8" i="4" l="1"/>
  <c r="G19" i="4" s="1"/>
  <c r="G7" i="4" l="1"/>
  <c r="G18" i="4" s="1"/>
  <c r="T32" i="7" l="1"/>
  <c r="G15" i="4"/>
  <c r="G6" i="4"/>
  <c r="G5" i="4" l="1"/>
  <c r="G16" i="4" s="1"/>
  <c r="G3" i="4"/>
  <c r="G14" i="4" s="1"/>
  <c r="G17" i="4"/>
  <c r="T31" i="7" l="1"/>
  <c r="G13" i="4"/>
  <c r="G2" i="4"/>
  <c r="G2" i="7"/>
  <c r="H6" i="4" l="1"/>
  <c r="H17" i="4" s="1"/>
  <c r="H8" i="4"/>
  <c r="H19" i="4" s="1"/>
  <c r="H7" i="4" l="1"/>
  <c r="H18" i="4" s="1"/>
  <c r="H4" i="4"/>
  <c r="H15" i="4" s="1"/>
  <c r="H5" i="4"/>
  <c r="H16" i="4" s="1"/>
  <c r="H3" i="4" l="1"/>
  <c r="H2" i="7" l="1"/>
  <c r="H14" i="4"/>
  <c r="H13" i="4" s="1"/>
  <c r="H2" i="4"/>
  <c r="I6" i="4" l="1"/>
  <c r="I17" i="4" s="1"/>
  <c r="I8" i="4"/>
  <c r="I19" i="4" s="1"/>
  <c r="I4" i="4" l="1"/>
  <c r="I15" i="4" s="1"/>
  <c r="I7" i="4"/>
  <c r="I18" i="4" s="1"/>
  <c r="I3" i="4" l="1"/>
  <c r="I5" i="4" l="1"/>
  <c r="I16" i="4" s="1"/>
  <c r="I14" i="4"/>
  <c r="I13" i="4" s="1"/>
  <c r="I2" i="4"/>
  <c r="I2" i="7" l="1"/>
  <c r="J8" i="4" l="1"/>
  <c r="J19" i="4" s="1"/>
  <c r="J6" i="4" l="1"/>
  <c r="J17" i="4" s="1"/>
  <c r="J5" i="4" l="1"/>
  <c r="J16" i="4" s="1"/>
  <c r="J7" i="4"/>
  <c r="J18" i="4" s="1"/>
  <c r="J4" i="4" l="1"/>
  <c r="J15" i="4" s="1"/>
  <c r="J3" i="4" l="1"/>
  <c r="J2" i="7" l="1"/>
  <c r="J14" i="4"/>
  <c r="J13" i="4" s="1"/>
  <c r="J2" i="4"/>
  <c r="K8" i="4" l="1"/>
  <c r="K19" i="4" s="1"/>
  <c r="K6" i="4" l="1"/>
  <c r="K17" i="4" s="1"/>
  <c r="K7" i="4"/>
  <c r="K18" i="4" s="1"/>
  <c r="K4" i="4" l="1"/>
  <c r="K15" i="4" s="1"/>
  <c r="K5" i="4"/>
  <c r="K16" i="4" s="1"/>
  <c r="K3" i="4" l="1"/>
  <c r="K2" i="7" l="1"/>
  <c r="K14" i="4"/>
  <c r="K13" i="4" s="1"/>
  <c r="K2" i="4"/>
  <c r="L8" i="4" l="1"/>
  <c r="L19" i="4" s="1"/>
  <c r="L6" i="4" l="1"/>
  <c r="L17" i="4" s="1"/>
  <c r="L5" i="4"/>
  <c r="L16" i="4" s="1"/>
  <c r="L15" i="4"/>
  <c r="L7" i="4"/>
  <c r="L18" i="4" s="1"/>
  <c r="L3" i="4" l="1"/>
  <c r="L2" i="7" l="1"/>
  <c r="L14" i="4"/>
  <c r="L13" i="4" s="1"/>
  <c r="L2" i="4"/>
</calcChain>
</file>

<file path=xl/comments1.xml><?xml version="1.0" encoding="utf-8"?>
<comments xmlns="http://schemas.openxmlformats.org/spreadsheetml/2006/main">
  <authors>
    <author>LE FEUVRE Pharoah, IEA/EMS/RED</author>
  </authors>
  <commentList>
    <comment ref="O9" authorId="0">
      <text>
        <r>
          <rPr>
            <b/>
            <sz val="9"/>
            <color indexed="81"/>
            <rFont val="Tahoma"/>
            <family val="2"/>
          </rPr>
          <t>LE FEUVRE Pharoah, IEA/EMS/RED:</t>
        </r>
        <r>
          <rPr>
            <sz val="9"/>
            <color indexed="81"/>
            <rFont val="Tahoma"/>
            <family val="2"/>
          </rPr>
          <t xml:space="preserve">
LNG density</t>
        </r>
      </text>
    </comment>
  </commentList>
</comments>
</file>

<file path=xl/sharedStrings.xml><?xml version="1.0" encoding="utf-8"?>
<sst xmlns="http://schemas.openxmlformats.org/spreadsheetml/2006/main" count="632" uniqueCount="405">
  <si>
    <t>AK</t>
  </si>
  <si>
    <t xml:space="preserve">Changed biodiesel (FAME) emission factor to concawe value, </t>
  </si>
  <si>
    <t>Convert</t>
  </si>
  <si>
    <t>Conversion factors</t>
  </si>
  <si>
    <t>1kg=</t>
  </si>
  <si>
    <t>lbs</t>
  </si>
  <si>
    <t>EJ</t>
  </si>
  <si>
    <t>Mtoe</t>
  </si>
  <si>
    <t xml:space="preserve">1 Mtoe = </t>
  </si>
  <si>
    <t>Petajoule (10^15 joules)</t>
  </si>
  <si>
    <t>Billion lge</t>
  </si>
  <si>
    <t>1 ktoe</t>
  </si>
  <si>
    <t>TJ</t>
  </si>
  <si>
    <t>1 Btu =</t>
  </si>
  <si>
    <t>joules</t>
  </si>
  <si>
    <t>mboe/d</t>
  </si>
  <si>
    <t>GJ</t>
  </si>
  <si>
    <t>1 toe =</t>
  </si>
  <si>
    <t>Litres ge</t>
  </si>
  <si>
    <t>MJ</t>
  </si>
  <si>
    <t>1 litre ge =</t>
  </si>
  <si>
    <t>Megajoules (10^6 joules)</t>
  </si>
  <si>
    <t>1 gallon =</t>
  </si>
  <si>
    <t>litres</t>
  </si>
  <si>
    <t xml:space="preserve">MPG = </t>
  </si>
  <si>
    <t>divided by L/100 km</t>
  </si>
  <si>
    <t>1 kWh =</t>
  </si>
  <si>
    <t>1 Lge</t>
  </si>
  <si>
    <t>kWh</t>
  </si>
  <si>
    <t>Characteristics of fuels</t>
  </si>
  <si>
    <t>Energy Content [MJ/l], LHV</t>
  </si>
  <si>
    <t>Energy Content [MJ/kg], LHV</t>
  </si>
  <si>
    <t>CO2 emissions per litre gasoline eq [kg/lge]</t>
  </si>
  <si>
    <t>Hydrogen</t>
  </si>
  <si>
    <t>Ethanol</t>
  </si>
  <si>
    <t>Biodiesel (FAME)</t>
  </si>
  <si>
    <t>Hydrotreated biodiesel</t>
  </si>
  <si>
    <t xml:space="preserve">Residual fuel oil (bunker fuel) </t>
  </si>
  <si>
    <t>Methanol</t>
  </si>
  <si>
    <t>bbl/tonne</t>
  </si>
  <si>
    <t>toe/tonne</t>
  </si>
  <si>
    <t>Energy content [toe/bbl]</t>
  </si>
  <si>
    <t>Energy content [MJ/bbl]</t>
  </si>
  <si>
    <t>Energy content [lge/bbl]</t>
  </si>
  <si>
    <t>liters/bbl</t>
  </si>
  <si>
    <t>Crude oil</t>
  </si>
  <si>
    <t>Net calorific values, LHV [MJ/kg]</t>
  </si>
  <si>
    <t>Biodiesel (hydrogenated)</t>
  </si>
  <si>
    <t>Net calorific values, HHV [MJ/kg]</t>
  </si>
  <si>
    <t>Gross/Net calorific values</t>
  </si>
  <si>
    <t>Density [kg/l]</t>
  </si>
  <si>
    <t>Net calorific values, LHV [MJ/l]</t>
  </si>
  <si>
    <t>Net calorific values, HHV [MJ/l]</t>
  </si>
  <si>
    <t>Various sources</t>
  </si>
  <si>
    <t>ACEA JAMA KAMA</t>
  </si>
  <si>
    <t>EIA</t>
  </si>
  <si>
    <t>IEA CO2 book, using IPCC</t>
  </si>
  <si>
    <t>LHV</t>
  </si>
  <si>
    <t>MJ/kg</t>
  </si>
  <si>
    <t>Gasoline</t>
  </si>
  <si>
    <t>Gas/diesel oil</t>
  </si>
  <si>
    <t>Jet fuel (kerosene)</t>
  </si>
  <si>
    <t>Natural gas</t>
  </si>
  <si>
    <t>LPG (60% propane, 40% butane)</t>
  </si>
  <si>
    <t>Residual fuel oil</t>
  </si>
  <si>
    <t>tC/TJ</t>
  </si>
  <si>
    <t>Anthracite</t>
  </si>
  <si>
    <t>Coking coal</t>
  </si>
  <si>
    <t>Other bituminous coal</t>
  </si>
  <si>
    <t>Sub-bituminous coal</t>
  </si>
  <si>
    <t>Wikipedia 1</t>
  </si>
  <si>
    <t>http://en.wikipedia.org/wiki/Fuel_efficiency</t>
  </si>
  <si>
    <t>HHV</t>
  </si>
  <si>
    <t>MJ/l</t>
  </si>
  <si>
    <t>MJ /kg</t>
  </si>
  <si>
    <t>CNG</t>
  </si>
  <si>
    <t>Wikipedia 2</t>
  </si>
  <si>
    <t>http://en.wikipedia.org/wiki/Heat_of_combustion</t>
  </si>
  <si>
    <t>LPG fuel</t>
  </si>
  <si>
    <t>Density (liquid state, 288.15 K)</t>
  </si>
  <si>
    <t>kg/dm3</t>
  </si>
  <si>
    <t>i.e. kg/l</t>
  </si>
  <si>
    <t>Density (gaseous state, 288.15 K)</t>
  </si>
  <si>
    <t>i.e. MJ/l</t>
  </si>
  <si>
    <t>MJ/m3</t>
  </si>
  <si>
    <t>Woodgas.com</t>
  </si>
  <si>
    <t>http://www.woodgas.com/fuel_densities.htm</t>
  </si>
  <si>
    <t>  </t>
  </si>
  <si>
    <t>FUEL PROPERTIES:  From Reed, Jamie &amp; Andries</t>
  </si>
  <si>
    <t>LHV-base</t>
  </si>
  <si>
    <t>HHV-base</t>
  </si>
  <si>
    <t>Mass</t>
  </si>
  <si>
    <t>Volumetric</t>
  </si>
  <si>
    <t>Relative</t>
  </si>
  <si>
    <t>ref nr</t>
  </si>
  <si>
    <t>FUEL TYPE</t>
  </si>
  <si>
    <t>Density</t>
  </si>
  <si>
    <t>Moisture</t>
  </si>
  <si>
    <t>Ash*</t>
  </si>
  <si>
    <t>Energy Density</t>
  </si>
  <si>
    <t>Bulk Vol.</t>
  </si>
  <si>
    <t>Unit**</t>
  </si>
  <si>
    <t>Cost</t>
  </si>
  <si>
    <t>Co2 Emissions</t>
  </si>
  <si>
    <t xml:space="preserve"> </t>
  </si>
  <si>
    <t>kg/m3</t>
  </si>
  <si>
    <t>% MC</t>
  </si>
  <si>
    <t>%</t>
  </si>
  <si>
    <t>MJ/kg or GJ/ton</t>
  </si>
  <si>
    <t>GJ/m3</t>
  </si>
  <si>
    <t>Ener. Dsy</t>
  </si>
  <si>
    <t>Ener.Dsy</t>
  </si>
  <si>
    <t>Multiplier</t>
  </si>
  <si>
    <t>Cost $</t>
  </si>
  <si>
    <t>$/Gj</t>
  </si>
  <si>
    <t>kg/Gj1</t>
  </si>
  <si>
    <t>kg/Gj2</t>
  </si>
  <si>
    <t>solid</t>
  </si>
  <si>
    <t>bulk</t>
  </si>
  <si>
    <t>Solid</t>
  </si>
  <si>
    <t>(to coal AW)</t>
  </si>
  <si>
    <t>(to coal TR)</t>
  </si>
  <si>
    <t>Brown Coal - VIC</t>
  </si>
  <si>
    <t>5/t</t>
  </si>
  <si>
    <t>Black Coal - NSW</t>
  </si>
  <si>
    <t>30/t</t>
  </si>
  <si>
    <t>Petrol</t>
  </si>
  <si>
    <t>n/a</t>
  </si>
  <si>
    <t>&lt;1</t>
  </si>
  <si>
    <t>34.2/l</t>
  </si>
  <si>
    <t>0.73/l</t>
  </si>
  <si>
    <t>Auto Diesel</t>
  </si>
  <si>
    <t>0.74/l</t>
  </si>
  <si>
    <t>LPG</t>
  </si>
  <si>
    <t>26.2/l</t>
  </si>
  <si>
    <t>Natural Gas</t>
  </si>
  <si>
    <t>37.2/l</t>
  </si>
  <si>
    <t>Sawdust (wet)</t>
  </si>
  <si>
    <t>&lt;1 variable</t>
  </si>
  <si>
    <t>20/t</t>
  </si>
  <si>
    <t>Sawdust (air dry)</t>
  </si>
  <si>
    <t>Woodchips (wet)</t>
  </si>
  <si>
    <t>35/t</t>
  </si>
  <si>
    <t>Woodchips (forest dry)</t>
  </si>
  <si>
    <t>Wood Pellets</t>
  </si>
  <si>
    <t>6+- 2%</t>
  </si>
  <si>
    <t>0.33 to 1</t>
  </si>
  <si>
    <t>165/t</t>
  </si>
  <si>
    <t>US Forest Residues</t>
  </si>
  <si>
    <t>38/t</t>
  </si>
  <si>
    <t>Bagasse (wet)</t>
  </si>
  <si>
    <t>Bagasse (air dry)</t>
  </si>
  <si>
    <t>Charcoal</t>
  </si>
  <si>
    <t>Torrefied Wood</t>
  </si>
  <si>
    <t>Internatl steam coal</t>
  </si>
  <si>
    <t>Loose saw dust (dry)</t>
  </si>
  <si>
    <t>Wood pellets (dry)</t>
  </si>
  <si>
    <t>Torrefied pellets</t>
  </si>
  <si>
    <t>softwood chips (dry)</t>
  </si>
  <si>
    <t>HD 1/4"sawdust pellets</t>
  </si>
  <si>
    <t>3/8" peanut shell pellets</t>
  </si>
  <si>
    <t>Corn</t>
  </si>
  <si>
    <t>Soybeans</t>
  </si>
  <si>
    <t>Coconut shells 1/4"</t>
  </si>
  <si>
    <t>Coal bitumous</t>
  </si>
  <si>
    <t>Biodiesel</t>
  </si>
  <si>
    <t>Diesel</t>
  </si>
  <si>
    <t>Worldwide automotive fuel specifications</t>
  </si>
  <si>
    <t>Density [kg/m3]</t>
  </si>
  <si>
    <t>Anhydrous ethanol</t>
  </si>
  <si>
    <t>CONVERSIONS</t>
  </si>
  <si>
    <t>http://www.northwoods.org.uk/c.php/home/guidance_&amp;_information/biomass_conversion_tables</t>
  </si>
  <si>
    <t>Metric tonne wood = 1.4 cubic meters (solid wood, not stacked)</t>
  </si>
  <si>
    <t xml:space="preserve">Energy content of wood fuel (HHV, bone dry) = 18-22 GJ/t (7,600-9,600 Btu/lb) </t>
  </si>
  <si>
    <t xml:space="preserve">Energy content of wood fuel (LHV, air-dry @ 35% moisture) = about 11 GJ/t (4,800 Btu/lb) </t>
  </si>
  <si>
    <t xml:space="preserve">Energy content of agricultural residues (range due to moisture content) = 10-17 GJ/t (4,300-7,300 Btu/lb) </t>
  </si>
  <si>
    <t xml:space="preserve">Metric tonne charcoal = 30 GJ (= 12,800 Btu/lb) (but usually derived from 6-12 t air-dry wood, i.e. 66-132 GJ original energy content) </t>
  </si>
  <si>
    <t xml:space="preserve">Metric tonne ethanol = 7.94 petroleum barrels = 1262 litres </t>
  </si>
  <si>
    <t>ethanol energy content (LHV) = 26.7 GJ/t = 21.1 MJ/litre = 11,500 Btu/lb = 75,700 Btu/US gallon. HHV for ethanol = 23.4 MJ/litre = 84,000 Btu/US gallon</t>
  </si>
  <si>
    <r>
      <t>ethanol density (average) = 0.79 g/ml (= tonnes/m</t>
    </r>
    <r>
      <rPr>
        <vertAlign val="superscript"/>
        <sz val="10"/>
        <color indexed="8"/>
        <rFont val="Trebuchet MS"/>
        <family val="2"/>
      </rPr>
      <t>3</t>
    </r>
    <r>
      <rPr>
        <sz val="10"/>
        <color indexed="8"/>
        <rFont val="Trebuchet MS"/>
        <family val="2"/>
      </rPr>
      <t>)</t>
    </r>
  </si>
  <si>
    <t xml:space="preserve">Metric tonne biodiesel = 37.8 GJ (33.3 - 35.7 MJ/litre) </t>
  </si>
  <si>
    <r>
      <t>biodiesel density (average) = 0.88 g/ml (= tonnes/m</t>
    </r>
    <r>
      <rPr>
        <vertAlign val="superscript"/>
        <sz val="10"/>
        <color indexed="8"/>
        <rFont val="Trebuchet MS"/>
        <family val="2"/>
      </rPr>
      <t>3</t>
    </r>
    <r>
      <rPr>
        <sz val="10"/>
        <color indexed="8"/>
        <rFont val="Trebuchet MS"/>
        <family val="2"/>
      </rPr>
      <t>)</t>
    </r>
  </si>
  <si>
    <t>Barrel of oil equivalent (boe) = approx. 6.1 GJ (5.8 million Btu), equivalent to 1,700 kWh. "Petroleum barrel" is a liquid measure equal to 42 U.S. gallons (35 Imperial gallons or 159 litres); about 7.2 barrels oil are equivalent to one metric tonne of oi</t>
  </si>
  <si>
    <t>N.B. the energy content (heating value) of petroleum products per unit mass is fairly constant, but their density differs significantly – hence the energy content of a litre, gallon, etc. varies between gasoline, diesel, kerosene.</t>
  </si>
  <si>
    <t xml:space="preserve">Gasoline (Petrol): US gallon = 115,000 Btu = 121 MJ = 32 MJ/litre (LHV). HHV = 125,000 Btu/gallon = 132 MJ/gallon = 35 MJ/litre </t>
  </si>
  <si>
    <t xml:space="preserve">Metric tonne gasoline = 8.53 barrels = 1356 litre = 43.5 GJ/t (LHV); 47.3 GJ/t (HHV) </t>
  </si>
  <si>
    <r>
      <t>gasoline density (average) = 0.73 g/ml (= metric tonnes/m</t>
    </r>
    <r>
      <rPr>
        <vertAlign val="superscript"/>
        <sz val="10"/>
        <color indexed="8"/>
        <rFont val="Trebuchet MS"/>
        <family val="2"/>
      </rPr>
      <t>3</t>
    </r>
    <r>
      <rPr>
        <sz val="10"/>
        <color indexed="8"/>
        <rFont val="Trebuchet MS"/>
        <family val="2"/>
      </rPr>
      <t xml:space="preserve">) </t>
    </r>
  </si>
  <si>
    <t xml:space="preserve">Petroleum diesel = 130,500 Btu/US gallon (36.4 MJ/litre or 42.8 GJ/t) </t>
  </si>
  <si>
    <r>
      <t>diesel density (average) = 0.84 g/ml (= metric tonnes/m</t>
    </r>
    <r>
      <rPr>
        <vertAlign val="superscript"/>
        <sz val="10"/>
        <color indexed="8"/>
        <rFont val="Trebuchet MS"/>
        <family val="2"/>
      </rPr>
      <t>3</t>
    </r>
    <r>
      <rPr>
        <sz val="10"/>
        <color indexed="8"/>
        <rFont val="Trebuchet MS"/>
        <family val="2"/>
      </rPr>
      <t xml:space="preserve">) </t>
    </r>
  </si>
  <si>
    <t xml:space="preserve">Metric tonne coal = 27-30 GJ (bituminous/anthracite); 15-19 GJ (lignite/sub-bituminous) (the above ranges are equivalent to 11,500-13,000 Btu/lb and 6,500-8,200 Btu/lb). </t>
  </si>
  <si>
    <t xml:space="preserve">N.B. the energy content (heating value) per unit mass varies greatly between different "ranks" of coal. "Typical" coal (rank not specified) usually means bituminous coal, the most common fuel for power plants (27 GJ/t) </t>
  </si>
  <si>
    <r>
      <t>Natural gas: HHV = 1027 Btu/ft3 = 38.3 MJ/m</t>
    </r>
    <r>
      <rPr>
        <vertAlign val="superscript"/>
        <sz val="10"/>
        <color indexed="8"/>
        <rFont val="Trebuchet MS"/>
        <family val="2"/>
      </rPr>
      <t>3</t>
    </r>
    <r>
      <rPr>
        <sz val="10"/>
        <color indexed="8"/>
        <rFont val="Trebuchet MS"/>
        <family val="2"/>
      </rPr>
      <t>; LHV = 930 Btu/ft3 = 34.6 MJ/m</t>
    </r>
    <r>
      <rPr>
        <vertAlign val="superscript"/>
        <sz val="10"/>
        <color indexed="8"/>
        <rFont val="Trebuchet MS"/>
        <family val="2"/>
      </rPr>
      <t>3</t>
    </r>
    <r>
      <rPr>
        <sz val="10"/>
        <color indexed="8"/>
        <rFont val="Trebuchet MS"/>
        <family val="2"/>
      </rPr>
      <t xml:space="preserve"> </t>
    </r>
  </si>
  <si>
    <t>Lower heating values</t>
  </si>
  <si>
    <t>kg/l</t>
  </si>
  <si>
    <t>Btu/cubic feet</t>
  </si>
  <si>
    <t>Btu/kg</t>
  </si>
  <si>
    <t>Btu/lb</t>
  </si>
  <si>
    <t>Btu/gallon</t>
  </si>
  <si>
    <t>MJ/bushel</t>
  </si>
  <si>
    <t>Biodiesel FAME</t>
  </si>
  <si>
    <t>Vegetable oil</t>
  </si>
  <si>
    <t>http://www.hrt.msu.edu/Energy/pdf/Heating%20Value%20of%20Common%20Fuels.pdf</t>
  </si>
  <si>
    <t>Glycerol</t>
  </si>
  <si>
    <t>http://www.sciencedirect.com/science?_ob=ArticleURL&amp;_udi=B6V4S-4GV8T3C-1&amp;_user=946274&amp;_rdoc=1&amp;_fmt=&amp;_orig=search&amp;_sort=d&amp;view=c&amp;_acct=C000049020&amp;_version=1&amp;_urlVersion=0&amp;_userid=946274&amp;md5=5565e3d59b161d11836f34769a117848</t>
  </si>
  <si>
    <t>http://hydrogen.pnl.gov/filedownloads/hydrogen/datasheets/lower_and_higher_heating_values.xls</t>
  </si>
  <si>
    <t>Coal</t>
  </si>
  <si>
    <t>Oil</t>
  </si>
  <si>
    <t>as in kg of oil equivalent</t>
  </si>
  <si>
    <t>http://hydrogen.pnl.gov/cocoon/morf/hydrogen/site_specific/fuel_heating_calculator?canprint=false</t>
  </si>
  <si>
    <t>Environment Ministry, Australia</t>
  </si>
  <si>
    <t>http://www.environment.gov.au/settlements/transport/comparison/pubs/app8.pdf</t>
  </si>
  <si>
    <t>g CO2/MJ</t>
  </si>
  <si>
    <t>European fuel cell forum</t>
  </si>
  <si>
    <t>http://www.efcf.com/reports/E10.pdf</t>
  </si>
  <si>
    <t>MIT Energy Club</t>
  </si>
  <si>
    <t>http://mitenergyclub.org/sites/default/files/Units_ConvFactors.MIT_EnergyClub_Factsheet.v8.pdf</t>
  </si>
  <si>
    <t>http://www.eia.doe.gov/oiaf/1605/excel/Fuel%20Emission%20Factors.xls</t>
  </si>
  <si>
    <r>
      <t>2. Carbon Dioxide Emission Factors for Transportation Fuels</t>
    </r>
    <r>
      <rPr>
        <b/>
        <vertAlign val="superscript"/>
        <sz val="8"/>
        <rFont val="Arial"/>
        <family val="2"/>
      </rPr>
      <t>1</t>
    </r>
  </si>
  <si>
    <t>Transportation Fuel</t>
  </si>
  <si>
    <t>Emission Factors</t>
  </si>
  <si>
    <r>
      <t>Pounds CO</t>
    </r>
    <r>
      <rPr>
        <b/>
        <vertAlign val="subscript"/>
        <sz val="9.5"/>
        <rFont val="Arial"/>
        <family val="2"/>
      </rPr>
      <t>2</t>
    </r>
    <r>
      <rPr>
        <b/>
        <sz val="9.5"/>
        <rFont val="Arial"/>
        <family val="2"/>
      </rPr>
      <t xml:space="preserve"> Per Unit of Volume</t>
    </r>
  </si>
  <si>
    <r>
      <t>Kilograms CO</t>
    </r>
    <r>
      <rPr>
        <b/>
        <vertAlign val="subscript"/>
        <sz val="9.5"/>
        <rFont val="Arial"/>
        <family val="2"/>
      </rPr>
      <t xml:space="preserve">2 </t>
    </r>
    <r>
      <rPr>
        <b/>
        <sz val="9.5"/>
        <rFont val="Arial"/>
        <family val="2"/>
      </rPr>
      <t>Per Million Btu</t>
    </r>
  </si>
  <si>
    <t>Aviation Gasoline</t>
  </si>
  <si>
    <t>18.33 per gallon</t>
  </si>
  <si>
    <t>-B100</t>
  </si>
  <si>
    <t>0 per gallon</t>
  </si>
  <si>
    <t>-B20</t>
  </si>
  <si>
    <t>17.89 per gallon</t>
  </si>
  <si>
    <t>-B10</t>
  </si>
  <si>
    <t>20.13 per gallon</t>
  </si>
  <si>
    <t>-B5</t>
  </si>
  <si>
    <t>21.25 per gallon</t>
  </si>
  <si>
    <t>-B2</t>
  </si>
  <si>
    <t>21.92 per gallon</t>
  </si>
  <si>
    <t>Diesel Fuel (No. 1 and No. 2)</t>
  </si>
  <si>
    <t>22.37 per gallon</t>
  </si>
  <si>
    <t>Ethanol/Ethanol Blends</t>
  </si>
  <si>
    <t>-E100</t>
  </si>
  <si>
    <t>-E85</t>
  </si>
  <si>
    <t>2.93 per gallon</t>
  </si>
  <si>
    <t>-E10 (Gasohol)</t>
  </si>
  <si>
    <t>17.59 per gallon</t>
  </si>
  <si>
    <t>65.94</t>
  </si>
  <si>
    <t>Methanol/Methanol Blends</t>
  </si>
  <si>
    <t>-M85</t>
  </si>
  <si>
    <t>10.68 per gallon</t>
  </si>
  <si>
    <t>Motor Gasoline</t>
  </si>
  <si>
    <t>19.54 per gallon</t>
  </si>
  <si>
    <t>70.88</t>
  </si>
  <si>
    <t>Jet Fuel, Kerosene</t>
  </si>
  <si>
    <t>21.09 per gallon</t>
  </si>
  <si>
    <t>120.36 per 1000 cubic feet</t>
  </si>
  <si>
    <t>53.06</t>
  </si>
  <si>
    <t>Propane</t>
  </si>
  <si>
    <t>12.67 per gallon</t>
  </si>
  <si>
    <t>Residual Fuel (No. 5 and No. 6 Fuel Oil)</t>
  </si>
  <si>
    <t>26.00 per gallon</t>
  </si>
  <si>
    <t>78.80</t>
  </si>
  <si>
    <r>
      <t xml:space="preserve">1 </t>
    </r>
    <r>
      <rPr>
        <sz val="8"/>
        <rFont val="Arial"/>
        <family val="2"/>
      </rPr>
      <t>Emissions factors calculated from data in: (1) Energy Information Administration, Documentation for Emissions of Greenhouse Gases in the U.S. 2005, DOE/EIA-0638 (2005), October 2007, Tables 6-1, 6-4, and 6-5.  (Non-biogenic carbon content and gross heat of combustion for motor gasoline and diesel (distillate fuel)). (2) U.S. Department of Energy, Office of Energy Efficiency and Renewable Energy, Alternative Fuels &amp; Advanced Vehicles Data Center, Fuel Properties web page (http://www.eere.energy.gov/afdc/fuels/properties.html). (Biodiesel gross heat of combustion). (3) Energy Information Administration, Annual Energy Review 2006, DOE/EIA-0384(2006), June 2007, Table A3, p. 361. (Gross heat of combustion for ethanol). (4) Stacy C. Davis and Susan W. Diegel, Transportation Energy Data Book, Edition 26, Oak Ridge National Laboratory, ORNL-6978, 2007, Table B.7 Tables  6.7 and B.4. (Density and gross heat of combustion of methanol.)</t>
    </r>
  </si>
  <si>
    <t>GreenCarCongress</t>
  </si>
  <si>
    <t>http://www.greencarcongress.com/2007/04/test_results_sh.html</t>
  </si>
  <si>
    <t>Fuel Properties</t>
  </si>
  <si>
    <t>Property</t>
  </si>
  <si>
    <t>1-Butanol</t>
  </si>
  <si>
    <t>Gravity</t>
  </si>
  <si>
    <r>
      <t>1</t>
    </r>
    <r>
      <rPr>
        <sz val="8"/>
        <color rgb="FF330066"/>
        <rFont val="Geneva"/>
        <family val="2"/>
      </rPr>
      <t xml:space="preserve"> Blend values of alcohol octane numbers and vapor pressure.</t>
    </r>
  </si>
  <si>
    <r>
      <t>2</t>
    </r>
    <r>
      <rPr>
        <sz val="8"/>
        <color rgb="FF330066"/>
        <rFont val="Geneva"/>
        <family val="2"/>
      </rPr>
      <t xml:space="preserve"> Summer / Winter specifications.</t>
    </r>
  </si>
  <si>
    <t>Sp. Gravity 60/60 F</t>
  </si>
  <si>
    <t>0.720 - 0.775</t>
  </si>
  <si>
    <t>Butanol</t>
  </si>
  <si>
    <t>Heating Value [MJ/l]</t>
  </si>
  <si>
    <t>21.1 - 21.7</t>
  </si>
  <si>
    <t>26.9 - 27.0</t>
  </si>
  <si>
    <t>32.2 - 32.9</t>
  </si>
  <si>
    <t>RON</t>
  </si>
  <si>
    <r>
      <t>106 - 130</t>
    </r>
    <r>
      <rPr>
        <vertAlign val="superscript"/>
        <sz val="8"/>
        <color rgb="FF333333"/>
        <rFont val="Geneva"/>
        <family val="2"/>
      </rPr>
      <t>1</t>
    </r>
  </si>
  <si>
    <t>MON</t>
  </si>
  <si>
    <r>
      <t>89 - 103</t>
    </r>
    <r>
      <rPr>
        <vertAlign val="superscript"/>
        <sz val="8"/>
        <color rgb="FF333333"/>
        <rFont val="Geneva"/>
        <family val="2"/>
      </rPr>
      <t>1</t>
    </r>
  </si>
  <si>
    <r>
      <t>80 - 81</t>
    </r>
    <r>
      <rPr>
        <vertAlign val="superscript"/>
        <sz val="8"/>
        <color rgb="FF333333"/>
        <rFont val="Geneva"/>
        <family val="2"/>
      </rPr>
      <t>1</t>
    </r>
  </si>
  <si>
    <t>Rvp@ 5% / 10% [psi]</t>
  </si>
  <si>
    <r>
      <t>31</t>
    </r>
    <r>
      <rPr>
        <vertAlign val="superscript"/>
        <sz val="8"/>
        <color rgb="FF333333"/>
        <rFont val="Geneva"/>
        <family val="2"/>
      </rPr>
      <t>1</t>
    </r>
    <r>
      <rPr>
        <sz val="8"/>
        <color rgb="FF333333"/>
        <rFont val="Geneva"/>
        <family val="2"/>
      </rPr>
      <t xml:space="preserve"> / 20</t>
    </r>
    <r>
      <rPr>
        <vertAlign val="superscript"/>
        <sz val="8"/>
        <color rgb="FF333333"/>
        <rFont val="Geneva"/>
        <family val="2"/>
      </rPr>
      <t>1</t>
    </r>
  </si>
  <si>
    <r>
      <t>6.4</t>
    </r>
    <r>
      <rPr>
        <vertAlign val="superscript"/>
        <sz val="8"/>
        <color rgb="FF333333"/>
        <rFont val="Geneva"/>
        <family val="2"/>
      </rPr>
      <t>1</t>
    </r>
    <r>
      <rPr>
        <sz val="8"/>
        <color rgb="FF333333"/>
        <rFont val="Geneva"/>
        <family val="2"/>
      </rPr>
      <t xml:space="preserve"> / 6.4</t>
    </r>
    <r>
      <rPr>
        <vertAlign val="superscript"/>
        <sz val="8"/>
        <color rgb="FF333333"/>
        <rFont val="Geneva"/>
        <family val="2"/>
      </rPr>
      <t>1</t>
    </r>
  </si>
  <si>
    <r>
      <t>&lt; 7.8 / 15</t>
    </r>
    <r>
      <rPr>
        <vertAlign val="superscript"/>
        <sz val="8"/>
        <color rgb="FF333333"/>
        <rFont val="Geneva"/>
        <family val="2"/>
      </rPr>
      <t>2</t>
    </r>
  </si>
  <si>
    <t>Oxygen [%wt]</t>
  </si>
  <si>
    <t>&lt; 2.7</t>
  </si>
  <si>
    <t>JRC Concawe</t>
  </si>
  <si>
    <t>http://ies.jrc.ec.europa.eu/uploads/media/V3.1%20TTW%20Report%2007102008.pdf</t>
  </si>
  <si>
    <t>LHV [MJ/kg]</t>
  </si>
  <si>
    <t>LHV [MJ/l]</t>
  </si>
  <si>
    <t>Wikipedia on ammonia</t>
  </si>
  <si>
    <t>http://en.wikipedia.org/wiki/Ammonia</t>
  </si>
  <si>
    <t>Ammonia</t>
  </si>
  <si>
    <t>Gaseous at ambient temperature, needs pressurized storage</t>
  </si>
  <si>
    <t>Zamifrescu (paper on ammonia)</t>
  </si>
  <si>
    <t>http://www.sciencedirect.com/science?_ob=ArticleURL&amp;_udi=B6TG3-4VT17PW-2&amp;_user=10&amp;_coverDate=05%2F31%2F2009&amp;_rdoc=1&amp;_fmt=high&amp;_orig=search&amp;_sort=d&amp;_docanchor=&amp;view=c&amp;_searchStrId=1220195358&amp;_rerunOrigin=google&amp;_acct=C000050221&amp;_version=1&amp;_urlVersion=0&amp;_us</t>
  </si>
  <si>
    <t>Neste oil</t>
  </si>
  <si>
    <t>http://www.nesteoil.com/binary.asp?GUID=5FEA6605-EB09-4EB4-894D-24C76663695D</t>
  </si>
  <si>
    <t>g CO2/MJ RME</t>
  </si>
  <si>
    <t>Neste Oil</t>
  </si>
  <si>
    <t>http://www.nesteoil.com/binary.asp?GUID=F5872716-F273-4162-919A-7A0C73A83E05</t>
  </si>
  <si>
    <t>MJ/L (NCV)</t>
  </si>
  <si>
    <t>density (kg/L)</t>
  </si>
  <si>
    <t>Conventional biodiesel</t>
  </si>
  <si>
    <t xml:space="preserve">Advanced ethanol </t>
  </si>
  <si>
    <t>ETP calorific value:</t>
  </si>
  <si>
    <t>Biogas</t>
  </si>
  <si>
    <t>Bio heavy oil</t>
  </si>
  <si>
    <t>Bioheavy</t>
  </si>
  <si>
    <t>MJ/l (LHV)</t>
  </si>
  <si>
    <t>Biomethane (units: MJ/Kg)</t>
  </si>
  <si>
    <t>Conversion factor lge to Vol</t>
  </si>
  <si>
    <t>Actual Volumes</t>
  </si>
  <si>
    <t>Conversion billion L to EJ</t>
  </si>
  <si>
    <t xml:space="preserve">      Ethanol - conventional</t>
  </si>
  <si>
    <t xml:space="preserve">      Ethanol - cane</t>
  </si>
  <si>
    <t xml:space="preserve">      Ethanol - advanced</t>
  </si>
  <si>
    <t xml:space="preserve">      Biodiesel - conventional</t>
  </si>
  <si>
    <t xml:space="preserve">      Biodiesel - advanced</t>
  </si>
  <si>
    <t xml:space="preserve">      Biogas</t>
  </si>
  <si>
    <t xml:space="preserve">      Biojet</t>
  </si>
  <si>
    <t xml:space="preserve">      Bioheavy</t>
  </si>
  <si>
    <t>Ethanol (all types)</t>
  </si>
  <si>
    <t>Biofuels Total (EJ)</t>
  </si>
  <si>
    <t>Conventional  ethanol (B L)</t>
  </si>
  <si>
    <t>Conventional biodiesel (B L)</t>
  </si>
  <si>
    <t>Conventional  ethanol (EJ)</t>
  </si>
  <si>
    <t>Conventional biodiesel (EJ)</t>
  </si>
  <si>
    <t>Conventional  ethanol 2DS (EJ)</t>
  </si>
  <si>
    <t>Conventional biodiesel 2 DS (EJ)</t>
  </si>
  <si>
    <t>2025 (2DS)</t>
  </si>
  <si>
    <t>2020 (2DS)</t>
  </si>
  <si>
    <t>Sources:</t>
  </si>
  <si>
    <t>Advanced ethanol (MTRMR)</t>
  </si>
  <si>
    <t>Renewable diesel (MTRMR)</t>
  </si>
  <si>
    <t>Total advanced ethanol (Bill L)</t>
  </si>
  <si>
    <t>Total renewable diesel (Bill L)</t>
  </si>
  <si>
    <t>Total advanced ethanol (EJ)</t>
  </si>
  <si>
    <t>Total renewable diesel (EJ)</t>
  </si>
  <si>
    <t>Jan - Nov</t>
  </si>
  <si>
    <t>November</t>
  </si>
  <si>
    <t>October</t>
  </si>
  <si>
    <t>September</t>
  </si>
  <si>
    <t>August</t>
  </si>
  <si>
    <t>July</t>
  </si>
  <si>
    <t>June</t>
  </si>
  <si>
    <t>May</t>
  </si>
  <si>
    <t>April</t>
  </si>
  <si>
    <t>March</t>
  </si>
  <si>
    <t>February</t>
  </si>
  <si>
    <t>January</t>
  </si>
  <si>
    <t>Ethanol share</t>
  </si>
  <si>
    <t>Gasoline C</t>
  </si>
  <si>
    <t>Gasoline A</t>
  </si>
  <si>
    <t>Hydrous</t>
  </si>
  <si>
    <t>Blended</t>
  </si>
  <si>
    <t>Total fleet</t>
  </si>
  <si>
    <t>Flex fuel</t>
  </si>
  <si>
    <t>% ethanol</t>
  </si>
  <si>
    <t>Advanced renewable diesel</t>
  </si>
  <si>
    <t>IEA (International Energy Agency), Medium-Term Oil Market Report 2016, OECD/IEA, Paris</t>
  </si>
  <si>
    <t>stacked area</t>
  </si>
  <si>
    <t>change the elements in red</t>
  </si>
  <si>
    <t>Chapter number</t>
  </si>
  <si>
    <t>X</t>
  </si>
  <si>
    <t>Figure number</t>
  </si>
  <si>
    <t>n</t>
  </si>
  <si>
    <t>Figure title</t>
  </si>
  <si>
    <t>figure title text</t>
  </si>
  <si>
    <t>key point</t>
  </si>
  <si>
    <t>key point text</t>
  </si>
  <si>
    <t>FIGURE</t>
  </si>
  <si>
    <t>Labels</t>
  </si>
  <si>
    <t>Primary y axis</t>
  </si>
  <si>
    <t>Primary x axis</t>
  </si>
  <si>
    <t>Bottom axis label</t>
  </si>
  <si>
    <t>Size</t>
  </si>
  <si>
    <t>Chart Height</t>
  </si>
  <si>
    <t>7.62 cm</t>
  </si>
  <si>
    <t>Chart Width</t>
  </si>
  <si>
    <t>21.59 cm</t>
  </si>
  <si>
    <t>Author notes</t>
  </si>
  <si>
    <t>leave your notes here</t>
  </si>
  <si>
    <t>DATA</t>
  </si>
  <si>
    <t>stacked area chart (left axis)</t>
  </si>
  <si>
    <t>Sugar cane ethanol</t>
  </si>
  <si>
    <t>Biojet</t>
  </si>
  <si>
    <t>Renewable diesel</t>
  </si>
  <si>
    <t>Advanced ethanol</t>
  </si>
  <si>
    <t>Volume (billion L)</t>
  </si>
  <si>
    <t>Non sugar cane ethanol</t>
  </si>
  <si>
    <t>Biomethane (kg/M^3)</t>
  </si>
  <si>
    <t>Biomethane (kg/L)</t>
  </si>
  <si>
    <t>MTOMR 2017 values PL 06.02.17</t>
  </si>
  <si>
    <t>Updated PL, 06.02.17</t>
  </si>
  <si>
    <t>Advanced biodiesel</t>
  </si>
  <si>
    <t>Biofuels:</t>
  </si>
  <si>
    <t>Global biofuels production</t>
  </si>
  <si>
    <t>Please reference all figures as: 'International Energy Agency (2017), Tracking Clean Energy Progress 2017, OECD/IEA, Paris'</t>
  </si>
  <si>
    <t>Section</t>
  </si>
  <si>
    <t>Key point</t>
  </si>
  <si>
    <t>See text</t>
  </si>
  <si>
    <t>Years/2DS</t>
  </si>
  <si>
    <t>Transport biofuels</t>
  </si>
  <si>
    <t>Energy content (EJ)</t>
  </si>
  <si>
    <t>Biofuels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</si>
</sst>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 #,##0.00_-;_-* &quot;-&quot;??_-;_-@_-"/>
    <numFmt numFmtId="164" formatCode="[$-409]mmm/yy;@"/>
    <numFmt numFmtId="165" formatCode="_(* #,##0.00_);_(* \(#,##0.00\);_(* &quot;-&quot;??_);_(@_)"/>
    <numFmt numFmtId="166" formatCode="0.0"/>
    <numFmt numFmtId="167" formatCode="0.0%"/>
    <numFmt numFmtId="168" formatCode="0.0000"/>
    <numFmt numFmtId="169" formatCode="0.000"/>
    <numFmt numFmtId="170" formatCode="&quot;$&quot;#,##0_);\(&quot;$&quot;#,##0\)"/>
    <numFmt numFmtId="171" formatCode="0.0_)"/>
    <numFmt numFmtId="172" formatCode="[$-409]d/mmm/yyyy;@"/>
    <numFmt numFmtId="173" formatCode="#,##0.0"/>
    <numFmt numFmtId="174" formatCode="???,???.00"/>
    <numFmt numFmtId="175" formatCode="#,##0.0_i"/>
  </numFmts>
  <fonts count="94">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sz val="11"/>
      <color indexed="8"/>
      <name val="Calibri"/>
      <family val="2"/>
    </font>
    <font>
      <b/>
      <sz val="12"/>
      <name val="Arial"/>
      <family val="2"/>
    </font>
    <font>
      <u/>
      <sz val="6"/>
      <color indexed="12"/>
      <name val="Arial"/>
      <family val="2"/>
    </font>
    <font>
      <i/>
      <sz val="10"/>
      <name val="Arial"/>
      <family val="2"/>
    </font>
    <font>
      <sz val="10"/>
      <color indexed="20"/>
      <name val="Arial"/>
      <family val="2"/>
    </font>
    <font>
      <b/>
      <sz val="10"/>
      <name val="Arial"/>
      <family val="2"/>
    </font>
    <font>
      <sz val="10"/>
      <color rgb="FF00B050"/>
      <name val="Arial"/>
      <family val="2"/>
    </font>
    <font>
      <sz val="10"/>
      <color rgb="FF0070C0"/>
      <name val="Arial"/>
      <family val="2"/>
    </font>
    <font>
      <sz val="10"/>
      <color rgb="FFC00000"/>
      <name val="Arial"/>
      <family val="2"/>
    </font>
    <font>
      <sz val="10"/>
      <color indexed="8"/>
      <name val="Trebuchet MS"/>
      <family val="2"/>
    </font>
    <font>
      <vertAlign val="superscript"/>
      <sz val="10"/>
      <color indexed="8"/>
      <name val="Trebuchet MS"/>
      <family val="2"/>
    </font>
    <font>
      <sz val="10"/>
      <color indexed="12"/>
      <name val="Arial"/>
      <family val="2"/>
    </font>
    <font>
      <sz val="10"/>
      <color rgb="FF002060"/>
      <name val="Arial"/>
      <family val="2"/>
    </font>
    <font>
      <sz val="10"/>
      <color theme="0" tint="-0.499984740745262"/>
      <name val="Arial"/>
      <family val="2"/>
    </font>
    <font>
      <sz val="10"/>
      <color indexed="8"/>
      <name val="Arial"/>
      <family val="2"/>
    </font>
    <font>
      <sz val="8"/>
      <name val="Arial"/>
      <family val="2"/>
    </font>
    <font>
      <sz val="10"/>
      <color theme="7" tint="-0.249977111117893"/>
      <name val="Arial"/>
      <family val="2"/>
    </font>
    <font>
      <sz val="10"/>
      <color rgb="FFFF0000"/>
      <name val="Arial"/>
      <family val="2"/>
    </font>
    <font>
      <b/>
      <vertAlign val="superscript"/>
      <sz val="8"/>
      <name val="Arial"/>
      <family val="2"/>
    </font>
    <font>
      <b/>
      <sz val="9.5"/>
      <name val="Arial"/>
      <family val="2"/>
    </font>
    <font>
      <b/>
      <vertAlign val="subscript"/>
      <sz val="9.5"/>
      <name val="Arial"/>
      <family val="2"/>
    </font>
    <font>
      <sz val="9.5"/>
      <name val="Arial"/>
      <family val="2"/>
    </font>
    <font>
      <vertAlign val="superscript"/>
      <sz val="8"/>
      <name val="Arial"/>
      <family val="2"/>
    </font>
    <font>
      <b/>
      <sz val="8"/>
      <color rgb="FF330066"/>
      <name val="Geneva"/>
      <family val="2"/>
    </font>
    <font>
      <vertAlign val="superscript"/>
      <sz val="8"/>
      <color rgb="FF330066"/>
      <name val="Geneva"/>
      <family val="2"/>
    </font>
    <font>
      <sz val="8"/>
      <color rgb="FF330066"/>
      <name val="Geneva"/>
      <family val="2"/>
    </font>
    <font>
      <sz val="8"/>
      <color rgb="FF333333"/>
      <name val="Geneva"/>
      <family val="2"/>
    </font>
    <font>
      <vertAlign val="superscript"/>
      <sz val="8"/>
      <color rgb="FF333333"/>
      <name val="Geneva"/>
      <family val="2"/>
    </font>
    <font>
      <b/>
      <sz val="12"/>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2"/>
      <name val="Arial"/>
      <family val="2"/>
    </font>
    <font>
      <sz val="12"/>
      <name val="宋体"/>
      <charset val="134"/>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sz val="8"/>
      <color indexed="12"/>
      <name val="Arial MT"/>
      <family val="2"/>
    </font>
    <font>
      <sz val="10"/>
      <name val="Courier"/>
      <family val="3"/>
    </font>
    <font>
      <sz val="8"/>
      <color indexed="8"/>
      <name val="Arial MT"/>
      <family val="2"/>
    </font>
    <font>
      <sz val="8"/>
      <color indexed="29"/>
      <name val="Arial MT"/>
      <family val="2"/>
    </font>
    <font>
      <b/>
      <sz val="8"/>
      <color indexed="14"/>
      <name val="Arial MT"/>
      <family val="2"/>
    </font>
    <font>
      <sz val="8"/>
      <color indexed="10"/>
      <name val="Arial MT"/>
      <family val="2"/>
    </font>
    <font>
      <b/>
      <sz val="14"/>
      <name val="CG Times (WN)"/>
      <family val="1"/>
    </font>
    <font>
      <sz val="8"/>
      <color indexed="15"/>
      <name val="Arial MT"/>
      <family val="2"/>
    </font>
    <font>
      <sz val="12"/>
      <color theme="1"/>
      <name val="Times New Roman"/>
      <family val="2"/>
    </font>
    <font>
      <sz val="12"/>
      <color indexed="8"/>
      <name val="Times New Roman"/>
      <family val="2"/>
    </font>
    <font>
      <b/>
      <sz val="12"/>
      <color theme="4"/>
      <name val="Calibri"/>
      <family val="2"/>
      <scheme val="minor"/>
    </font>
    <font>
      <b/>
      <sz val="9"/>
      <color theme="1"/>
      <name val="Calibri"/>
      <family val="2"/>
      <scheme val="minor"/>
    </font>
    <font>
      <sz val="9"/>
      <color theme="1"/>
      <name val="Calibri"/>
      <family val="2"/>
      <scheme val="minor"/>
    </font>
    <font>
      <u/>
      <sz val="11"/>
      <color theme="6"/>
      <name val="Calibri"/>
      <family val="2"/>
    </font>
    <font>
      <u/>
      <sz val="10"/>
      <color theme="4"/>
      <name val="Calibri"/>
      <family val="2"/>
      <scheme val="minor"/>
    </font>
    <font>
      <b/>
      <sz val="9"/>
      <color indexed="81"/>
      <name val="Tahoma"/>
      <family val="2"/>
    </font>
    <font>
      <sz val="9"/>
      <color indexed="81"/>
      <name val="Tahoma"/>
      <family val="2"/>
    </font>
    <font>
      <sz val="11"/>
      <name val="Calibri"/>
      <family val="2"/>
      <scheme val="minor"/>
    </font>
    <font>
      <b/>
      <sz val="11"/>
      <color rgb="FFFF0000"/>
      <name val="Calibri"/>
      <family val="2"/>
      <scheme val="minor"/>
    </font>
    <font>
      <sz val="11"/>
      <color rgb="FFFF0000"/>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1"/>
      <color theme="5"/>
      <name val="Calibri"/>
      <family val="2"/>
      <scheme val="minor"/>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color theme="5"/>
      <name val="Calibri"/>
      <family val="2"/>
      <scheme val="minor"/>
    </font>
    <font>
      <sz val="10"/>
      <color theme="1"/>
      <name val="Arial"/>
      <family val="2"/>
    </font>
    <font>
      <sz val="9"/>
      <name val="Arial"/>
      <family val="2"/>
    </font>
    <font>
      <sz val="8"/>
      <name val="Arial Narrow"/>
      <family val="2"/>
    </font>
    <font>
      <u/>
      <sz val="10"/>
      <color theme="10"/>
      <name val="Arial"/>
      <family val="2"/>
    </font>
    <font>
      <sz val="18"/>
      <color theme="0"/>
      <name val="Calibri"/>
      <family val="2"/>
      <scheme val="minor"/>
    </font>
    <font>
      <sz val="18"/>
      <color rgb="FFFF0000"/>
      <name val="Calibri"/>
      <family val="2"/>
      <scheme val="minor"/>
    </font>
    <font>
      <i/>
      <sz val="11"/>
      <color theme="1"/>
      <name val="Calibri"/>
      <family val="2"/>
      <scheme val="minor"/>
    </font>
    <font>
      <i/>
      <sz val="11"/>
      <name val="Calibri"/>
      <family val="2"/>
      <scheme val="minor"/>
    </font>
    <font>
      <b/>
      <sz val="18"/>
      <color theme="0"/>
      <name val="Calibri"/>
      <family val="2"/>
      <scheme val="minor"/>
    </font>
  </fonts>
  <fills count="62">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
      <patternFill patternType="solid">
        <fgColor rgb="FFE1E0F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9"/>
      </patternFill>
    </fill>
    <fill>
      <patternFill patternType="solid">
        <fgColor indexed="26"/>
        <bgColor indexed="26"/>
      </patternFill>
    </fill>
    <fill>
      <patternFill patternType="solid">
        <fgColor indexed="22"/>
        <bgColor indexed="22"/>
      </patternFill>
    </fill>
    <fill>
      <patternFill patternType="solid">
        <fgColor indexed="31"/>
        <bgColor indexed="31"/>
      </patternFill>
    </fill>
    <fill>
      <patternFill patternType="solid">
        <fgColor theme="0"/>
        <bgColor indexed="64"/>
      </patternFill>
    </fill>
    <fill>
      <patternFill patternType="solid">
        <fgColor indexed="47"/>
        <bgColor indexed="64"/>
      </patternFill>
    </fill>
    <fill>
      <patternFill patternType="solid">
        <fgColor theme="8"/>
        <bgColor indexed="64"/>
      </patternFill>
    </fill>
  </fills>
  <borders count="53">
    <border>
      <left/>
      <right/>
      <top/>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right/>
      <top style="thin">
        <color rgb="FFC0C0C0"/>
      </top>
      <bottom style="thin">
        <color rgb="FFC0C0C0"/>
      </bottom>
      <diagonal/>
    </border>
    <border>
      <left/>
      <right style="medium">
        <color rgb="FF000000"/>
      </right>
      <top style="thin">
        <color rgb="FFC0C0C0"/>
      </top>
      <bottom style="thin">
        <color rgb="FFC0C0C0"/>
      </bottom>
      <diagonal/>
    </border>
    <border>
      <left/>
      <right style="thin">
        <color rgb="FF000000"/>
      </right>
      <top style="thin">
        <color rgb="FFC0C0C0"/>
      </top>
      <bottom style="thin">
        <color rgb="FFC0C0C0"/>
      </bottom>
      <diagonal/>
    </border>
    <border>
      <left style="medium">
        <color indexed="23"/>
      </left>
      <right style="medium">
        <color indexed="23"/>
      </right>
      <top/>
      <bottom/>
      <diagonal/>
    </border>
    <border>
      <left style="medium">
        <color indexed="42"/>
      </left>
      <right style="medium">
        <color indexed="23"/>
      </right>
      <top/>
      <bottom style="medium">
        <color indexed="23"/>
      </bottom>
      <diagonal/>
    </border>
    <border>
      <left style="medium">
        <color indexed="42"/>
      </left>
      <right style="medium">
        <color indexed="23"/>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mediumDashed">
        <color rgb="FF336600"/>
      </left>
      <right/>
      <top style="mediumDashed">
        <color rgb="FF336600"/>
      </top>
      <bottom/>
      <diagonal/>
    </border>
    <border>
      <left/>
      <right/>
      <top style="mediumDashed">
        <color rgb="FF336600"/>
      </top>
      <bottom/>
      <diagonal/>
    </border>
    <border>
      <left/>
      <right style="mediumDashed">
        <color rgb="FF336600"/>
      </right>
      <top style="mediumDashed">
        <color rgb="FF336600"/>
      </top>
      <bottom/>
      <diagonal/>
    </border>
    <border>
      <left style="mediumDashed">
        <color rgb="FF336600"/>
      </left>
      <right/>
      <top/>
      <bottom/>
      <diagonal/>
    </border>
    <border>
      <left/>
      <right style="mediumDashed">
        <color rgb="FF336600"/>
      </right>
      <top/>
      <bottom/>
      <diagonal/>
    </border>
    <border>
      <left style="mediumDashed">
        <color rgb="FF336600"/>
      </left>
      <right/>
      <top/>
      <bottom style="mediumDashed">
        <color rgb="FF336600"/>
      </bottom>
      <diagonal/>
    </border>
    <border>
      <left/>
      <right/>
      <top/>
      <bottom style="mediumDashed">
        <color rgb="FF336600"/>
      </bottom>
      <diagonal/>
    </border>
    <border>
      <left/>
      <right style="mediumDashed">
        <color rgb="FF336600"/>
      </right>
      <top/>
      <bottom style="mediumDashed">
        <color rgb="FF336600"/>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8"/>
      </bottom>
      <diagonal/>
    </border>
    <border>
      <left/>
      <right style="thin">
        <color indexed="8"/>
      </right>
      <top/>
      <bottom/>
      <diagonal/>
    </border>
    <border>
      <left/>
      <right/>
      <top/>
      <bottom style="dashed">
        <color theme="0" tint="-0.24994659260841701"/>
      </bottom>
      <diagonal/>
    </border>
    <border>
      <left/>
      <right/>
      <top style="medium">
        <color theme="4"/>
      </top>
      <bottom/>
      <diagonal/>
    </border>
    <border>
      <left style="thick">
        <color theme="0"/>
      </left>
      <right style="thick">
        <color theme="0"/>
      </right>
      <top/>
      <bottom style="thin">
        <color theme="0" tint="-0.24994659260841701"/>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65">
    <xf numFmtId="0" fontId="0" fillId="0" borderId="0"/>
    <xf numFmtId="164" fontId="3" fillId="0" borderId="0"/>
    <xf numFmtId="165" fontId="4"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2" fillId="0" borderId="0"/>
    <xf numFmtId="0" fontId="4" fillId="0" borderId="0"/>
    <xf numFmtId="164" fontId="4" fillId="0" borderId="0"/>
    <xf numFmtId="0" fontId="2" fillId="0" borderId="0"/>
    <xf numFmtId="0" fontId="4" fillId="0" borderId="0"/>
    <xf numFmtId="0" fontId="2" fillId="0" borderId="0"/>
    <xf numFmtId="0" fontId="4" fillId="0" borderId="0"/>
    <xf numFmtId="9" fontId="4"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8" fillId="0" borderId="0" applyNumberFormat="0" applyFill="0" applyBorder="0" applyAlignment="0" applyProtection="0">
      <alignment vertical="top"/>
      <protection locked="0"/>
    </xf>
    <xf numFmtId="172" fontId="3" fillId="0" borderId="0"/>
    <xf numFmtId="43" fontId="4" fillId="0" borderId="0" applyFont="0" applyFill="0" applyBorder="0" applyAlignment="0" applyProtection="0"/>
    <xf numFmtId="172" fontId="5" fillId="0" borderId="0" applyNumberFormat="0" applyFill="0" applyBorder="0" applyAlignment="0" applyProtection="0">
      <alignment vertical="top"/>
      <protection locked="0"/>
    </xf>
    <xf numFmtId="172" fontId="37" fillId="22" borderId="0" applyNumberFormat="0" applyBorder="0" applyAlignment="0" applyProtection="0"/>
    <xf numFmtId="172" fontId="40" fillId="0" borderId="0">
      <alignment vertical="center"/>
    </xf>
    <xf numFmtId="172" fontId="35" fillId="20" borderId="0" applyNumberFormat="0" applyBorder="0" applyAlignment="0" applyProtection="0"/>
    <xf numFmtId="172" fontId="6" fillId="33" borderId="0" applyNumberFormat="0" applyBorder="0" applyAlignment="0" applyProtection="0"/>
    <xf numFmtId="172" fontId="6" fillId="34" borderId="0" applyNumberFormat="0" applyBorder="0" applyAlignment="0" applyProtection="0"/>
    <xf numFmtId="172" fontId="6" fillId="35" borderId="0" applyNumberFormat="0" applyBorder="0" applyAlignment="0" applyProtection="0"/>
    <xf numFmtId="172" fontId="6" fillId="36" borderId="0" applyNumberFormat="0" applyBorder="0" applyAlignment="0" applyProtection="0"/>
    <xf numFmtId="172" fontId="6" fillId="37" borderId="0" applyNumberFormat="0" applyBorder="0" applyAlignment="0" applyProtection="0"/>
    <xf numFmtId="172" fontId="6" fillId="38" borderId="0" applyNumberFormat="0" applyBorder="0" applyAlignment="0" applyProtection="0"/>
    <xf numFmtId="172" fontId="6" fillId="39" borderId="0" applyNumberFormat="0" applyBorder="0" applyAlignment="0" applyProtection="0"/>
    <xf numFmtId="172" fontId="6" fillId="40" borderId="0" applyNumberFormat="0" applyBorder="0" applyAlignment="0" applyProtection="0"/>
    <xf numFmtId="172" fontId="6" fillId="41" borderId="0" applyNumberFormat="0" applyBorder="0" applyAlignment="0" applyProtection="0"/>
    <xf numFmtId="172" fontId="6" fillId="36" borderId="0" applyNumberFormat="0" applyBorder="0" applyAlignment="0" applyProtection="0"/>
    <xf numFmtId="172" fontId="6" fillId="39" borderId="0" applyNumberFormat="0" applyBorder="0" applyAlignment="0" applyProtection="0"/>
    <xf numFmtId="172" fontId="6" fillId="42" borderId="0" applyNumberFormat="0" applyBorder="0" applyAlignment="0" applyProtection="0"/>
    <xf numFmtId="172" fontId="41" fillId="43" borderId="0" applyNumberFormat="0" applyBorder="0" applyAlignment="0" applyProtection="0"/>
    <xf numFmtId="172" fontId="41" fillId="40" borderId="0" applyNumberFormat="0" applyBorder="0" applyAlignment="0" applyProtection="0"/>
    <xf numFmtId="172" fontId="41" fillId="41" borderId="0" applyNumberFormat="0" applyBorder="0" applyAlignment="0" applyProtection="0"/>
    <xf numFmtId="172" fontId="41" fillId="44" borderId="0" applyNumberFormat="0" applyBorder="0" applyAlignment="0" applyProtection="0"/>
    <xf numFmtId="172" fontId="41" fillId="45" borderId="0" applyNumberFormat="0" applyBorder="0" applyAlignment="0" applyProtection="0"/>
    <xf numFmtId="172" fontId="41" fillId="46" borderId="0" applyNumberFormat="0" applyBorder="0" applyAlignment="0" applyProtection="0"/>
    <xf numFmtId="172" fontId="42" fillId="35" borderId="0" applyNumberFormat="0" applyBorder="0" applyAlignment="0" applyProtection="0"/>
    <xf numFmtId="172" fontId="43" fillId="47" borderId="30" applyNumberFormat="0" applyAlignment="0" applyProtection="0"/>
    <xf numFmtId="172" fontId="44" fillId="48" borderId="31" applyNumberFormat="0" applyAlignment="0" applyProtection="0"/>
    <xf numFmtId="172" fontId="45" fillId="0" borderId="32" applyNumberFormat="0" applyFill="0" applyAlignment="0" applyProtection="0"/>
    <xf numFmtId="172" fontId="41" fillId="49" borderId="0" applyNumberFormat="0" applyBorder="0" applyAlignment="0" applyProtection="0"/>
    <xf numFmtId="172" fontId="41" fillId="50" borderId="0" applyNumberFormat="0" applyBorder="0" applyAlignment="0" applyProtection="0"/>
    <xf numFmtId="172" fontId="41" fillId="51" borderId="0" applyNumberFormat="0" applyBorder="0" applyAlignment="0" applyProtection="0"/>
    <xf numFmtId="172" fontId="41" fillId="44" borderId="0" applyNumberFormat="0" applyBorder="0" applyAlignment="0" applyProtection="0"/>
    <xf numFmtId="172" fontId="41" fillId="45" borderId="0" applyNumberFormat="0" applyBorder="0" applyAlignment="0" applyProtection="0"/>
    <xf numFmtId="172" fontId="41" fillId="52" borderId="0" applyNumberFormat="0" applyBorder="0" applyAlignment="0" applyProtection="0"/>
    <xf numFmtId="172" fontId="46" fillId="38" borderId="30" applyNumberFormat="0" applyAlignment="0" applyProtection="0"/>
    <xf numFmtId="172" fontId="47" fillId="34" borderId="0" applyNumberFormat="0" applyBorder="0" applyAlignment="0" applyProtection="0"/>
    <xf numFmtId="172" fontId="48" fillId="53" borderId="0" applyNumberFormat="0" applyBorder="0" applyAlignment="0" applyProtection="0"/>
    <xf numFmtId="172" fontId="4" fillId="54" borderId="33" applyNumberFormat="0" applyFont="0" applyAlignment="0" applyProtection="0"/>
    <xf numFmtId="172" fontId="49" fillId="47" borderId="34" applyNumberFormat="0" applyAlignment="0" applyProtection="0"/>
    <xf numFmtId="172" fontId="50" fillId="0" borderId="0" applyNumberFormat="0" applyFill="0" applyBorder="0" applyAlignment="0" applyProtection="0"/>
    <xf numFmtId="172" fontId="51" fillId="0" borderId="0" applyNumberFormat="0" applyFill="0" applyBorder="0" applyAlignment="0" applyProtection="0"/>
    <xf numFmtId="172" fontId="52" fillId="0" borderId="0" applyNumberFormat="0" applyFill="0" applyBorder="0" applyAlignment="0" applyProtection="0"/>
    <xf numFmtId="172" fontId="53" fillId="0" borderId="35" applyNumberFormat="0" applyFill="0" applyAlignment="0" applyProtection="0"/>
    <xf numFmtId="172" fontId="54" fillId="0" borderId="36" applyNumberFormat="0" applyFill="0" applyAlignment="0" applyProtection="0"/>
    <xf numFmtId="172" fontId="55" fillId="0" borderId="37" applyNumberFormat="0" applyFill="0" applyAlignment="0" applyProtection="0"/>
    <xf numFmtId="172" fontId="55" fillId="0" borderId="0" applyNumberFormat="0" applyFill="0" applyBorder="0" applyAlignment="0" applyProtection="0"/>
    <xf numFmtId="172" fontId="38" fillId="23" borderId="0" applyNumberFormat="0" applyBorder="0" applyAlignment="0" applyProtection="0"/>
    <xf numFmtId="172" fontId="2" fillId="24" borderId="0" applyNumberFormat="0" applyBorder="0" applyAlignment="0" applyProtection="0"/>
    <xf numFmtId="172" fontId="2" fillId="25" borderId="0" applyNumberFormat="0" applyBorder="0" applyAlignment="0" applyProtection="0"/>
    <xf numFmtId="172" fontId="2" fillId="26" borderId="0" applyNumberFormat="0" applyBorder="0" applyAlignment="0" applyProtection="0"/>
    <xf numFmtId="172" fontId="2" fillId="27" borderId="0" applyNumberFormat="0" applyBorder="0" applyAlignment="0" applyProtection="0"/>
    <xf numFmtId="172" fontId="2" fillId="28" borderId="0" applyNumberFormat="0" applyBorder="0" applyAlignment="0" applyProtection="0"/>
    <xf numFmtId="172" fontId="2" fillId="29" borderId="0" applyNumberFormat="0" applyBorder="0" applyAlignment="0" applyProtection="0"/>
    <xf numFmtId="172" fontId="2" fillId="30" borderId="0" applyNumberFormat="0" applyBorder="0" applyAlignment="0" applyProtection="0"/>
    <xf numFmtId="172" fontId="2" fillId="31" borderId="0" applyNumberFormat="0" applyBorder="0" applyAlignment="0" applyProtection="0"/>
    <xf numFmtId="172" fontId="4" fillId="0" borderId="0"/>
    <xf numFmtId="172" fontId="36" fillId="21" borderId="0" applyNumberFormat="0" applyBorder="0" applyAlignment="0" applyProtection="0"/>
    <xf numFmtId="172" fontId="4" fillId="0" borderId="0"/>
    <xf numFmtId="172" fontId="2" fillId="0" borderId="0"/>
    <xf numFmtId="172" fontId="56" fillId="0" borderId="0" applyNumberFormat="0" applyFill="0" applyBorder="0" applyAlignment="0" applyProtection="0">
      <alignment vertical="top"/>
      <protection locked="0"/>
    </xf>
    <xf numFmtId="3" fontId="4" fillId="0" borderId="0" applyFont="0" applyFill="0" applyBorder="0" applyAlignment="0" applyProtection="0"/>
    <xf numFmtId="170" fontId="4" fillId="0" borderId="0" applyFont="0" applyFill="0" applyBorder="0" applyAlignment="0" applyProtection="0"/>
    <xf numFmtId="172" fontId="4" fillId="0" borderId="0" applyFont="0" applyFill="0" applyBorder="0" applyAlignment="0" applyProtection="0"/>
    <xf numFmtId="2" fontId="4" fillId="0" borderId="0" applyFont="0" applyFill="0" applyBorder="0" applyAlignment="0" applyProtection="0"/>
    <xf numFmtId="172" fontId="57" fillId="0" borderId="0"/>
    <xf numFmtId="172" fontId="58" fillId="0" borderId="0">
      <alignment horizontal="centerContinuous"/>
    </xf>
    <xf numFmtId="172" fontId="58" fillId="0" borderId="0"/>
    <xf numFmtId="37" fontId="58" fillId="55" borderId="0"/>
    <xf numFmtId="172" fontId="59" fillId="56" borderId="0"/>
    <xf numFmtId="172" fontId="58" fillId="0" borderId="38"/>
    <xf numFmtId="171" fontId="58" fillId="57" borderId="0">
      <alignment horizontal="right"/>
    </xf>
    <xf numFmtId="172" fontId="58" fillId="0" borderId="29"/>
    <xf numFmtId="39" fontId="58" fillId="56" borderId="0"/>
    <xf numFmtId="172" fontId="60" fillId="0" borderId="0">
      <alignment vertical="center"/>
    </xf>
    <xf numFmtId="172" fontId="61" fillId="0" borderId="0"/>
    <xf numFmtId="172" fontId="62" fillId="0" borderId="0"/>
    <xf numFmtId="172" fontId="62" fillId="0" borderId="0"/>
    <xf numFmtId="171" fontId="58" fillId="0" borderId="39">
      <alignment horizontal="right"/>
    </xf>
    <xf numFmtId="172" fontId="58" fillId="0" borderId="0">
      <alignment horizontal="centerContinuous"/>
    </xf>
    <xf numFmtId="172" fontId="63" fillId="0" borderId="0">
      <alignment horizontal="centerContinuous"/>
    </xf>
    <xf numFmtId="172" fontId="64" fillId="0" borderId="0">
      <alignment horizontal="right"/>
    </xf>
    <xf numFmtId="172" fontId="58" fillId="0" borderId="0">
      <alignment horizontal="centerContinuous"/>
    </xf>
    <xf numFmtId="39" fontId="58" fillId="58" borderId="0"/>
    <xf numFmtId="43" fontId="4" fillId="0" borderId="0" applyFont="0" applyFill="0" applyBorder="0" applyAlignment="0" applyProtection="0"/>
    <xf numFmtId="172" fontId="39" fillId="0" borderId="0"/>
    <xf numFmtId="172" fontId="2" fillId="0" borderId="0"/>
    <xf numFmtId="172" fontId="39" fillId="0" borderId="0"/>
    <xf numFmtId="172" fontId="39" fillId="0" borderId="0"/>
    <xf numFmtId="172" fontId="39" fillId="0" borderId="0"/>
    <xf numFmtId="172" fontId="39" fillId="0" borderId="0"/>
    <xf numFmtId="172" fontId="39" fillId="0" borderId="0"/>
    <xf numFmtId="172" fontId="2" fillId="0" borderId="0"/>
    <xf numFmtId="172" fontId="65" fillId="0" borderId="0"/>
    <xf numFmtId="172" fontId="2" fillId="0" borderId="0"/>
    <xf numFmtId="172" fontId="2" fillId="0" borderId="0"/>
    <xf numFmtId="43" fontId="6" fillId="0" borderId="0" applyFont="0" applyFill="0" applyBorder="0" applyAlignment="0" applyProtection="0"/>
    <xf numFmtId="172" fontId="38" fillId="32" borderId="0" applyNumberFormat="0" applyBorder="0" applyAlignment="0" applyProtection="0"/>
    <xf numFmtId="172" fontId="39" fillId="0" borderId="0"/>
    <xf numFmtId="172" fontId="66" fillId="0" borderId="0"/>
    <xf numFmtId="172" fontId="66" fillId="0" borderId="0"/>
    <xf numFmtId="172" fontId="4" fillId="0" borderId="0"/>
    <xf numFmtId="172" fontId="67" fillId="0" borderId="0" applyNumberFormat="0" applyProtection="0">
      <alignment horizontal="left"/>
    </xf>
    <xf numFmtId="172" fontId="68" fillId="0" borderId="28" applyNumberFormat="0" applyProtection="0">
      <alignment wrapText="1"/>
    </xf>
    <xf numFmtId="172" fontId="2" fillId="0" borderId="0"/>
    <xf numFmtId="43" fontId="2" fillId="0" borderId="0" applyFont="0" applyFill="0" applyBorder="0" applyAlignment="0" applyProtection="0"/>
    <xf numFmtId="9" fontId="2" fillId="0" borderId="0" applyFont="0" applyFill="0" applyBorder="0" applyAlignment="0" applyProtection="0"/>
    <xf numFmtId="172" fontId="4" fillId="0" borderId="0"/>
    <xf numFmtId="172" fontId="2" fillId="0" borderId="0"/>
    <xf numFmtId="43" fontId="2" fillId="0" borderId="0" applyFont="0" applyFill="0" applyBorder="0" applyAlignment="0" applyProtection="0"/>
    <xf numFmtId="172" fontId="2" fillId="0" borderId="0"/>
    <xf numFmtId="43" fontId="2" fillId="0" borderId="0" applyFont="0" applyFill="0" applyBorder="0" applyAlignment="0" applyProtection="0"/>
    <xf numFmtId="172" fontId="4" fillId="0" borderId="0"/>
    <xf numFmtId="172" fontId="5" fillId="0" borderId="0" applyNumberFormat="0" applyFill="0" applyBorder="0" applyAlignment="0" applyProtection="0">
      <alignment vertical="top"/>
      <protection locked="0"/>
    </xf>
    <xf numFmtId="172" fontId="2" fillId="0" borderId="0"/>
    <xf numFmtId="172" fontId="69" fillId="0" borderId="40" applyNumberFormat="0" applyFont="0" applyProtection="0">
      <alignment wrapText="1"/>
    </xf>
    <xf numFmtId="43" fontId="2" fillId="0" borderId="0" applyFont="0" applyFill="0" applyBorder="0" applyAlignment="0" applyProtection="0"/>
    <xf numFmtId="172" fontId="70" fillId="0" borderId="0" applyNumberFormat="0" applyFill="0" applyBorder="0" applyAlignment="0" applyProtection="0">
      <alignment vertical="top"/>
      <protection locked="0"/>
    </xf>
    <xf numFmtId="172" fontId="69" fillId="0" borderId="0" applyNumberFormat="0" applyFill="0" applyBorder="0" applyAlignment="0" applyProtection="0"/>
    <xf numFmtId="172" fontId="69" fillId="0" borderId="0" applyNumberFormat="0" applyProtection="0">
      <alignment vertical="top" wrapText="1"/>
    </xf>
    <xf numFmtId="172" fontId="69" fillId="0" borderId="41" applyNumberFormat="0" applyProtection="0">
      <alignment vertical="top" wrapText="1"/>
    </xf>
    <xf numFmtId="172" fontId="68" fillId="0" borderId="28" applyNumberFormat="0" applyProtection="0">
      <alignment wrapText="1"/>
    </xf>
    <xf numFmtId="172" fontId="68" fillId="0" borderId="42" applyNumberFormat="0" applyProtection="0">
      <alignment horizontal="left" wrapText="1"/>
    </xf>
    <xf numFmtId="172" fontId="71" fillId="0" borderId="0" applyNumberFormat="0" applyFill="0" applyBorder="0" applyAlignment="0" applyProtection="0">
      <alignment vertical="top"/>
      <protection locked="0"/>
    </xf>
    <xf numFmtId="172" fontId="68" fillId="0" borderId="43" applyNumberFormat="0" applyProtection="0">
      <alignment wrapText="1"/>
    </xf>
    <xf numFmtId="172" fontId="69" fillId="0" borderId="44" applyNumberFormat="0" applyFont="0" applyFill="0" applyProtection="0">
      <alignment wrapText="1"/>
    </xf>
    <xf numFmtId="172" fontId="68" fillId="0" borderId="45" applyNumberFormat="0" applyFill="0" applyProtection="0">
      <alignment wrapText="1"/>
    </xf>
    <xf numFmtId="172" fontId="67" fillId="0" borderId="0" applyNumberFormat="0" applyProtection="0">
      <alignment horizontal="left"/>
    </xf>
    <xf numFmtId="172" fontId="4" fillId="0" borderId="0"/>
    <xf numFmtId="172" fontId="5" fillId="0" borderId="0" applyNumberFormat="0" applyFill="0" applyBorder="0" applyAlignment="0" applyProtection="0">
      <alignment vertical="top"/>
      <protection locked="0"/>
    </xf>
    <xf numFmtId="172" fontId="4" fillId="0" borderId="0"/>
    <xf numFmtId="172" fontId="5" fillId="0" borderId="0" applyNumberFormat="0" applyFill="0" applyBorder="0" applyAlignment="0" applyProtection="0">
      <alignment vertical="top"/>
      <protection locked="0"/>
    </xf>
    <xf numFmtId="0" fontId="4" fillId="0" borderId="0"/>
    <xf numFmtId="0" fontId="5" fillId="0" borderId="0" applyNumberFormat="0" applyFill="0" applyBorder="0" applyAlignment="0" applyProtection="0">
      <alignment vertical="top"/>
      <protection locked="0"/>
    </xf>
    <xf numFmtId="0" fontId="3" fillId="0" borderId="0"/>
    <xf numFmtId="9" fontId="2" fillId="0" borderId="0" applyFont="0" applyFill="0" applyBorder="0" applyAlignment="0" applyProtection="0"/>
    <xf numFmtId="9" fontId="3" fillId="0" borderId="0" applyFont="0" applyFill="0" applyBorder="0" applyAlignment="0" applyProtection="0"/>
    <xf numFmtId="0" fontId="85" fillId="0" borderId="0"/>
    <xf numFmtId="174" fontId="86" fillId="0" borderId="0" applyNumberFormat="0" applyProtection="0">
      <alignment horizontal="center" vertical="center"/>
    </xf>
    <xf numFmtId="9" fontId="85" fillId="0" borderId="0" applyFont="0" applyFill="0" applyBorder="0" applyAlignment="0" applyProtection="0"/>
    <xf numFmtId="0" fontId="3" fillId="60" borderId="0" applyNumberFormat="0" applyFont="0" applyBorder="0" applyAlignment="0"/>
    <xf numFmtId="175" fontId="87" fillId="0" borderId="0" applyFill="0" applyBorder="0" applyProtection="0">
      <alignment horizontal="right"/>
    </xf>
    <xf numFmtId="9" fontId="3" fillId="0" borderId="0" applyFont="0" applyFill="0" applyBorder="0" applyAlignment="0" applyProtection="0"/>
    <xf numFmtId="0" fontId="2" fillId="0" borderId="0"/>
    <xf numFmtId="0" fontId="88" fillId="0" borderId="0" applyNumberFormat="0" applyFill="0" applyBorder="0" applyAlignment="0" applyProtection="0"/>
  </cellStyleXfs>
  <cellXfs count="228">
    <xf numFmtId="0" fontId="0" fillId="0" borderId="0" xfId="0"/>
    <xf numFmtId="1" fontId="0" fillId="0" borderId="0" xfId="0" applyNumberFormat="1"/>
    <xf numFmtId="0" fontId="1" fillId="0" borderId="0" xfId="0" applyFont="1"/>
    <xf numFmtId="164" fontId="3" fillId="0" borderId="0" xfId="1"/>
    <xf numFmtId="0" fontId="4" fillId="0" borderId="0" xfId="13" applyNumberFormat="1"/>
    <xf numFmtId="0" fontId="7" fillId="0" borderId="0" xfId="13" applyNumberFormat="1" applyFont="1"/>
    <xf numFmtId="0" fontId="3" fillId="0" borderId="0" xfId="1" applyNumberFormat="1"/>
    <xf numFmtId="0" fontId="4" fillId="0" borderId="0" xfId="13" applyNumberFormat="1" applyAlignment="1">
      <alignment wrapText="1"/>
    </xf>
    <xf numFmtId="0" fontId="3" fillId="0" borderId="0" xfId="1" applyNumberFormat="1" applyAlignment="1">
      <alignment wrapText="1"/>
    </xf>
    <xf numFmtId="0" fontId="4" fillId="0" borderId="0" xfId="13" applyNumberFormat="1" applyBorder="1"/>
    <xf numFmtId="0" fontId="8" fillId="0" borderId="0" xfId="20" applyNumberFormat="1" applyBorder="1" applyAlignment="1" applyProtection="1"/>
    <xf numFmtId="0" fontId="9" fillId="0" borderId="0" xfId="13" applyNumberFormat="1" applyFont="1" applyBorder="1"/>
    <xf numFmtId="0" fontId="5" fillId="0" borderId="0" xfId="20" applyNumberFormat="1" applyFont="1" applyAlignment="1" applyProtection="1"/>
    <xf numFmtId="1" fontId="4" fillId="0" borderId="0" xfId="13" applyNumberFormat="1"/>
    <xf numFmtId="166" fontId="4" fillId="0" borderId="0" xfId="1" applyNumberFormat="1" applyFont="1" applyFill="1"/>
    <xf numFmtId="2" fontId="3" fillId="0" borderId="0" xfId="1" applyNumberFormat="1" applyFill="1"/>
    <xf numFmtId="2" fontId="10" fillId="0" borderId="0" xfId="1" applyNumberFormat="1" applyFont="1" applyFill="1"/>
    <xf numFmtId="0" fontId="3" fillId="0" borderId="0" xfId="1" applyNumberFormat="1" applyFill="1"/>
    <xf numFmtId="0" fontId="4" fillId="0" borderId="0" xfId="13" applyNumberFormat="1" applyAlignment="1">
      <alignment horizontal="right"/>
    </xf>
    <xf numFmtId="2" fontId="4" fillId="0" borderId="0" xfId="13" applyNumberFormat="1"/>
    <xf numFmtId="0" fontId="4" fillId="0" borderId="0" xfId="13" applyNumberFormat="1" applyFill="1"/>
    <xf numFmtId="0" fontId="11" fillId="0" borderId="0" xfId="13" applyNumberFormat="1" applyFont="1"/>
    <xf numFmtId="0" fontId="4" fillId="0" borderId="0" xfId="8" applyNumberFormat="1"/>
    <xf numFmtId="0" fontId="11" fillId="0" borderId="0" xfId="13" applyNumberFormat="1" applyFont="1" applyFill="1" applyAlignment="1"/>
    <xf numFmtId="0" fontId="4" fillId="0" borderId="0" xfId="13" applyNumberFormat="1" applyAlignment="1"/>
    <xf numFmtId="0" fontId="4" fillId="2" borderId="0" xfId="13" applyNumberFormat="1" applyFont="1" applyFill="1"/>
    <xf numFmtId="0" fontId="4" fillId="3" borderId="0" xfId="13" applyNumberFormat="1" applyFill="1"/>
    <xf numFmtId="0" fontId="4" fillId="4" borderId="0" xfId="13" applyNumberFormat="1" applyFill="1"/>
    <xf numFmtId="0" fontId="4" fillId="5" borderId="0" xfId="13" applyNumberFormat="1" applyFill="1"/>
    <xf numFmtId="0" fontId="4" fillId="6" borderId="0" xfId="13" applyNumberFormat="1" applyFill="1"/>
    <xf numFmtId="0" fontId="4" fillId="7" borderId="0" xfId="13" applyNumberFormat="1" applyFill="1"/>
    <xf numFmtId="0" fontId="4" fillId="0" borderId="0" xfId="13" applyNumberFormat="1" applyFont="1" applyFill="1"/>
    <xf numFmtId="0" fontId="4" fillId="8" borderId="0" xfId="13" applyNumberFormat="1" applyFill="1"/>
    <xf numFmtId="0" fontId="4" fillId="0" borderId="0" xfId="1" applyNumberFormat="1" applyFont="1" applyFill="1"/>
    <xf numFmtId="0" fontId="4" fillId="9" borderId="0" xfId="13" applyNumberFormat="1" applyFont="1" applyFill="1"/>
    <xf numFmtId="2" fontId="4" fillId="0" borderId="0" xfId="13" applyNumberFormat="1" applyFont="1"/>
    <xf numFmtId="0" fontId="4" fillId="0" borderId="0" xfId="1" applyNumberFormat="1" applyFont="1"/>
    <xf numFmtId="0" fontId="4" fillId="10" borderId="0" xfId="13" applyNumberFormat="1" applyFill="1"/>
    <xf numFmtId="166" fontId="12" fillId="0" borderId="0" xfId="13" applyNumberFormat="1" applyFont="1"/>
    <xf numFmtId="2" fontId="13" fillId="0" borderId="0" xfId="13" applyNumberFormat="1" applyFont="1"/>
    <xf numFmtId="2" fontId="12" fillId="0" borderId="0" xfId="13" applyNumberFormat="1" applyFont="1"/>
    <xf numFmtId="0" fontId="11" fillId="0" borderId="0" xfId="13" applyNumberFormat="1" applyFont="1" applyAlignment="1"/>
    <xf numFmtId="0" fontId="4" fillId="0" borderId="0" xfId="13" applyNumberFormat="1" applyFont="1"/>
    <xf numFmtId="2" fontId="4" fillId="11" borderId="0" xfId="13" applyNumberFormat="1" applyFill="1"/>
    <xf numFmtId="2" fontId="4" fillId="3" borderId="0" xfId="13" applyNumberFormat="1" applyFill="1"/>
    <xf numFmtId="2" fontId="4" fillId="6" borderId="0" xfId="13" applyNumberFormat="1" applyFill="1"/>
    <xf numFmtId="2" fontId="4" fillId="12" borderId="0" xfId="13" applyNumberFormat="1" applyFill="1"/>
    <xf numFmtId="0" fontId="4" fillId="12" borderId="0" xfId="13" applyNumberFormat="1" applyFill="1"/>
    <xf numFmtId="0" fontId="4" fillId="9" borderId="0" xfId="13" applyNumberFormat="1" applyFill="1"/>
    <xf numFmtId="0" fontId="4" fillId="0" borderId="0" xfId="13" applyNumberFormat="1" applyFont="1" applyFill="1" applyAlignment="1"/>
    <xf numFmtId="166" fontId="4" fillId="0" borderId="0" xfId="13" applyNumberFormat="1"/>
    <xf numFmtId="0" fontId="4" fillId="13" borderId="0" xfId="13" applyNumberFormat="1" applyFill="1"/>
    <xf numFmtId="166" fontId="4" fillId="7" borderId="0" xfId="13" applyNumberFormat="1" applyFill="1"/>
    <xf numFmtId="166" fontId="4" fillId="6" borderId="0" xfId="13" applyNumberFormat="1" applyFill="1"/>
    <xf numFmtId="166" fontId="4" fillId="3" borderId="0" xfId="13" applyNumberFormat="1" applyFill="1"/>
    <xf numFmtId="166" fontId="4" fillId="0" borderId="0" xfId="13" applyNumberFormat="1" applyFill="1"/>
    <xf numFmtId="166" fontId="4" fillId="9" borderId="0" xfId="13" applyNumberFormat="1" applyFill="1"/>
    <xf numFmtId="166" fontId="13" fillId="0" borderId="0" xfId="13" applyNumberFormat="1" applyFont="1"/>
    <xf numFmtId="166" fontId="13" fillId="0" borderId="0" xfId="13" applyNumberFormat="1" applyFont="1" applyFill="1"/>
    <xf numFmtId="0" fontId="4" fillId="2" borderId="0" xfId="1" applyNumberFormat="1" applyFont="1" applyFill="1"/>
    <xf numFmtId="2" fontId="4" fillId="2" borderId="0" xfId="1" applyNumberFormat="1" applyFont="1" applyFill="1"/>
    <xf numFmtId="166" fontId="4" fillId="14" borderId="0" xfId="13" applyNumberFormat="1" applyFill="1"/>
    <xf numFmtId="2" fontId="4" fillId="0" borderId="0" xfId="1" applyNumberFormat="1" applyFont="1" applyFill="1"/>
    <xf numFmtId="166" fontId="4" fillId="15" borderId="0" xfId="13" applyNumberFormat="1" applyFill="1"/>
    <xf numFmtId="0" fontId="13" fillId="0" borderId="0" xfId="13" applyNumberFormat="1" applyFont="1"/>
    <xf numFmtId="0" fontId="14" fillId="16" borderId="0" xfId="1" applyNumberFormat="1" applyFont="1" applyFill="1"/>
    <xf numFmtId="0" fontId="4" fillId="2" borderId="0" xfId="13" applyNumberFormat="1" applyFill="1"/>
    <xf numFmtId="0" fontId="3" fillId="2" borderId="0" xfId="1" applyNumberFormat="1" applyFill="1"/>
    <xf numFmtId="0" fontId="3" fillId="13" borderId="0" xfId="1" applyNumberFormat="1" applyFill="1"/>
    <xf numFmtId="0" fontId="4" fillId="11" borderId="0" xfId="13" applyNumberFormat="1" applyFill="1"/>
    <xf numFmtId="0" fontId="3" fillId="11" borderId="0" xfId="1" applyNumberFormat="1" applyFill="1"/>
    <xf numFmtId="0" fontId="3" fillId="3" borderId="0" xfId="1" applyNumberFormat="1" applyFill="1"/>
    <xf numFmtId="0" fontId="3" fillId="10" borderId="0" xfId="1" applyNumberFormat="1" applyFill="1"/>
    <xf numFmtId="0" fontId="4" fillId="15" borderId="0" xfId="13" applyNumberFormat="1" applyFill="1"/>
    <xf numFmtId="0" fontId="4" fillId="14" borderId="0" xfId="13" applyNumberFormat="1" applyFill="1"/>
    <xf numFmtId="0" fontId="3" fillId="17" borderId="1" xfId="1" applyNumberFormat="1" applyFill="1" applyBorder="1" applyAlignment="1">
      <alignment wrapText="1"/>
    </xf>
    <xf numFmtId="0" fontId="4" fillId="17" borderId="1" xfId="1" applyNumberFormat="1" applyFont="1" applyFill="1" applyBorder="1" applyAlignment="1">
      <alignment wrapText="1"/>
    </xf>
    <xf numFmtId="0" fontId="4" fillId="17" borderId="1" xfId="1" applyNumberFormat="1" applyFont="1" applyFill="1" applyBorder="1" applyAlignment="1">
      <alignment horizontal="center" wrapText="1"/>
    </xf>
    <xf numFmtId="0" fontId="4" fillId="17" borderId="2" xfId="1" applyNumberFormat="1" applyFont="1" applyFill="1" applyBorder="1" applyAlignment="1">
      <alignment horizontal="center" wrapText="1"/>
    </xf>
    <xf numFmtId="0" fontId="4" fillId="17" borderId="3" xfId="1" applyNumberFormat="1" applyFont="1" applyFill="1" applyBorder="1" applyAlignment="1">
      <alignment horizontal="center" wrapText="1"/>
    </xf>
    <xf numFmtId="0" fontId="4" fillId="17" borderId="4" xfId="1" applyNumberFormat="1" applyFont="1" applyFill="1" applyBorder="1" applyAlignment="1">
      <alignment horizontal="center" wrapText="1"/>
    </xf>
    <xf numFmtId="0" fontId="4" fillId="17" borderId="3" xfId="1" applyNumberFormat="1" applyFont="1" applyFill="1" applyBorder="1" applyAlignment="1">
      <alignment wrapText="1"/>
    </xf>
    <xf numFmtId="0" fontId="4" fillId="17" borderId="5" xfId="1" applyNumberFormat="1" applyFont="1" applyFill="1" applyBorder="1" applyAlignment="1">
      <alignment horizontal="center" wrapText="1"/>
    </xf>
    <xf numFmtId="0" fontId="4" fillId="17" borderId="6" xfId="1" applyNumberFormat="1" applyFont="1" applyFill="1" applyBorder="1" applyAlignment="1">
      <alignment horizontal="center" wrapText="1"/>
    </xf>
    <xf numFmtId="0" fontId="11" fillId="0" borderId="0" xfId="8" applyNumberFormat="1" applyFont="1"/>
    <xf numFmtId="0" fontId="5" fillId="0" borderId="0" xfId="5" applyNumberFormat="1" applyAlignment="1" applyProtection="1"/>
    <xf numFmtId="0" fontId="15" fillId="0" borderId="0" xfId="8" applyNumberFormat="1" applyFont="1"/>
    <xf numFmtId="0" fontId="15" fillId="0" borderId="7" xfId="8" applyNumberFormat="1" applyFont="1" applyBorder="1" applyAlignment="1">
      <alignment horizontal="left"/>
    </xf>
    <xf numFmtId="0" fontId="15" fillId="0" borderId="7" xfId="8" applyNumberFormat="1" applyFont="1" applyBorder="1" applyAlignment="1">
      <alignment horizontal="left" indent="1"/>
    </xf>
    <xf numFmtId="0" fontId="4" fillId="0" borderId="0" xfId="8" applyNumberFormat="1" applyFont="1"/>
    <xf numFmtId="0" fontId="15" fillId="0" borderId="8" xfId="8" applyNumberFormat="1" applyFont="1" applyBorder="1" applyAlignment="1">
      <alignment horizontal="left" indent="2"/>
    </xf>
    <xf numFmtId="0" fontId="15" fillId="0" borderId="9" xfId="8" applyNumberFormat="1" applyFont="1" applyBorder="1" applyAlignment="1">
      <alignment horizontal="left" indent="2"/>
    </xf>
    <xf numFmtId="0" fontId="17" fillId="0" borderId="0" xfId="8" applyNumberFormat="1" applyFont="1"/>
    <xf numFmtId="2" fontId="4" fillId="0" borderId="0" xfId="8" applyNumberFormat="1" applyFont="1"/>
    <xf numFmtId="166" fontId="4" fillId="0" borderId="0" xfId="8" applyNumberFormat="1"/>
    <xf numFmtId="0" fontId="18" fillId="0" borderId="0" xfId="8" applyNumberFormat="1" applyFont="1"/>
    <xf numFmtId="0" fontId="19" fillId="0" borderId="0" xfId="8" applyNumberFormat="1" applyFont="1"/>
    <xf numFmtId="0" fontId="20" fillId="0" borderId="0" xfId="8" applyNumberFormat="1" applyFont="1"/>
    <xf numFmtId="0" fontId="4" fillId="0" borderId="0" xfId="1" applyNumberFormat="1" applyFont="1" applyBorder="1" applyAlignment="1">
      <alignment wrapText="1"/>
    </xf>
    <xf numFmtId="0" fontId="21" fillId="0" borderId="0" xfId="1" applyNumberFormat="1" applyFont="1" applyBorder="1" applyAlignment="1">
      <alignment horizontal="center" wrapText="1"/>
    </xf>
    <xf numFmtId="0" fontId="4" fillId="0" borderId="0" xfId="8" applyNumberFormat="1" applyBorder="1"/>
    <xf numFmtId="0" fontId="22" fillId="0" borderId="0" xfId="8" applyNumberFormat="1" applyFont="1"/>
    <xf numFmtId="0" fontId="4" fillId="0" borderId="0" xfId="14" applyNumberFormat="1" applyFont="1"/>
    <xf numFmtId="0" fontId="5" fillId="0" borderId="0" xfId="6" applyAlignment="1" applyProtection="1"/>
    <xf numFmtId="0" fontId="4" fillId="0" borderId="0" xfId="11"/>
    <xf numFmtId="166" fontId="4" fillId="0" borderId="0" xfId="11" applyNumberFormat="1"/>
    <xf numFmtId="2" fontId="4" fillId="0" borderId="0" xfId="11" applyNumberFormat="1"/>
    <xf numFmtId="2" fontId="23" fillId="0" borderId="0" xfId="11" applyNumberFormat="1" applyFont="1"/>
    <xf numFmtId="166" fontId="23" fillId="0" borderId="0" xfId="11" applyNumberFormat="1" applyFont="1"/>
    <xf numFmtId="0" fontId="11" fillId="0" borderId="0" xfId="11" applyFont="1"/>
    <xf numFmtId="0" fontId="8" fillId="0" borderId="0" xfId="20" applyNumberFormat="1" applyAlignment="1" applyProtection="1"/>
    <xf numFmtId="0" fontId="11" fillId="0" borderId="0" xfId="1" applyNumberFormat="1" applyFont="1"/>
    <xf numFmtId="0" fontId="29" fillId="18" borderId="21" xfId="1" applyNumberFormat="1" applyFont="1" applyFill="1" applyBorder="1" applyAlignment="1">
      <alignment horizontal="left" vertical="center" wrapText="1"/>
    </xf>
    <xf numFmtId="0" fontId="29" fillId="18" borderId="0" xfId="1" applyNumberFormat="1" applyFont="1" applyFill="1" applyAlignment="1">
      <alignment horizontal="center" vertical="center" wrapText="1"/>
    </xf>
    <xf numFmtId="0" fontId="29" fillId="18" borderId="22" xfId="1" applyNumberFormat="1" applyFont="1" applyFill="1" applyBorder="1" applyAlignment="1">
      <alignment horizontal="center" vertical="center" wrapText="1"/>
    </xf>
    <xf numFmtId="0" fontId="32" fillId="18" borderId="21" xfId="1" applyNumberFormat="1" applyFont="1" applyFill="1" applyBorder="1" applyAlignment="1">
      <alignment horizontal="left" wrapText="1"/>
    </xf>
    <xf numFmtId="0" fontId="32" fillId="18" borderId="0" xfId="1" applyNumberFormat="1" applyFont="1" applyFill="1" applyAlignment="1">
      <alignment horizontal="center" wrapText="1"/>
    </xf>
    <xf numFmtId="0" fontId="32" fillId="18" borderId="22" xfId="1" applyNumberFormat="1" applyFont="1" applyFill="1" applyBorder="1" applyAlignment="1">
      <alignment horizontal="center" wrapText="1"/>
    </xf>
    <xf numFmtId="0" fontId="32" fillId="19" borderId="21" xfId="1" applyNumberFormat="1" applyFont="1" applyFill="1" applyBorder="1" applyAlignment="1">
      <alignment horizontal="left" wrapText="1"/>
    </xf>
    <xf numFmtId="0" fontId="32" fillId="19" borderId="0" xfId="1" applyNumberFormat="1" applyFont="1" applyFill="1" applyAlignment="1">
      <alignment horizontal="center" wrapText="1"/>
    </xf>
    <xf numFmtId="0" fontId="32" fillId="19" borderId="22" xfId="1" applyNumberFormat="1" applyFont="1" applyFill="1" applyBorder="1" applyAlignment="1">
      <alignment horizontal="center" wrapText="1"/>
    </xf>
    <xf numFmtId="0" fontId="32" fillId="19" borderId="23" xfId="1" applyNumberFormat="1" applyFont="1" applyFill="1" applyBorder="1" applyAlignment="1">
      <alignment horizontal="left" wrapText="1"/>
    </xf>
    <xf numFmtId="0" fontId="32" fillId="19" borderId="24" xfId="1" applyNumberFormat="1" applyFont="1" applyFill="1" applyBorder="1" applyAlignment="1">
      <alignment horizontal="center" wrapText="1"/>
    </xf>
    <xf numFmtId="0" fontId="32" fillId="19" borderId="25" xfId="1" applyNumberFormat="1" applyFont="1" applyFill="1" applyBorder="1" applyAlignment="1">
      <alignment horizontal="center" wrapText="1"/>
    </xf>
    <xf numFmtId="164" fontId="5" fillId="0" borderId="0" xfId="20" applyNumberFormat="1" applyFont="1" applyAlignment="1" applyProtection="1"/>
    <xf numFmtId="166" fontId="0" fillId="0" borderId="0" xfId="0" applyNumberFormat="1"/>
    <xf numFmtId="0" fontId="23" fillId="0" borderId="0" xfId="1" applyNumberFormat="1" applyFont="1"/>
    <xf numFmtId="166" fontId="23" fillId="0" borderId="0" xfId="1" applyNumberFormat="1" applyFont="1" applyFill="1"/>
    <xf numFmtId="0" fontId="0" fillId="0" borderId="27" xfId="0" applyBorder="1"/>
    <xf numFmtId="1" fontId="1" fillId="0" borderId="27" xfId="0" applyNumberFormat="1" applyFont="1" applyBorder="1"/>
    <xf numFmtId="1" fontId="0" fillId="0" borderId="27" xfId="0" applyNumberFormat="1" applyBorder="1"/>
    <xf numFmtId="166" fontId="0" fillId="0" borderId="27" xfId="0" applyNumberFormat="1" applyBorder="1"/>
    <xf numFmtId="0" fontId="1" fillId="0" borderId="27" xfId="0" applyFont="1" applyBorder="1"/>
    <xf numFmtId="2" fontId="0" fillId="0" borderId="27" xfId="0" applyNumberFormat="1" applyBorder="1"/>
    <xf numFmtId="169" fontId="0" fillId="0" borderId="27" xfId="0" applyNumberFormat="1" applyBorder="1"/>
    <xf numFmtId="0" fontId="0" fillId="0" borderId="27" xfId="0" applyFill="1" applyBorder="1"/>
    <xf numFmtId="0" fontId="0" fillId="0" borderId="0" xfId="0" applyAlignment="1">
      <alignment wrapText="1"/>
    </xf>
    <xf numFmtId="2" fontId="0" fillId="0" borderId="0" xfId="0" applyNumberFormat="1"/>
    <xf numFmtId="168" fontId="0" fillId="0" borderId="27" xfId="0" applyNumberFormat="1" applyBorder="1"/>
    <xf numFmtId="3" fontId="0" fillId="0" borderId="0" xfId="0" applyNumberFormat="1"/>
    <xf numFmtId="173" fontId="0" fillId="0" borderId="0" xfId="0" applyNumberFormat="1"/>
    <xf numFmtId="4" fontId="0" fillId="0" borderId="0" xfId="0" applyNumberFormat="1"/>
    <xf numFmtId="0" fontId="75" fillId="0" borderId="0" xfId="0" applyFont="1"/>
    <xf numFmtId="0" fontId="77" fillId="9" borderId="0" xfId="0" applyFont="1" applyFill="1"/>
    <xf numFmtId="0" fontId="78" fillId="9" borderId="0" xfId="0" applyFont="1" applyFill="1"/>
    <xf numFmtId="0" fontId="0" fillId="59" borderId="0" xfId="0" applyFill="1"/>
    <xf numFmtId="0" fontId="1" fillId="59" borderId="0" xfId="0" applyFont="1" applyFill="1"/>
    <xf numFmtId="0" fontId="79" fillId="59" borderId="0" xfId="0" applyFont="1" applyFill="1"/>
    <xf numFmtId="0" fontId="75" fillId="59" borderId="0" xfId="0" applyFont="1" applyFill="1"/>
    <xf numFmtId="0" fontId="76" fillId="59" borderId="0" xfId="0" applyFont="1" applyFill="1"/>
    <xf numFmtId="0" fontId="80" fillId="59" borderId="0" xfId="0" applyFont="1" applyFill="1"/>
    <xf numFmtId="0" fontId="81" fillId="59" borderId="0" xfId="0" applyFont="1" applyFill="1"/>
    <xf numFmtId="0" fontId="0" fillId="59" borderId="0" xfId="0" applyFill="1" applyBorder="1" applyAlignment="1">
      <alignment vertical="top"/>
    </xf>
    <xf numFmtId="0" fontId="34" fillId="59" borderId="0" xfId="0" applyFont="1" applyFill="1"/>
    <xf numFmtId="14" fontId="0" fillId="59" borderId="0" xfId="0" applyNumberFormat="1" applyFill="1"/>
    <xf numFmtId="0" fontId="82" fillId="59" borderId="0" xfId="0" applyFont="1" applyFill="1"/>
    <xf numFmtId="0" fontId="83" fillId="59" borderId="0" xfId="0" applyFont="1" applyFill="1"/>
    <xf numFmtId="1" fontId="1" fillId="59" borderId="0" xfId="0" applyNumberFormat="1" applyFont="1" applyFill="1"/>
    <xf numFmtId="2" fontId="0" fillId="59" borderId="0" xfId="0" applyNumberFormat="1" applyFill="1"/>
    <xf numFmtId="0" fontId="0" fillId="59" borderId="0" xfId="0" applyFill="1" applyAlignment="1">
      <alignment horizontal="right"/>
    </xf>
    <xf numFmtId="2" fontId="76" fillId="59" borderId="0" xfId="0" applyNumberFormat="1" applyFont="1" applyFill="1"/>
    <xf numFmtId="2" fontId="84" fillId="59" borderId="0" xfId="0" applyNumberFormat="1" applyFont="1" applyFill="1"/>
    <xf numFmtId="0" fontId="84" fillId="59" borderId="0" xfId="0" applyFont="1" applyFill="1"/>
    <xf numFmtId="2" fontId="80" fillId="59" borderId="0" xfId="0" applyNumberFormat="1" applyFont="1" applyFill="1"/>
    <xf numFmtId="167" fontId="84" fillId="59" borderId="0" xfId="155" applyNumberFormat="1" applyFont="1" applyFill="1"/>
    <xf numFmtId="1" fontId="75" fillId="59" borderId="0" xfId="0" applyNumberFormat="1" applyFont="1" applyFill="1"/>
    <xf numFmtId="169" fontId="0" fillId="0" borderId="27" xfId="0" applyNumberFormat="1" applyFill="1" applyBorder="1"/>
    <xf numFmtId="0" fontId="89" fillId="61" borderId="0" xfId="0" applyFont="1" applyFill="1"/>
    <xf numFmtId="0" fontId="90" fillId="59" borderId="0" xfId="0" applyFont="1" applyFill="1"/>
    <xf numFmtId="0" fontId="0" fillId="59" borderId="0" xfId="0" applyFont="1" applyFill="1"/>
    <xf numFmtId="0" fontId="74" fillId="59" borderId="0" xfId="0" applyFont="1" applyFill="1"/>
    <xf numFmtId="0" fontId="74" fillId="59" borderId="0" xfId="0" applyFont="1" applyFill="1" applyAlignment="1">
      <alignment horizontal="left"/>
    </xf>
    <xf numFmtId="0" fontId="0" fillId="59" borderId="0" xfId="0" applyFill="1" applyBorder="1"/>
    <xf numFmtId="0" fontId="1" fillId="59" borderId="0" xfId="0" applyFont="1" applyFill="1" applyBorder="1"/>
    <xf numFmtId="166" fontId="0" fillId="59" borderId="0" xfId="0" applyNumberFormat="1" applyFill="1" applyBorder="1"/>
    <xf numFmtId="0" fontId="1" fillId="59" borderId="0" xfId="0" applyFont="1" applyFill="1" applyBorder="1" applyAlignment="1">
      <alignment horizontal="right"/>
    </xf>
    <xf numFmtId="0" fontId="0" fillId="59" borderId="0" xfId="0" applyFill="1" applyAlignment="1">
      <alignment horizontal="center"/>
    </xf>
    <xf numFmtId="0" fontId="0" fillId="59" borderId="0" xfId="0" applyFill="1" applyBorder="1" applyAlignment="1">
      <alignment horizontal="center"/>
    </xf>
    <xf numFmtId="166" fontId="0" fillId="59" borderId="0" xfId="0" applyNumberFormat="1" applyFill="1" applyBorder="1" applyAlignment="1">
      <alignment horizontal="center"/>
    </xf>
    <xf numFmtId="0" fontId="1" fillId="59" borderId="0" xfId="0" applyFont="1" applyFill="1" applyBorder="1" applyAlignment="1">
      <alignment horizontal="center"/>
    </xf>
    <xf numFmtId="0" fontId="0" fillId="59" borderId="0" xfId="0" applyFont="1" applyFill="1" applyBorder="1" applyAlignment="1">
      <alignment horizontal="center"/>
    </xf>
    <xf numFmtId="2" fontId="0" fillId="59" borderId="0" xfId="0" applyNumberFormat="1" applyFont="1" applyFill="1" applyBorder="1" applyAlignment="1">
      <alignment horizontal="center"/>
    </xf>
    <xf numFmtId="0" fontId="91" fillId="59" borderId="0" xfId="0" applyFont="1" applyFill="1" applyBorder="1" applyAlignment="1">
      <alignment wrapText="1"/>
    </xf>
    <xf numFmtId="0" fontId="91" fillId="59" borderId="0" xfId="0" applyFont="1" applyFill="1" applyBorder="1" applyAlignment="1"/>
    <xf numFmtId="0" fontId="92" fillId="59" borderId="0" xfId="0" applyFont="1" applyFill="1"/>
    <xf numFmtId="0" fontId="93" fillId="61" borderId="0" xfId="0" applyFont="1" applyFill="1" applyAlignment="1">
      <alignment vertical="center"/>
    </xf>
    <xf numFmtId="166" fontId="0" fillId="59" borderId="0" xfId="0" applyNumberFormat="1" applyFill="1"/>
    <xf numFmtId="1" fontId="0" fillId="59" borderId="0" xfId="0" applyNumberFormat="1" applyFill="1"/>
    <xf numFmtId="166" fontId="0" fillId="59" borderId="0" xfId="0" applyNumberFormat="1" applyFill="1" applyAlignment="1">
      <alignment horizontal="center"/>
    </xf>
    <xf numFmtId="2" fontId="0" fillId="59" borderId="0" xfId="0" applyNumberFormat="1" applyFill="1" applyAlignment="1">
      <alignment horizontal="center"/>
    </xf>
    <xf numFmtId="1" fontId="0" fillId="59" borderId="0" xfId="0" applyNumberFormat="1" applyFill="1" applyAlignment="1">
      <alignment horizontal="center"/>
    </xf>
    <xf numFmtId="2" fontId="1" fillId="59" borderId="0" xfId="0" applyNumberFormat="1" applyFont="1" applyFill="1" applyAlignment="1">
      <alignment horizontal="right"/>
    </xf>
    <xf numFmtId="0" fontId="1" fillId="59" borderId="0" xfId="0" applyFont="1" applyFill="1" applyAlignment="1">
      <alignment horizontal="right"/>
    </xf>
    <xf numFmtId="0" fontId="25" fillId="0" borderId="10" xfId="1" applyNumberFormat="1" applyFont="1" applyBorder="1" applyAlignment="1">
      <alignment wrapText="1"/>
    </xf>
    <xf numFmtId="0" fontId="3" fillId="0" borderId="11" xfId="1" applyNumberFormat="1" applyBorder="1" applyAlignment="1">
      <alignment wrapText="1"/>
    </xf>
    <xf numFmtId="0" fontId="25" fillId="0" borderId="12" xfId="1" applyNumberFormat="1" applyFont="1" applyBorder="1" applyAlignment="1">
      <alignment horizontal="center" wrapText="1"/>
    </xf>
    <xf numFmtId="0" fontId="25" fillId="0" borderId="10" xfId="1" applyNumberFormat="1" applyFont="1" applyBorder="1" applyAlignment="1">
      <alignment horizontal="center" wrapText="1"/>
    </xf>
    <xf numFmtId="0" fontId="3" fillId="0" borderId="10" xfId="1" applyNumberFormat="1" applyBorder="1" applyAlignment="1">
      <alignment wrapText="1"/>
    </xf>
    <xf numFmtId="0" fontId="27" fillId="0" borderId="12" xfId="1" applyNumberFormat="1" applyFont="1" applyBorder="1" applyAlignment="1">
      <alignment horizontal="center" wrapText="1"/>
    </xf>
    <xf numFmtId="0" fontId="25" fillId="0" borderId="13" xfId="1" applyNumberFormat="1" applyFont="1" applyBorder="1" applyAlignment="1">
      <alignment wrapText="1"/>
    </xf>
    <xf numFmtId="0" fontId="3" fillId="0" borderId="14" xfId="1" applyNumberFormat="1" applyBorder="1" applyAlignment="1">
      <alignment wrapText="1"/>
    </xf>
    <xf numFmtId="0" fontId="27" fillId="0" borderId="15" xfId="1" applyNumberFormat="1" applyFont="1" applyBorder="1" applyAlignment="1">
      <alignment horizontal="center" wrapText="1"/>
    </xf>
    <xf numFmtId="0" fontId="3" fillId="0" borderId="13" xfId="1" applyNumberFormat="1" applyBorder="1" applyAlignment="1">
      <alignment wrapText="1"/>
    </xf>
    <xf numFmtId="0" fontId="27" fillId="0" borderId="0" xfId="1" quotePrefix="1" applyNumberFormat="1" applyFont="1" applyBorder="1" applyAlignment="1">
      <alignment horizontal="left" wrapText="1" indent="2"/>
    </xf>
    <xf numFmtId="0" fontId="3" fillId="0" borderId="16" xfId="1" applyNumberFormat="1" applyBorder="1" applyAlignment="1">
      <alignment horizontal="left" wrapText="1" indent="2"/>
    </xf>
    <xf numFmtId="0" fontId="27" fillId="0" borderId="17" xfId="1" applyNumberFormat="1" applyFont="1" applyBorder="1" applyAlignment="1">
      <alignment horizontal="center" wrapText="1"/>
    </xf>
    <xf numFmtId="0" fontId="3" fillId="0" borderId="16" xfId="1" applyNumberFormat="1" applyBorder="1" applyAlignment="1">
      <alignment wrapText="1"/>
    </xf>
    <xf numFmtId="0" fontId="3" fillId="0" borderId="0" xfId="1" applyNumberFormat="1" applyBorder="1" applyAlignment="1">
      <alignment wrapText="1"/>
    </xf>
    <xf numFmtId="0" fontId="28" fillId="0" borderId="13" xfId="1" applyNumberFormat="1" applyFont="1" applyBorder="1" applyAlignment="1">
      <alignment vertical="top" wrapText="1"/>
    </xf>
    <xf numFmtId="0" fontId="3" fillId="0" borderId="13" xfId="1" applyNumberFormat="1" applyBorder="1" applyAlignment="1">
      <alignment vertical="top" wrapText="1"/>
    </xf>
    <xf numFmtId="0" fontId="29" fillId="18" borderId="18" xfId="1" applyNumberFormat="1" applyFont="1" applyFill="1" applyBorder="1" applyAlignment="1">
      <alignment horizontal="center" vertical="center" wrapText="1"/>
    </xf>
    <xf numFmtId="0" fontId="29" fillId="18" borderId="19" xfId="1" applyNumberFormat="1" applyFont="1" applyFill="1" applyBorder="1" applyAlignment="1">
      <alignment horizontal="center" vertical="center" wrapText="1"/>
    </xf>
    <xf numFmtId="0" fontId="29" fillId="18" borderId="20" xfId="1" applyNumberFormat="1" applyFont="1" applyFill="1" applyBorder="1" applyAlignment="1">
      <alignment horizontal="center" vertical="center" wrapText="1"/>
    </xf>
    <xf numFmtId="0" fontId="30" fillId="18" borderId="21" xfId="1" applyNumberFormat="1" applyFont="1" applyFill="1" applyBorder="1" applyAlignment="1">
      <alignment horizontal="left" wrapText="1"/>
    </xf>
    <xf numFmtId="0" fontId="30" fillId="18" borderId="0" xfId="1" applyNumberFormat="1" applyFont="1" applyFill="1" applyBorder="1" applyAlignment="1">
      <alignment horizontal="left" wrapText="1"/>
    </xf>
    <xf numFmtId="0" fontId="30" fillId="18" borderId="22" xfId="1" applyNumberFormat="1" applyFont="1" applyFill="1" applyBorder="1" applyAlignment="1">
      <alignment horizontal="left" wrapText="1"/>
    </xf>
    <xf numFmtId="2" fontId="27" fillId="0" borderId="12" xfId="1" applyNumberFormat="1" applyFont="1" applyBorder="1" applyAlignment="1">
      <alignment horizontal="center" wrapText="1"/>
    </xf>
    <xf numFmtId="2" fontId="3" fillId="0" borderId="10" xfId="1" applyNumberFormat="1" applyBorder="1" applyAlignment="1">
      <alignment wrapText="1"/>
    </xf>
    <xf numFmtId="0" fontId="0" fillId="59" borderId="46" xfId="0" applyFill="1" applyBorder="1" applyAlignment="1">
      <alignment horizontal="left" vertical="top"/>
    </xf>
    <xf numFmtId="0" fontId="0" fillId="59" borderId="47" xfId="0" applyFill="1" applyBorder="1" applyAlignment="1">
      <alignment horizontal="left" vertical="top"/>
    </xf>
    <xf numFmtId="0" fontId="0" fillId="59" borderId="48" xfId="0" applyFill="1" applyBorder="1" applyAlignment="1">
      <alignment horizontal="left" vertical="top"/>
    </xf>
    <xf numFmtId="0" fontId="0" fillId="59" borderId="26" xfId="0" applyFill="1" applyBorder="1" applyAlignment="1">
      <alignment horizontal="left" vertical="top"/>
    </xf>
    <xf numFmtId="0" fontId="0" fillId="59" borderId="0" xfId="0" applyFill="1" applyBorder="1" applyAlignment="1">
      <alignment horizontal="left" vertical="top"/>
    </xf>
    <xf numFmtId="0" fontId="0" fillId="59" borderId="49" xfId="0" applyFill="1" applyBorder="1" applyAlignment="1">
      <alignment horizontal="left" vertical="top"/>
    </xf>
    <xf numFmtId="0" fontId="0" fillId="59" borderId="50" xfId="0" applyFill="1" applyBorder="1" applyAlignment="1">
      <alignment horizontal="left" vertical="top"/>
    </xf>
    <xf numFmtId="0" fontId="0" fillId="59" borderId="51" xfId="0" applyFill="1" applyBorder="1" applyAlignment="1">
      <alignment horizontal="left" vertical="top"/>
    </xf>
    <xf numFmtId="0" fontId="0" fillId="59" borderId="52" xfId="0" applyFill="1" applyBorder="1" applyAlignment="1">
      <alignment horizontal="left" vertical="top"/>
    </xf>
    <xf numFmtId="0" fontId="1" fillId="59" borderId="0" xfId="0" applyFont="1" applyFill="1" applyAlignment="1">
      <alignment horizontal="center"/>
    </xf>
  </cellXfs>
  <cellStyles count="165">
    <cellStyle name="20% - Accent2 2" xfId="68"/>
    <cellStyle name="20% - Accent3 2" xfId="70"/>
    <cellStyle name="20% - Accent5 2" xfId="72"/>
    <cellStyle name="20% - Accent6 2" xfId="74"/>
    <cellStyle name="20% - Ênfase1" xfId="27"/>
    <cellStyle name="20% - Ênfase2" xfId="28"/>
    <cellStyle name="20% - Ênfase3" xfId="29"/>
    <cellStyle name="20% - Ênfase4" xfId="30"/>
    <cellStyle name="20% - Ênfase5" xfId="31"/>
    <cellStyle name="20% - Ênfase6" xfId="32"/>
    <cellStyle name="40% - Accent2 2" xfId="69"/>
    <cellStyle name="40% - Accent3 2" xfId="71"/>
    <cellStyle name="40% - Accent5 2" xfId="73"/>
    <cellStyle name="40% - Accent6 2" xfId="75"/>
    <cellStyle name="40% - Ênfase1" xfId="33"/>
    <cellStyle name="40% - Ênfase2" xfId="34"/>
    <cellStyle name="40% - Ênfase3" xfId="35"/>
    <cellStyle name="40% - Ênfase4" xfId="36"/>
    <cellStyle name="40% - Ênfase5" xfId="37"/>
    <cellStyle name="40% - Ênfase6" xfId="38"/>
    <cellStyle name="60% - Accent6 2" xfId="117"/>
    <cellStyle name="60% - Ênfase1" xfId="39"/>
    <cellStyle name="60% - Ênfase2" xfId="40"/>
    <cellStyle name="60% - Ênfase3" xfId="41"/>
    <cellStyle name="60% - Ênfase4" xfId="42"/>
    <cellStyle name="60% - Ênfase5" xfId="43"/>
    <cellStyle name="60% - Ênfase6" xfId="44"/>
    <cellStyle name="Accent1 2" xfId="67"/>
    <cellStyle name="Bad 2" xfId="77"/>
    <cellStyle name="blue-linked data to another file" xfId="85"/>
    <cellStyle name="Body: normal cell" xfId="135"/>
    <cellStyle name="Bom" xfId="45"/>
    <cellStyle name="Cálculo" xfId="46"/>
    <cellStyle name="Célula de Verificação" xfId="47"/>
    <cellStyle name="Célula Vinculada" xfId="48"/>
    <cellStyle name="center" xfId="86"/>
    <cellStyle name="clear" xfId="87"/>
    <cellStyle name="clear purple comma" xfId="88"/>
    <cellStyle name="color" xfId="89"/>
    <cellStyle name="Comma 2" xfId="2"/>
    <cellStyle name="Comma 2 2" xfId="104"/>
    <cellStyle name="Comma 3" xfId="3"/>
    <cellStyle name="Comma 3 2" xfId="125"/>
    <cellStyle name="Comma 4" xfId="4"/>
    <cellStyle name="Comma 4 2" xfId="129"/>
    <cellStyle name="Comma 5" xfId="131"/>
    <cellStyle name="Comma 6" xfId="136"/>
    <cellStyle name="Comma 7" xfId="22"/>
    <cellStyle name="Comma0" xfId="81"/>
    <cellStyle name="Currency0" xfId="82"/>
    <cellStyle name="Date" xfId="83"/>
    <cellStyle name="dkbottom" xfId="90"/>
    <cellStyle name="dkrow" xfId="91"/>
    <cellStyle name="Ênfase1" xfId="49"/>
    <cellStyle name="Ênfase2" xfId="50"/>
    <cellStyle name="Ênfase3" xfId="51"/>
    <cellStyle name="Ênfase4" xfId="52"/>
    <cellStyle name="Ênfase5" xfId="53"/>
    <cellStyle name="Ênfase6" xfId="54"/>
    <cellStyle name="Entrada" xfId="55"/>
    <cellStyle name="finebottom" xfId="92"/>
    <cellStyle name="Fixed" xfId="84"/>
    <cellStyle name="Followed Hyperlink" xfId="137" builtinId="9" customBuiltin="1"/>
    <cellStyle name="Font: Calibri, 9pt regular" xfId="138"/>
    <cellStyle name="Footnotes: all except top row" xfId="139"/>
    <cellStyle name="Footnotes: top row" xfId="140"/>
    <cellStyle name="Good 2" xfId="26"/>
    <cellStyle name="Header: bottom row" xfId="123"/>
    <cellStyle name="Header: bottom row 2" xfId="141"/>
    <cellStyle name="Header: top rows" xfId="142"/>
    <cellStyle name="Hyperlink" xfId="20" builtinId="8"/>
    <cellStyle name="Hyperlink 2" xfId="5"/>
    <cellStyle name="Hyperlink 2 2" xfId="80"/>
    <cellStyle name="Hyperlink 3" xfId="6"/>
    <cellStyle name="Hyperlink 3 2" xfId="133"/>
    <cellStyle name="Hyperlink 4" xfId="143"/>
    <cellStyle name="Hyperlink 5" xfId="149"/>
    <cellStyle name="Hyperlink 6" xfId="151"/>
    <cellStyle name="Hyperlink 7" xfId="153"/>
    <cellStyle name="Hyperlink 8" xfId="23"/>
    <cellStyle name="Hyperlink 9" xfId="164"/>
    <cellStyle name="Incorreto" xfId="56"/>
    <cellStyle name="Menu" xfId="160"/>
    <cellStyle name="Millares 2" xfId="116"/>
    <cellStyle name="Neutra" xfId="57"/>
    <cellStyle name="Neutral 2" xfId="24"/>
    <cellStyle name="Normal" xfId="0" builtinId="0"/>
    <cellStyle name="Normal 10" xfId="124"/>
    <cellStyle name="Normal 11" xfId="128"/>
    <cellStyle name="Normal 12" xfId="130"/>
    <cellStyle name="Normal 13" xfId="132"/>
    <cellStyle name="Normal 14" xfId="134"/>
    <cellStyle name="Normal 15" xfId="148"/>
    <cellStyle name="Normal 16" xfId="150"/>
    <cellStyle name="Normal 17" xfId="152"/>
    <cellStyle name="Normal 18" xfId="21"/>
    <cellStyle name="Normal 19" xfId="154"/>
    <cellStyle name="Normal 2" xfId="1"/>
    <cellStyle name="Normal 2 2" xfId="7"/>
    <cellStyle name="Normal 2 2 2" xfId="78"/>
    <cellStyle name="Normal 2 2 3" xfId="158"/>
    <cellStyle name="Normal 2 3" xfId="8"/>
    <cellStyle name="Normal 2 3 2" xfId="127"/>
    <cellStyle name="Normal 2 4" xfId="76"/>
    <cellStyle name="Normal 2 40" xfId="107"/>
    <cellStyle name="Normal 2 5" xfId="157"/>
    <cellStyle name="Normal 2_Summary Biodiesel Production" xfId="118"/>
    <cellStyle name="Normal 20" xfId="105"/>
    <cellStyle name="Normal 3" xfId="9"/>
    <cellStyle name="Normal 3 2" xfId="114"/>
    <cellStyle name="Normal 3 3" xfId="115"/>
    <cellStyle name="Normal 3 4" xfId="79"/>
    <cellStyle name="Normal 3 5" xfId="163"/>
    <cellStyle name="Normal 34" xfId="119"/>
    <cellStyle name="Normal 35" xfId="120"/>
    <cellStyle name="Normal 4" xfId="10"/>
    <cellStyle name="Normal 4 2" xfId="25"/>
    <cellStyle name="Normal 43" xfId="108"/>
    <cellStyle name="Normal 5" xfId="11"/>
    <cellStyle name="Normal 5 2" xfId="106"/>
    <cellStyle name="Normal 59" xfId="109"/>
    <cellStyle name="Normal 6" xfId="12"/>
    <cellStyle name="Normal 6 2" xfId="112"/>
    <cellStyle name="Normal 7" xfId="113"/>
    <cellStyle name="Normal 77" xfId="110"/>
    <cellStyle name="Normal 8" xfId="111"/>
    <cellStyle name="Normal 9" xfId="121"/>
    <cellStyle name="Normal_MoMo - ETP 2008 3.0" xfId="13"/>
    <cellStyle name="Nota" xfId="58"/>
    <cellStyle name="NOTBALANCED" xfId="93"/>
    <cellStyle name="NumberCellStyle" xfId="161"/>
    <cellStyle name="ORANGE-oasis code different" xfId="94"/>
    <cellStyle name="Parent row" xfId="144"/>
    <cellStyle name="Percent" xfId="155" builtinId="5"/>
    <cellStyle name="Percent 2" xfId="14"/>
    <cellStyle name="Percent 2 2" xfId="15"/>
    <cellStyle name="Percent 2 3" xfId="16"/>
    <cellStyle name="Percent 2 4" xfId="126"/>
    <cellStyle name="Percent 2 5" xfId="156"/>
    <cellStyle name="Percent 3" xfId="17"/>
    <cellStyle name="Percent 3 2" xfId="159"/>
    <cellStyle name="Percent 4" xfId="18"/>
    <cellStyle name="Percent 5" xfId="19"/>
    <cellStyle name="Percent 6" xfId="162"/>
    <cellStyle name="pink- converted to metric" xfId="95"/>
    <cellStyle name="red-cut and paste" xfId="96"/>
    <cellStyle name="RED-TYPED IN NUMBERS" xfId="97"/>
    <cellStyle name="rightline" xfId="98"/>
    <cellStyle name="Saída" xfId="59"/>
    <cellStyle name="Section Break" xfId="145"/>
    <cellStyle name="Section Break: parent row" xfId="146"/>
    <cellStyle name="Table title" xfId="122"/>
    <cellStyle name="Table title 2" xfId="147"/>
    <cellStyle name="Texto de Aviso" xfId="60"/>
    <cellStyle name="Texto Explicativo" xfId="61"/>
    <cellStyle name="TITLE2" xfId="99"/>
    <cellStyle name="TITLECENTER" xfId="100"/>
    <cellStyle name="Título" xfId="62"/>
    <cellStyle name="Título 1" xfId="63"/>
    <cellStyle name="Título 2" xfId="64"/>
    <cellStyle name="Título 3" xfId="65"/>
    <cellStyle name="Título 4" xfId="66"/>
    <cellStyle name="TURK-FORMULA CHANGED" xfId="101"/>
    <cellStyle name="units" xfId="102"/>
    <cellStyle name="US CHECK " xfId="103"/>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ysClr val="windowText" lastClr="000000"/>
                </a:solidFill>
              </a:defRPr>
            </a:pPr>
            <a:r>
              <a:rPr lang="en-GB">
                <a:solidFill>
                  <a:sysClr val="windowText" lastClr="000000"/>
                </a:solidFill>
                <a:latin typeface="Gill Sans MT Condensed" panose="020B0506020104020203" pitchFamily="34" charset="0"/>
              </a:rPr>
              <a:t>Global biofuels production versus 2025 2DS target </a:t>
            </a:r>
          </a:p>
        </c:rich>
      </c:tx>
      <c:layout>
        <c:manualLayout>
          <c:xMode val="edge"/>
          <c:yMode val="edge"/>
          <c:x val="8.2781809136602946E-4"/>
          <c:y val="1.3605442176870748E-2"/>
        </c:manualLayout>
      </c:layout>
      <c:overlay val="0"/>
    </c:title>
    <c:autoTitleDeleted val="0"/>
    <c:plotArea>
      <c:layout>
        <c:manualLayout>
          <c:layoutTarget val="inner"/>
          <c:xMode val="edge"/>
          <c:yMode val="edge"/>
          <c:x val="5.8406738373389604E-2"/>
          <c:y val="0.15012480582784296"/>
          <c:w val="0.91207259876829117"/>
          <c:h val="0.69762493224932254"/>
        </c:manualLayout>
      </c:layout>
      <c:areaChart>
        <c:grouping val="stacked"/>
        <c:varyColors val="0"/>
        <c:ser>
          <c:idx val="0"/>
          <c:order val="0"/>
          <c:tx>
            <c:v>Ethanol</c:v>
          </c:tx>
          <c:spPr>
            <a:solidFill>
              <a:schemeClr val="accent3">
                <a:lumMod val="75000"/>
              </a:schemeClr>
            </a:solidFill>
          </c:spPr>
          <c:cat>
            <c:strRef>
              <c:f>TCEP2017_Figure_43!$C$68:$T$68</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2025 (2DS)</c:v>
                </c:pt>
              </c:strCache>
            </c:strRef>
          </c:cat>
          <c:val>
            <c:numRef>
              <c:f>TCEP2017_Figure_43!$C$71:$R$71</c:f>
              <c:numCache>
                <c:formatCode>0.00</c:formatCode>
                <c:ptCount val="16"/>
                <c:pt idx="0">
                  <c:v>0.68968952396208372</c:v>
                </c:pt>
                <c:pt idx="1">
                  <c:v>0.82165566710947646</c:v>
                </c:pt>
                <c:pt idx="2">
                  <c:v>1.0890842881956073</c:v>
                </c:pt>
                <c:pt idx="3">
                  <c:v>1.4177219577693492</c:v>
                </c:pt>
                <c:pt idx="4">
                  <c:v>1.572672851495384</c:v>
                </c:pt>
                <c:pt idx="5">
                  <c:v>1.8209169462314478</c:v>
                </c:pt>
                <c:pt idx="6">
                  <c:v>1.7861560118646429</c:v>
                </c:pt>
                <c:pt idx="7">
                  <c:v>1.7667035932307358</c:v>
                </c:pt>
                <c:pt idx="8">
                  <c:v>1.9169348122596184</c:v>
                </c:pt>
                <c:pt idx="9">
                  <c:v>2.0413826653218696</c:v>
                </c:pt>
                <c:pt idx="10">
                  <c:v>2.1296878436422579</c:v>
                </c:pt>
                <c:pt idx="11">
                  <c:v>2.1216698292879079</c:v>
                </c:pt>
                <c:pt idx="12">
                  <c:v>2.1800448406992698</c:v>
                </c:pt>
                <c:pt idx="13">
                  <c:v>2.27644835793091</c:v>
                </c:pt>
                <c:pt idx="14">
                  <c:v>2.3284432818610514</c:v>
                </c:pt>
                <c:pt idx="15">
                  <c:v>2.3923308958378016</c:v>
                </c:pt>
              </c:numCache>
            </c:numRef>
          </c:val>
        </c:ser>
        <c:ser>
          <c:idx val="1"/>
          <c:order val="1"/>
          <c:tx>
            <c:v>Biodiesel</c:v>
          </c:tx>
          <c:spPr>
            <a:solidFill>
              <a:schemeClr val="accent3">
                <a:lumMod val="60000"/>
                <a:lumOff val="40000"/>
              </a:schemeClr>
            </a:solidFill>
            <a:ln w="25400">
              <a:noFill/>
            </a:ln>
          </c:spPr>
          <c:cat>
            <c:strRef>
              <c:f>TCEP2017_Figure_43!$C$68:$T$68</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2025 (2DS)</c:v>
                </c:pt>
              </c:strCache>
            </c:strRef>
          </c:cat>
          <c:val>
            <c:numRef>
              <c:f>TCEP2017_Figure_43!$C$72:$R$72</c:f>
              <c:numCache>
                <c:formatCode>0.00</c:formatCode>
                <c:ptCount val="16"/>
                <c:pt idx="0">
                  <c:v>0.12799851212445335</c:v>
                </c:pt>
                <c:pt idx="1">
                  <c:v>0.21521990578128877</c:v>
                </c:pt>
                <c:pt idx="2">
                  <c:v>0.33856497618654624</c:v>
                </c:pt>
                <c:pt idx="3">
                  <c:v>0.51136031940009796</c:v>
                </c:pt>
                <c:pt idx="4">
                  <c:v>0.58213491801237849</c:v>
                </c:pt>
                <c:pt idx="5">
                  <c:v>0.66785762487425515</c:v>
                </c:pt>
                <c:pt idx="6">
                  <c:v>0.8248688227311568</c:v>
                </c:pt>
                <c:pt idx="7">
                  <c:v>0.92790521123700964</c:v>
                </c:pt>
                <c:pt idx="8">
                  <c:v>1.0151880702196727</c:v>
                </c:pt>
                <c:pt idx="9">
                  <c:v>1.0941590993297263</c:v>
                </c:pt>
                <c:pt idx="10">
                  <c:v>1.0662376028562133</c:v>
                </c:pt>
                <c:pt idx="11">
                  <c:v>1.1727516048975255</c:v>
                </c:pt>
                <c:pt idx="12">
                  <c:v>1.2784243450198081</c:v>
                </c:pt>
                <c:pt idx="13">
                  <c:v>1.404854580580158</c:v>
                </c:pt>
                <c:pt idx="14">
                  <c:v>1.4658111370611875</c:v>
                </c:pt>
                <c:pt idx="15">
                  <c:v>1.5443407971858965</c:v>
                </c:pt>
              </c:numCache>
            </c:numRef>
          </c:val>
        </c:ser>
        <c:ser>
          <c:idx val="6"/>
          <c:order val="6"/>
          <c:tx>
            <c:v>Advanced ethanol 2</c:v>
          </c:tx>
          <c:spPr>
            <a:solidFill>
              <a:schemeClr val="accent1">
                <a:lumMod val="75000"/>
              </a:schemeClr>
            </a:solidFill>
          </c:spPr>
          <c:val>
            <c:numRef>
              <c:f>TCEP2017_Figure_43!$C$77:$R$77</c:f>
              <c:numCache>
                <c:formatCode>0.00</c:formatCode>
                <c:ptCount val="16"/>
                <c:pt idx="9">
                  <c:v>2.7472964999999995E-3</c:v>
                </c:pt>
                <c:pt idx="10">
                  <c:v>4.0152794999999998E-3</c:v>
                </c:pt>
                <c:pt idx="11">
                  <c:v>6.9739064999999991E-3</c:v>
                </c:pt>
                <c:pt idx="12">
                  <c:v>1.0355194499999998E-2</c:v>
                </c:pt>
                <c:pt idx="13">
                  <c:v>1.7751761999999997E-2</c:v>
                </c:pt>
                <c:pt idx="14">
                  <c:v>2.6204981999999995E-2</c:v>
                </c:pt>
                <c:pt idx="15">
                  <c:v>3.2544896999999996E-2</c:v>
                </c:pt>
              </c:numCache>
            </c:numRef>
          </c:val>
        </c:ser>
        <c:ser>
          <c:idx val="7"/>
          <c:order val="7"/>
          <c:tx>
            <c:v>Renewable diesel 2</c:v>
          </c:tx>
          <c:spPr>
            <a:solidFill>
              <a:schemeClr val="accent1">
                <a:lumMod val="60000"/>
                <a:lumOff val="40000"/>
              </a:schemeClr>
            </a:solidFill>
          </c:spPr>
          <c:val>
            <c:numRef>
              <c:f>TCEP2017_Figure_43!$C$78:$R$78</c:f>
              <c:numCache>
                <c:formatCode>0.00</c:formatCode>
                <c:ptCount val="16"/>
                <c:pt idx="9">
                  <c:v>0</c:v>
                </c:pt>
                <c:pt idx="10">
                  <c:v>2.4080000000000004E-3</c:v>
                </c:pt>
                <c:pt idx="11">
                  <c:v>2.4080000000000004E-3</c:v>
                </c:pt>
                <c:pt idx="12">
                  <c:v>5.8480000000000008E-3</c:v>
                </c:pt>
                <c:pt idx="13">
                  <c:v>1.0319999999999999E-2</c:v>
                </c:pt>
                <c:pt idx="14">
                  <c:v>1.7888000000000001E-2</c:v>
                </c:pt>
                <c:pt idx="15">
                  <c:v>2.5111999999999999E-2</c:v>
                </c:pt>
              </c:numCache>
            </c:numRef>
          </c:val>
        </c:ser>
        <c:dLbls>
          <c:showLegendKey val="0"/>
          <c:showVal val="0"/>
          <c:showCatName val="0"/>
          <c:showSerName val="0"/>
          <c:showPercent val="0"/>
          <c:showBubbleSize val="0"/>
        </c:dLbls>
        <c:axId val="149530880"/>
        <c:axId val="149536768"/>
      </c:areaChart>
      <c:barChart>
        <c:barDir val="col"/>
        <c:grouping val="stacked"/>
        <c:varyColors val="0"/>
        <c:ser>
          <c:idx val="2"/>
          <c:order val="2"/>
          <c:tx>
            <c:v>Ethanol</c:v>
          </c:tx>
          <c:spPr>
            <a:solidFill>
              <a:schemeClr val="accent3">
                <a:lumMod val="75000"/>
              </a:schemeClr>
            </a:solidFill>
            <a:ln w="25400">
              <a:noFill/>
            </a:ln>
          </c:spPr>
          <c:invertIfNegative val="0"/>
          <c:val>
            <c:numRef>
              <c:f>TCEP2017_Figure_43!$C$73:$T$73</c:f>
              <c:numCache>
                <c:formatCode>0.00</c:formatCode>
                <c:ptCount val="18"/>
                <c:pt idx="16">
                  <c:v>2.6972105458966977</c:v>
                </c:pt>
              </c:numCache>
            </c:numRef>
          </c:val>
        </c:ser>
        <c:ser>
          <c:idx val="3"/>
          <c:order val="3"/>
          <c:spPr>
            <a:solidFill>
              <a:schemeClr val="accent3">
                <a:lumMod val="60000"/>
                <a:lumOff val="40000"/>
              </a:schemeClr>
            </a:solidFill>
            <a:ln w="25400">
              <a:noFill/>
            </a:ln>
          </c:spPr>
          <c:invertIfNegative val="0"/>
          <c:val>
            <c:numRef>
              <c:f>TCEP2017_Figure_43!$C$74:$S$74</c:f>
              <c:numCache>
                <c:formatCode>0.00</c:formatCode>
                <c:ptCount val="17"/>
                <c:pt idx="16">
                  <c:v>1.130128563860644</c:v>
                </c:pt>
              </c:numCache>
            </c:numRef>
          </c:val>
        </c:ser>
        <c:ser>
          <c:idx val="4"/>
          <c:order val="4"/>
          <c:tx>
            <c:strRef>
              <c:f>TCEP2017_Figure_43!$B$75</c:f>
              <c:strCache>
                <c:ptCount val="1"/>
                <c:pt idx="0">
                  <c:v>Advanced ethanol </c:v>
                </c:pt>
              </c:strCache>
            </c:strRef>
          </c:tx>
          <c:spPr>
            <a:solidFill>
              <a:schemeClr val="accent1">
                <a:lumMod val="75000"/>
              </a:schemeClr>
            </a:solidFill>
          </c:spPr>
          <c:invertIfNegative val="0"/>
          <c:val>
            <c:numRef>
              <c:f>TCEP2017_Figure_43!$C$75:$S$75</c:f>
              <c:numCache>
                <c:formatCode>0.00</c:formatCode>
                <c:ptCount val="17"/>
                <c:pt idx="16">
                  <c:v>0.60360481953769796</c:v>
                </c:pt>
              </c:numCache>
            </c:numRef>
          </c:val>
        </c:ser>
        <c:ser>
          <c:idx val="5"/>
          <c:order val="5"/>
          <c:tx>
            <c:strRef>
              <c:f>TCEP2017_Figure_43!$B$76</c:f>
              <c:strCache>
                <c:ptCount val="1"/>
                <c:pt idx="0">
                  <c:v>Advanced biodiesel</c:v>
                </c:pt>
              </c:strCache>
            </c:strRef>
          </c:tx>
          <c:spPr>
            <a:solidFill>
              <a:schemeClr val="accent1">
                <a:lumMod val="60000"/>
                <a:lumOff val="40000"/>
              </a:schemeClr>
            </a:solidFill>
          </c:spPr>
          <c:invertIfNegative val="0"/>
          <c:val>
            <c:numRef>
              <c:f>TCEP2017_Figure_43!$C$76:$S$76</c:f>
              <c:numCache>
                <c:formatCode>0.00</c:formatCode>
                <c:ptCount val="17"/>
                <c:pt idx="16">
                  <c:v>1.0128344235706477</c:v>
                </c:pt>
              </c:numCache>
            </c:numRef>
          </c:val>
        </c:ser>
        <c:dLbls>
          <c:showLegendKey val="0"/>
          <c:showVal val="0"/>
          <c:showCatName val="0"/>
          <c:showSerName val="0"/>
          <c:showPercent val="0"/>
          <c:showBubbleSize val="0"/>
        </c:dLbls>
        <c:gapWidth val="150"/>
        <c:overlap val="100"/>
        <c:axId val="149530880"/>
        <c:axId val="149536768"/>
      </c:barChart>
      <c:dateAx>
        <c:axId val="149530880"/>
        <c:scaling>
          <c:orientation val="minMax"/>
        </c:scaling>
        <c:delete val="0"/>
        <c:axPos val="b"/>
        <c:majorTickMark val="none"/>
        <c:minorTickMark val="none"/>
        <c:tickLblPos val="nextTo"/>
        <c:txPr>
          <a:bodyPr/>
          <a:lstStyle/>
          <a:p>
            <a:pPr>
              <a:defRPr>
                <a:latin typeface="Gill Sans MT Condensed" panose="020B0506020104020203" pitchFamily="34" charset="0"/>
              </a:defRPr>
            </a:pPr>
            <a:endParaRPr lang="en-US"/>
          </a:p>
        </c:txPr>
        <c:crossAx val="149536768"/>
        <c:crosses val="autoZero"/>
        <c:auto val="0"/>
        <c:lblOffset val="100"/>
        <c:baseTimeUnit val="days"/>
        <c:majorUnit val="5"/>
      </c:dateAx>
      <c:valAx>
        <c:axId val="149536768"/>
        <c:scaling>
          <c:orientation val="minMax"/>
        </c:scaling>
        <c:delete val="0"/>
        <c:axPos val="l"/>
        <c:majorGridlines>
          <c:spPr>
            <a:ln>
              <a:prstDash val="lgDash"/>
            </a:ln>
          </c:spPr>
        </c:majorGridlines>
        <c:title>
          <c:tx>
            <c:rich>
              <a:bodyPr rot="-5400000" vert="horz"/>
              <a:lstStyle/>
              <a:p>
                <a:pPr>
                  <a:defRPr>
                    <a:latin typeface="Gill Sans MT Condensed" panose="020B0506020104020203" pitchFamily="34" charset="0"/>
                  </a:defRPr>
                </a:pPr>
                <a:r>
                  <a:rPr lang="en-GB" b="0">
                    <a:latin typeface="Gill Sans MT Condensed" panose="020B0506020104020203" pitchFamily="34" charset="0"/>
                  </a:rPr>
                  <a:t>Energy content (EJ)</a:t>
                </a:r>
              </a:p>
            </c:rich>
          </c:tx>
          <c:layout/>
          <c:overlay val="0"/>
        </c:title>
        <c:numFmt formatCode="0" sourceLinked="0"/>
        <c:majorTickMark val="out"/>
        <c:minorTickMark val="none"/>
        <c:tickLblPos val="nextTo"/>
        <c:txPr>
          <a:bodyPr/>
          <a:lstStyle/>
          <a:p>
            <a:pPr>
              <a:defRPr>
                <a:latin typeface="Gill Sans MT Condensed" panose="020B0506020104020203" pitchFamily="34" charset="0"/>
              </a:defRPr>
            </a:pPr>
            <a:endParaRPr lang="en-US"/>
          </a:p>
        </c:txPr>
        <c:crossAx val="149530880"/>
        <c:crosses val="autoZero"/>
        <c:crossBetween val="midCat"/>
      </c:valAx>
      <c:spPr>
        <a:ln>
          <a:solidFill>
            <a:schemeClr val="tx1"/>
          </a:solidFill>
        </a:ln>
      </c:spPr>
    </c:plotArea>
    <c:legend>
      <c:legendPos val="b"/>
      <c:legendEntry>
        <c:idx val="2"/>
        <c:delete val="1"/>
      </c:legendEntry>
      <c:legendEntry>
        <c:idx val="3"/>
        <c:delete val="1"/>
      </c:legendEntry>
      <c:legendEntry>
        <c:idx val="4"/>
        <c:delete val="1"/>
      </c:legendEntry>
      <c:legendEntry>
        <c:idx val="5"/>
        <c:delete val="1"/>
      </c:legendEntry>
      <c:layout>
        <c:manualLayout>
          <c:xMode val="edge"/>
          <c:yMode val="edge"/>
          <c:x val="5.2844650727887327E-2"/>
          <c:y val="0.89565989159891612"/>
          <c:w val="0.91376842995296714"/>
          <c:h val="0.10191815718157182"/>
        </c:manualLayout>
      </c:layout>
      <c:overlay val="0"/>
      <c:txPr>
        <a:bodyPr/>
        <a:lstStyle/>
        <a:p>
          <a:pPr>
            <a:defRPr>
              <a:latin typeface="Gill Sans MT Condensed" panose="020B0506020104020203" pitchFamily="34" charset="0"/>
            </a:defRPr>
          </a:pPr>
          <a:endParaRPr lang="en-US"/>
        </a:p>
      </c:txPr>
    </c:legend>
    <c:plotVisOnly val="1"/>
    <c:dispBlanksAs val="zero"/>
    <c:showDLblsOverMax val="0"/>
  </c:chart>
  <c:spPr>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006711493912408E-2"/>
          <c:y val="4.4723126539912762E-2"/>
          <c:w val="0.8952440540752149"/>
          <c:h val="0.6784693869783327"/>
        </c:manualLayout>
      </c:layout>
      <c:areaChart>
        <c:grouping val="stacked"/>
        <c:varyColors val="0"/>
        <c:ser>
          <c:idx val="2"/>
          <c:order val="0"/>
          <c:tx>
            <c:strRef>
              <c:f>'2DS volumes in Vol &amp; EJ'!$A$14</c:f>
              <c:strCache>
                <c:ptCount val="1"/>
                <c:pt idx="0">
                  <c:v>      Ethanol - conventional</c:v>
                </c:pt>
              </c:strCache>
            </c:strRef>
          </c:tx>
          <c:spPr>
            <a:ln w="25400">
              <a:noFill/>
            </a:ln>
          </c:spPr>
          <c:cat>
            <c:numRef>
              <c:f>'2DS volumes in Vol &amp; EJ'!$B$12:$L$12</c:f>
              <c:numCache>
                <c:formatCode>General</c:formatCode>
                <c:ptCount val="11"/>
                <c:pt idx="0">
                  <c:v>2000</c:v>
                </c:pt>
                <c:pt idx="1">
                  <c:v>2005</c:v>
                </c:pt>
                <c:pt idx="2">
                  <c:v>2010</c:v>
                </c:pt>
                <c:pt idx="3">
                  <c:v>2015</c:v>
                </c:pt>
                <c:pt idx="4">
                  <c:v>2020</c:v>
                </c:pt>
                <c:pt idx="5">
                  <c:v>2025</c:v>
                </c:pt>
                <c:pt idx="6">
                  <c:v>2030</c:v>
                </c:pt>
                <c:pt idx="7">
                  <c:v>2035</c:v>
                </c:pt>
                <c:pt idx="8">
                  <c:v>2040</c:v>
                </c:pt>
                <c:pt idx="9">
                  <c:v>2045</c:v>
                </c:pt>
                <c:pt idx="10">
                  <c:v>2050</c:v>
                </c:pt>
              </c:numCache>
            </c:numRef>
          </c:cat>
          <c:val>
            <c:numRef>
              <c:f>'2DS volumes in Vol &amp; EJ'!$B$14:$L$14</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ser>
          <c:idx val="3"/>
          <c:order val="1"/>
          <c:tx>
            <c:strRef>
              <c:f>'2DS volumes in Vol &amp; EJ'!$A$15</c:f>
              <c:strCache>
                <c:ptCount val="1"/>
                <c:pt idx="0">
                  <c:v>      Ethanol - cane</c:v>
                </c:pt>
              </c:strCache>
            </c:strRef>
          </c:tx>
          <c:spPr>
            <a:ln w="25400">
              <a:noFill/>
            </a:ln>
          </c:spPr>
          <c:cat>
            <c:numRef>
              <c:f>'2DS volumes in Vol &amp; EJ'!$B$12:$L$12</c:f>
              <c:numCache>
                <c:formatCode>General</c:formatCode>
                <c:ptCount val="11"/>
                <c:pt idx="0">
                  <c:v>2000</c:v>
                </c:pt>
                <c:pt idx="1">
                  <c:v>2005</c:v>
                </c:pt>
                <c:pt idx="2">
                  <c:v>2010</c:v>
                </c:pt>
                <c:pt idx="3">
                  <c:v>2015</c:v>
                </c:pt>
                <c:pt idx="4">
                  <c:v>2020</c:v>
                </c:pt>
                <c:pt idx="5">
                  <c:v>2025</c:v>
                </c:pt>
                <c:pt idx="6">
                  <c:v>2030</c:v>
                </c:pt>
                <c:pt idx="7">
                  <c:v>2035</c:v>
                </c:pt>
                <c:pt idx="8">
                  <c:v>2040</c:v>
                </c:pt>
                <c:pt idx="9">
                  <c:v>2045</c:v>
                </c:pt>
                <c:pt idx="10">
                  <c:v>2050</c:v>
                </c:pt>
              </c:numCache>
            </c:numRef>
          </c:cat>
          <c:val>
            <c:numRef>
              <c:f>'2DS volumes in Vol &amp; EJ'!$B$15:$L$15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ser>
          <c:idx val="4"/>
          <c:order val="2"/>
          <c:tx>
            <c:strRef>
              <c:f>'2DS volumes in Vol &amp; EJ'!$A$16</c:f>
              <c:strCache>
                <c:ptCount val="1"/>
                <c:pt idx="0">
                  <c:v>      Ethanol - advanced</c:v>
                </c:pt>
              </c:strCache>
            </c:strRef>
          </c:tx>
          <c:spPr>
            <a:ln w="25400">
              <a:noFill/>
            </a:ln>
          </c:spPr>
          <c:cat>
            <c:numRef>
              <c:f>'2DS volumes in Vol &amp; EJ'!$B$12:$L$12</c:f>
              <c:numCache>
                <c:formatCode>General</c:formatCode>
                <c:ptCount val="11"/>
                <c:pt idx="0">
                  <c:v>2000</c:v>
                </c:pt>
                <c:pt idx="1">
                  <c:v>2005</c:v>
                </c:pt>
                <c:pt idx="2">
                  <c:v>2010</c:v>
                </c:pt>
                <c:pt idx="3">
                  <c:v>2015</c:v>
                </c:pt>
                <c:pt idx="4">
                  <c:v>2020</c:v>
                </c:pt>
                <c:pt idx="5">
                  <c:v>2025</c:v>
                </c:pt>
                <c:pt idx="6">
                  <c:v>2030</c:v>
                </c:pt>
                <c:pt idx="7">
                  <c:v>2035</c:v>
                </c:pt>
                <c:pt idx="8">
                  <c:v>2040</c:v>
                </c:pt>
                <c:pt idx="9">
                  <c:v>2045</c:v>
                </c:pt>
                <c:pt idx="10">
                  <c:v>2050</c:v>
                </c:pt>
              </c:numCache>
            </c:numRef>
          </c:cat>
          <c:val>
            <c:numRef>
              <c:f>'2DS volumes in Vol &amp; EJ'!$B$16:$L$16</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ser>
          <c:idx val="5"/>
          <c:order val="3"/>
          <c:tx>
            <c:strRef>
              <c:f>'2DS volumes in Vol &amp; EJ'!$A$17</c:f>
              <c:strCache>
                <c:ptCount val="1"/>
                <c:pt idx="0">
                  <c:v>      Biodiesel - conventional</c:v>
                </c:pt>
              </c:strCache>
            </c:strRef>
          </c:tx>
          <c:spPr>
            <a:ln w="25400">
              <a:noFill/>
            </a:ln>
          </c:spPr>
          <c:cat>
            <c:numRef>
              <c:f>'2DS volumes in Vol &amp; EJ'!$B$12:$L$12</c:f>
              <c:numCache>
                <c:formatCode>General</c:formatCode>
                <c:ptCount val="11"/>
                <c:pt idx="0">
                  <c:v>2000</c:v>
                </c:pt>
                <c:pt idx="1">
                  <c:v>2005</c:v>
                </c:pt>
                <c:pt idx="2">
                  <c:v>2010</c:v>
                </c:pt>
                <c:pt idx="3">
                  <c:v>2015</c:v>
                </c:pt>
                <c:pt idx="4">
                  <c:v>2020</c:v>
                </c:pt>
                <c:pt idx="5">
                  <c:v>2025</c:v>
                </c:pt>
                <c:pt idx="6">
                  <c:v>2030</c:v>
                </c:pt>
                <c:pt idx="7">
                  <c:v>2035</c:v>
                </c:pt>
                <c:pt idx="8">
                  <c:v>2040</c:v>
                </c:pt>
                <c:pt idx="9">
                  <c:v>2045</c:v>
                </c:pt>
                <c:pt idx="10">
                  <c:v>2050</c:v>
                </c:pt>
              </c:numCache>
            </c:numRef>
          </c:cat>
          <c:val>
            <c:numRef>
              <c:f>'2DS volumes in Vol &amp; EJ'!$B$17:$L$17</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ser>
          <c:idx val="6"/>
          <c:order val="4"/>
          <c:tx>
            <c:strRef>
              <c:f>'2DS volumes in Vol &amp; EJ'!$A$18</c:f>
              <c:strCache>
                <c:ptCount val="1"/>
                <c:pt idx="0">
                  <c:v>      Biodiesel - advanced</c:v>
                </c:pt>
              </c:strCache>
            </c:strRef>
          </c:tx>
          <c:spPr>
            <a:ln w="25400">
              <a:noFill/>
            </a:ln>
          </c:spPr>
          <c:cat>
            <c:numRef>
              <c:f>'2DS volumes in Vol &amp; EJ'!$B$12:$L$12</c:f>
              <c:numCache>
                <c:formatCode>General</c:formatCode>
                <c:ptCount val="11"/>
                <c:pt idx="0">
                  <c:v>2000</c:v>
                </c:pt>
                <c:pt idx="1">
                  <c:v>2005</c:v>
                </c:pt>
                <c:pt idx="2">
                  <c:v>2010</c:v>
                </c:pt>
                <c:pt idx="3">
                  <c:v>2015</c:v>
                </c:pt>
                <c:pt idx="4">
                  <c:v>2020</c:v>
                </c:pt>
                <c:pt idx="5">
                  <c:v>2025</c:v>
                </c:pt>
                <c:pt idx="6">
                  <c:v>2030</c:v>
                </c:pt>
                <c:pt idx="7">
                  <c:v>2035</c:v>
                </c:pt>
                <c:pt idx="8">
                  <c:v>2040</c:v>
                </c:pt>
                <c:pt idx="9">
                  <c:v>2045</c:v>
                </c:pt>
                <c:pt idx="10">
                  <c:v>2050</c:v>
                </c:pt>
              </c:numCache>
            </c:numRef>
          </c:cat>
          <c:val>
            <c:numRef>
              <c:f>'2DS volumes in Vol &amp; EJ'!$B$18:$L$18</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ser>
          <c:idx val="7"/>
          <c:order val="5"/>
          <c:tx>
            <c:strRef>
              <c:f>'2DS volumes in Vol &amp; EJ'!$A$19</c:f>
              <c:strCache>
                <c:ptCount val="1"/>
                <c:pt idx="0">
                  <c:v>      Biogas</c:v>
                </c:pt>
              </c:strCache>
            </c:strRef>
          </c:tx>
          <c:spPr>
            <a:ln w="25400">
              <a:noFill/>
            </a:ln>
          </c:spPr>
          <c:cat>
            <c:numRef>
              <c:f>'2DS volumes in Vol &amp; EJ'!$B$12:$L$12</c:f>
              <c:numCache>
                <c:formatCode>General</c:formatCode>
                <c:ptCount val="11"/>
                <c:pt idx="0">
                  <c:v>2000</c:v>
                </c:pt>
                <c:pt idx="1">
                  <c:v>2005</c:v>
                </c:pt>
                <c:pt idx="2">
                  <c:v>2010</c:v>
                </c:pt>
                <c:pt idx="3">
                  <c:v>2015</c:v>
                </c:pt>
                <c:pt idx="4">
                  <c:v>2020</c:v>
                </c:pt>
                <c:pt idx="5">
                  <c:v>2025</c:v>
                </c:pt>
                <c:pt idx="6">
                  <c:v>2030</c:v>
                </c:pt>
                <c:pt idx="7">
                  <c:v>2035</c:v>
                </c:pt>
                <c:pt idx="8">
                  <c:v>2040</c:v>
                </c:pt>
                <c:pt idx="9">
                  <c:v>2045</c:v>
                </c:pt>
                <c:pt idx="10">
                  <c:v>2050</c:v>
                </c:pt>
              </c:numCache>
            </c:numRef>
          </c:cat>
          <c:val>
            <c:numRef>
              <c:f>'2DS volumes in Vol &amp; EJ'!$B$19:$L$19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ser>
          <c:idx val="8"/>
          <c:order val="6"/>
          <c:tx>
            <c:strRef>
              <c:f>'2DS volumes in Vol &amp; EJ'!$A$20</c:f>
              <c:strCache>
                <c:ptCount val="1"/>
                <c:pt idx="0">
                  <c:v>      Biojet</c:v>
                </c:pt>
              </c:strCache>
            </c:strRef>
          </c:tx>
          <c:spPr>
            <a:ln w="25400">
              <a:noFill/>
            </a:ln>
          </c:spPr>
          <c:cat>
            <c:numRef>
              <c:f>'2DS volumes in Vol &amp; EJ'!$B$12:$L$12</c:f>
              <c:numCache>
                <c:formatCode>General</c:formatCode>
                <c:ptCount val="11"/>
                <c:pt idx="0">
                  <c:v>2000</c:v>
                </c:pt>
                <c:pt idx="1">
                  <c:v>2005</c:v>
                </c:pt>
                <c:pt idx="2">
                  <c:v>2010</c:v>
                </c:pt>
                <c:pt idx="3">
                  <c:v>2015</c:v>
                </c:pt>
                <c:pt idx="4">
                  <c:v>2020</c:v>
                </c:pt>
                <c:pt idx="5">
                  <c:v>2025</c:v>
                </c:pt>
                <c:pt idx="6">
                  <c:v>2030</c:v>
                </c:pt>
                <c:pt idx="7">
                  <c:v>2035</c:v>
                </c:pt>
                <c:pt idx="8">
                  <c:v>2040</c:v>
                </c:pt>
                <c:pt idx="9">
                  <c:v>2045</c:v>
                </c:pt>
                <c:pt idx="10">
                  <c:v>2050</c:v>
                </c:pt>
              </c:numCache>
            </c:numRef>
          </c:cat>
          <c:val>
            <c:numRef>
              <c:f>'2DS volumes in Vol &amp; EJ'!$B$20:$L$20</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ser>
          <c:idx val="9"/>
          <c:order val="7"/>
          <c:tx>
            <c:strRef>
              <c:f>'2DS volumes in Vol &amp; EJ'!$A$21</c:f>
              <c:strCache>
                <c:ptCount val="1"/>
                <c:pt idx="0">
                  <c:v>      Bioheavy</c:v>
                </c:pt>
              </c:strCache>
            </c:strRef>
          </c:tx>
          <c:spPr>
            <a:ln w="25400">
              <a:noFill/>
            </a:ln>
          </c:spPr>
          <c:cat>
            <c:numRef>
              <c:f>'2DS volumes in Vol &amp; EJ'!$B$12:$L$12</c:f>
              <c:numCache>
                <c:formatCode>General</c:formatCode>
                <c:ptCount val="11"/>
                <c:pt idx="0">
                  <c:v>2000</c:v>
                </c:pt>
                <c:pt idx="1">
                  <c:v>2005</c:v>
                </c:pt>
                <c:pt idx="2">
                  <c:v>2010</c:v>
                </c:pt>
                <c:pt idx="3">
                  <c:v>2015</c:v>
                </c:pt>
                <c:pt idx="4">
                  <c:v>2020</c:v>
                </c:pt>
                <c:pt idx="5">
                  <c:v>2025</c:v>
                </c:pt>
                <c:pt idx="6">
                  <c:v>2030</c:v>
                </c:pt>
                <c:pt idx="7">
                  <c:v>2035</c:v>
                </c:pt>
                <c:pt idx="8">
                  <c:v>2040</c:v>
                </c:pt>
                <c:pt idx="9">
                  <c:v>2045</c:v>
                </c:pt>
                <c:pt idx="10">
                  <c:v>2050</c:v>
                </c:pt>
              </c:numCache>
            </c:numRef>
          </c:cat>
          <c:val>
            <c:numRef>
              <c:f>'2DS volumes in Vol &amp; EJ'!$B$21:$L$21</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0"/>
          <c:showSerName val="0"/>
          <c:showPercent val="0"/>
          <c:showBubbleSize val="0"/>
        </c:dLbls>
        <c:axId val="151302144"/>
        <c:axId val="151303680"/>
      </c:areaChart>
      <c:catAx>
        <c:axId val="151302144"/>
        <c:scaling>
          <c:orientation val="minMax"/>
        </c:scaling>
        <c:delete val="0"/>
        <c:axPos val="b"/>
        <c:numFmt formatCode="General" sourceLinked="1"/>
        <c:majorTickMark val="out"/>
        <c:minorTickMark val="none"/>
        <c:tickLblPos val="nextTo"/>
        <c:crossAx val="151303680"/>
        <c:crosses val="autoZero"/>
        <c:auto val="1"/>
        <c:lblAlgn val="ctr"/>
        <c:lblOffset val="100"/>
        <c:noMultiLvlLbl val="0"/>
      </c:catAx>
      <c:valAx>
        <c:axId val="151303680"/>
        <c:scaling>
          <c:orientation val="minMax"/>
        </c:scaling>
        <c:delete val="0"/>
        <c:axPos val="l"/>
        <c:majorGridlines>
          <c:spPr>
            <a:ln>
              <a:prstDash val="lgDash"/>
            </a:ln>
          </c:spPr>
        </c:majorGridlines>
        <c:title>
          <c:tx>
            <c:rich>
              <a:bodyPr rot="-5400000" vert="horz"/>
              <a:lstStyle/>
              <a:p>
                <a:pPr>
                  <a:defRPr/>
                </a:pPr>
                <a:r>
                  <a:rPr lang="en-GB"/>
                  <a:t>EJ</a:t>
                </a:r>
              </a:p>
            </c:rich>
          </c:tx>
          <c:layout>
            <c:manualLayout>
              <c:xMode val="edge"/>
              <c:yMode val="edge"/>
              <c:x val="8.6918719089102772E-3"/>
              <c:y val="0.36141990423677417"/>
            </c:manualLayout>
          </c:layout>
          <c:overlay val="0"/>
        </c:title>
        <c:numFmt formatCode="0" sourceLinked="0"/>
        <c:majorTickMark val="out"/>
        <c:minorTickMark val="none"/>
        <c:tickLblPos val="nextTo"/>
        <c:crossAx val="151302144"/>
        <c:crosses val="autoZero"/>
        <c:crossBetween val="midCat"/>
      </c:valAx>
      <c:spPr>
        <a:ln w="12700">
          <a:solidFill>
            <a:schemeClr val="tx1"/>
          </a:solidFill>
        </a:ln>
      </c:spPr>
    </c:plotArea>
    <c:legend>
      <c:legendPos val="b"/>
      <c:layout>
        <c:manualLayout>
          <c:xMode val="edge"/>
          <c:yMode val="edge"/>
          <c:x val="5.0081334020287777E-2"/>
          <c:y val="0.83517382776321569"/>
          <c:w val="0.89250693439104867"/>
          <c:h val="0.13770753139455516"/>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ysClr val="windowText" lastClr="000000"/>
                </a:solidFill>
              </a:defRPr>
            </a:pPr>
            <a:r>
              <a:rPr lang="en-GB">
                <a:solidFill>
                  <a:sysClr val="windowText" lastClr="000000"/>
                </a:solidFill>
                <a:latin typeface="Gill Sans MT Condensed" panose="020B0506020104020203" pitchFamily="34" charset="0"/>
              </a:rPr>
              <a:t>Global biofuels production versus 2DS targets </a:t>
            </a:r>
          </a:p>
        </c:rich>
      </c:tx>
      <c:layout>
        <c:manualLayout>
          <c:xMode val="edge"/>
          <c:yMode val="edge"/>
          <c:x val="8.2781809136602946E-4"/>
          <c:y val="1.3605442176870748E-2"/>
        </c:manualLayout>
      </c:layout>
      <c:overlay val="0"/>
    </c:title>
    <c:autoTitleDeleted val="0"/>
    <c:plotArea>
      <c:layout>
        <c:manualLayout>
          <c:layoutTarget val="inner"/>
          <c:xMode val="edge"/>
          <c:yMode val="edge"/>
          <c:x val="5.8406738373389604E-2"/>
          <c:y val="0.15012480582784296"/>
          <c:w val="0.91207259876829117"/>
          <c:h val="0.63223201329155188"/>
        </c:manualLayout>
      </c:layout>
      <c:areaChart>
        <c:grouping val="stacked"/>
        <c:varyColors val="0"/>
        <c:ser>
          <c:idx val="0"/>
          <c:order val="0"/>
          <c:tx>
            <c:v>Ethanol</c:v>
          </c:tx>
          <c:spPr>
            <a:solidFill>
              <a:schemeClr val="accent3">
                <a:lumMod val="75000"/>
              </a:schemeClr>
            </a:solidFill>
          </c:spPr>
          <c:cat>
            <c:strRef>
              <c:f>'TCEP 2DS target data'!$B$24:$U$24</c:f>
              <c:strCach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7">
                  <c:v>2020 (2DS)</c:v>
                </c:pt>
                <c:pt idx="18">
                  <c:v>2025 (2DS)</c:v>
                </c:pt>
              </c:strCache>
            </c:strRef>
          </c:cat>
          <c:val>
            <c:numRef>
              <c:f>'TCEP 2DS target data'!$B$27:$Q$27</c:f>
              <c:numCache>
                <c:formatCode>0.00</c:formatCode>
                <c:ptCount val="16"/>
                <c:pt idx="0">
                  <c:v>0.68968952396208372</c:v>
                </c:pt>
                <c:pt idx="1">
                  <c:v>0.82165566710947646</c:v>
                </c:pt>
                <c:pt idx="2">
                  <c:v>1.0890842881956073</c:v>
                </c:pt>
                <c:pt idx="3">
                  <c:v>1.4177219577693492</c:v>
                </c:pt>
                <c:pt idx="4">
                  <c:v>1.572672851495384</c:v>
                </c:pt>
                <c:pt idx="5">
                  <c:v>1.8209169462314478</c:v>
                </c:pt>
                <c:pt idx="6">
                  <c:v>1.7861560118646429</c:v>
                </c:pt>
                <c:pt idx="7">
                  <c:v>1.7667035932307358</c:v>
                </c:pt>
                <c:pt idx="8">
                  <c:v>1.9169348122596184</c:v>
                </c:pt>
                <c:pt idx="9">
                  <c:v>2.0413826653218696</c:v>
                </c:pt>
                <c:pt idx="10">
                  <c:v>2.1296878436422579</c:v>
                </c:pt>
                <c:pt idx="11">
                  <c:v>2.1216698292879079</c:v>
                </c:pt>
                <c:pt idx="12">
                  <c:v>2.1800448406992698</c:v>
                </c:pt>
                <c:pt idx="13">
                  <c:v>2.27644835793091</c:v>
                </c:pt>
                <c:pt idx="14">
                  <c:v>2.3284432818610514</c:v>
                </c:pt>
                <c:pt idx="15">
                  <c:v>2.3923308958378016</c:v>
                </c:pt>
              </c:numCache>
            </c:numRef>
          </c:val>
        </c:ser>
        <c:ser>
          <c:idx val="1"/>
          <c:order val="1"/>
          <c:tx>
            <c:v>Biodiesel</c:v>
          </c:tx>
          <c:spPr>
            <a:solidFill>
              <a:schemeClr val="accent3">
                <a:lumMod val="60000"/>
                <a:lumOff val="40000"/>
              </a:schemeClr>
            </a:solidFill>
            <a:ln w="25400">
              <a:noFill/>
            </a:ln>
          </c:spPr>
          <c:cat>
            <c:strRef>
              <c:f>'TCEP 2DS target data'!$B$24:$U$24</c:f>
              <c:strCach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7">
                  <c:v>2020 (2DS)</c:v>
                </c:pt>
                <c:pt idx="18">
                  <c:v>2025 (2DS)</c:v>
                </c:pt>
              </c:strCache>
            </c:strRef>
          </c:cat>
          <c:val>
            <c:numRef>
              <c:f>'TCEP 2DS target data'!$B$28:$Q$28</c:f>
              <c:numCache>
                <c:formatCode>0.00</c:formatCode>
                <c:ptCount val="16"/>
                <c:pt idx="0">
                  <c:v>0.12799851212445335</c:v>
                </c:pt>
                <c:pt idx="1">
                  <c:v>0.21521990578128877</c:v>
                </c:pt>
                <c:pt idx="2">
                  <c:v>0.33856497618654624</c:v>
                </c:pt>
                <c:pt idx="3">
                  <c:v>0.51136031940009796</c:v>
                </c:pt>
                <c:pt idx="4">
                  <c:v>0.58213491801237882</c:v>
                </c:pt>
                <c:pt idx="5">
                  <c:v>0.66785762487425515</c:v>
                </c:pt>
                <c:pt idx="6">
                  <c:v>0.8248688227311568</c:v>
                </c:pt>
                <c:pt idx="7">
                  <c:v>0.92790521123700964</c:v>
                </c:pt>
                <c:pt idx="8">
                  <c:v>1.0151880702196727</c:v>
                </c:pt>
                <c:pt idx="9">
                  <c:v>1.0941590993297263</c:v>
                </c:pt>
                <c:pt idx="10">
                  <c:v>1.0662376028562133</c:v>
                </c:pt>
                <c:pt idx="11">
                  <c:v>1.1727516048975255</c:v>
                </c:pt>
                <c:pt idx="12">
                  <c:v>1.2784243450198081</c:v>
                </c:pt>
                <c:pt idx="13">
                  <c:v>1.404854580580158</c:v>
                </c:pt>
                <c:pt idx="14">
                  <c:v>1.4658111370611875</c:v>
                </c:pt>
                <c:pt idx="15">
                  <c:v>1.5443407971858965</c:v>
                </c:pt>
              </c:numCache>
            </c:numRef>
          </c:val>
        </c:ser>
        <c:ser>
          <c:idx val="6"/>
          <c:order val="6"/>
          <c:tx>
            <c:v>Advanced ethanol 2</c:v>
          </c:tx>
          <c:spPr>
            <a:solidFill>
              <a:schemeClr val="accent1">
                <a:lumMod val="75000"/>
              </a:schemeClr>
            </a:solidFill>
          </c:spPr>
          <c:val>
            <c:numRef>
              <c:f>'TCEP 2DS target data'!$B$33:$Q$33</c:f>
              <c:numCache>
                <c:formatCode>General</c:formatCode>
                <c:ptCount val="16"/>
                <c:pt idx="9" formatCode="0.000">
                  <c:v>2.7472964999999995E-3</c:v>
                </c:pt>
                <c:pt idx="10" formatCode="0.000">
                  <c:v>4.0152794999999998E-3</c:v>
                </c:pt>
                <c:pt idx="11" formatCode="0.000">
                  <c:v>6.9739064999999991E-3</c:v>
                </c:pt>
                <c:pt idx="12" formatCode="0.000">
                  <c:v>1.0355194499999998E-2</c:v>
                </c:pt>
                <c:pt idx="13" formatCode="0.000">
                  <c:v>1.7751761999999997E-2</c:v>
                </c:pt>
                <c:pt idx="14" formatCode="0.000">
                  <c:v>2.6204981999999995E-2</c:v>
                </c:pt>
                <c:pt idx="15" formatCode="0.000">
                  <c:v>3.2544896999999996E-2</c:v>
                </c:pt>
              </c:numCache>
            </c:numRef>
          </c:val>
        </c:ser>
        <c:ser>
          <c:idx val="7"/>
          <c:order val="7"/>
          <c:tx>
            <c:v>Renewable diesel 2</c:v>
          </c:tx>
          <c:spPr>
            <a:solidFill>
              <a:schemeClr val="accent1">
                <a:lumMod val="60000"/>
                <a:lumOff val="40000"/>
              </a:schemeClr>
            </a:solidFill>
          </c:spPr>
          <c:val>
            <c:numRef>
              <c:f>'TCEP 2DS target data'!$B$34:$Q$34</c:f>
              <c:numCache>
                <c:formatCode>General</c:formatCode>
                <c:ptCount val="16"/>
                <c:pt idx="9" formatCode="0.000">
                  <c:v>0</c:v>
                </c:pt>
                <c:pt idx="10" formatCode="0.000">
                  <c:v>2.4080000000000004E-3</c:v>
                </c:pt>
                <c:pt idx="11" formatCode="0.000">
                  <c:v>2.4080000000000004E-3</c:v>
                </c:pt>
                <c:pt idx="12" formatCode="0.000">
                  <c:v>5.8480000000000008E-3</c:v>
                </c:pt>
                <c:pt idx="13" formatCode="0.000">
                  <c:v>1.0319999999999999E-2</c:v>
                </c:pt>
                <c:pt idx="14" formatCode="0.000">
                  <c:v>1.7888000000000001E-2</c:v>
                </c:pt>
                <c:pt idx="15" formatCode="0.000">
                  <c:v>2.5111999999999999E-2</c:v>
                </c:pt>
              </c:numCache>
            </c:numRef>
          </c:val>
        </c:ser>
        <c:dLbls>
          <c:showLegendKey val="0"/>
          <c:showVal val="0"/>
          <c:showCatName val="0"/>
          <c:showSerName val="0"/>
          <c:showPercent val="0"/>
          <c:showBubbleSize val="0"/>
        </c:dLbls>
        <c:axId val="153425024"/>
        <c:axId val="153426560"/>
      </c:areaChart>
      <c:barChart>
        <c:barDir val="col"/>
        <c:grouping val="stacked"/>
        <c:varyColors val="0"/>
        <c:ser>
          <c:idx val="2"/>
          <c:order val="2"/>
          <c:tx>
            <c:v>Ethanol</c:v>
          </c:tx>
          <c:spPr>
            <a:solidFill>
              <a:schemeClr val="accent3">
                <a:lumMod val="75000"/>
              </a:schemeClr>
            </a:solidFill>
            <a:ln w="25400">
              <a:noFill/>
            </a:ln>
          </c:spPr>
          <c:invertIfNegative val="0"/>
          <c:val>
            <c:numRef>
              <c:f>'TCEP 2DS target data'!$B$29:$U$29</c:f>
              <c:numCache>
                <c:formatCode>General</c:formatCode>
                <c:ptCount val="20"/>
                <c:pt idx="17" formatCode="0.00">
                  <c:v>0</c:v>
                </c:pt>
                <c:pt idx="18" formatCode="0.00">
                  <c:v>0</c:v>
                </c:pt>
              </c:numCache>
            </c:numRef>
          </c:val>
        </c:ser>
        <c:ser>
          <c:idx val="3"/>
          <c:order val="3"/>
          <c:tx>
            <c:v>Biodiesel</c:v>
          </c:tx>
          <c:spPr>
            <a:solidFill>
              <a:schemeClr val="accent3">
                <a:lumMod val="60000"/>
                <a:lumOff val="40000"/>
              </a:schemeClr>
            </a:solidFill>
            <a:ln w="25400">
              <a:noFill/>
            </a:ln>
          </c:spPr>
          <c:invertIfNegative val="0"/>
          <c:val>
            <c:numRef>
              <c:f>'TCEP 2DS target data'!$B$30:$U$30</c:f>
              <c:numCache>
                <c:formatCode>General</c:formatCode>
                <c:ptCount val="20"/>
                <c:pt idx="17" formatCode="0.00">
                  <c:v>0</c:v>
                </c:pt>
                <c:pt idx="18" formatCode="0.00">
                  <c:v>0</c:v>
                </c:pt>
              </c:numCache>
            </c:numRef>
          </c:val>
        </c:ser>
        <c:ser>
          <c:idx val="4"/>
          <c:order val="4"/>
          <c:tx>
            <c:strRef>
              <c:f>'TCEP 2DS target data'!$A$31</c:f>
              <c:strCache>
                <c:ptCount val="1"/>
                <c:pt idx="0">
                  <c:v>Advanced ethanol </c:v>
                </c:pt>
              </c:strCache>
            </c:strRef>
          </c:tx>
          <c:spPr>
            <a:solidFill>
              <a:schemeClr val="accent1">
                <a:lumMod val="75000"/>
              </a:schemeClr>
            </a:solidFill>
          </c:spPr>
          <c:invertIfNegative val="0"/>
          <c:val>
            <c:numRef>
              <c:f>'TCEP 2DS target data'!$B$31:$T$31</c:f>
              <c:numCache>
                <c:formatCode>General</c:formatCode>
                <c:ptCount val="19"/>
                <c:pt idx="17" formatCode="0.00">
                  <c:v>0</c:v>
                </c:pt>
                <c:pt idx="18" formatCode="0.00">
                  <c:v>0</c:v>
                </c:pt>
              </c:numCache>
            </c:numRef>
          </c:val>
        </c:ser>
        <c:ser>
          <c:idx val="5"/>
          <c:order val="5"/>
          <c:tx>
            <c:strRef>
              <c:f>'TCEP 2DS target data'!$A$32</c:f>
              <c:strCache>
                <c:ptCount val="1"/>
                <c:pt idx="0">
                  <c:v>Advanced renewable diesel</c:v>
                </c:pt>
              </c:strCache>
            </c:strRef>
          </c:tx>
          <c:spPr>
            <a:solidFill>
              <a:schemeClr val="accent1">
                <a:lumMod val="60000"/>
                <a:lumOff val="40000"/>
              </a:schemeClr>
            </a:solidFill>
          </c:spPr>
          <c:invertIfNegative val="0"/>
          <c:val>
            <c:numRef>
              <c:f>'TCEP 2DS target data'!$B$32:$T$32</c:f>
              <c:numCache>
                <c:formatCode>General</c:formatCode>
                <c:ptCount val="19"/>
                <c:pt idx="17" formatCode="0.00">
                  <c:v>0</c:v>
                </c:pt>
                <c:pt idx="18" formatCode="0.00">
                  <c:v>0</c:v>
                </c:pt>
              </c:numCache>
            </c:numRef>
          </c:val>
        </c:ser>
        <c:dLbls>
          <c:showLegendKey val="0"/>
          <c:showVal val="0"/>
          <c:showCatName val="0"/>
          <c:showSerName val="0"/>
          <c:showPercent val="0"/>
          <c:showBubbleSize val="0"/>
        </c:dLbls>
        <c:gapWidth val="150"/>
        <c:overlap val="100"/>
        <c:axId val="153425024"/>
        <c:axId val="153426560"/>
      </c:barChart>
      <c:dateAx>
        <c:axId val="153425024"/>
        <c:scaling>
          <c:orientation val="minMax"/>
        </c:scaling>
        <c:delete val="0"/>
        <c:axPos val="b"/>
        <c:majorTickMark val="out"/>
        <c:minorTickMark val="none"/>
        <c:tickLblPos val="nextTo"/>
        <c:txPr>
          <a:bodyPr/>
          <a:lstStyle/>
          <a:p>
            <a:pPr>
              <a:defRPr>
                <a:latin typeface="Gill Sans MT Condensed" panose="020B0506020104020203" pitchFamily="34" charset="0"/>
              </a:defRPr>
            </a:pPr>
            <a:endParaRPr lang="en-US"/>
          </a:p>
        </c:txPr>
        <c:crossAx val="153426560"/>
        <c:crosses val="autoZero"/>
        <c:auto val="0"/>
        <c:lblOffset val="100"/>
        <c:baseTimeUnit val="days"/>
      </c:dateAx>
      <c:valAx>
        <c:axId val="153426560"/>
        <c:scaling>
          <c:orientation val="minMax"/>
        </c:scaling>
        <c:delete val="0"/>
        <c:axPos val="l"/>
        <c:majorGridlines>
          <c:spPr>
            <a:ln>
              <a:prstDash val="lgDash"/>
            </a:ln>
          </c:spPr>
        </c:majorGridlines>
        <c:title>
          <c:tx>
            <c:rich>
              <a:bodyPr rot="-5400000" vert="horz"/>
              <a:lstStyle/>
              <a:p>
                <a:pPr>
                  <a:defRPr>
                    <a:latin typeface="Gill Sans MT Condensed" panose="020B0506020104020203" pitchFamily="34" charset="0"/>
                  </a:defRPr>
                </a:pPr>
                <a:r>
                  <a:rPr lang="en-GB" b="0">
                    <a:latin typeface="Gill Sans MT Condensed" panose="020B0506020104020203" pitchFamily="34" charset="0"/>
                  </a:rPr>
                  <a:t>Energy content (EJ)</a:t>
                </a:r>
              </a:p>
            </c:rich>
          </c:tx>
          <c:overlay val="0"/>
        </c:title>
        <c:numFmt formatCode="0" sourceLinked="0"/>
        <c:majorTickMark val="out"/>
        <c:minorTickMark val="none"/>
        <c:tickLblPos val="nextTo"/>
        <c:txPr>
          <a:bodyPr/>
          <a:lstStyle/>
          <a:p>
            <a:pPr>
              <a:defRPr>
                <a:latin typeface="Gill Sans MT Condensed" panose="020B0506020104020203" pitchFamily="34" charset="0"/>
              </a:defRPr>
            </a:pPr>
            <a:endParaRPr lang="en-US"/>
          </a:p>
        </c:txPr>
        <c:crossAx val="153425024"/>
        <c:crosses val="autoZero"/>
        <c:crossBetween val="midCat"/>
      </c:valAx>
      <c:spPr>
        <a:ln>
          <a:solidFill>
            <a:schemeClr val="tx1"/>
          </a:solidFill>
        </a:ln>
      </c:spPr>
    </c:plotArea>
    <c:legend>
      <c:legendPos val="b"/>
      <c:legendEntry>
        <c:idx val="2"/>
        <c:delete val="1"/>
      </c:legendEntry>
      <c:legendEntry>
        <c:idx val="3"/>
        <c:delete val="1"/>
      </c:legendEntry>
      <c:legendEntry>
        <c:idx val="4"/>
        <c:delete val="1"/>
      </c:legendEntry>
      <c:legendEntry>
        <c:idx val="5"/>
        <c:delete val="1"/>
      </c:legendEntry>
      <c:layout>
        <c:manualLayout>
          <c:xMode val="edge"/>
          <c:yMode val="edge"/>
          <c:x val="5.2844631011608627E-2"/>
          <c:y val="0.88877635001086597"/>
          <c:w val="0.91376842995296714"/>
          <c:h val="8.1267698680522082E-2"/>
        </c:manualLayout>
      </c:layout>
      <c:overlay val="0"/>
      <c:txPr>
        <a:bodyPr/>
        <a:lstStyle/>
        <a:p>
          <a:pPr>
            <a:defRPr>
              <a:latin typeface="Gill Sans MT Condensed" panose="020B0506020104020203" pitchFamily="34" charset="0"/>
            </a:defRPr>
          </a:pPr>
          <a:endParaRPr lang="en-US"/>
        </a:p>
      </c:txPr>
    </c:legend>
    <c:plotVisOnly val="1"/>
    <c:dispBlanksAs val="zero"/>
    <c:showDLblsOverMax val="0"/>
  </c:chart>
  <c:spPr>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10094050743596E-2"/>
          <c:y val="2.6656461753815711E-2"/>
          <c:w val="0.68943363697184912"/>
          <c:h val="0.87891586468358207"/>
        </c:manualLayout>
      </c:layout>
      <c:areaChart>
        <c:grouping val="stacked"/>
        <c:varyColors val="0"/>
        <c:ser>
          <c:idx val="1"/>
          <c:order val="0"/>
          <c:tx>
            <c:strRef>
              <c:f>'2DS biofuels by type '!$B$41</c:f>
              <c:strCache>
                <c:ptCount val="1"/>
                <c:pt idx="0">
                  <c:v>Non sugar cane ethanol</c:v>
                </c:pt>
              </c:strCache>
            </c:strRef>
          </c:tx>
          <c:spPr>
            <a:solidFill>
              <a:srgbClr val="00335A"/>
            </a:solidFill>
            <a:ln>
              <a:solidFill>
                <a:srgbClr val="00335A"/>
              </a:solidFill>
              <a:prstDash val="solid"/>
            </a:ln>
          </c:spPr>
          <c:cat>
            <c:numRef>
              <c:f>'2DS biofuels by type '!$C$40:$J$40</c:f>
              <c:numCache>
                <c:formatCode>0</c:formatCode>
                <c:ptCount val="8"/>
                <c:pt idx="0">
                  <c:v>0</c:v>
                </c:pt>
                <c:pt idx="1">
                  <c:v>0</c:v>
                </c:pt>
                <c:pt idx="2">
                  <c:v>0</c:v>
                </c:pt>
                <c:pt idx="3">
                  <c:v>0</c:v>
                </c:pt>
                <c:pt idx="4">
                  <c:v>0</c:v>
                </c:pt>
                <c:pt idx="5">
                  <c:v>0</c:v>
                </c:pt>
                <c:pt idx="6">
                  <c:v>0</c:v>
                </c:pt>
                <c:pt idx="7">
                  <c:v>0</c:v>
                </c:pt>
              </c:numCache>
            </c:numRef>
          </c:cat>
          <c:val>
            <c:numRef>
              <c:f>'2DS biofuels by type '!$C$41:$J$41</c:f>
              <c:numCache>
                <c:formatCode>0.00</c:formatCode>
                <c:ptCount val="8"/>
                <c:pt idx="0">
                  <c:v>0</c:v>
                </c:pt>
                <c:pt idx="1">
                  <c:v>0</c:v>
                </c:pt>
                <c:pt idx="2">
                  <c:v>0</c:v>
                </c:pt>
                <c:pt idx="3">
                  <c:v>0</c:v>
                </c:pt>
                <c:pt idx="4">
                  <c:v>0</c:v>
                </c:pt>
                <c:pt idx="5">
                  <c:v>0</c:v>
                </c:pt>
                <c:pt idx="6">
                  <c:v>0</c:v>
                </c:pt>
                <c:pt idx="7">
                  <c:v>0</c:v>
                </c:pt>
              </c:numCache>
            </c:numRef>
          </c:val>
        </c:ser>
        <c:ser>
          <c:idx val="2"/>
          <c:order val="1"/>
          <c:tx>
            <c:strRef>
              <c:f>'2DS biofuels by type '!$B$42</c:f>
              <c:strCache>
                <c:ptCount val="1"/>
                <c:pt idx="0">
                  <c:v>Sugar cane ethanol</c:v>
                </c:pt>
              </c:strCache>
            </c:strRef>
          </c:tx>
          <c:spPr>
            <a:solidFill>
              <a:srgbClr val="0089AB"/>
            </a:solidFill>
            <a:ln>
              <a:solidFill>
                <a:srgbClr val="0089AB"/>
              </a:solidFill>
              <a:prstDash val="solid"/>
            </a:ln>
          </c:spPr>
          <c:cat>
            <c:numRef>
              <c:f>'2DS biofuels by type '!$C$40:$J$40</c:f>
              <c:numCache>
                <c:formatCode>0</c:formatCode>
                <c:ptCount val="8"/>
                <c:pt idx="0">
                  <c:v>0</c:v>
                </c:pt>
                <c:pt idx="1">
                  <c:v>0</c:v>
                </c:pt>
                <c:pt idx="2">
                  <c:v>0</c:v>
                </c:pt>
                <c:pt idx="3">
                  <c:v>0</c:v>
                </c:pt>
                <c:pt idx="4">
                  <c:v>0</c:v>
                </c:pt>
                <c:pt idx="5">
                  <c:v>0</c:v>
                </c:pt>
                <c:pt idx="6">
                  <c:v>0</c:v>
                </c:pt>
                <c:pt idx="7">
                  <c:v>0</c:v>
                </c:pt>
              </c:numCache>
            </c:numRef>
          </c:cat>
          <c:val>
            <c:numRef>
              <c:f>'2DS biofuels by type '!$C$42:$J$42</c:f>
              <c:numCache>
                <c:formatCode>0.00</c:formatCode>
                <c:ptCount val="8"/>
                <c:pt idx="0">
                  <c:v>0</c:v>
                </c:pt>
                <c:pt idx="1">
                  <c:v>0</c:v>
                </c:pt>
                <c:pt idx="2">
                  <c:v>0</c:v>
                </c:pt>
                <c:pt idx="3">
                  <c:v>0</c:v>
                </c:pt>
                <c:pt idx="4">
                  <c:v>0</c:v>
                </c:pt>
                <c:pt idx="5">
                  <c:v>0</c:v>
                </c:pt>
                <c:pt idx="6">
                  <c:v>0</c:v>
                </c:pt>
                <c:pt idx="7">
                  <c:v>0</c:v>
                </c:pt>
              </c:numCache>
            </c:numRef>
          </c:val>
        </c:ser>
        <c:ser>
          <c:idx val="3"/>
          <c:order val="2"/>
          <c:tx>
            <c:strRef>
              <c:f>'2DS biofuels by type '!$B$43</c:f>
              <c:strCache>
                <c:ptCount val="1"/>
                <c:pt idx="0">
                  <c:v>Advanced ethanol</c:v>
                </c:pt>
              </c:strCache>
            </c:strRef>
          </c:tx>
          <c:spPr>
            <a:solidFill>
              <a:srgbClr val="9DCD17"/>
            </a:solidFill>
            <a:ln>
              <a:solidFill>
                <a:srgbClr val="9DCD17"/>
              </a:solidFill>
              <a:prstDash val="solid"/>
            </a:ln>
          </c:spPr>
          <c:cat>
            <c:numRef>
              <c:f>'2DS biofuels by type '!$C$40:$J$40</c:f>
              <c:numCache>
                <c:formatCode>0</c:formatCode>
                <c:ptCount val="8"/>
                <c:pt idx="0">
                  <c:v>0</c:v>
                </c:pt>
                <c:pt idx="1">
                  <c:v>0</c:v>
                </c:pt>
                <c:pt idx="2">
                  <c:v>0</c:v>
                </c:pt>
                <c:pt idx="3">
                  <c:v>0</c:v>
                </c:pt>
                <c:pt idx="4">
                  <c:v>0</c:v>
                </c:pt>
                <c:pt idx="5">
                  <c:v>0</c:v>
                </c:pt>
                <c:pt idx="6">
                  <c:v>0</c:v>
                </c:pt>
                <c:pt idx="7">
                  <c:v>0</c:v>
                </c:pt>
              </c:numCache>
            </c:numRef>
          </c:cat>
          <c:val>
            <c:numRef>
              <c:f>'2DS biofuels by type '!$C$43:$J$43</c:f>
              <c:numCache>
                <c:formatCode>0.00</c:formatCode>
                <c:ptCount val="8"/>
                <c:pt idx="0">
                  <c:v>0</c:v>
                </c:pt>
                <c:pt idx="1">
                  <c:v>0</c:v>
                </c:pt>
                <c:pt idx="2">
                  <c:v>0</c:v>
                </c:pt>
                <c:pt idx="3">
                  <c:v>0</c:v>
                </c:pt>
                <c:pt idx="4">
                  <c:v>0</c:v>
                </c:pt>
                <c:pt idx="5">
                  <c:v>0</c:v>
                </c:pt>
                <c:pt idx="6">
                  <c:v>0</c:v>
                </c:pt>
                <c:pt idx="7">
                  <c:v>0</c:v>
                </c:pt>
              </c:numCache>
            </c:numRef>
          </c:val>
        </c:ser>
        <c:ser>
          <c:idx val="4"/>
          <c:order val="3"/>
          <c:tx>
            <c:strRef>
              <c:f>'2DS biofuels by type '!$B$44</c:f>
              <c:strCache>
                <c:ptCount val="1"/>
                <c:pt idx="0">
                  <c:v>Conventional biodiesel</c:v>
                </c:pt>
              </c:strCache>
            </c:strRef>
          </c:tx>
          <c:spPr>
            <a:solidFill>
              <a:srgbClr val="E19813"/>
            </a:solidFill>
            <a:ln>
              <a:solidFill>
                <a:srgbClr val="E19813"/>
              </a:solidFill>
              <a:prstDash val="solid"/>
            </a:ln>
          </c:spPr>
          <c:cat>
            <c:numRef>
              <c:f>'2DS biofuels by type '!$C$40:$J$40</c:f>
              <c:numCache>
                <c:formatCode>0</c:formatCode>
                <c:ptCount val="8"/>
                <c:pt idx="0">
                  <c:v>0</c:v>
                </c:pt>
                <c:pt idx="1">
                  <c:v>0</c:v>
                </c:pt>
                <c:pt idx="2">
                  <c:v>0</c:v>
                </c:pt>
                <c:pt idx="3">
                  <c:v>0</c:v>
                </c:pt>
                <c:pt idx="4">
                  <c:v>0</c:v>
                </c:pt>
                <c:pt idx="5">
                  <c:v>0</c:v>
                </c:pt>
                <c:pt idx="6">
                  <c:v>0</c:v>
                </c:pt>
                <c:pt idx="7">
                  <c:v>0</c:v>
                </c:pt>
              </c:numCache>
            </c:numRef>
          </c:cat>
          <c:val>
            <c:numRef>
              <c:f>'2DS biofuels by type '!$C$44:$J$44</c:f>
              <c:numCache>
                <c:formatCode>0.00</c:formatCode>
                <c:ptCount val="8"/>
                <c:pt idx="0">
                  <c:v>0</c:v>
                </c:pt>
                <c:pt idx="1">
                  <c:v>0</c:v>
                </c:pt>
                <c:pt idx="2">
                  <c:v>0</c:v>
                </c:pt>
                <c:pt idx="3">
                  <c:v>0</c:v>
                </c:pt>
                <c:pt idx="4">
                  <c:v>0</c:v>
                </c:pt>
                <c:pt idx="5">
                  <c:v>0</c:v>
                </c:pt>
                <c:pt idx="6">
                  <c:v>0</c:v>
                </c:pt>
                <c:pt idx="7">
                  <c:v>0</c:v>
                </c:pt>
              </c:numCache>
            </c:numRef>
          </c:val>
        </c:ser>
        <c:ser>
          <c:idx val="5"/>
          <c:order val="4"/>
          <c:tx>
            <c:strRef>
              <c:f>'2DS biofuels by type '!$B$45</c:f>
              <c:strCache>
                <c:ptCount val="1"/>
                <c:pt idx="0">
                  <c:v>Renewable diesel</c:v>
                </c:pt>
              </c:strCache>
            </c:strRef>
          </c:tx>
          <c:spPr>
            <a:solidFill>
              <a:srgbClr val="D43633"/>
            </a:solidFill>
            <a:ln>
              <a:solidFill>
                <a:srgbClr val="D43633"/>
              </a:solidFill>
              <a:prstDash val="solid"/>
            </a:ln>
          </c:spPr>
          <c:cat>
            <c:numRef>
              <c:f>'2DS biofuels by type '!$C$40:$J$40</c:f>
              <c:numCache>
                <c:formatCode>0</c:formatCode>
                <c:ptCount val="8"/>
                <c:pt idx="0">
                  <c:v>0</c:v>
                </c:pt>
                <c:pt idx="1">
                  <c:v>0</c:v>
                </c:pt>
                <c:pt idx="2">
                  <c:v>0</c:v>
                </c:pt>
                <c:pt idx="3">
                  <c:v>0</c:v>
                </c:pt>
                <c:pt idx="4">
                  <c:v>0</c:v>
                </c:pt>
                <c:pt idx="5">
                  <c:v>0</c:v>
                </c:pt>
                <c:pt idx="6">
                  <c:v>0</c:v>
                </c:pt>
                <c:pt idx="7">
                  <c:v>0</c:v>
                </c:pt>
              </c:numCache>
            </c:numRef>
          </c:cat>
          <c:val>
            <c:numRef>
              <c:f>'2DS biofuels by type '!$C$45:$J$45</c:f>
              <c:numCache>
                <c:formatCode>0.00</c:formatCode>
                <c:ptCount val="8"/>
                <c:pt idx="0">
                  <c:v>0</c:v>
                </c:pt>
                <c:pt idx="1">
                  <c:v>0</c:v>
                </c:pt>
                <c:pt idx="2">
                  <c:v>0</c:v>
                </c:pt>
                <c:pt idx="3">
                  <c:v>0</c:v>
                </c:pt>
                <c:pt idx="4">
                  <c:v>0</c:v>
                </c:pt>
                <c:pt idx="5">
                  <c:v>0</c:v>
                </c:pt>
                <c:pt idx="6">
                  <c:v>0</c:v>
                </c:pt>
                <c:pt idx="7">
                  <c:v>0</c:v>
                </c:pt>
              </c:numCache>
            </c:numRef>
          </c:val>
        </c:ser>
        <c:ser>
          <c:idx val="11"/>
          <c:order val="5"/>
          <c:tx>
            <c:strRef>
              <c:f>'2DS biofuels by type '!$B$47</c:f>
              <c:strCache>
                <c:ptCount val="1"/>
                <c:pt idx="0">
                  <c:v>Biojet</c:v>
                </c:pt>
              </c:strCache>
            </c:strRef>
          </c:tx>
          <c:spPr>
            <a:solidFill>
              <a:srgbClr val="AA561C"/>
            </a:solidFill>
            <a:ln>
              <a:solidFill>
                <a:srgbClr val="AA561C"/>
              </a:solidFill>
              <a:prstDash val="solid"/>
            </a:ln>
          </c:spPr>
          <c:cat>
            <c:numRef>
              <c:f>'2DS biofuels by type '!$C$40:$J$40</c:f>
              <c:numCache>
                <c:formatCode>0</c:formatCode>
                <c:ptCount val="8"/>
                <c:pt idx="0">
                  <c:v>0</c:v>
                </c:pt>
                <c:pt idx="1">
                  <c:v>0</c:v>
                </c:pt>
                <c:pt idx="2">
                  <c:v>0</c:v>
                </c:pt>
                <c:pt idx="3">
                  <c:v>0</c:v>
                </c:pt>
                <c:pt idx="4">
                  <c:v>0</c:v>
                </c:pt>
                <c:pt idx="5">
                  <c:v>0</c:v>
                </c:pt>
                <c:pt idx="6">
                  <c:v>0</c:v>
                </c:pt>
                <c:pt idx="7">
                  <c:v>0</c:v>
                </c:pt>
              </c:numCache>
            </c:numRef>
          </c:cat>
          <c:val>
            <c:numRef>
              <c:f>'2DS biofuels by type '!$C$47:$J$47</c:f>
              <c:numCache>
                <c:formatCode>0.00</c:formatCode>
                <c:ptCount val="8"/>
                <c:pt idx="0">
                  <c:v>0</c:v>
                </c:pt>
                <c:pt idx="1">
                  <c:v>0</c:v>
                </c:pt>
                <c:pt idx="2">
                  <c:v>0</c:v>
                </c:pt>
                <c:pt idx="3">
                  <c:v>0</c:v>
                </c:pt>
                <c:pt idx="4">
                  <c:v>0</c:v>
                </c:pt>
                <c:pt idx="5">
                  <c:v>0</c:v>
                </c:pt>
                <c:pt idx="6">
                  <c:v>0</c:v>
                </c:pt>
                <c:pt idx="7">
                  <c:v>0</c:v>
                </c:pt>
              </c:numCache>
            </c:numRef>
          </c:val>
        </c:ser>
        <c:ser>
          <c:idx val="10"/>
          <c:order val="6"/>
          <c:tx>
            <c:strRef>
              <c:f>'2DS biofuels by type '!$B$46</c:f>
              <c:strCache>
                <c:ptCount val="1"/>
                <c:pt idx="0">
                  <c:v>Biogas</c:v>
                </c:pt>
              </c:strCache>
            </c:strRef>
          </c:tx>
          <c:spPr>
            <a:solidFill>
              <a:srgbClr val="70BBD8"/>
            </a:solidFill>
            <a:ln>
              <a:solidFill>
                <a:srgbClr val="70BBD8"/>
              </a:solidFill>
              <a:prstDash val="solid"/>
            </a:ln>
          </c:spPr>
          <c:cat>
            <c:numRef>
              <c:f>'2DS biofuels by type '!$C$40:$J$40</c:f>
              <c:numCache>
                <c:formatCode>0</c:formatCode>
                <c:ptCount val="8"/>
                <c:pt idx="0">
                  <c:v>0</c:v>
                </c:pt>
                <c:pt idx="1">
                  <c:v>0</c:v>
                </c:pt>
                <c:pt idx="2">
                  <c:v>0</c:v>
                </c:pt>
                <c:pt idx="3">
                  <c:v>0</c:v>
                </c:pt>
                <c:pt idx="4">
                  <c:v>0</c:v>
                </c:pt>
                <c:pt idx="5">
                  <c:v>0</c:v>
                </c:pt>
                <c:pt idx="6">
                  <c:v>0</c:v>
                </c:pt>
                <c:pt idx="7">
                  <c:v>0</c:v>
                </c:pt>
              </c:numCache>
            </c:numRef>
          </c:cat>
          <c:val>
            <c:numRef>
              <c:f>'2DS biofuels by type '!$C$46:$J$46</c:f>
              <c:numCache>
                <c:formatCode>0.00</c:formatCode>
                <c:ptCount val="8"/>
                <c:pt idx="0">
                  <c:v>0</c:v>
                </c:pt>
                <c:pt idx="1">
                  <c:v>0</c:v>
                </c:pt>
                <c:pt idx="2">
                  <c:v>0</c:v>
                </c:pt>
                <c:pt idx="3">
                  <c:v>0</c:v>
                </c:pt>
                <c:pt idx="4">
                  <c:v>0</c:v>
                </c:pt>
                <c:pt idx="5">
                  <c:v>0</c:v>
                </c:pt>
                <c:pt idx="6">
                  <c:v>0</c:v>
                </c:pt>
                <c:pt idx="7">
                  <c:v>0</c:v>
                </c:pt>
              </c:numCache>
            </c:numRef>
          </c:val>
        </c:ser>
        <c:ser>
          <c:idx val="12"/>
          <c:order val="7"/>
          <c:tx>
            <c:strRef>
              <c:f>'2DS biofuels by type '!$B$48</c:f>
              <c:strCache>
                <c:ptCount val="1"/>
                <c:pt idx="0">
                  <c:v>Bioheavy</c:v>
                </c:pt>
              </c:strCache>
            </c:strRef>
          </c:tx>
          <c:spPr>
            <a:solidFill>
              <a:srgbClr val="9EA9CB"/>
            </a:solidFill>
            <a:ln>
              <a:solidFill>
                <a:srgbClr val="9EA9CB"/>
              </a:solidFill>
              <a:prstDash val="solid"/>
            </a:ln>
          </c:spPr>
          <c:cat>
            <c:numRef>
              <c:f>'2DS biofuels by type '!$C$40:$J$40</c:f>
              <c:numCache>
                <c:formatCode>0</c:formatCode>
                <c:ptCount val="8"/>
                <c:pt idx="0">
                  <c:v>0</c:v>
                </c:pt>
                <c:pt idx="1">
                  <c:v>0</c:v>
                </c:pt>
                <c:pt idx="2">
                  <c:v>0</c:v>
                </c:pt>
                <c:pt idx="3">
                  <c:v>0</c:v>
                </c:pt>
                <c:pt idx="4">
                  <c:v>0</c:v>
                </c:pt>
                <c:pt idx="5">
                  <c:v>0</c:v>
                </c:pt>
                <c:pt idx="6">
                  <c:v>0</c:v>
                </c:pt>
                <c:pt idx="7">
                  <c:v>0</c:v>
                </c:pt>
              </c:numCache>
            </c:numRef>
          </c:cat>
          <c:val>
            <c:numRef>
              <c:f>'2DS biofuels by type '!$C$48:$J$48</c:f>
              <c:numCache>
                <c:formatCode>0.00</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axId val="153722240"/>
        <c:axId val="153728128"/>
      </c:areaChart>
      <c:catAx>
        <c:axId val="153722240"/>
        <c:scaling>
          <c:orientation val="minMax"/>
        </c:scaling>
        <c:delete val="0"/>
        <c:axPos val="b"/>
        <c:numFmt formatCode="0" sourceLinked="1"/>
        <c:majorTickMark val="in"/>
        <c:minorTickMark val="none"/>
        <c:tickLblPos val="nextTo"/>
        <c:spPr>
          <a:ln w="12700">
            <a:solidFill>
              <a:srgbClr val="000000"/>
            </a:solidFill>
            <a:prstDash val="solid"/>
          </a:ln>
        </c:spPr>
        <c:crossAx val="153728128"/>
        <c:crossesAt val="0"/>
        <c:auto val="1"/>
        <c:lblAlgn val="ctr"/>
        <c:lblOffset val="100"/>
        <c:tickLblSkip val="1"/>
        <c:noMultiLvlLbl val="0"/>
      </c:catAx>
      <c:valAx>
        <c:axId val="153728128"/>
        <c:scaling>
          <c:orientation val="minMax"/>
        </c:scaling>
        <c:delete val="0"/>
        <c:axPos val="l"/>
        <c:majorGridlines>
          <c:spPr>
            <a:ln w="12700">
              <a:solidFill>
                <a:srgbClr val="7F7F7F"/>
              </a:solidFill>
              <a:prstDash val="lgDash"/>
            </a:ln>
          </c:spPr>
        </c:majorGridlines>
        <c:title>
          <c:tx>
            <c:strRef>
              <c:f>'2DS biofuels by type '!$C$11</c:f>
              <c:strCache>
                <c:ptCount val="1"/>
                <c:pt idx="0">
                  <c:v>Volume (billion L)</c:v>
                </c:pt>
              </c:strCache>
            </c:strRef>
          </c:tx>
          <c:layout>
            <c:manualLayout>
              <c:xMode val="edge"/>
              <c:yMode val="edge"/>
              <c:x val="8.1699346405228763E-3"/>
              <c:y val="0.27913094196558769"/>
            </c:manualLayout>
          </c:layout>
          <c:overlay val="0"/>
          <c:txPr>
            <a:bodyPr rot="-5400000" vert="horz"/>
            <a:lstStyle/>
            <a:p>
              <a:pPr>
                <a:defRPr/>
              </a:pPr>
              <a:endParaRPr lang="en-US"/>
            </a:p>
          </c:txPr>
        </c:title>
        <c:numFmt formatCode="#\ ##0" sourceLinked="0"/>
        <c:majorTickMark val="in"/>
        <c:minorTickMark val="none"/>
        <c:tickLblPos val="nextTo"/>
        <c:spPr>
          <a:ln w="12700">
            <a:solidFill>
              <a:srgbClr val="000000"/>
            </a:solidFill>
            <a:prstDash val="solid"/>
          </a:ln>
        </c:spPr>
        <c:crossAx val="153722240"/>
        <c:crosses val="autoZero"/>
        <c:crossBetween val="midCat"/>
      </c:valAx>
      <c:spPr>
        <a:noFill/>
        <a:ln w="12700">
          <a:solidFill>
            <a:srgbClr val="000000"/>
          </a:solidFill>
          <a:prstDash val="solid"/>
        </a:ln>
      </c:spPr>
    </c:plotArea>
    <c:legend>
      <c:legendPos val="r"/>
      <c:layout>
        <c:manualLayout>
          <c:xMode val="edge"/>
          <c:yMode val="edge"/>
          <c:x val="0.7934321445113478"/>
          <c:y val="8.6043671624380286E-2"/>
          <c:w val="0.20656785548865214"/>
          <c:h val="0.82791265675123937"/>
        </c:manualLayout>
      </c:layout>
      <c:overlay val="0"/>
    </c:legend>
    <c:plotVisOnly val="1"/>
    <c:dispBlanksAs val="zero"/>
    <c:showDLblsOverMax val="0"/>
  </c:chart>
  <c:spPr>
    <a:noFill/>
    <a:ln>
      <a:noFill/>
    </a:ln>
  </c:spPr>
  <c:txPr>
    <a:bodyPr/>
    <a:lstStyle/>
    <a:p>
      <a:pPr>
        <a:defRPr sz="1200" b="0" i="0">
          <a:latin typeface="Gill Sans MT Condensed"/>
          <a:ea typeface="Gill Sans MT Condensed"/>
          <a:cs typeface="Gill Sans MT Condensed"/>
        </a:defRPr>
      </a:pPr>
      <a:endParaRPr lang="en-US"/>
    </a:p>
  </c:txPr>
  <c:printSettings>
    <c:headerFooter/>
    <c:pageMargins b="0" l="0" r="0" t="0" header="0" footer="0"/>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jpeg"/><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jpeg"/><Relationship Id="rId5" Type="http://schemas.openxmlformats.org/officeDocument/2006/relationships/image" Target="../media/image5.emf"/><Relationship Id="rId15" Type="http://schemas.openxmlformats.org/officeDocument/2006/relationships/image" Target="../media/image15.jpeg"/><Relationship Id="rId10" Type="http://schemas.openxmlformats.org/officeDocument/2006/relationships/image" Target="../media/image10.emf"/><Relationship Id="rId19" Type="http://schemas.openxmlformats.org/officeDocument/2006/relationships/image" Target="../media/image19.png"/><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68034</xdr:colOff>
      <xdr:row>19</xdr:row>
      <xdr:rowOff>42182</xdr:rowOff>
    </xdr:from>
    <xdr:to>
      <xdr:col>10</xdr:col>
      <xdr:colOff>390952</xdr:colOff>
      <xdr:row>38</xdr:row>
      <xdr:rowOff>112682</xdr:rowOff>
    </xdr:to>
    <xdr:grpSp>
      <xdr:nvGrpSpPr>
        <xdr:cNvPr id="2" name="Group 1"/>
        <xdr:cNvGrpSpPr/>
      </xdr:nvGrpSpPr>
      <xdr:grpSpPr>
        <a:xfrm>
          <a:off x="1986641" y="4233182"/>
          <a:ext cx="8133418" cy="3690000"/>
          <a:chOff x="3885710" y="7543800"/>
          <a:chExt cx="7286625" cy="2800350"/>
        </a:xfrm>
      </xdr:grpSpPr>
      <xdr:grpSp>
        <xdr:nvGrpSpPr>
          <xdr:cNvPr id="3" name="Group 2"/>
          <xdr:cNvGrpSpPr/>
        </xdr:nvGrpSpPr>
        <xdr:grpSpPr>
          <a:xfrm>
            <a:off x="3885710" y="7543800"/>
            <a:ext cx="7286625" cy="2800350"/>
            <a:chOff x="2447435" y="7105650"/>
            <a:chExt cx="7286625" cy="2800350"/>
          </a:xfrm>
        </xdr:grpSpPr>
        <xdr:graphicFrame macro="">
          <xdr:nvGraphicFramePr>
            <xdr:cNvPr id="7" name="Chart 6"/>
            <xdr:cNvGraphicFramePr/>
          </xdr:nvGraphicFramePr>
          <xdr:xfrm>
            <a:off x="2447435" y="7105650"/>
            <a:ext cx="7286625" cy="2800350"/>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8" name="Straight Connector 7"/>
            <xdr:cNvCxnSpPr/>
          </xdr:nvCxnSpPr>
          <xdr:spPr>
            <a:xfrm flipH="1" flipV="1">
              <a:off x="6778457" y="7531979"/>
              <a:ext cx="6812" cy="1951863"/>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 name="TextBox 3"/>
          <xdr:cNvSpPr txBox="1"/>
        </xdr:nvSpPr>
        <xdr:spPr>
          <a:xfrm>
            <a:off x="5794463" y="7948441"/>
            <a:ext cx="685800" cy="2381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Gill Sans MT Condensed" panose="020B0506020104020203" pitchFamily="34" charset="0"/>
              </a:rPr>
              <a:t>Historical</a:t>
            </a:r>
          </a:p>
        </xdr:txBody>
      </xdr:sp>
      <xdr:sp macro="" textlink="">
        <xdr:nvSpPr>
          <xdr:cNvPr id="5" name="TextBox 4"/>
          <xdr:cNvSpPr txBox="1"/>
        </xdr:nvSpPr>
        <xdr:spPr>
          <a:xfrm>
            <a:off x="8860782" y="7960604"/>
            <a:ext cx="685800" cy="2381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Gill Sans MT Condensed" panose="020B0506020104020203" pitchFamily="34" charset="0"/>
              </a:rPr>
              <a:t>Forecast</a:t>
            </a:r>
          </a:p>
        </xdr:txBody>
      </xdr:sp>
      <xdr:sp macro="" textlink="">
        <xdr:nvSpPr>
          <xdr:cNvPr id="6" name="TextBox 5"/>
          <xdr:cNvSpPr txBox="1"/>
        </xdr:nvSpPr>
        <xdr:spPr>
          <a:xfrm>
            <a:off x="10294860" y="7943850"/>
            <a:ext cx="685800" cy="2381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Gill Sans MT Condensed" panose="020B0506020104020203" pitchFamily="34" charset="0"/>
              </a:rPr>
              <a:t>2DS target</a:t>
            </a:r>
          </a:p>
        </xdr:txBody>
      </xdr:sp>
    </xdr:grpSp>
    <xdr:clientData/>
  </xdr:twoCellAnchor>
  <xdr:twoCellAnchor>
    <xdr:from>
      <xdr:col>9</xdr:col>
      <xdr:colOff>269422</xdr:colOff>
      <xdr:row>35</xdr:row>
      <xdr:rowOff>156482</xdr:rowOff>
    </xdr:from>
    <xdr:to>
      <xdr:col>9</xdr:col>
      <xdr:colOff>745672</xdr:colOff>
      <xdr:row>37</xdr:row>
      <xdr:rowOff>23132</xdr:rowOff>
    </xdr:to>
    <xdr:sp macro="" textlink="">
      <xdr:nvSpPr>
        <xdr:cNvPr id="10" name="TextBox 9"/>
        <xdr:cNvSpPr txBox="1"/>
      </xdr:nvSpPr>
      <xdr:spPr>
        <a:xfrm>
          <a:off x="9222922" y="7041696"/>
          <a:ext cx="4762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Gill Sans MT Condensed" panose="020B0506020104020203" pitchFamily="34" charset="0"/>
            </a:rPr>
            <a:t>2025</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0.86367</cdr:x>
      <cdr:y>0.15564</cdr:y>
    </cdr:from>
    <cdr:to>
      <cdr:x>0.86547</cdr:x>
      <cdr:y>0.84667</cdr:y>
    </cdr:to>
    <cdr:cxnSp macro="">
      <cdr:nvCxnSpPr>
        <cdr:cNvPr id="2" name="Straight Connector 1"/>
        <cdr:cNvCxnSpPr/>
      </cdr:nvCxnSpPr>
      <cdr:spPr>
        <a:xfrm xmlns:a="http://schemas.openxmlformats.org/drawingml/2006/main" flipV="1">
          <a:off x="7019927" y="574312"/>
          <a:ext cx="14592" cy="2549889"/>
        </a:xfrm>
        <a:prstGeom xmlns:a="http://schemas.openxmlformats.org/drawingml/2006/main" prst="line">
          <a:avLst/>
        </a:prstGeom>
        <a:ln xmlns:a="http://schemas.openxmlformats.org/drawingml/2006/main" w="158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213</xdr:row>
      <xdr:rowOff>0</xdr:rowOff>
    </xdr:from>
    <xdr:to>
      <xdr:col>3</xdr:col>
      <xdr:colOff>866775</xdr:colOff>
      <xdr:row>252</xdr:row>
      <xdr:rowOff>66675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5575875"/>
          <a:ext cx="4257675" cy="6381750"/>
        </a:xfrm>
        <a:prstGeom prst="rect">
          <a:avLst/>
        </a:prstGeom>
        <a:noFill/>
      </xdr:spPr>
    </xdr:pic>
    <xdr:clientData/>
  </xdr:twoCellAnchor>
  <xdr:twoCellAnchor editAs="oneCell">
    <xdr:from>
      <xdr:col>0</xdr:col>
      <xdr:colOff>0</xdr:colOff>
      <xdr:row>253</xdr:row>
      <xdr:rowOff>0</xdr:rowOff>
    </xdr:from>
    <xdr:to>
      <xdr:col>3</xdr:col>
      <xdr:colOff>828675</xdr:colOff>
      <xdr:row>325</xdr:row>
      <xdr:rowOff>1</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42052875"/>
          <a:ext cx="4219575" cy="11658601"/>
        </a:xfrm>
        <a:prstGeom prst="rect">
          <a:avLst/>
        </a:prstGeom>
        <a:noFill/>
      </xdr:spPr>
    </xdr:pic>
    <xdr:clientData/>
  </xdr:twoCellAnchor>
  <xdr:twoCellAnchor editAs="oneCell">
    <xdr:from>
      <xdr:col>0</xdr:col>
      <xdr:colOff>0</xdr:colOff>
      <xdr:row>329</xdr:row>
      <xdr:rowOff>0</xdr:rowOff>
    </xdr:from>
    <xdr:to>
      <xdr:col>9</xdr:col>
      <xdr:colOff>293914</xdr:colOff>
      <xdr:row>354</xdr:row>
      <xdr:rowOff>127907</xdr:rowOff>
    </xdr:to>
    <xdr:pic>
      <xdr:nvPicPr>
        <xdr:cNvPr id="4" name="Picture 3" descr="Energy content.JPG"/>
        <xdr:cNvPicPr>
          <a:picLocks noChangeAspect="1"/>
        </xdr:cNvPicPr>
      </xdr:nvPicPr>
      <xdr:blipFill>
        <a:blip xmlns:r="http://schemas.openxmlformats.org/officeDocument/2006/relationships" r:embed="rId3" cstate="print"/>
        <a:stretch>
          <a:fillRect/>
        </a:stretch>
      </xdr:blipFill>
      <xdr:spPr>
        <a:xfrm>
          <a:off x="0" y="54359175"/>
          <a:ext cx="7675789" cy="4176032"/>
        </a:xfrm>
        <a:prstGeom prst="rect">
          <a:avLst/>
        </a:prstGeom>
      </xdr:spPr>
    </xdr:pic>
    <xdr:clientData/>
  </xdr:twoCellAnchor>
  <xdr:twoCellAnchor editAs="oneCell">
    <xdr:from>
      <xdr:col>0</xdr:col>
      <xdr:colOff>0</xdr:colOff>
      <xdr:row>453</xdr:row>
      <xdr:rowOff>4763</xdr:rowOff>
    </xdr:from>
    <xdr:to>
      <xdr:col>7</xdr:col>
      <xdr:colOff>1</xdr:colOff>
      <xdr:row>502</xdr:row>
      <xdr:rowOff>681</xdr:rowOff>
    </xdr:to>
    <xdr:pic>
      <xdr:nvPicPr>
        <xdr:cNvPr id="5" name="Picture 3"/>
        <xdr:cNvPicPr>
          <a:picLocks noChangeAspect="1" noChangeArrowheads="1"/>
        </xdr:cNvPicPr>
      </xdr:nvPicPr>
      <xdr:blipFill>
        <a:blip xmlns:r="http://schemas.openxmlformats.org/officeDocument/2006/relationships" r:embed="rId4" cstate="print"/>
        <a:srcRect/>
        <a:stretch>
          <a:fillRect/>
        </a:stretch>
      </xdr:blipFill>
      <xdr:spPr bwMode="auto">
        <a:xfrm rot="5400000">
          <a:off x="-883784" y="79698397"/>
          <a:ext cx="7930243" cy="6162676"/>
        </a:xfrm>
        <a:prstGeom prst="rect">
          <a:avLst/>
        </a:prstGeom>
        <a:noFill/>
      </xdr:spPr>
    </xdr:pic>
    <xdr:clientData/>
  </xdr:twoCellAnchor>
  <xdr:twoCellAnchor editAs="oneCell">
    <xdr:from>
      <xdr:col>0</xdr:col>
      <xdr:colOff>17689</xdr:colOff>
      <xdr:row>502</xdr:row>
      <xdr:rowOff>145597</xdr:rowOff>
    </xdr:from>
    <xdr:to>
      <xdr:col>4</xdr:col>
      <xdr:colOff>506186</xdr:colOff>
      <xdr:row>532</xdr:row>
      <xdr:rowOff>65314</xdr:rowOff>
    </xdr:to>
    <xdr:pic>
      <xdr:nvPicPr>
        <xdr:cNvPr id="6" name="Picture 4"/>
        <xdr:cNvPicPr>
          <a:picLocks noChangeAspect="1" noChangeArrowheads="1"/>
        </xdr:cNvPicPr>
      </xdr:nvPicPr>
      <xdr:blipFill>
        <a:blip xmlns:r="http://schemas.openxmlformats.org/officeDocument/2006/relationships" r:embed="rId5" cstate="print"/>
        <a:srcRect/>
        <a:stretch>
          <a:fillRect/>
        </a:stretch>
      </xdr:blipFill>
      <xdr:spPr bwMode="auto">
        <a:xfrm rot="5400000">
          <a:off x="25854" y="86881607"/>
          <a:ext cx="4777467" cy="4793797"/>
        </a:xfrm>
        <a:prstGeom prst="rect">
          <a:avLst/>
        </a:prstGeom>
        <a:noFill/>
      </xdr:spPr>
    </xdr:pic>
    <xdr:clientData/>
  </xdr:twoCellAnchor>
  <xdr:twoCellAnchor editAs="oneCell">
    <xdr:from>
      <xdr:col>0</xdr:col>
      <xdr:colOff>0</xdr:colOff>
      <xdr:row>579</xdr:row>
      <xdr:rowOff>0</xdr:rowOff>
    </xdr:from>
    <xdr:to>
      <xdr:col>12</xdr:col>
      <xdr:colOff>553811</xdr:colOff>
      <xdr:row>637</xdr:row>
      <xdr:rowOff>28576</xdr:rowOff>
    </xdr:to>
    <xdr:pic>
      <xdr:nvPicPr>
        <xdr:cNvPr id="7"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0" y="99964875"/>
          <a:ext cx="9764486" cy="9420226"/>
        </a:xfrm>
        <a:prstGeom prst="rect">
          <a:avLst/>
        </a:prstGeom>
        <a:noFill/>
      </xdr:spPr>
    </xdr:pic>
    <xdr:clientData/>
  </xdr:twoCellAnchor>
  <xdr:twoCellAnchor editAs="oneCell">
    <xdr:from>
      <xdr:col>0</xdr:col>
      <xdr:colOff>0</xdr:colOff>
      <xdr:row>642</xdr:row>
      <xdr:rowOff>0</xdr:rowOff>
    </xdr:from>
    <xdr:to>
      <xdr:col>9</xdr:col>
      <xdr:colOff>379639</xdr:colOff>
      <xdr:row>657</xdr:row>
      <xdr:rowOff>131989</xdr:rowOff>
    </xdr:to>
    <xdr:pic>
      <xdr:nvPicPr>
        <xdr:cNvPr id="8"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0" y="110166150"/>
          <a:ext cx="7761514" cy="2560864"/>
        </a:xfrm>
        <a:prstGeom prst="rect">
          <a:avLst/>
        </a:prstGeom>
        <a:noFill/>
      </xdr:spPr>
    </xdr:pic>
    <xdr:clientData/>
  </xdr:twoCellAnchor>
  <xdr:twoCellAnchor editAs="oneCell">
    <xdr:from>
      <xdr:col>0</xdr:col>
      <xdr:colOff>0</xdr:colOff>
      <xdr:row>359</xdr:row>
      <xdr:rowOff>0</xdr:rowOff>
    </xdr:from>
    <xdr:to>
      <xdr:col>8</xdr:col>
      <xdr:colOff>420461</xdr:colOff>
      <xdr:row>397</xdr:row>
      <xdr:rowOff>100693</xdr:rowOff>
    </xdr:to>
    <xdr:pic>
      <xdr:nvPicPr>
        <xdr:cNvPr id="9" name="Picture 8" descr="PP LHV HHV.JPG"/>
        <xdr:cNvPicPr>
          <a:picLocks noChangeAspect="1"/>
        </xdr:cNvPicPr>
      </xdr:nvPicPr>
      <xdr:blipFill>
        <a:blip xmlns:r="http://schemas.openxmlformats.org/officeDocument/2006/relationships" r:embed="rId8" cstate="print"/>
        <a:stretch>
          <a:fillRect/>
        </a:stretch>
      </xdr:blipFill>
      <xdr:spPr>
        <a:xfrm>
          <a:off x="0" y="59216925"/>
          <a:ext cx="7192736" cy="6253843"/>
        </a:xfrm>
        <a:prstGeom prst="rect">
          <a:avLst/>
        </a:prstGeom>
      </xdr:spPr>
    </xdr:pic>
    <xdr:clientData/>
  </xdr:twoCellAnchor>
  <xdr:twoCellAnchor editAs="oneCell">
    <xdr:from>
      <xdr:col>0</xdr:col>
      <xdr:colOff>0</xdr:colOff>
      <xdr:row>661</xdr:row>
      <xdr:rowOff>0</xdr:rowOff>
    </xdr:from>
    <xdr:to>
      <xdr:col>4</xdr:col>
      <xdr:colOff>142875</xdr:colOff>
      <xdr:row>681</xdr:row>
      <xdr:rowOff>66674</xdr:rowOff>
    </xdr:to>
    <xdr:pic>
      <xdr:nvPicPr>
        <xdr:cNvPr id="10" name="Picture 7"/>
        <xdr:cNvPicPr>
          <a:picLocks noChangeAspect="1" noChangeArrowheads="1"/>
        </xdr:cNvPicPr>
      </xdr:nvPicPr>
      <xdr:blipFill>
        <a:blip xmlns:r="http://schemas.openxmlformats.org/officeDocument/2006/relationships" r:embed="rId9" cstate="print"/>
        <a:srcRect/>
        <a:stretch>
          <a:fillRect/>
        </a:stretch>
      </xdr:blipFill>
      <xdr:spPr bwMode="auto">
        <a:xfrm>
          <a:off x="0" y="113242725"/>
          <a:ext cx="4448175" cy="3305174"/>
        </a:xfrm>
        <a:prstGeom prst="rect">
          <a:avLst/>
        </a:prstGeom>
        <a:noFill/>
      </xdr:spPr>
    </xdr:pic>
    <xdr:clientData/>
  </xdr:twoCellAnchor>
  <xdr:twoCellAnchor editAs="oneCell">
    <xdr:from>
      <xdr:col>0</xdr:col>
      <xdr:colOff>0</xdr:colOff>
      <xdr:row>725</xdr:row>
      <xdr:rowOff>0</xdr:rowOff>
    </xdr:from>
    <xdr:to>
      <xdr:col>7</xdr:col>
      <xdr:colOff>0</xdr:colOff>
      <xdr:row>760</xdr:row>
      <xdr:rowOff>0</xdr:rowOff>
    </xdr:to>
    <xdr:pic>
      <xdr:nvPicPr>
        <xdr:cNvPr id="11" name="Picture 1"/>
        <xdr:cNvPicPr>
          <a:picLocks noChangeAspect="1" noChangeArrowheads="1"/>
        </xdr:cNvPicPr>
      </xdr:nvPicPr>
      <xdr:blipFill>
        <a:blip xmlns:r="http://schemas.openxmlformats.org/officeDocument/2006/relationships" r:embed="rId10" cstate="print"/>
        <a:srcRect/>
        <a:stretch>
          <a:fillRect/>
        </a:stretch>
      </xdr:blipFill>
      <xdr:spPr bwMode="auto">
        <a:xfrm>
          <a:off x="0" y="124025025"/>
          <a:ext cx="6162675" cy="5667375"/>
        </a:xfrm>
        <a:prstGeom prst="rect">
          <a:avLst/>
        </a:prstGeom>
        <a:noFill/>
      </xdr:spPr>
    </xdr:pic>
    <xdr:clientData/>
  </xdr:twoCellAnchor>
  <xdr:twoCellAnchor editAs="oneCell">
    <xdr:from>
      <xdr:col>0</xdr:col>
      <xdr:colOff>0</xdr:colOff>
      <xdr:row>773</xdr:row>
      <xdr:rowOff>0</xdr:rowOff>
    </xdr:from>
    <xdr:to>
      <xdr:col>11</xdr:col>
      <xdr:colOff>431346</xdr:colOff>
      <xdr:row>783</xdr:row>
      <xdr:rowOff>157843</xdr:rowOff>
    </xdr:to>
    <xdr:pic>
      <xdr:nvPicPr>
        <xdr:cNvPr id="12" name="Picture 11" descr="Ammonia.JPG"/>
        <xdr:cNvPicPr>
          <a:picLocks noChangeAspect="1"/>
        </xdr:cNvPicPr>
      </xdr:nvPicPr>
      <xdr:blipFill>
        <a:blip xmlns:r="http://schemas.openxmlformats.org/officeDocument/2006/relationships" r:embed="rId11" cstate="print"/>
        <a:stretch>
          <a:fillRect/>
        </a:stretch>
      </xdr:blipFill>
      <xdr:spPr>
        <a:xfrm>
          <a:off x="0" y="131797425"/>
          <a:ext cx="9032421" cy="1777093"/>
        </a:xfrm>
        <a:prstGeom prst="rect">
          <a:avLst/>
        </a:prstGeom>
      </xdr:spPr>
    </xdr:pic>
    <xdr:clientData/>
  </xdr:twoCellAnchor>
  <xdr:twoCellAnchor editAs="oneCell">
    <xdr:from>
      <xdr:col>0</xdr:col>
      <xdr:colOff>0</xdr:colOff>
      <xdr:row>788</xdr:row>
      <xdr:rowOff>0</xdr:rowOff>
    </xdr:from>
    <xdr:to>
      <xdr:col>11</xdr:col>
      <xdr:colOff>318407</xdr:colOff>
      <xdr:row>799</xdr:row>
      <xdr:rowOff>8002</xdr:rowOff>
    </xdr:to>
    <xdr:pic>
      <xdr:nvPicPr>
        <xdr:cNvPr id="13" name="Picture 1"/>
        <xdr:cNvPicPr>
          <a:picLocks noChangeAspect="1" noChangeArrowheads="1"/>
        </xdr:cNvPicPr>
      </xdr:nvPicPr>
      <xdr:blipFill>
        <a:blip xmlns:r="http://schemas.openxmlformats.org/officeDocument/2006/relationships" r:embed="rId12" cstate="print"/>
        <a:srcRect/>
        <a:stretch>
          <a:fillRect/>
        </a:stretch>
      </xdr:blipFill>
      <xdr:spPr bwMode="auto">
        <a:xfrm>
          <a:off x="0" y="134226300"/>
          <a:ext cx="8919482" cy="1789177"/>
        </a:xfrm>
        <a:prstGeom prst="rect">
          <a:avLst/>
        </a:prstGeom>
        <a:noFill/>
      </xdr:spPr>
    </xdr:pic>
    <xdr:clientData/>
  </xdr:twoCellAnchor>
  <xdr:twoCellAnchor editAs="oneCell">
    <xdr:from>
      <xdr:col>13</xdr:col>
      <xdr:colOff>0</xdr:colOff>
      <xdr:row>788</xdr:row>
      <xdr:rowOff>0</xdr:rowOff>
    </xdr:from>
    <xdr:to>
      <xdr:col>18</xdr:col>
      <xdr:colOff>600075</xdr:colOff>
      <xdr:row>798</xdr:row>
      <xdr:rowOff>0</xdr:rowOff>
    </xdr:to>
    <xdr:pic>
      <xdr:nvPicPr>
        <xdr:cNvPr id="14" name="Picture 2"/>
        <xdr:cNvPicPr>
          <a:picLocks noChangeAspect="1" noChangeArrowheads="1"/>
        </xdr:cNvPicPr>
      </xdr:nvPicPr>
      <xdr:blipFill>
        <a:blip xmlns:r="http://schemas.openxmlformats.org/officeDocument/2006/relationships" r:embed="rId13" cstate="print"/>
        <a:srcRect/>
        <a:stretch>
          <a:fillRect/>
        </a:stretch>
      </xdr:blipFill>
      <xdr:spPr bwMode="auto">
        <a:xfrm>
          <a:off x="9229725" y="134226300"/>
          <a:ext cx="3648075" cy="1619250"/>
        </a:xfrm>
        <a:prstGeom prst="rect">
          <a:avLst/>
        </a:prstGeom>
        <a:noFill/>
      </xdr:spPr>
    </xdr:pic>
    <xdr:clientData/>
  </xdr:twoCellAnchor>
  <xdr:twoCellAnchor editAs="oneCell">
    <xdr:from>
      <xdr:col>0</xdr:col>
      <xdr:colOff>0</xdr:colOff>
      <xdr:row>769</xdr:row>
      <xdr:rowOff>0</xdr:rowOff>
    </xdr:from>
    <xdr:to>
      <xdr:col>6</xdr:col>
      <xdr:colOff>425904</xdr:colOff>
      <xdr:row>772</xdr:row>
      <xdr:rowOff>24493</xdr:rowOff>
    </xdr:to>
    <xdr:pic>
      <xdr:nvPicPr>
        <xdr:cNvPr id="15" name="Picture 14" descr="ammonia2.JPG"/>
        <xdr:cNvPicPr>
          <a:picLocks noChangeAspect="1"/>
        </xdr:cNvPicPr>
      </xdr:nvPicPr>
      <xdr:blipFill>
        <a:blip xmlns:r="http://schemas.openxmlformats.org/officeDocument/2006/relationships" r:embed="rId14" cstate="print"/>
        <a:stretch>
          <a:fillRect/>
        </a:stretch>
      </xdr:blipFill>
      <xdr:spPr>
        <a:xfrm>
          <a:off x="0" y="131149725"/>
          <a:ext cx="5950404" cy="510268"/>
        </a:xfrm>
        <a:prstGeom prst="rect">
          <a:avLst/>
        </a:prstGeom>
      </xdr:spPr>
    </xdr:pic>
    <xdr:clientData/>
  </xdr:twoCellAnchor>
  <xdr:twoCellAnchor editAs="oneCell">
    <xdr:from>
      <xdr:col>0</xdr:col>
      <xdr:colOff>0</xdr:colOff>
      <xdr:row>806</xdr:row>
      <xdr:rowOff>163285</xdr:rowOff>
    </xdr:from>
    <xdr:to>
      <xdr:col>4</xdr:col>
      <xdr:colOff>72142</xdr:colOff>
      <xdr:row>817</xdr:row>
      <xdr:rowOff>95249</xdr:rowOff>
    </xdr:to>
    <xdr:pic>
      <xdr:nvPicPr>
        <xdr:cNvPr id="16" name="Picture 15" descr="neste oil biodiesel.JPG"/>
        <xdr:cNvPicPr>
          <a:picLocks noChangeAspect="1"/>
        </xdr:cNvPicPr>
      </xdr:nvPicPr>
      <xdr:blipFill>
        <a:blip xmlns:r="http://schemas.openxmlformats.org/officeDocument/2006/relationships" r:embed="rId15" cstate="print"/>
        <a:stretch>
          <a:fillRect/>
        </a:stretch>
      </xdr:blipFill>
      <xdr:spPr>
        <a:xfrm>
          <a:off x="0" y="137304235"/>
          <a:ext cx="4377442" cy="1713139"/>
        </a:xfrm>
        <a:prstGeom prst="rect">
          <a:avLst/>
        </a:prstGeom>
      </xdr:spPr>
    </xdr:pic>
    <xdr:clientData/>
  </xdr:twoCellAnchor>
  <xdr:twoCellAnchor editAs="oneCell">
    <xdr:from>
      <xdr:col>0</xdr:col>
      <xdr:colOff>0</xdr:colOff>
      <xdr:row>821</xdr:row>
      <xdr:rowOff>0</xdr:rowOff>
    </xdr:from>
    <xdr:to>
      <xdr:col>15</xdr:col>
      <xdr:colOff>533400</xdr:colOff>
      <xdr:row>871</xdr:row>
      <xdr:rowOff>57150</xdr:rowOff>
    </xdr:to>
    <xdr:pic>
      <xdr:nvPicPr>
        <xdr:cNvPr id="17" name="Picture 1"/>
        <xdr:cNvPicPr>
          <a:picLocks noChangeAspect="1" noChangeArrowheads="1"/>
        </xdr:cNvPicPr>
      </xdr:nvPicPr>
      <xdr:blipFill>
        <a:blip xmlns:r="http://schemas.openxmlformats.org/officeDocument/2006/relationships" r:embed="rId16" cstate="print"/>
        <a:srcRect/>
        <a:stretch>
          <a:fillRect/>
        </a:stretch>
      </xdr:blipFill>
      <xdr:spPr bwMode="auto">
        <a:xfrm>
          <a:off x="0" y="139569825"/>
          <a:ext cx="11572875" cy="8153400"/>
        </a:xfrm>
        <a:prstGeom prst="rect">
          <a:avLst/>
        </a:prstGeom>
        <a:noFill/>
      </xdr:spPr>
    </xdr:pic>
    <xdr:clientData/>
  </xdr:twoCellAnchor>
  <xdr:twoCellAnchor editAs="oneCell">
    <xdr:from>
      <xdr:col>0</xdr:col>
      <xdr:colOff>0</xdr:colOff>
      <xdr:row>879</xdr:row>
      <xdr:rowOff>0</xdr:rowOff>
    </xdr:from>
    <xdr:to>
      <xdr:col>6</xdr:col>
      <xdr:colOff>66675</xdr:colOff>
      <xdr:row>905</xdr:row>
      <xdr:rowOff>66675</xdr:rowOff>
    </xdr:to>
    <xdr:pic>
      <xdr:nvPicPr>
        <xdr:cNvPr id="18" name="Picture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148961475"/>
          <a:ext cx="5591175" cy="427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906</xdr:row>
      <xdr:rowOff>0</xdr:rowOff>
    </xdr:from>
    <xdr:to>
      <xdr:col>6</xdr:col>
      <xdr:colOff>295275</xdr:colOff>
      <xdr:row>932</xdr:row>
      <xdr:rowOff>47625</xdr:rowOff>
    </xdr:to>
    <xdr:pic>
      <xdr:nvPicPr>
        <xdr:cNvPr id="19" name="Picture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153333450"/>
          <a:ext cx="5819775" cy="425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878</xdr:row>
      <xdr:rowOff>0</xdr:rowOff>
    </xdr:from>
    <xdr:to>
      <xdr:col>12</xdr:col>
      <xdr:colOff>236764</xdr:colOff>
      <xdr:row>884</xdr:row>
      <xdr:rowOff>112939</xdr:rowOff>
    </xdr:to>
    <xdr:pic>
      <xdr:nvPicPr>
        <xdr:cNvPr id="20" name="Picture 6"/>
        <xdr:cNvPicPr>
          <a:picLocks noChangeAspect="1" noChangeArrowheads="1"/>
        </xdr:cNvPicPr>
      </xdr:nvPicPr>
      <xdr:blipFill>
        <a:blip xmlns:r="http://schemas.openxmlformats.org/officeDocument/2006/relationships" r:embed="rId19" cstate="print"/>
        <a:srcRect/>
        <a:stretch>
          <a:fillRect/>
        </a:stretch>
      </xdr:blipFill>
      <xdr:spPr bwMode="auto">
        <a:xfrm>
          <a:off x="6181725" y="148799550"/>
          <a:ext cx="2675164" cy="1084489"/>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152399</xdr:colOff>
      <xdr:row>0</xdr:row>
      <xdr:rowOff>190499</xdr:rowOff>
    </xdr:from>
    <xdr:to>
      <xdr:col>12</xdr:col>
      <xdr:colOff>142875</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180973</xdr:colOff>
      <xdr:row>34</xdr:row>
      <xdr:rowOff>114299</xdr:rowOff>
    </xdr:from>
    <xdr:to>
      <xdr:col>8</xdr:col>
      <xdr:colOff>136498</xdr:colOff>
      <xdr:row>53</xdr:row>
      <xdr:rowOff>184799</xdr:rowOff>
    </xdr:to>
    <xdr:grpSp>
      <xdr:nvGrpSpPr>
        <xdr:cNvPr id="13" name="Group 12"/>
        <xdr:cNvGrpSpPr/>
      </xdr:nvGrpSpPr>
      <xdr:grpSpPr>
        <a:xfrm>
          <a:off x="180973" y="6591299"/>
          <a:ext cx="7718400" cy="3690000"/>
          <a:chOff x="3885710" y="7543800"/>
          <a:chExt cx="7286625" cy="2800350"/>
        </a:xfrm>
      </xdr:grpSpPr>
      <xdr:grpSp>
        <xdr:nvGrpSpPr>
          <xdr:cNvPr id="5" name="Group 4"/>
          <xdr:cNvGrpSpPr/>
        </xdr:nvGrpSpPr>
        <xdr:grpSpPr>
          <a:xfrm>
            <a:off x="3885710" y="7543800"/>
            <a:ext cx="7286625" cy="2800350"/>
            <a:chOff x="2447435" y="7105650"/>
            <a:chExt cx="7286625" cy="2800350"/>
          </a:xfrm>
        </xdr:grpSpPr>
        <xdr:graphicFrame macro="">
          <xdr:nvGraphicFramePr>
            <xdr:cNvPr id="2" name="Chart 1"/>
            <xdr:cNvGraphicFramePr/>
          </xdr:nvGraphicFramePr>
          <xdr:xfrm>
            <a:off x="2447435" y="7105650"/>
            <a:ext cx="7286625" cy="2800350"/>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4" name="Straight Connector 3"/>
            <xdr:cNvCxnSpPr/>
          </xdr:nvCxnSpPr>
          <xdr:spPr>
            <a:xfrm flipH="1" flipV="1">
              <a:off x="6625590" y="7524750"/>
              <a:ext cx="3202" cy="1772404"/>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 name="TextBox 5"/>
          <xdr:cNvSpPr txBox="1"/>
        </xdr:nvSpPr>
        <xdr:spPr>
          <a:xfrm>
            <a:off x="6010275" y="7962899"/>
            <a:ext cx="685800" cy="2381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Gill Sans MT Condensed" panose="020B0506020104020203" pitchFamily="34" charset="0"/>
              </a:rPr>
              <a:t>Historical</a:t>
            </a:r>
          </a:p>
        </xdr:txBody>
      </xdr:sp>
      <xdr:sp macro="" textlink="">
        <xdr:nvSpPr>
          <xdr:cNvPr id="7" name="TextBox 6"/>
          <xdr:cNvSpPr txBox="1"/>
        </xdr:nvSpPr>
        <xdr:spPr>
          <a:xfrm>
            <a:off x="8582024" y="7953375"/>
            <a:ext cx="685800" cy="2381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Gill Sans MT Condensed" panose="020B0506020104020203" pitchFamily="34" charset="0"/>
              </a:rPr>
              <a:t>Forecast</a:t>
            </a:r>
          </a:p>
        </xdr:txBody>
      </xdr:sp>
      <xdr:sp macro="" textlink="">
        <xdr:nvSpPr>
          <xdr:cNvPr id="8" name="TextBox 7"/>
          <xdr:cNvSpPr txBox="1"/>
        </xdr:nvSpPr>
        <xdr:spPr>
          <a:xfrm>
            <a:off x="10106024" y="7943850"/>
            <a:ext cx="685800" cy="2381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Gill Sans MT Condensed" panose="020B0506020104020203" pitchFamily="34" charset="0"/>
              </a:rPr>
              <a:t>2DS target</a:t>
            </a:r>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0.77746</cdr:x>
      <cdr:y>0.15306</cdr:y>
    </cdr:from>
    <cdr:to>
      <cdr:x>0.77909</cdr:x>
      <cdr:y>0.78792</cdr:y>
    </cdr:to>
    <cdr:cxnSp macro="">
      <cdr:nvCxnSpPr>
        <cdr:cNvPr id="2" name="Straight Connector 1"/>
        <cdr:cNvCxnSpPr/>
      </cdr:nvCxnSpPr>
      <cdr:spPr>
        <a:xfrm xmlns:a="http://schemas.openxmlformats.org/drawingml/2006/main" flipV="1">
          <a:off x="6000752" y="545841"/>
          <a:ext cx="12577" cy="2264034"/>
        </a:xfrm>
        <a:prstGeom xmlns:a="http://schemas.openxmlformats.org/drawingml/2006/main" prst="line">
          <a:avLst/>
        </a:prstGeom>
        <a:ln xmlns:a="http://schemas.openxmlformats.org/drawingml/2006/main" w="158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editAs="absolute">
    <xdr:from>
      <xdr:col>10</xdr:col>
      <xdr:colOff>82283</xdr:colOff>
      <xdr:row>10</xdr:row>
      <xdr:rowOff>47146</xdr:rowOff>
    </xdr:from>
    <xdr:to>
      <xdr:col>21</xdr:col>
      <xdr:colOff>425183</xdr:colOff>
      <xdr:row>24</xdr:row>
      <xdr:rowOff>123346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Shared\LEE\MoMo\Model\Last%20model\MoMo%20September%202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hared\LEE\MoMo\Model\Old\MoMo%20-%20ETP%202008%20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3\xr0\Documents%20and%20Settings\Lew\Local%20Settings\Temp\Documents%20and%20Settings\Fulton\Local%20Settings\Temporary%20Internet%20Files\OLK45B\WINNT\Profiles\fulton\Local%20Settings\Temp\WEC97B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om%202\MoMo%20meeting%2026-27%20May\December%20cases\Documents%20and%20Settings\Lew\Local%20Settings\Temp\Documents%20and%20Settings\Fulton\Local%20Settings\Temporary%20Internet%20Files\OLK45B\WINNT\Profiles\fulton\Local%20Settings\Temp\WEC97BB.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Room%202\MoMo%20meeting%2026-27%20May\Documents%20and%20Settings\Lew\Local%20Settings\Temp\Documents%20and%20Settings\Fulton\Local%20Settings\Temporary%20Internet%20Files\OLK45B\WINNT\Profiles\fulton\Local%20Settings\Temp\WEC97B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ntrol sheet"/>
      <sheetName val="Input sheet"/>
      <sheetName val="Model structure"/>
      <sheetName val="Summary outputs"/>
      <sheetName val="Main outputs"/>
      <sheetName val="Emission outputs"/>
      <sheetName val="Cost outputs"/>
      <sheetName val="Regional outputs"/>
      <sheetName val="SUV &amp; cars outputs"/>
      <sheetName val="Fuels"/>
      <sheetName val="LDVdata"/>
      <sheetName val="LDVall"/>
      <sheetName val="LDVgaso"/>
      <sheetName val="LDVg_hyb"/>
      <sheetName val="LDVdies"/>
      <sheetName val="LDVd_hyb"/>
      <sheetName val="LDVcng"/>
      <sheetName val="LDVfc"/>
      <sheetName val="LDVh2_hyb"/>
      <sheetName val="SUVall"/>
      <sheetName val="SUVgaso"/>
      <sheetName val="SUVg_hyb"/>
      <sheetName val="SUVdies"/>
      <sheetName val="SUVd_hyb"/>
      <sheetName val="SUVcng"/>
      <sheetName val="SUVfc"/>
      <sheetName val="SUVh2_hyb"/>
      <sheetName val="CARall"/>
      <sheetName val="CARgaso"/>
      <sheetName val="CARg_hyb"/>
      <sheetName val="CARdies"/>
      <sheetName val="CARd_hyb"/>
      <sheetName val="CARcng"/>
      <sheetName val="CARfc"/>
      <sheetName val="CARh2_hyb"/>
      <sheetName val="Med frt trk"/>
      <sheetName val="Hvy frt trk"/>
      <sheetName val="2 wheel"/>
      <sheetName val="3 wheel"/>
      <sheetName val="Buses"/>
      <sheetName val="Minibuses"/>
      <sheetName val="Pass Rail"/>
      <sheetName val="Frt Rail"/>
      <sheetName val="Air"/>
      <sheetName val="Water"/>
      <sheetName val="safety"/>
      <sheetName val="safety-korn"/>
      <sheetName val="Materials"/>
      <sheetName val="EF"/>
      <sheetName val="M_LDVall"/>
      <sheetName val="M_LDVgaso"/>
      <sheetName val="M_LDVg_hyb"/>
      <sheetName val="M_LDVdies"/>
      <sheetName val="M_LDVd_hyb"/>
      <sheetName val="M_LDVcng"/>
      <sheetName val="M_LDVfc"/>
      <sheetName val="M_LDVh2_hyb"/>
      <sheetName val="Polut"/>
      <sheetName val="P&amp;G"/>
      <sheetName val="Carbon"/>
      <sheetName val="GM LBST"/>
      <sheetName val="IEA data 2000"/>
      <sheetName val="WEO"/>
      <sheetName val="WEC"/>
      <sheetName val="EIA"/>
      <sheetName val="MAP"/>
      <sheetName val="VehOwn"/>
      <sheetName val="ORNL TEBD"/>
      <sheetName val="Taxes"/>
      <sheetName val="Vehicle costs"/>
      <sheetName val="ETP opt case"/>
      <sheetName val="ETP ref case"/>
      <sheetName val="Concawe - Vehicles"/>
      <sheetName val="Concawe - GHG"/>
      <sheetName val="Macedo"/>
      <sheetName val="Energy u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A"/>
      <sheetName val="B"/>
      <sheetName val="File structure"/>
      <sheetName val="Model structure"/>
      <sheetName val="Summary outputs"/>
      <sheetName val="Main outputs"/>
      <sheetName val="Emission outputs"/>
      <sheetName val="Cost outputs"/>
      <sheetName val="Regional outputs"/>
      <sheetName val="WEO Output"/>
      <sheetName val="Fuels"/>
      <sheetName val="P&amp;G"/>
      <sheetName val="LDVdata"/>
      <sheetName val="LDVall"/>
      <sheetName val="LTall"/>
      <sheetName val="PCall"/>
      <sheetName val="LDVgaso"/>
      <sheetName val="LDVg_hyb"/>
      <sheetName val="LDVdies"/>
      <sheetName val="LDVd_hyb"/>
      <sheetName val="LDVcng"/>
      <sheetName val="LDVfc"/>
      <sheetName val="LDVh2_hyb"/>
      <sheetName val="LTgaso"/>
      <sheetName val="LTg_hyb"/>
      <sheetName val="LTdies"/>
      <sheetName val="LTd_hyb"/>
      <sheetName val="LTcng"/>
      <sheetName val="LTfc"/>
      <sheetName val="LTh2_hyb"/>
      <sheetName val="PCgaso"/>
      <sheetName val="PCg_hyb"/>
      <sheetName val="PCdies"/>
      <sheetName val="PCd_hyb"/>
      <sheetName val="PCcng"/>
      <sheetName val="PCfc"/>
      <sheetName val="PCh2_hyb"/>
      <sheetName val="Med frt trk"/>
      <sheetName val="Hvy frt trk"/>
      <sheetName val="2 wheel"/>
      <sheetName val="3 wheel"/>
      <sheetName val="Buses"/>
      <sheetName val="Minibuses"/>
      <sheetName val="Pass Rail"/>
      <sheetName val="Frt Rail"/>
      <sheetName val="Air"/>
      <sheetName val="Water"/>
      <sheetName val="safety"/>
      <sheetName val="safety-korn"/>
      <sheetName val="Materials"/>
      <sheetName val="EF"/>
      <sheetName val="M_LDVall"/>
      <sheetName val="M"/>
      <sheetName val="Polut"/>
      <sheetName val="Convert"/>
      <sheetName val="Carbon"/>
      <sheetName val="Energy mix"/>
      <sheetName val="Electricity mix"/>
      <sheetName val="Tax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r2"/>
      <sheetName val="#REF"/>
    </sheetNames>
    <sheetDataSet>
      <sheetData sheetId="0" refreshError="1">
        <row r="23">
          <cell r="C23">
            <v>4.6583322403045191E-2</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r2"/>
      <sheetName val="P&amp;G"/>
    </sheetNames>
    <sheetDataSet>
      <sheetData sheetId="0" refreshError="1">
        <row r="23">
          <cell r="C23">
            <v>4.6583322403045191E-2</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r2"/>
      <sheetName val="#REF"/>
    </sheetNames>
    <sheetDataSet>
      <sheetData sheetId="0" refreshError="1">
        <row r="23">
          <cell r="C23">
            <v>4.6583322403045191E-2</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Heat_of_combustion" TargetMode="External"/><Relationship Id="rId13" Type="http://schemas.openxmlformats.org/officeDocument/2006/relationships/hyperlink" Target="http://www.nesteoil.com/binary.asp?GUID=5FEA6605-EB09-4EB4-894D-24C76663695D" TargetMode="External"/><Relationship Id="rId3" Type="http://schemas.openxmlformats.org/officeDocument/2006/relationships/hyperlink" Target="http://hydrogen.pnl.gov/cocoon/morf/hydrogen/site_specific/fuel_heating_calculator?canprint=false" TargetMode="External"/><Relationship Id="rId7" Type="http://schemas.openxmlformats.org/officeDocument/2006/relationships/hyperlink" Target="http://www.efcf.com/reports/E10.pdf" TargetMode="External"/><Relationship Id="rId12" Type="http://schemas.openxmlformats.org/officeDocument/2006/relationships/hyperlink" Target="http://www.sciencedirect.com/science?_ob=ArticleURL&amp;_udi=B6TG3-4VT17PW-2&amp;_user=10&amp;_coverDate=05%2F31%2F2009&amp;_rdoc=1&amp;_fmt=high&amp;_orig=search&amp;_sort=d&amp;_docanchor=&amp;view=c&amp;_searchStrId=1220195358&amp;_rerunOrigin=google&amp;_acct=C000050221&amp;_version=1&amp;_urlVersion=0&amp;_us" TargetMode="External"/><Relationship Id="rId2" Type="http://schemas.openxmlformats.org/officeDocument/2006/relationships/hyperlink" Target="http://hydrogen.pnl.gov/cocoon/morf/hydrogen/site_specific/fuel_heating_calculator?canprint=false" TargetMode="External"/><Relationship Id="rId16" Type="http://schemas.openxmlformats.org/officeDocument/2006/relationships/drawing" Target="../drawings/drawing3.xml"/><Relationship Id="rId1" Type="http://schemas.openxmlformats.org/officeDocument/2006/relationships/hyperlink" Target="http://www.northwoods.org.uk/c.php/home/guidance_&amp;_information/biomass_conversion_tables" TargetMode="External"/><Relationship Id="rId6" Type="http://schemas.openxmlformats.org/officeDocument/2006/relationships/hyperlink" Target="http://www.environment.gov.au/settlements/transport/comparison/pubs/app8.pdf" TargetMode="External"/><Relationship Id="rId11" Type="http://schemas.openxmlformats.org/officeDocument/2006/relationships/hyperlink" Target="http://en.wikipedia.org/wiki/Ammonia" TargetMode="External"/><Relationship Id="rId5" Type="http://schemas.openxmlformats.org/officeDocument/2006/relationships/hyperlink" Target="http://en.wikipedia.org/wiki/Fuel_efficiency" TargetMode="External"/><Relationship Id="rId15" Type="http://schemas.openxmlformats.org/officeDocument/2006/relationships/printerSettings" Target="../printerSettings/printerSettings3.bin"/><Relationship Id="rId10" Type="http://schemas.openxmlformats.org/officeDocument/2006/relationships/hyperlink" Target="http://ies.jrc.ec.europa.eu/uploads/media/V3.1%20TTW%20Report%2007102008.pdf" TargetMode="External"/><Relationship Id="rId4" Type="http://schemas.openxmlformats.org/officeDocument/2006/relationships/hyperlink" Target="http://www.hrt.msu.edu/Energy/pdf/Heating%20Value%20of%20Common%20Fuels.pdf" TargetMode="External"/><Relationship Id="rId9" Type="http://schemas.openxmlformats.org/officeDocument/2006/relationships/hyperlink" Target="http://www.greencarcongress.com/2007/04/test_results_sh.html" TargetMode="External"/><Relationship Id="rId14" Type="http://schemas.openxmlformats.org/officeDocument/2006/relationships/hyperlink" Target="http://mitenergyclub.org/sites/default/files/Units_ConvFactors.MIT_EnergyClub_Factsheet.v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J37" sqref="J37"/>
    </sheetView>
  </sheetViews>
  <sheetFormatPr defaultRowHeight="15"/>
  <cols>
    <col min="1" max="1" width="27.42578125" customWidth="1"/>
    <col min="2" max="2" width="12" bestFit="1" customWidth="1"/>
    <col min="15" max="15" width="25" bestFit="1" customWidth="1"/>
    <col min="16" max="16" width="10.140625" bestFit="1" customWidth="1"/>
    <col min="17" max="17" width="26.85546875" bestFit="1" customWidth="1"/>
    <col min="18" max="18" width="23.28515625" bestFit="1" customWidth="1"/>
  </cols>
  <sheetData>
    <row r="1" spans="1:18">
      <c r="A1" s="128" t="s">
        <v>311</v>
      </c>
      <c r="B1" s="129" t="e">
        <f>#REF!</f>
        <v>#REF!</v>
      </c>
      <c r="C1" s="129" t="e">
        <f>#REF!</f>
        <v>#REF!</v>
      </c>
      <c r="D1" s="129" t="e">
        <f>#REF!</f>
        <v>#REF!</v>
      </c>
      <c r="E1" s="129" t="e">
        <f>#REF!</f>
        <v>#REF!</v>
      </c>
      <c r="F1" s="129" t="e">
        <f>#REF!</f>
        <v>#REF!</v>
      </c>
      <c r="G1" s="129" t="e">
        <f>#REF!</f>
        <v>#REF!</v>
      </c>
      <c r="H1" s="129" t="e">
        <f>#REF!</f>
        <v>#REF!</v>
      </c>
      <c r="I1" s="129" t="e">
        <f>#REF!</f>
        <v>#REF!</v>
      </c>
      <c r="J1" s="129" t="e">
        <f>#REF!</f>
        <v>#REF!</v>
      </c>
      <c r="K1" s="129" t="e">
        <f>#REF!</f>
        <v>#REF!</v>
      </c>
      <c r="L1" s="129" t="e">
        <f>#REF!</f>
        <v>#REF!</v>
      </c>
      <c r="O1" s="132" t="s">
        <v>304</v>
      </c>
      <c r="P1" s="132" t="s">
        <v>308</v>
      </c>
      <c r="Q1" s="132" t="s">
        <v>310</v>
      </c>
      <c r="R1" s="132" t="s">
        <v>312</v>
      </c>
    </row>
    <row r="2" spans="1:18">
      <c r="A2" s="129" t="e">
        <f>#REF!</f>
        <v>#REF!</v>
      </c>
      <c r="B2" s="130" t="e">
        <f>SUM(B3:B10)</f>
        <v>#REF!</v>
      </c>
      <c r="C2" s="130" t="e">
        <f>SUM(C3:C10)</f>
        <v>#REF!</v>
      </c>
      <c r="D2" s="130" t="e">
        <f t="shared" ref="D2:L2" si="0">SUM(D3:D10)</f>
        <v>#REF!</v>
      </c>
      <c r="E2" s="130" t="e">
        <f t="shared" si="0"/>
        <v>#REF!</v>
      </c>
      <c r="F2" s="130" t="e">
        <f t="shared" si="0"/>
        <v>#REF!</v>
      </c>
      <c r="G2" s="130" t="e">
        <f>SUM(G3:G10)</f>
        <v>#REF!</v>
      </c>
      <c r="H2" s="130" t="e">
        <f t="shared" si="0"/>
        <v>#REF!</v>
      </c>
      <c r="I2" s="130" t="e">
        <f>SUM(I3:I10)</f>
        <v>#REF!</v>
      </c>
      <c r="J2" s="130" t="e">
        <f t="shared" si="0"/>
        <v>#REF!</v>
      </c>
      <c r="K2" s="130" t="e">
        <f>SUM(K3:K10)</f>
        <v>#REF!</v>
      </c>
      <c r="L2" s="130" t="e">
        <f t="shared" si="0"/>
        <v>#REF!</v>
      </c>
      <c r="O2" s="128" t="s">
        <v>321</v>
      </c>
      <c r="P2" s="131">
        <f>Convert!C24</f>
        <v>21.133049999999997</v>
      </c>
      <c r="Q2" s="133">
        <f>P3/P2</f>
        <v>1.5846269232316208</v>
      </c>
      <c r="R2" s="134">
        <f>(P2*(1*10^9))/(1*10^12)</f>
        <v>2.1133049999999997E-2</v>
      </c>
    </row>
    <row r="3" spans="1:18">
      <c r="A3" s="130" t="e">
        <f>#REF!</f>
        <v>#REF!</v>
      </c>
      <c r="B3" s="130" t="e">
        <f>#REF!*$Q$2</f>
        <v>#REF!</v>
      </c>
      <c r="C3" s="130" t="e">
        <f>#REF!*$Q$2</f>
        <v>#REF!</v>
      </c>
      <c r="D3" s="130" t="e">
        <f>#REF!*$Q$2</f>
        <v>#REF!</v>
      </c>
      <c r="E3" s="130" t="e">
        <f>#REF!*$Q$2</f>
        <v>#REF!</v>
      </c>
      <c r="F3" s="130" t="e">
        <f>#REF!*$Q$2</f>
        <v>#REF!</v>
      </c>
      <c r="G3" s="130" t="e">
        <f>#REF!*$Q$2</f>
        <v>#REF!</v>
      </c>
      <c r="H3" s="130" t="e">
        <f>#REF!*$Q$2</f>
        <v>#REF!</v>
      </c>
      <c r="I3" s="130" t="e">
        <f>#REF!*$Q$2</f>
        <v>#REF!</v>
      </c>
      <c r="J3" s="130" t="e">
        <f>#REF!*$Q$2</f>
        <v>#REF!</v>
      </c>
      <c r="K3" s="130" t="e">
        <f>#REF!*$Q$2</f>
        <v>#REF!</v>
      </c>
      <c r="L3" s="130" t="e">
        <f>#REF!*$Q$2</f>
        <v>#REF!</v>
      </c>
      <c r="O3" s="128" t="str">
        <f>Convert!A17</f>
        <v>Gasoline</v>
      </c>
      <c r="P3" s="131">
        <f>Convert!C17</f>
        <v>33.488</v>
      </c>
      <c r="Q3" s="128"/>
      <c r="R3" s="134">
        <f>(P3*(1*10^9))/(1*10^12)</f>
        <v>3.3487999999999997E-2</v>
      </c>
    </row>
    <row r="4" spans="1:18">
      <c r="A4" s="130" t="e">
        <f>#REF!</f>
        <v>#REF!</v>
      </c>
      <c r="B4" s="130" t="e">
        <f>#REF!*$Q$2</f>
        <v>#REF!</v>
      </c>
      <c r="C4" s="130" t="e">
        <f>#REF!*$Q$2</f>
        <v>#REF!</v>
      </c>
      <c r="D4" s="130" t="e">
        <f>#REF!*$Q$2</f>
        <v>#REF!</v>
      </c>
      <c r="E4" s="130" t="e">
        <f>#REF!*$Q$2</f>
        <v>#REF!</v>
      </c>
      <c r="F4" s="130" t="e">
        <f>#REF!*$Q$2</f>
        <v>#REF!</v>
      </c>
      <c r="G4" s="130" t="e">
        <f>#REF!*$Q$2</f>
        <v>#REF!</v>
      </c>
      <c r="H4" s="130" t="e">
        <f>#REF!*$Q$2</f>
        <v>#REF!</v>
      </c>
      <c r="I4" s="130" t="e">
        <f>#REF!*$Q$2</f>
        <v>#REF!</v>
      </c>
      <c r="J4" s="130" t="e">
        <f>#REF!*$Q$2</f>
        <v>#REF!</v>
      </c>
      <c r="K4" s="130" t="e">
        <f>#REF!*$Q$2</f>
        <v>#REF!</v>
      </c>
      <c r="L4" s="130" t="e">
        <f>#REF!*$Q$2</f>
        <v>#REF!</v>
      </c>
      <c r="O4" s="128" t="str">
        <f>Convert!A25</f>
        <v>Biodiesel (FAME)</v>
      </c>
      <c r="P4" s="131">
        <f>Convert!C25</f>
        <v>32.692</v>
      </c>
      <c r="Q4" s="133">
        <f>P3/P4</f>
        <v>1.024348464456136</v>
      </c>
      <c r="R4" s="134">
        <f t="shared" ref="R4:R8" si="1">(P4*(1*10^9))/(1*10^12)</f>
        <v>3.2691999999999999E-2</v>
      </c>
    </row>
    <row r="5" spans="1:18">
      <c r="A5" s="130" t="e">
        <f>#REF!</f>
        <v>#REF!</v>
      </c>
      <c r="B5" s="130" t="e">
        <f>#REF!*$Q$2</f>
        <v>#REF!</v>
      </c>
      <c r="C5" s="130" t="e">
        <f>#REF!*$Q$2</f>
        <v>#REF!</v>
      </c>
      <c r="D5" s="130" t="e">
        <f>#REF!*$Q$2</f>
        <v>#REF!</v>
      </c>
      <c r="E5" s="130" t="e">
        <f>#REF!*$Q$2</f>
        <v>#REF!</v>
      </c>
      <c r="F5" s="130" t="e">
        <f>#REF!*$Q$2</f>
        <v>#REF!</v>
      </c>
      <c r="G5" s="130" t="e">
        <f>#REF!*$Q$2</f>
        <v>#REF!</v>
      </c>
      <c r="H5" s="130" t="e">
        <f>#REF!*$Q$2</f>
        <v>#REF!</v>
      </c>
      <c r="I5" s="130" t="e">
        <f>#REF!*$Q$2</f>
        <v>#REF!</v>
      </c>
      <c r="J5" s="130" t="e">
        <f>#REF!*$Q$2</f>
        <v>#REF!</v>
      </c>
      <c r="K5" s="130" t="e">
        <f>#REF!*$Q$2</f>
        <v>#REF!</v>
      </c>
      <c r="L5" s="130" t="e">
        <f>#REF!*$Q$2</f>
        <v>#REF!</v>
      </c>
      <c r="O5" s="128" t="str">
        <f>Convert!J25</f>
        <v>Hydrotreated biodiesel</v>
      </c>
      <c r="P5" s="128">
        <f>Convert!K25</f>
        <v>34.4</v>
      </c>
      <c r="Q5" s="133">
        <f>P3/P5</f>
        <v>0.9734883720930233</v>
      </c>
      <c r="R5" s="134">
        <f t="shared" si="1"/>
        <v>3.44E-2</v>
      </c>
    </row>
    <row r="6" spans="1:18">
      <c r="A6" s="130" t="e">
        <f>#REF!</f>
        <v>#REF!</v>
      </c>
      <c r="B6" s="130" t="e">
        <f>#REF!*$Q$4</f>
        <v>#REF!</v>
      </c>
      <c r="C6" s="130" t="e">
        <f>#REF!*$Q$4</f>
        <v>#REF!</v>
      </c>
      <c r="D6" s="130" t="e">
        <f>#REF!*$Q$4</f>
        <v>#REF!</v>
      </c>
      <c r="E6" s="130" t="e">
        <f>#REF!*$Q$4</f>
        <v>#REF!</v>
      </c>
      <c r="F6" s="130" t="e">
        <f>#REF!*$Q$4</f>
        <v>#REF!</v>
      </c>
      <c r="G6" s="130" t="e">
        <f>#REF!*$Q$4</f>
        <v>#REF!</v>
      </c>
      <c r="H6" s="130" t="e">
        <f>#REF!*$Q$4</f>
        <v>#REF!</v>
      </c>
      <c r="I6" s="130" t="e">
        <f>#REF!*$Q$4</f>
        <v>#REF!</v>
      </c>
      <c r="J6" s="130" t="e">
        <f>#REF!*$Q$4</f>
        <v>#REF!</v>
      </c>
      <c r="K6" s="130" t="e">
        <f>#REF!*$Q$4</f>
        <v>#REF!</v>
      </c>
      <c r="L6" s="130" t="e">
        <f>#REF!*$Q$4</f>
        <v>#REF!</v>
      </c>
      <c r="O6" s="128" t="str">
        <f>Convert!A19</f>
        <v>Jet fuel (kerosene)</v>
      </c>
      <c r="P6" s="131">
        <f>Convert!C19</f>
        <v>37.121175000000001</v>
      </c>
      <c r="Q6" s="133">
        <f>P3/P6</f>
        <v>0.90212661641233072</v>
      </c>
      <c r="R6" s="134">
        <f t="shared" si="1"/>
        <v>3.7121174999999999E-2</v>
      </c>
    </row>
    <row r="7" spans="1:18">
      <c r="A7" s="130" t="e">
        <f>#REF!</f>
        <v>#REF!</v>
      </c>
      <c r="B7" s="130" t="e">
        <f>#REF!*$Q$5</f>
        <v>#REF!</v>
      </c>
      <c r="C7" s="130" t="e">
        <f>#REF!*$Q$5</f>
        <v>#REF!</v>
      </c>
      <c r="D7" s="130" t="e">
        <f>#REF!*$Q$5</f>
        <v>#REF!</v>
      </c>
      <c r="E7" s="130" t="e">
        <f>#REF!*$Q$5</f>
        <v>#REF!</v>
      </c>
      <c r="F7" s="130" t="e">
        <f>#REF!*$Q$5</f>
        <v>#REF!</v>
      </c>
      <c r="G7" s="130" t="e">
        <f>#REF!*$Q$5</f>
        <v>#REF!</v>
      </c>
      <c r="H7" s="130" t="e">
        <f>#REF!*$Q$5</f>
        <v>#REF!</v>
      </c>
      <c r="I7" s="130" t="e">
        <f>#REF!*$Q$5</f>
        <v>#REF!</v>
      </c>
      <c r="J7" s="130" t="e">
        <f>#REF!*$Q$5</f>
        <v>#REF!</v>
      </c>
      <c r="K7" s="130" t="e">
        <f>#REF!*$Q$5</f>
        <v>#REF!</v>
      </c>
      <c r="L7" s="130" t="e">
        <f>#REF!*$Q$5</f>
        <v>#REF!</v>
      </c>
      <c r="O7" s="128" t="s">
        <v>307</v>
      </c>
      <c r="P7" s="128">
        <f>Convert!C28</f>
        <v>18</v>
      </c>
      <c r="Q7" s="133">
        <f>P3/P7</f>
        <v>1.8604444444444443</v>
      </c>
      <c r="R7" s="134">
        <f t="shared" si="1"/>
        <v>1.7999999999999999E-2</v>
      </c>
    </row>
    <row r="8" spans="1:18">
      <c r="A8" s="130" t="e">
        <f>#REF!</f>
        <v>#REF!</v>
      </c>
      <c r="B8" s="130" t="e">
        <f>#REF!*$Q$8</f>
        <v>#REF!</v>
      </c>
      <c r="C8" s="130" t="e">
        <f>#REF!*$Q$8</f>
        <v>#REF!</v>
      </c>
      <c r="D8" s="130" t="e">
        <f>#REF!*$Q$8</f>
        <v>#REF!</v>
      </c>
      <c r="E8" s="130" t="e">
        <f>#REF!*$Q$8</f>
        <v>#REF!</v>
      </c>
      <c r="F8" s="130" t="e">
        <f>#REF!*$Q$8</f>
        <v>#REF!</v>
      </c>
      <c r="G8" s="130" t="e">
        <f>#REF!*$Q$8</f>
        <v>#REF!</v>
      </c>
      <c r="H8" s="130" t="e">
        <f>#REF!*$Q$8</f>
        <v>#REF!</v>
      </c>
      <c r="I8" s="130" t="e">
        <f>#REF!*$Q$8</f>
        <v>#REF!</v>
      </c>
      <c r="J8" s="130" t="e">
        <f>#REF!*$Q$8</f>
        <v>#REF!</v>
      </c>
      <c r="K8" s="130" t="e">
        <f>#REF!*$Q$8</f>
        <v>#REF!</v>
      </c>
      <c r="L8" s="130" t="e">
        <f>#REF!*$Q$8</f>
        <v>#REF!</v>
      </c>
      <c r="O8" s="128" t="s">
        <v>309</v>
      </c>
      <c r="P8" s="131">
        <v>50</v>
      </c>
      <c r="Q8" s="133">
        <f>Convert!D17/P8</f>
        <v>0.89599999999999991</v>
      </c>
      <c r="R8" s="134">
        <f t="shared" si="1"/>
        <v>0.05</v>
      </c>
    </row>
    <row r="9" spans="1:18">
      <c r="A9" s="130" t="e">
        <f>#REF!</f>
        <v>#REF!</v>
      </c>
      <c r="B9" s="130" t="e">
        <f>#REF!*$Q$6</f>
        <v>#REF!</v>
      </c>
      <c r="C9" s="130" t="e">
        <f>#REF!*$Q$6</f>
        <v>#REF!</v>
      </c>
      <c r="D9" s="130" t="e">
        <f>#REF!*$Q$6</f>
        <v>#REF!</v>
      </c>
      <c r="E9" s="130" t="e">
        <f>#REF!*$Q$6</f>
        <v>#REF!</v>
      </c>
      <c r="F9" s="130" t="e">
        <f>#REF!*$Q$6</f>
        <v>#REF!</v>
      </c>
      <c r="G9" s="130" t="e">
        <f>#REF!*$Q$6</f>
        <v>#REF!</v>
      </c>
      <c r="H9" s="130" t="e">
        <f>#REF!*$Q$6</f>
        <v>#REF!</v>
      </c>
      <c r="I9" s="130" t="e">
        <f>#REF!*$Q$6</f>
        <v>#REF!</v>
      </c>
      <c r="J9" s="130" t="e">
        <f>#REF!*$Q$6</f>
        <v>#REF!</v>
      </c>
      <c r="K9" s="130" t="e">
        <f>#REF!*$Q$6</f>
        <v>#REF!</v>
      </c>
      <c r="L9" s="130" t="e">
        <f>#REF!*$Q$6</f>
        <v>#REF!</v>
      </c>
      <c r="P9" s="125"/>
    </row>
    <row r="10" spans="1:18">
      <c r="A10" s="130" t="e">
        <f>#REF!</f>
        <v>#REF!</v>
      </c>
      <c r="B10" s="130" t="e">
        <f>#REF!*$Q$7</f>
        <v>#REF!</v>
      </c>
      <c r="C10" s="130" t="e">
        <f>#REF!*$Q$7</f>
        <v>#REF!</v>
      </c>
      <c r="D10" s="130" t="e">
        <f>#REF!*$Q$7</f>
        <v>#REF!</v>
      </c>
      <c r="E10" s="130" t="e">
        <f>#REF!*$Q$7</f>
        <v>#REF!</v>
      </c>
      <c r="F10" s="130" t="e">
        <f>#REF!*$Q$7</f>
        <v>#REF!</v>
      </c>
      <c r="G10" s="130" t="e">
        <f>#REF!*$Q$7</f>
        <v>#REF!</v>
      </c>
      <c r="H10" s="130" t="e">
        <f>#REF!*$Q$7</f>
        <v>#REF!</v>
      </c>
      <c r="I10" s="130" t="e">
        <f>#REF!*$Q$7</f>
        <v>#REF!</v>
      </c>
      <c r="J10" s="130" t="e">
        <f>#REF!*$Q$7</f>
        <v>#REF!</v>
      </c>
      <c r="K10" s="130" t="e">
        <f>#REF!*$Q$7</f>
        <v>#REF!</v>
      </c>
      <c r="L10" s="130" t="e">
        <f>#REF!*$Q$7</f>
        <v>#REF!</v>
      </c>
      <c r="P10" s="125"/>
    </row>
    <row r="11" spans="1:18">
      <c r="A11" s="1"/>
      <c r="P11" s="125"/>
    </row>
    <row r="12" spans="1:18">
      <c r="A12" s="128" t="s">
        <v>6</v>
      </c>
      <c r="B12" s="132">
        <v>2000</v>
      </c>
      <c r="C12" s="132">
        <v>2005</v>
      </c>
      <c r="D12" s="132">
        <v>2010</v>
      </c>
      <c r="E12" s="132">
        <v>2015</v>
      </c>
      <c r="F12" s="132">
        <v>2020</v>
      </c>
      <c r="G12" s="132">
        <v>2025</v>
      </c>
      <c r="H12" s="132">
        <v>2030</v>
      </c>
      <c r="I12" s="132">
        <v>2035</v>
      </c>
      <c r="J12" s="132">
        <v>2040</v>
      </c>
      <c r="K12" s="132">
        <v>2045</v>
      </c>
      <c r="L12" s="132">
        <v>2050</v>
      </c>
      <c r="P12" s="125"/>
    </row>
    <row r="13" spans="1:18">
      <c r="A13" s="132" t="s">
        <v>322</v>
      </c>
      <c r="B13" s="133" t="e">
        <f>SUM(B14:B21)</f>
        <v>#REF!</v>
      </c>
      <c r="C13" s="133" t="e">
        <f t="shared" ref="C13:L13" si="2">SUM(C14:C21)</f>
        <v>#REF!</v>
      </c>
      <c r="D13" s="133" t="e">
        <f t="shared" si="2"/>
        <v>#REF!</v>
      </c>
      <c r="E13" s="133" t="e">
        <f t="shared" si="2"/>
        <v>#REF!</v>
      </c>
      <c r="F13" s="133" t="e">
        <f t="shared" si="2"/>
        <v>#REF!</v>
      </c>
      <c r="G13" s="133" t="e">
        <f t="shared" si="2"/>
        <v>#REF!</v>
      </c>
      <c r="H13" s="133" t="e">
        <f t="shared" si="2"/>
        <v>#REF!</v>
      </c>
      <c r="I13" s="133" t="e">
        <f t="shared" si="2"/>
        <v>#REF!</v>
      </c>
      <c r="J13" s="133" t="e">
        <f t="shared" si="2"/>
        <v>#REF!</v>
      </c>
      <c r="K13" s="133" t="e">
        <f t="shared" si="2"/>
        <v>#REF!</v>
      </c>
      <c r="L13" s="133" t="e">
        <f t="shared" si="2"/>
        <v>#REF!</v>
      </c>
      <c r="P13" s="125"/>
    </row>
    <row r="14" spans="1:18">
      <c r="A14" s="128" t="s">
        <v>313</v>
      </c>
      <c r="B14" s="133" t="e">
        <f>B3*$R$2</f>
        <v>#REF!</v>
      </c>
      <c r="C14" s="133" t="e">
        <f t="shared" ref="C14:L14" si="3">C3*$R$2</f>
        <v>#REF!</v>
      </c>
      <c r="D14" s="133" t="e">
        <f t="shared" si="3"/>
        <v>#REF!</v>
      </c>
      <c r="E14" s="133" t="e">
        <f t="shared" si="3"/>
        <v>#REF!</v>
      </c>
      <c r="F14" s="133" t="e">
        <f t="shared" si="3"/>
        <v>#REF!</v>
      </c>
      <c r="G14" s="133" t="e">
        <f t="shared" si="3"/>
        <v>#REF!</v>
      </c>
      <c r="H14" s="133" t="e">
        <f t="shared" si="3"/>
        <v>#REF!</v>
      </c>
      <c r="I14" s="133" t="e">
        <f t="shared" si="3"/>
        <v>#REF!</v>
      </c>
      <c r="J14" s="133" t="e">
        <f t="shared" si="3"/>
        <v>#REF!</v>
      </c>
      <c r="K14" s="133" t="e">
        <f t="shared" si="3"/>
        <v>#REF!</v>
      </c>
      <c r="L14" s="133" t="e">
        <f t="shared" si="3"/>
        <v>#REF!</v>
      </c>
      <c r="P14" s="125"/>
    </row>
    <row r="15" spans="1:18">
      <c r="A15" s="128" t="s">
        <v>314</v>
      </c>
      <c r="B15" s="133" t="e">
        <f>B4*$R$2</f>
        <v>#REF!</v>
      </c>
      <c r="C15" s="133" t="e">
        <f t="shared" ref="C15:L15" si="4">C4*$R$2</f>
        <v>#REF!</v>
      </c>
      <c r="D15" s="133" t="e">
        <f t="shared" si="4"/>
        <v>#REF!</v>
      </c>
      <c r="E15" s="133" t="e">
        <f t="shared" si="4"/>
        <v>#REF!</v>
      </c>
      <c r="F15" s="133" t="e">
        <f t="shared" si="4"/>
        <v>#REF!</v>
      </c>
      <c r="G15" s="133" t="e">
        <f t="shared" si="4"/>
        <v>#REF!</v>
      </c>
      <c r="H15" s="133" t="e">
        <f t="shared" si="4"/>
        <v>#REF!</v>
      </c>
      <c r="I15" s="133" t="e">
        <f t="shared" si="4"/>
        <v>#REF!</v>
      </c>
      <c r="J15" s="133" t="e">
        <f t="shared" si="4"/>
        <v>#REF!</v>
      </c>
      <c r="K15" s="133" t="e">
        <f t="shared" si="4"/>
        <v>#REF!</v>
      </c>
      <c r="L15" s="133" t="e">
        <f t="shared" si="4"/>
        <v>#REF!</v>
      </c>
      <c r="P15" s="125"/>
    </row>
    <row r="16" spans="1:18">
      <c r="A16" s="128" t="s">
        <v>315</v>
      </c>
      <c r="B16" s="133" t="e">
        <f>B5*$R$2</f>
        <v>#REF!</v>
      </c>
      <c r="C16" s="133" t="e">
        <f>C5*$R$2</f>
        <v>#REF!</v>
      </c>
      <c r="D16" s="133" t="e">
        <f t="shared" ref="D16:L16" si="5">D5*$R$2</f>
        <v>#REF!</v>
      </c>
      <c r="E16" s="133" t="e">
        <f t="shared" si="5"/>
        <v>#REF!</v>
      </c>
      <c r="F16" s="133" t="e">
        <f t="shared" si="5"/>
        <v>#REF!</v>
      </c>
      <c r="G16" s="133" t="e">
        <f t="shared" si="5"/>
        <v>#REF!</v>
      </c>
      <c r="H16" s="133" t="e">
        <f t="shared" si="5"/>
        <v>#REF!</v>
      </c>
      <c r="I16" s="133" t="e">
        <f t="shared" si="5"/>
        <v>#REF!</v>
      </c>
      <c r="J16" s="133" t="e">
        <f t="shared" si="5"/>
        <v>#REF!</v>
      </c>
      <c r="K16" s="133" t="e">
        <f t="shared" si="5"/>
        <v>#REF!</v>
      </c>
      <c r="L16" s="133" t="e">
        <f t="shared" si="5"/>
        <v>#REF!</v>
      </c>
    </row>
    <row r="17" spans="1:12">
      <c r="A17" s="128" t="s">
        <v>316</v>
      </c>
      <c r="B17" s="133" t="e">
        <f>B6*$R$4</f>
        <v>#REF!</v>
      </c>
      <c r="C17" s="133" t="e">
        <f t="shared" ref="C17:L17" si="6">C6*$R$4</f>
        <v>#REF!</v>
      </c>
      <c r="D17" s="133" t="e">
        <f t="shared" si="6"/>
        <v>#REF!</v>
      </c>
      <c r="E17" s="133" t="e">
        <f t="shared" si="6"/>
        <v>#REF!</v>
      </c>
      <c r="F17" s="133" t="e">
        <f>F6*$R$4</f>
        <v>#REF!</v>
      </c>
      <c r="G17" s="133" t="e">
        <f t="shared" si="6"/>
        <v>#REF!</v>
      </c>
      <c r="H17" s="133" t="e">
        <f t="shared" si="6"/>
        <v>#REF!</v>
      </c>
      <c r="I17" s="133" t="e">
        <f t="shared" si="6"/>
        <v>#REF!</v>
      </c>
      <c r="J17" s="133" t="e">
        <f t="shared" si="6"/>
        <v>#REF!</v>
      </c>
      <c r="K17" s="133" t="e">
        <f t="shared" si="6"/>
        <v>#REF!</v>
      </c>
      <c r="L17" s="133" t="e">
        <f t="shared" si="6"/>
        <v>#REF!</v>
      </c>
    </row>
    <row r="18" spans="1:12">
      <c r="A18" s="128" t="s">
        <v>317</v>
      </c>
      <c r="B18" s="133" t="e">
        <f>B7*$R$5</f>
        <v>#REF!</v>
      </c>
      <c r="C18" s="133" t="e">
        <f t="shared" ref="C18:L18" si="7">C7*$R$5</f>
        <v>#REF!</v>
      </c>
      <c r="D18" s="133" t="e">
        <f t="shared" si="7"/>
        <v>#REF!</v>
      </c>
      <c r="E18" s="133" t="e">
        <f t="shared" si="7"/>
        <v>#REF!</v>
      </c>
      <c r="F18" s="133" t="e">
        <f t="shared" si="7"/>
        <v>#REF!</v>
      </c>
      <c r="G18" s="133" t="e">
        <f t="shared" si="7"/>
        <v>#REF!</v>
      </c>
      <c r="H18" s="133" t="e">
        <f t="shared" si="7"/>
        <v>#REF!</v>
      </c>
      <c r="I18" s="133" t="e">
        <f t="shared" si="7"/>
        <v>#REF!</v>
      </c>
      <c r="J18" s="133" t="e">
        <f t="shared" si="7"/>
        <v>#REF!</v>
      </c>
      <c r="K18" s="133" t="e">
        <f t="shared" si="7"/>
        <v>#REF!</v>
      </c>
      <c r="L18" s="133" t="e">
        <f t="shared" si="7"/>
        <v>#REF!</v>
      </c>
    </row>
    <row r="19" spans="1:12">
      <c r="A19" s="128" t="s">
        <v>318</v>
      </c>
      <c r="B19" s="133" t="e">
        <f>B8*$R$8</f>
        <v>#REF!</v>
      </c>
      <c r="C19" s="133" t="e">
        <f t="shared" ref="C19:L19" si="8">C8*$R$8</f>
        <v>#REF!</v>
      </c>
      <c r="D19" s="133" t="e">
        <f t="shared" si="8"/>
        <v>#REF!</v>
      </c>
      <c r="E19" s="133" t="e">
        <f t="shared" si="8"/>
        <v>#REF!</v>
      </c>
      <c r="F19" s="133" t="e">
        <f t="shared" si="8"/>
        <v>#REF!</v>
      </c>
      <c r="G19" s="133" t="e">
        <f t="shared" si="8"/>
        <v>#REF!</v>
      </c>
      <c r="H19" s="133" t="e">
        <f t="shared" si="8"/>
        <v>#REF!</v>
      </c>
      <c r="I19" s="133" t="e">
        <f t="shared" si="8"/>
        <v>#REF!</v>
      </c>
      <c r="J19" s="133" t="e">
        <f t="shared" si="8"/>
        <v>#REF!</v>
      </c>
      <c r="K19" s="133" t="e">
        <f t="shared" si="8"/>
        <v>#REF!</v>
      </c>
      <c r="L19" s="133" t="e">
        <f t="shared" si="8"/>
        <v>#REF!</v>
      </c>
    </row>
    <row r="20" spans="1:12">
      <c r="A20" s="128" t="s">
        <v>319</v>
      </c>
      <c r="B20" s="133" t="e">
        <f>B9*$R$6</f>
        <v>#REF!</v>
      </c>
      <c r="C20" s="133" t="e">
        <f t="shared" ref="C20:L20" si="9">C9*$R$6</f>
        <v>#REF!</v>
      </c>
      <c r="D20" s="133" t="e">
        <f t="shared" si="9"/>
        <v>#REF!</v>
      </c>
      <c r="E20" s="133" t="e">
        <f t="shared" si="9"/>
        <v>#REF!</v>
      </c>
      <c r="F20" s="133" t="e">
        <f t="shared" si="9"/>
        <v>#REF!</v>
      </c>
      <c r="G20" s="133" t="e">
        <f t="shared" si="9"/>
        <v>#REF!</v>
      </c>
      <c r="H20" s="133" t="e">
        <f t="shared" si="9"/>
        <v>#REF!</v>
      </c>
      <c r="I20" s="133" t="e">
        <f t="shared" si="9"/>
        <v>#REF!</v>
      </c>
      <c r="J20" s="133" t="e">
        <f t="shared" si="9"/>
        <v>#REF!</v>
      </c>
      <c r="K20" s="133" t="e">
        <f t="shared" si="9"/>
        <v>#REF!</v>
      </c>
      <c r="L20" s="133" t="e">
        <f t="shared" si="9"/>
        <v>#REF!</v>
      </c>
    </row>
    <row r="21" spans="1:12">
      <c r="A21" s="128" t="s">
        <v>320</v>
      </c>
      <c r="B21" s="133" t="e">
        <f>B10*$R$7</f>
        <v>#REF!</v>
      </c>
      <c r="C21" s="133" t="e">
        <f t="shared" ref="C21:L21" si="10">C10*$R$7</f>
        <v>#REF!</v>
      </c>
      <c r="D21" s="133" t="e">
        <f t="shared" si="10"/>
        <v>#REF!</v>
      </c>
      <c r="E21" s="133" t="e">
        <f t="shared" si="10"/>
        <v>#REF!</v>
      </c>
      <c r="F21" s="133" t="e">
        <f t="shared" si="10"/>
        <v>#REF!</v>
      </c>
      <c r="G21" s="133" t="e">
        <f t="shared" si="10"/>
        <v>#REF!</v>
      </c>
      <c r="H21" s="133" t="e">
        <f t="shared" si="10"/>
        <v>#REF!</v>
      </c>
      <c r="I21" s="133" t="e">
        <f t="shared" si="10"/>
        <v>#REF!</v>
      </c>
      <c r="J21" s="133" t="e">
        <f t="shared" si="10"/>
        <v>#REF!</v>
      </c>
      <c r="K21" s="133" t="e">
        <f t="shared" si="10"/>
        <v>#REF!</v>
      </c>
      <c r="L21" s="133" t="e">
        <f t="shared" si="10"/>
        <v>#REF!</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9"/>
  <sheetViews>
    <sheetView tabSelected="1" topLeftCell="A39" zoomScale="70" zoomScaleNormal="70" workbookViewId="0">
      <selection activeCell="K87" sqref="K87"/>
    </sheetView>
  </sheetViews>
  <sheetFormatPr defaultRowHeight="15"/>
  <cols>
    <col min="1" max="1" width="28.7109375" style="145" customWidth="1"/>
    <col min="2" max="2" width="19" style="145" customWidth="1"/>
    <col min="3" max="4" width="12.85546875" style="145" bestFit="1" customWidth="1"/>
    <col min="5" max="5" width="10.5703125" style="145" customWidth="1"/>
    <col min="6" max="8" width="12.85546875" style="145" bestFit="1" customWidth="1"/>
    <col min="9" max="14" width="11.5703125" style="145" bestFit="1" customWidth="1"/>
    <col min="15" max="15" width="27.28515625" style="145" customWidth="1"/>
    <col min="16" max="16" width="13" style="145" bestFit="1" customWidth="1"/>
    <col min="17" max="17" width="26.140625" style="145" bestFit="1" customWidth="1"/>
    <col min="18" max="18" width="33.85546875" style="145" bestFit="1" customWidth="1"/>
    <col min="19" max="19" width="30.5703125" style="145" bestFit="1" customWidth="1"/>
    <col min="20" max="20" width="13.42578125" style="145" bestFit="1" customWidth="1"/>
    <col min="21" max="23" width="13.85546875" style="145" bestFit="1" customWidth="1"/>
    <col min="24" max="25" width="14.28515625" style="145" bestFit="1" customWidth="1"/>
    <col min="26" max="16384" width="9.140625" style="145"/>
  </cols>
  <sheetData>
    <row r="1" spans="2:3" s="167" customFormat="1" ht="42.75" customHeight="1">
      <c r="B1" s="185" t="s">
        <v>396</v>
      </c>
    </row>
    <row r="4" spans="2:3" ht="23.25">
      <c r="B4" s="168" t="s">
        <v>397</v>
      </c>
      <c r="C4" s="169"/>
    </row>
    <row r="5" spans="2:3">
      <c r="B5" s="169"/>
      <c r="C5" s="169"/>
    </row>
    <row r="6" spans="2:3">
      <c r="B6" s="146" t="s">
        <v>398</v>
      </c>
      <c r="C6" s="170" t="s">
        <v>402</v>
      </c>
    </row>
    <row r="7" spans="2:3">
      <c r="B7" s="146" t="s">
        <v>364</v>
      </c>
      <c r="C7" s="171">
        <v>43</v>
      </c>
    </row>
    <row r="8" spans="2:3">
      <c r="B8" s="146" t="s">
        <v>366</v>
      </c>
      <c r="C8" s="170" t="s">
        <v>396</v>
      </c>
    </row>
    <row r="9" spans="2:3">
      <c r="B9" s="146" t="s">
        <v>399</v>
      </c>
      <c r="C9" s="184" t="s">
        <v>400</v>
      </c>
    </row>
    <row r="10" spans="2:3">
      <c r="B10" s="146"/>
      <c r="C10" s="170"/>
    </row>
    <row r="11" spans="2:3">
      <c r="B11" s="146" t="s">
        <v>371</v>
      </c>
      <c r="C11" s="170"/>
    </row>
    <row r="12" spans="2:3">
      <c r="B12" s="146" t="s">
        <v>372</v>
      </c>
      <c r="C12" s="170" t="s">
        <v>403</v>
      </c>
    </row>
    <row r="13" spans="2:3">
      <c r="B13" s="146" t="s">
        <v>373</v>
      </c>
      <c r="C13" s="170" t="s">
        <v>401</v>
      </c>
    </row>
    <row r="18" spans="2:25" ht="23.25">
      <c r="B18" s="147" t="s">
        <v>370</v>
      </c>
    </row>
    <row r="24" spans="2:25">
      <c r="O24" s="187"/>
      <c r="P24" s="187"/>
      <c r="Q24" s="187"/>
      <c r="R24" s="187"/>
      <c r="S24" s="186"/>
      <c r="T24" s="186"/>
      <c r="U24" s="186"/>
      <c r="V24" s="187"/>
      <c r="W24" s="187"/>
      <c r="X24" s="187"/>
      <c r="Y24" s="187"/>
    </row>
    <row r="25" spans="2:25">
      <c r="O25" s="187"/>
      <c r="P25" s="187"/>
      <c r="Q25" s="187"/>
      <c r="R25" s="187"/>
      <c r="S25" s="186"/>
      <c r="T25" s="186"/>
      <c r="U25" s="186"/>
      <c r="V25" s="187"/>
      <c r="W25" s="187"/>
      <c r="X25" s="187"/>
      <c r="Y25" s="187"/>
    </row>
    <row r="26" spans="2:25">
      <c r="O26" s="187"/>
      <c r="P26" s="187"/>
      <c r="Q26" s="187"/>
      <c r="R26" s="187"/>
      <c r="S26" s="186"/>
      <c r="T26" s="186"/>
      <c r="U26" s="186"/>
      <c r="V26" s="187"/>
      <c r="W26" s="187"/>
      <c r="X26" s="187"/>
      <c r="Y26" s="187"/>
    </row>
    <row r="27" spans="2:25">
      <c r="O27" s="187"/>
      <c r="P27" s="187"/>
      <c r="Q27" s="187"/>
      <c r="R27" s="187"/>
      <c r="S27" s="186"/>
      <c r="T27" s="186"/>
      <c r="U27" s="186"/>
      <c r="V27" s="187"/>
      <c r="W27" s="187"/>
      <c r="X27" s="187"/>
      <c r="Y27" s="187"/>
    </row>
    <row r="28" spans="2:25">
      <c r="O28" s="186"/>
      <c r="P28" s="186"/>
      <c r="Q28" s="186"/>
      <c r="R28" s="186"/>
      <c r="S28" s="186"/>
      <c r="T28" s="186"/>
      <c r="U28" s="186"/>
      <c r="V28" s="186"/>
      <c r="W28" s="186"/>
      <c r="X28" s="186"/>
      <c r="Y28" s="186"/>
    </row>
    <row r="29" spans="2:25">
      <c r="O29" s="186"/>
      <c r="P29" s="186"/>
      <c r="Q29" s="186"/>
      <c r="R29" s="186"/>
      <c r="S29" s="186"/>
      <c r="T29" s="186"/>
      <c r="U29" s="186"/>
      <c r="V29" s="186"/>
      <c r="W29" s="186"/>
      <c r="X29" s="186"/>
      <c r="Y29" s="186"/>
    </row>
    <row r="30" spans="2:25">
      <c r="O30" s="186"/>
      <c r="P30" s="186"/>
      <c r="Q30" s="186"/>
      <c r="R30" s="186"/>
      <c r="S30" s="186"/>
      <c r="T30" s="186"/>
      <c r="U30" s="186"/>
      <c r="V30" s="186"/>
      <c r="W30" s="186"/>
      <c r="X30" s="186"/>
      <c r="Y30" s="186"/>
    </row>
    <row r="31" spans="2:25">
      <c r="O31" s="186"/>
      <c r="P31" s="186"/>
      <c r="Q31" s="186"/>
      <c r="R31" s="186"/>
      <c r="S31" s="186"/>
      <c r="T31" s="186"/>
      <c r="U31" s="186"/>
      <c r="V31" s="186"/>
      <c r="W31" s="186"/>
      <c r="X31" s="186"/>
      <c r="Y31" s="186"/>
    </row>
    <row r="32" spans="2:25">
      <c r="O32" s="186"/>
      <c r="P32" s="186"/>
      <c r="Q32" s="186"/>
      <c r="R32" s="186"/>
      <c r="S32" s="186"/>
      <c r="T32" s="186"/>
      <c r="U32" s="186"/>
      <c r="V32" s="186"/>
      <c r="W32" s="186"/>
      <c r="X32" s="186"/>
      <c r="Y32" s="186"/>
    </row>
    <row r="33" spans="2:25">
      <c r="O33" s="186"/>
      <c r="P33" s="186"/>
      <c r="Q33" s="186"/>
      <c r="R33" s="186"/>
      <c r="S33" s="186"/>
      <c r="T33" s="186"/>
      <c r="U33" s="186"/>
      <c r="V33" s="186"/>
      <c r="W33" s="186"/>
      <c r="X33" s="186"/>
      <c r="Y33" s="186"/>
    </row>
    <row r="34" spans="2:25">
      <c r="O34" s="186"/>
      <c r="P34" s="186"/>
      <c r="Q34" s="186"/>
      <c r="R34" s="186"/>
      <c r="S34" s="186"/>
      <c r="T34" s="186"/>
      <c r="U34" s="186"/>
      <c r="V34" s="186"/>
      <c r="W34" s="186"/>
      <c r="X34" s="186"/>
      <c r="Y34" s="186"/>
    </row>
    <row r="35" spans="2:25">
      <c r="O35" s="186"/>
      <c r="P35" s="186"/>
      <c r="Q35" s="186"/>
      <c r="R35" s="186"/>
      <c r="S35" s="186"/>
      <c r="T35" s="186"/>
      <c r="U35" s="186"/>
      <c r="V35" s="186"/>
      <c r="W35" s="186"/>
      <c r="X35" s="186"/>
      <c r="Y35" s="186"/>
    </row>
    <row r="36" spans="2:25">
      <c r="O36" s="186"/>
      <c r="P36" s="186"/>
      <c r="Q36" s="186"/>
      <c r="R36" s="186"/>
      <c r="S36" s="186"/>
      <c r="T36" s="186"/>
      <c r="U36" s="186"/>
      <c r="V36" s="186"/>
      <c r="W36" s="186"/>
      <c r="X36" s="186"/>
      <c r="Y36" s="186"/>
    </row>
    <row r="39" spans="2:25">
      <c r="J39" s="148"/>
    </row>
    <row r="42" spans="2:25" ht="23.25">
      <c r="B42" s="147" t="s">
        <v>382</v>
      </c>
    </row>
    <row r="43" spans="2:25">
      <c r="C43" s="176"/>
      <c r="D43" s="176"/>
      <c r="E43" s="176"/>
      <c r="F43" s="176"/>
      <c r="G43" s="176"/>
      <c r="H43" s="176"/>
      <c r="I43" s="176"/>
      <c r="J43" s="176"/>
      <c r="K43" s="176"/>
      <c r="L43" s="176"/>
      <c r="M43" s="176"/>
      <c r="N43" s="176"/>
      <c r="O43" s="176"/>
    </row>
    <row r="44" spans="2:25">
      <c r="C44" s="176"/>
      <c r="D44" s="176"/>
      <c r="E44" s="176"/>
      <c r="F44" s="176"/>
      <c r="G44" s="176"/>
      <c r="H44" s="176"/>
      <c r="I44" s="176"/>
      <c r="J44" s="176"/>
      <c r="K44" s="176"/>
      <c r="L44" s="176"/>
      <c r="M44" s="176"/>
      <c r="N44" s="176"/>
      <c r="O44" s="176"/>
    </row>
    <row r="45" spans="2:25">
      <c r="B45" s="191" t="s">
        <v>311</v>
      </c>
      <c r="C45" s="227">
        <v>2000</v>
      </c>
      <c r="D45" s="227">
        <v>2005</v>
      </c>
      <c r="E45" s="227">
        <v>2010</v>
      </c>
      <c r="F45" s="227">
        <v>2015</v>
      </c>
      <c r="G45" s="227">
        <v>2020</v>
      </c>
      <c r="H45" s="227">
        <v>2025</v>
      </c>
      <c r="I45" s="227">
        <v>2030</v>
      </c>
      <c r="J45" s="227">
        <v>2035</v>
      </c>
      <c r="K45" s="227">
        <v>2040</v>
      </c>
      <c r="L45" s="227">
        <v>2045</v>
      </c>
      <c r="M45" s="227">
        <v>2050</v>
      </c>
      <c r="N45" s="177"/>
      <c r="O45" s="177"/>
      <c r="P45" s="175" t="s">
        <v>304</v>
      </c>
      <c r="Q45" s="179" t="s">
        <v>308</v>
      </c>
      <c r="R45" s="179" t="s">
        <v>310</v>
      </c>
      <c r="S45" s="179" t="s">
        <v>312</v>
      </c>
      <c r="T45" s="177"/>
      <c r="U45" s="172"/>
      <c r="V45" s="172"/>
      <c r="W45" s="172"/>
      <c r="X45" s="172"/>
    </row>
    <row r="46" spans="2:25">
      <c r="B46" s="191" t="s">
        <v>404</v>
      </c>
      <c r="C46" s="190">
        <v>19.529088569810693</v>
      </c>
      <c r="D46" s="190">
        <v>38.240894309543471</v>
      </c>
      <c r="E46" s="190">
        <v>101.41200394306094</v>
      </c>
      <c r="F46" s="190">
        <v>125.46684533747303</v>
      </c>
      <c r="G46" s="190">
        <v>179.30193138603809</v>
      </c>
      <c r="H46" s="190">
        <v>232.13331044789834</v>
      </c>
      <c r="I46" s="190">
        <v>278.1709467535307</v>
      </c>
      <c r="J46" s="190">
        <v>345.47852907453051</v>
      </c>
      <c r="K46" s="190">
        <v>462.67017473304043</v>
      </c>
      <c r="L46" s="190">
        <v>572.07062641558468</v>
      </c>
      <c r="M46" s="190">
        <v>654.62544104590177</v>
      </c>
      <c r="N46" s="177"/>
      <c r="O46" s="177"/>
      <c r="P46" s="175" t="s">
        <v>321</v>
      </c>
      <c r="Q46" s="188">
        <v>21.133049999999997</v>
      </c>
      <c r="R46" s="188">
        <v>1.5846269232316208</v>
      </c>
      <c r="S46" s="188">
        <v>2.1133049999999997E-2</v>
      </c>
      <c r="T46" s="177"/>
      <c r="U46" s="172"/>
      <c r="V46" s="172"/>
      <c r="W46" s="172"/>
      <c r="X46" s="172"/>
    </row>
    <row r="47" spans="2:25">
      <c r="B47" s="191" t="s">
        <v>313</v>
      </c>
      <c r="C47" s="190">
        <v>7.495547136875409</v>
      </c>
      <c r="D47" s="190">
        <v>18.977464470136781</v>
      </c>
      <c r="E47" s="190">
        <v>57.765638484281972</v>
      </c>
      <c r="F47" s="190">
        <v>60.570067341921664</v>
      </c>
      <c r="G47" s="190">
        <v>41.132414192078919</v>
      </c>
      <c r="H47" s="190">
        <v>30.681906074528364</v>
      </c>
      <c r="I47" s="190">
        <v>13.607154387586762</v>
      </c>
      <c r="J47" s="190">
        <v>7.4515974616167995</v>
      </c>
      <c r="K47" s="190">
        <v>5.7412219461024563</v>
      </c>
      <c r="L47" s="190">
        <v>0.25511019339885799</v>
      </c>
      <c r="M47" s="190">
        <v>0.26549141384494601</v>
      </c>
      <c r="N47" s="177"/>
      <c r="O47" s="177"/>
      <c r="P47" s="175" t="str">
        <f>Convert!A17</f>
        <v>Gasoline</v>
      </c>
      <c r="Q47" s="188">
        <v>33.488</v>
      </c>
      <c r="R47" s="188"/>
      <c r="S47" s="188">
        <v>3.3487999999999997E-2</v>
      </c>
      <c r="T47" s="177"/>
      <c r="U47" s="172"/>
      <c r="V47" s="172"/>
      <c r="W47" s="172"/>
      <c r="X47" s="172"/>
    </row>
    <row r="48" spans="2:25">
      <c r="B48" s="191" t="s">
        <v>314</v>
      </c>
      <c r="C48" s="190">
        <v>11.15903497721288</v>
      </c>
      <c r="D48" s="190">
        <v>15.618468064141123</v>
      </c>
      <c r="E48" s="190">
        <v>23.358841740470776</v>
      </c>
      <c r="F48" s="190">
        <v>37.850259493820865</v>
      </c>
      <c r="G48" s="190">
        <v>80.9522642550927</v>
      </c>
      <c r="H48" s="190">
        <v>96.948064322394842</v>
      </c>
      <c r="I48" s="190">
        <v>103.13122102299866</v>
      </c>
      <c r="J48" s="190">
        <v>98.239709751285176</v>
      </c>
      <c r="K48" s="190">
        <v>108.49967780948458</v>
      </c>
      <c r="L48" s="190">
        <v>115.01745454676858</v>
      </c>
      <c r="M48" s="190">
        <v>113.90577045404044</v>
      </c>
      <c r="N48" s="177"/>
      <c r="O48" s="177"/>
      <c r="P48" s="175" t="str">
        <f>Convert!A25</f>
        <v>Biodiesel (FAME)</v>
      </c>
      <c r="Q48" s="188">
        <v>32.692</v>
      </c>
      <c r="R48" s="188">
        <v>1.024348464456136</v>
      </c>
      <c r="S48" s="188">
        <v>3.2691999999999999E-2</v>
      </c>
      <c r="T48" s="177"/>
      <c r="U48" s="172"/>
      <c r="V48" s="172"/>
      <c r="W48" s="172"/>
      <c r="X48" s="172"/>
    </row>
    <row r="49" spans="2:24">
      <c r="B49" s="191" t="s">
        <v>315</v>
      </c>
      <c r="C49" s="190">
        <v>1.8654768591677093E-4</v>
      </c>
      <c r="D49" s="190">
        <v>3.4595090188724526E-4</v>
      </c>
      <c r="E49" s="190">
        <v>8.0994432567138824E-4</v>
      </c>
      <c r="F49" s="190">
        <v>0.59304395328977755</v>
      </c>
      <c r="G49" s="190">
        <v>9.4434977898424286</v>
      </c>
      <c r="H49" s="190">
        <v>28.562125180118255</v>
      </c>
      <c r="I49" s="190">
        <v>48.423034850202235</v>
      </c>
      <c r="J49" s="190">
        <v>73.020571969522109</v>
      </c>
      <c r="K49" s="190">
        <v>107.9220869741329</v>
      </c>
      <c r="L49" s="190">
        <v>139.83762865869463</v>
      </c>
      <c r="M49" s="190">
        <v>151.32015197706454</v>
      </c>
      <c r="N49" s="177"/>
      <c r="O49" s="177"/>
      <c r="P49" s="175" t="str">
        <f>Convert!J25</f>
        <v>Hydrotreated biodiesel</v>
      </c>
      <c r="Q49" s="188">
        <v>34.4</v>
      </c>
      <c r="R49" s="188">
        <v>0.9734883720930233</v>
      </c>
      <c r="S49" s="188">
        <v>3.44E-2</v>
      </c>
      <c r="T49" s="177"/>
      <c r="U49" s="172"/>
      <c r="V49" s="172"/>
      <c r="W49" s="172"/>
      <c r="X49" s="172"/>
    </row>
    <row r="50" spans="2:24">
      <c r="B50" s="191" t="s">
        <v>316</v>
      </c>
      <c r="C50" s="190">
        <v>0.87431990084194766</v>
      </c>
      <c r="D50" s="190">
        <v>3.6446158093399168</v>
      </c>
      <c r="E50" s="190">
        <v>20.280644903566113</v>
      </c>
      <c r="F50" s="190">
        <v>26.445857948798736</v>
      </c>
      <c r="G50" s="190">
        <v>35.445931728116328</v>
      </c>
      <c r="H50" s="190">
        <v>34.568963778925855</v>
      </c>
      <c r="I50" s="190">
        <v>25.788732381455695</v>
      </c>
      <c r="J50" s="190">
        <v>19.750662013442824</v>
      </c>
      <c r="K50" s="190">
        <v>9.9576041861186546</v>
      </c>
      <c r="L50" s="190">
        <v>3.996015462601727</v>
      </c>
      <c r="M50" s="190">
        <v>0.251602244724693</v>
      </c>
      <c r="N50" s="177"/>
      <c r="O50" s="177"/>
      <c r="P50" s="175" t="str">
        <f>Convert!A19</f>
        <v>Jet fuel (kerosene)</v>
      </c>
      <c r="Q50" s="188">
        <v>37.121175000000001</v>
      </c>
      <c r="R50" s="188">
        <v>0.90212661641233072</v>
      </c>
      <c r="S50" s="188">
        <v>3.7121174999999999E-2</v>
      </c>
      <c r="T50" s="177"/>
      <c r="U50" s="172"/>
      <c r="V50" s="172"/>
      <c r="W50" s="172"/>
      <c r="X50" s="172"/>
    </row>
    <row r="51" spans="2:24">
      <c r="B51" s="191" t="s">
        <v>317</v>
      </c>
      <c r="C51" s="190">
        <v>8.3168017575583093E-10</v>
      </c>
      <c r="D51" s="190">
        <v>3.4571800871372652E-9</v>
      </c>
      <c r="E51" s="190">
        <v>1.9056270341373255E-8</v>
      </c>
      <c r="F51" s="190">
        <v>2.5136179840828562E-8</v>
      </c>
      <c r="G51" s="190">
        <v>7.9221133454598318</v>
      </c>
      <c r="H51" s="190">
        <v>29.442861150309525</v>
      </c>
      <c r="I51" s="190">
        <v>66.614234915162925</v>
      </c>
      <c r="J51" s="190">
        <v>117.11276068515659</v>
      </c>
      <c r="K51" s="190">
        <v>197.00498174339847</v>
      </c>
      <c r="L51" s="190">
        <v>280.90858989721869</v>
      </c>
      <c r="M51" s="190">
        <v>362.337353758071</v>
      </c>
      <c r="N51" s="177"/>
      <c r="O51" s="177"/>
      <c r="P51" s="175" t="s">
        <v>307</v>
      </c>
      <c r="Q51" s="188">
        <v>18</v>
      </c>
      <c r="R51" s="188">
        <v>1.8604444444444443</v>
      </c>
      <c r="S51" s="188">
        <v>1.7999999999999999E-2</v>
      </c>
      <c r="T51" s="177"/>
      <c r="U51" s="172"/>
      <c r="V51" s="172"/>
      <c r="W51" s="172"/>
      <c r="X51" s="172"/>
    </row>
    <row r="52" spans="2:24">
      <c r="B52" s="191" t="s">
        <v>318</v>
      </c>
      <c r="C52" s="190">
        <v>6.3628612035686276E-9</v>
      </c>
      <c r="D52" s="190">
        <v>1.1566577628146605E-8</v>
      </c>
      <c r="E52" s="190">
        <v>6.0688513601343877E-3</v>
      </c>
      <c r="F52" s="190">
        <v>7.6165745058152422E-3</v>
      </c>
      <c r="G52" s="190">
        <v>4.4057100754478711</v>
      </c>
      <c r="H52" s="190">
        <v>11.92938994162154</v>
      </c>
      <c r="I52" s="190">
        <v>20.606569196124426</v>
      </c>
      <c r="J52" s="190">
        <v>29.903227193507011</v>
      </c>
      <c r="K52" s="190">
        <v>33.544602073803361</v>
      </c>
      <c r="L52" s="190">
        <v>32.055827656902196</v>
      </c>
      <c r="M52" s="190">
        <v>26.54507119815619</v>
      </c>
      <c r="N52" s="177"/>
      <c r="O52" s="177"/>
      <c r="P52" s="175" t="s">
        <v>309</v>
      </c>
      <c r="Q52" s="188">
        <v>50</v>
      </c>
      <c r="R52" s="188">
        <v>0.89599999999999991</v>
      </c>
      <c r="S52" s="188">
        <v>0.1111111111111111</v>
      </c>
      <c r="T52" s="179"/>
      <c r="U52" s="172"/>
      <c r="V52" s="172"/>
      <c r="W52" s="172"/>
      <c r="X52" s="172"/>
    </row>
    <row r="53" spans="2:24">
      <c r="B53" s="191" t="s">
        <v>319</v>
      </c>
      <c r="C53" s="190">
        <v>0</v>
      </c>
      <c r="D53" s="190">
        <v>0</v>
      </c>
      <c r="E53" s="190">
        <v>0</v>
      </c>
      <c r="F53" s="190">
        <v>0</v>
      </c>
      <c r="G53" s="190">
        <v>0</v>
      </c>
      <c r="H53" s="190">
        <v>0</v>
      </c>
      <c r="I53" s="190">
        <v>0</v>
      </c>
      <c r="J53" s="190">
        <v>0</v>
      </c>
      <c r="K53" s="190">
        <v>0</v>
      </c>
      <c r="L53" s="190">
        <v>0</v>
      </c>
      <c r="M53" s="190">
        <v>0</v>
      </c>
      <c r="N53" s="177"/>
      <c r="O53" s="177"/>
      <c r="P53" s="175" t="s">
        <v>390</v>
      </c>
      <c r="Q53" s="188">
        <v>450</v>
      </c>
      <c r="R53" s="188" t="s">
        <v>391</v>
      </c>
      <c r="S53" s="188">
        <v>0.45</v>
      </c>
      <c r="T53" s="177"/>
      <c r="U53" s="172"/>
      <c r="V53" s="172"/>
      <c r="W53" s="172"/>
      <c r="X53" s="172"/>
    </row>
    <row r="54" spans="2:24">
      <c r="B54" s="191" t="s">
        <v>320</v>
      </c>
      <c r="C54" s="190">
        <v>0</v>
      </c>
      <c r="D54" s="190">
        <v>0</v>
      </c>
      <c r="E54" s="190">
        <v>0</v>
      </c>
      <c r="F54" s="190">
        <v>0</v>
      </c>
      <c r="G54" s="190">
        <v>0</v>
      </c>
      <c r="H54" s="190">
        <v>0</v>
      </c>
      <c r="I54" s="190">
        <v>0</v>
      </c>
      <c r="J54" s="190">
        <v>0</v>
      </c>
      <c r="K54" s="190">
        <v>0</v>
      </c>
      <c r="L54" s="190">
        <v>0</v>
      </c>
      <c r="M54" s="190">
        <v>0</v>
      </c>
      <c r="N54" s="177"/>
      <c r="O54" s="177"/>
      <c r="P54" s="172"/>
      <c r="Q54" s="178"/>
      <c r="R54" s="177"/>
      <c r="S54" s="177"/>
      <c r="T54" s="177"/>
      <c r="U54" s="172"/>
      <c r="V54" s="172"/>
      <c r="W54" s="172"/>
      <c r="X54" s="172"/>
    </row>
    <row r="55" spans="2:24">
      <c r="B55" s="191"/>
      <c r="C55" s="177"/>
      <c r="D55" s="177"/>
      <c r="E55" s="177"/>
      <c r="F55" s="177"/>
      <c r="G55" s="177"/>
      <c r="H55" s="177"/>
      <c r="I55" s="177"/>
      <c r="J55" s="177"/>
      <c r="K55" s="177"/>
      <c r="L55" s="177"/>
      <c r="M55" s="177"/>
      <c r="N55" s="177"/>
      <c r="O55" s="177"/>
      <c r="P55" s="172"/>
      <c r="Q55" s="174"/>
      <c r="R55" s="172"/>
      <c r="S55" s="172"/>
      <c r="T55" s="172"/>
      <c r="U55" s="172"/>
      <c r="V55" s="172"/>
      <c r="W55" s="172"/>
      <c r="X55" s="172"/>
    </row>
    <row r="56" spans="2:24">
      <c r="B56" s="192" t="s">
        <v>6</v>
      </c>
      <c r="C56" s="179">
        <v>2000</v>
      </c>
      <c r="D56" s="179">
        <v>2005</v>
      </c>
      <c r="E56" s="179">
        <v>2010</v>
      </c>
      <c r="F56" s="179">
        <v>2015</v>
      </c>
      <c r="G56" s="179">
        <v>2020</v>
      </c>
      <c r="H56" s="179">
        <v>2025</v>
      </c>
      <c r="I56" s="179">
        <v>2030</v>
      </c>
      <c r="J56" s="179">
        <v>2035</v>
      </c>
      <c r="K56" s="179">
        <v>2040</v>
      </c>
      <c r="L56" s="179">
        <v>2045</v>
      </c>
      <c r="M56" s="179">
        <v>2050</v>
      </c>
      <c r="N56" s="177"/>
      <c r="O56" s="177"/>
      <c r="P56" s="172"/>
      <c r="Q56" s="174"/>
      <c r="R56" s="172"/>
      <c r="S56" s="172"/>
      <c r="T56" s="172"/>
      <c r="U56" s="172"/>
      <c r="V56" s="172"/>
      <c r="W56" s="172"/>
      <c r="X56" s="172"/>
    </row>
    <row r="57" spans="2:24">
      <c r="B57" s="192" t="s">
        <v>322</v>
      </c>
      <c r="C57" s="188">
        <v>0.42281542580162662</v>
      </c>
      <c r="D57" s="188">
        <v>0.85027466448427147</v>
      </c>
      <c r="E57" s="188">
        <v>2.3781139740683539</v>
      </c>
      <c r="F57" s="188">
        <v>2.9578687905361734</v>
      </c>
      <c r="G57" s="188">
        <v>4.7004339656814569</v>
      </c>
      <c r="H57" s="188">
        <v>7.0445164105862519</v>
      </c>
      <c r="I57" s="188">
        <v>9.9186468691403604</v>
      </c>
      <c r="J57" s="188">
        <v>13.873837375691414</v>
      </c>
      <c r="K57" s="188">
        <v>18.799660558176107</v>
      </c>
      <c r="L57" s="188">
        <v>23.345579099302135</v>
      </c>
      <c r="M57" s="188">
        <v>26.410464516147343</v>
      </c>
      <c r="N57" s="177"/>
      <c r="O57" s="177"/>
      <c r="P57" s="172"/>
      <c r="Q57" s="174"/>
      <c r="R57" s="172"/>
      <c r="S57" s="172"/>
      <c r="T57" s="172"/>
      <c r="U57" s="172"/>
      <c r="V57" s="172"/>
      <c r="W57" s="172"/>
      <c r="X57" s="172"/>
    </row>
    <row r="58" spans="2:24">
      <c r="B58" s="192" t="s">
        <v>313</v>
      </c>
      <c r="C58" s="188">
        <v>0.15840377242094483</v>
      </c>
      <c r="D58" s="188">
        <v>0.40105170552062402</v>
      </c>
      <c r="E58" s="188">
        <v>1.2207641263702549</v>
      </c>
      <c r="F58" s="188">
        <v>1.2800302616401975</v>
      </c>
      <c r="G58" s="188">
        <v>0.86925336574191325</v>
      </c>
      <c r="H58" s="188">
        <v>0.64840225516831151</v>
      </c>
      <c r="I58" s="188">
        <v>0.28756067403059038</v>
      </c>
      <c r="J58" s="188">
        <v>0.15747498173622088</v>
      </c>
      <c r="K58" s="188">
        <v>0.12132953044808049</v>
      </c>
      <c r="L58" s="188">
        <v>5.3912564726077347E-3</v>
      </c>
      <c r="M58" s="188">
        <v>5.610643323355936E-3</v>
      </c>
      <c r="N58" s="177"/>
      <c r="O58" s="177"/>
      <c r="P58" s="172"/>
      <c r="Q58" s="174"/>
      <c r="R58" s="172"/>
      <c r="S58" s="172"/>
      <c r="T58" s="172"/>
      <c r="U58" s="172"/>
      <c r="V58" s="172"/>
      <c r="W58" s="172"/>
      <c r="X58" s="172"/>
    </row>
    <row r="59" spans="2:24">
      <c r="B59" s="192" t="s">
        <v>314</v>
      </c>
      <c r="C59" s="188">
        <v>0.2358244441251886</v>
      </c>
      <c r="D59" s="188">
        <v>0.33006586652289749</v>
      </c>
      <c r="E59" s="188">
        <v>0.49364357044345586</v>
      </c>
      <c r="F59" s="188">
        <v>0.79989142639589095</v>
      </c>
      <c r="G59" s="188">
        <v>1.7107682481160864</v>
      </c>
      <c r="H59" s="188">
        <v>2.048808290728386</v>
      </c>
      <c r="I59" s="188">
        <v>2.1794772504400814</v>
      </c>
      <c r="J59" s="188">
        <v>2.0761046981593969</v>
      </c>
      <c r="K59" s="188">
        <v>2.2929291161317278</v>
      </c>
      <c r="L59" s="188">
        <v>2.4306696178095875</v>
      </c>
      <c r="M59" s="188">
        <v>2.4071763422937589</v>
      </c>
      <c r="N59" s="177"/>
      <c r="O59" s="177"/>
      <c r="P59" s="172"/>
      <c r="Q59" s="174"/>
      <c r="R59" s="172"/>
      <c r="S59" s="172"/>
      <c r="T59" s="172"/>
      <c r="U59" s="172"/>
      <c r="V59" s="172"/>
      <c r="W59" s="172"/>
      <c r="X59" s="172"/>
    </row>
    <row r="60" spans="2:24">
      <c r="B60" s="192" t="s">
        <v>315</v>
      </c>
      <c r="C60" s="188">
        <v>3.9423215738634151E-6</v>
      </c>
      <c r="D60" s="188">
        <v>7.3109977071282469E-6</v>
      </c>
      <c r="E60" s="188">
        <v>1.7116593931629728E-5</v>
      </c>
      <c r="F60" s="188">
        <v>1.2532827517070532E-2</v>
      </c>
      <c r="G60" s="188">
        <v>0.19956991096762952</v>
      </c>
      <c r="H60" s="188">
        <v>0.60360481953769796</v>
      </c>
      <c r="I60" s="188">
        <v>1.0233264166410663</v>
      </c>
      <c r="J60" s="188">
        <v>1.5431473984605089</v>
      </c>
      <c r="K60" s="188">
        <v>2.2807228601286988</v>
      </c>
      <c r="L60" s="188">
        <v>2.9551955983256262</v>
      </c>
      <c r="M60" s="188">
        <v>3.1978563377389033</v>
      </c>
      <c r="N60" s="177"/>
      <c r="O60" s="177"/>
      <c r="P60" s="172"/>
      <c r="Q60" s="172"/>
      <c r="R60" s="172"/>
      <c r="S60" s="172"/>
      <c r="T60" s="172"/>
      <c r="U60" s="172"/>
      <c r="V60" s="172"/>
      <c r="W60" s="172"/>
      <c r="X60" s="172"/>
    </row>
    <row r="61" spans="2:24">
      <c r="B61" s="192" t="s">
        <v>316</v>
      </c>
      <c r="C61" s="188">
        <v>2.8583266198324953E-2</v>
      </c>
      <c r="D61" s="188">
        <v>0.11914978003894056</v>
      </c>
      <c r="E61" s="188">
        <v>0.66301484318738335</v>
      </c>
      <c r="F61" s="188">
        <v>0.8645679880621282</v>
      </c>
      <c r="G61" s="188">
        <v>1.1587984000555789</v>
      </c>
      <c r="H61" s="188">
        <v>1.130128563860644</v>
      </c>
      <c r="I61" s="188">
        <v>0.84308523901454957</v>
      </c>
      <c r="J61" s="188">
        <v>0.6456886425434728</v>
      </c>
      <c r="K61" s="188">
        <v>0.32553399605259103</v>
      </c>
      <c r="L61" s="188">
        <v>0.13063773750337565</v>
      </c>
      <c r="M61" s="188">
        <v>8.2253805845396641E-3</v>
      </c>
      <c r="N61" s="177"/>
      <c r="O61" s="177"/>
      <c r="P61" s="172"/>
      <c r="Q61" s="172"/>
      <c r="R61" s="172"/>
      <c r="S61" s="172"/>
      <c r="T61" s="172"/>
      <c r="U61" s="172"/>
      <c r="V61" s="172"/>
      <c r="W61" s="172"/>
      <c r="X61" s="172"/>
    </row>
    <row r="62" spans="2:24">
      <c r="B62" s="192" t="s">
        <v>317</v>
      </c>
      <c r="C62" s="188">
        <v>2.8609798046000585E-11</v>
      </c>
      <c r="D62" s="188">
        <v>1.1892699499752192E-10</v>
      </c>
      <c r="E62" s="188">
        <v>6.5553569974324E-10</v>
      </c>
      <c r="F62" s="188">
        <v>8.6468458652450256E-10</v>
      </c>
      <c r="G62" s="188">
        <v>0.27252069908381821</v>
      </c>
      <c r="H62" s="188">
        <v>1.0128344235706477</v>
      </c>
      <c r="I62" s="188">
        <v>2.2915296810816046</v>
      </c>
      <c r="J62" s="188">
        <v>4.0286789675693866</v>
      </c>
      <c r="K62" s="188">
        <v>6.7769713719729072</v>
      </c>
      <c r="L62" s="188">
        <v>9.663255492464323</v>
      </c>
      <c r="M62" s="188">
        <v>12.464404969277643</v>
      </c>
      <c r="N62" s="177"/>
      <c r="O62" s="177"/>
      <c r="P62" s="172"/>
      <c r="Q62" s="172"/>
      <c r="R62" s="172"/>
      <c r="S62" s="172"/>
      <c r="T62" s="172"/>
      <c r="U62" s="172"/>
      <c r="V62" s="172"/>
      <c r="W62" s="172"/>
      <c r="X62" s="172"/>
    </row>
    <row r="63" spans="2:24">
      <c r="B63" s="192" t="s">
        <v>318</v>
      </c>
      <c r="C63" s="188">
        <v>7.0698457817429193E-10</v>
      </c>
      <c r="D63" s="188">
        <v>1.2851752920162894E-9</v>
      </c>
      <c r="E63" s="188">
        <v>6.7431681779270974E-4</v>
      </c>
      <c r="F63" s="188">
        <v>8.4628605620169349E-4</v>
      </c>
      <c r="G63" s="188">
        <v>0.48952334171643014</v>
      </c>
      <c r="H63" s="188">
        <v>1.3254877712912823</v>
      </c>
      <c r="I63" s="188">
        <v>2.2896187995693804</v>
      </c>
      <c r="J63" s="188">
        <v>3.3225807992785565</v>
      </c>
      <c r="K63" s="188">
        <v>3.7271780082003731</v>
      </c>
      <c r="L63" s="188">
        <v>3.5617586285446885</v>
      </c>
      <c r="M63" s="188">
        <v>2.9494523553506875</v>
      </c>
      <c r="N63" s="177"/>
      <c r="O63" s="177"/>
      <c r="P63" s="172"/>
      <c r="Q63" s="172"/>
      <c r="R63" s="172"/>
      <c r="S63" s="172"/>
      <c r="T63" s="172"/>
      <c r="U63" s="172"/>
      <c r="V63" s="172"/>
      <c r="W63" s="172"/>
      <c r="X63" s="172"/>
    </row>
    <row r="64" spans="2:24">
      <c r="B64" s="192" t="s">
        <v>319</v>
      </c>
      <c r="C64" s="188">
        <v>0</v>
      </c>
      <c r="D64" s="188">
        <v>0</v>
      </c>
      <c r="E64" s="188">
        <v>0</v>
      </c>
      <c r="F64" s="188">
        <v>0</v>
      </c>
      <c r="G64" s="188">
        <v>0</v>
      </c>
      <c r="H64" s="188">
        <v>0.27525028642928162</v>
      </c>
      <c r="I64" s="188">
        <v>1.0040488083630872</v>
      </c>
      <c r="J64" s="188">
        <v>2.1001618879438713</v>
      </c>
      <c r="K64" s="188">
        <v>3.2749956752417297</v>
      </c>
      <c r="L64" s="188">
        <v>4.5986707681819237</v>
      </c>
      <c r="M64" s="188">
        <v>5.3777384875784549</v>
      </c>
      <c r="N64" s="177"/>
      <c r="O64" s="177"/>
      <c r="P64" s="172"/>
      <c r="Q64" s="172"/>
      <c r="R64" s="172"/>
      <c r="S64" s="172"/>
      <c r="T64" s="172"/>
      <c r="U64" s="172"/>
      <c r="V64" s="172"/>
      <c r="W64" s="172"/>
      <c r="X64" s="172"/>
    </row>
    <row r="65" spans="2:24">
      <c r="B65" s="192" t="s">
        <v>320</v>
      </c>
      <c r="C65" s="188">
        <v>0</v>
      </c>
      <c r="D65" s="188">
        <v>0</v>
      </c>
      <c r="E65" s="188">
        <v>0</v>
      </c>
      <c r="F65" s="188">
        <v>0</v>
      </c>
      <c r="G65" s="188">
        <v>0</v>
      </c>
      <c r="H65" s="188">
        <v>0</v>
      </c>
      <c r="I65" s="188">
        <v>0</v>
      </c>
      <c r="J65" s="188">
        <v>0</v>
      </c>
      <c r="K65" s="188">
        <v>0</v>
      </c>
      <c r="L65" s="188">
        <v>0</v>
      </c>
      <c r="M65" s="188">
        <v>0</v>
      </c>
      <c r="N65" s="177"/>
      <c r="O65" s="177"/>
      <c r="P65" s="172"/>
      <c r="Q65" s="172"/>
      <c r="R65" s="172"/>
      <c r="S65" s="172"/>
      <c r="T65" s="172"/>
      <c r="U65" s="172"/>
      <c r="V65" s="172"/>
      <c r="W65" s="172"/>
      <c r="X65" s="172"/>
    </row>
    <row r="66" spans="2:24">
      <c r="B66" s="192"/>
      <c r="C66" s="177"/>
      <c r="D66" s="177"/>
      <c r="E66" s="177"/>
      <c r="F66" s="177"/>
      <c r="G66" s="177"/>
      <c r="H66" s="177"/>
      <c r="I66" s="177"/>
      <c r="J66" s="177"/>
      <c r="K66" s="177"/>
      <c r="L66" s="177"/>
      <c r="M66" s="177"/>
      <c r="N66" s="177"/>
      <c r="O66" s="177"/>
      <c r="P66" s="172"/>
      <c r="Q66" s="172"/>
      <c r="R66" s="172"/>
      <c r="S66" s="172"/>
      <c r="T66" s="172"/>
      <c r="U66" s="172"/>
      <c r="V66" s="172"/>
      <c r="W66" s="172"/>
      <c r="X66" s="172"/>
    </row>
    <row r="67" spans="2:24">
      <c r="B67" s="192"/>
      <c r="C67" s="177"/>
      <c r="D67" s="177"/>
      <c r="E67" s="177"/>
      <c r="F67" s="177"/>
      <c r="G67" s="177"/>
      <c r="H67" s="177"/>
      <c r="I67" s="177"/>
      <c r="J67" s="177"/>
      <c r="K67" s="177"/>
      <c r="L67" s="177"/>
      <c r="M67" s="177"/>
      <c r="N67" s="177"/>
      <c r="O67" s="177"/>
      <c r="P67" s="172"/>
      <c r="Q67" s="172"/>
      <c r="R67" s="172"/>
      <c r="S67" s="172"/>
      <c r="T67" s="172"/>
      <c r="U67" s="172"/>
      <c r="V67" s="172"/>
      <c r="W67" s="172"/>
      <c r="X67" s="172"/>
    </row>
    <row r="68" spans="2:24">
      <c r="B68" s="192" t="s">
        <v>392</v>
      </c>
      <c r="C68" s="179">
        <v>2005</v>
      </c>
      <c r="D68" s="179">
        <v>2006</v>
      </c>
      <c r="E68" s="179">
        <v>2007</v>
      </c>
      <c r="F68" s="179">
        <v>2008</v>
      </c>
      <c r="G68" s="179">
        <v>2009</v>
      </c>
      <c r="H68" s="179">
        <v>2010</v>
      </c>
      <c r="I68" s="179">
        <v>2011</v>
      </c>
      <c r="J68" s="179">
        <v>2012</v>
      </c>
      <c r="K68" s="179">
        <v>2013</v>
      </c>
      <c r="L68" s="179">
        <v>2014</v>
      </c>
      <c r="M68" s="179">
        <v>2015</v>
      </c>
      <c r="N68" s="179">
        <v>2016</v>
      </c>
      <c r="O68" s="179">
        <v>2017</v>
      </c>
      <c r="P68" s="179">
        <v>2018</v>
      </c>
      <c r="Q68" s="179">
        <v>2019</v>
      </c>
      <c r="R68" s="179">
        <v>2020</v>
      </c>
      <c r="S68" s="179" t="s">
        <v>329</v>
      </c>
      <c r="T68" s="180"/>
      <c r="U68" s="172"/>
      <c r="V68" s="172"/>
      <c r="W68" s="172"/>
      <c r="X68" s="172"/>
    </row>
    <row r="69" spans="2:24">
      <c r="B69" s="192" t="s">
        <v>323</v>
      </c>
      <c r="C69" s="189">
        <v>32.635588519503045</v>
      </c>
      <c r="D69" s="189">
        <v>38.880126962718421</v>
      </c>
      <c r="E69" s="189">
        <v>51.534647776615657</v>
      </c>
      <c r="F69" s="189">
        <v>67.085534637420977</v>
      </c>
      <c r="G69" s="189">
        <v>74.417694156564451</v>
      </c>
      <c r="H69" s="189">
        <v>86.164417641156774</v>
      </c>
      <c r="I69" s="189">
        <v>84.519556422979321</v>
      </c>
      <c r="J69" s="189">
        <v>83.599082632688422</v>
      </c>
      <c r="K69" s="189">
        <v>90.707910701939312</v>
      </c>
      <c r="L69" s="189">
        <v>96.596689324156699</v>
      </c>
      <c r="M69" s="189">
        <v>100.77522381493718</v>
      </c>
      <c r="N69" s="189">
        <v>100.39581741811561</v>
      </c>
      <c r="O69" s="189">
        <v>103.15807896632386</v>
      </c>
      <c r="P69" s="189">
        <v>107.71982075142539</v>
      </c>
      <c r="Q69" s="189">
        <v>110.1801813680965</v>
      </c>
      <c r="R69" s="189">
        <v>113.20329511536679</v>
      </c>
      <c r="S69" s="189"/>
      <c r="T69" s="180"/>
      <c r="U69" s="172"/>
      <c r="V69" s="172"/>
      <c r="W69" s="172"/>
      <c r="X69" s="172"/>
    </row>
    <row r="70" spans="2:24">
      <c r="B70" s="192" t="s">
        <v>324</v>
      </c>
      <c r="C70" s="189">
        <v>3.915285455905217</v>
      </c>
      <c r="D70" s="189">
        <v>6.5832590781013334</v>
      </c>
      <c r="E70" s="189">
        <v>10.356202624083759</v>
      </c>
      <c r="F70" s="189">
        <v>15.641756986421692</v>
      </c>
      <c r="G70" s="189">
        <v>17.806647437060398</v>
      </c>
      <c r="H70" s="189">
        <v>20.428778443480216</v>
      </c>
      <c r="I70" s="189">
        <v>25.231519109603475</v>
      </c>
      <c r="J70" s="189">
        <v>28.383250068426822</v>
      </c>
      <c r="K70" s="189">
        <v>31.05310382416716</v>
      </c>
      <c r="L70" s="189">
        <v>33.468710979130257</v>
      </c>
      <c r="M70" s="189">
        <v>32.61463363685958</v>
      </c>
      <c r="N70" s="189">
        <v>35.872739657944621</v>
      </c>
      <c r="O70" s="189">
        <v>39.105112719313844</v>
      </c>
      <c r="P70" s="189">
        <v>42.972426911175766</v>
      </c>
      <c r="Q70" s="189">
        <v>44.836997952440584</v>
      </c>
      <c r="R70" s="189">
        <v>47.239104281961843</v>
      </c>
      <c r="S70" s="189"/>
      <c r="T70" s="180"/>
      <c r="U70" s="172"/>
      <c r="V70" s="172"/>
      <c r="W70" s="172"/>
      <c r="X70" s="172"/>
    </row>
    <row r="71" spans="2:24">
      <c r="B71" s="192" t="s">
        <v>325</v>
      </c>
      <c r="C71" s="189">
        <v>0.68968952396208372</v>
      </c>
      <c r="D71" s="189">
        <v>0.82165566710947646</v>
      </c>
      <c r="E71" s="189">
        <v>1.0890842881956073</v>
      </c>
      <c r="F71" s="189">
        <v>1.4177219577693492</v>
      </c>
      <c r="G71" s="189">
        <v>1.572672851495384</v>
      </c>
      <c r="H71" s="189">
        <v>1.8209169462314478</v>
      </c>
      <c r="I71" s="189">
        <v>1.7861560118646429</v>
      </c>
      <c r="J71" s="189">
        <v>1.7667035932307358</v>
      </c>
      <c r="K71" s="189">
        <v>1.9169348122596184</v>
      </c>
      <c r="L71" s="189">
        <v>2.0413826653218696</v>
      </c>
      <c r="M71" s="189">
        <v>2.1296878436422579</v>
      </c>
      <c r="N71" s="189">
        <v>2.1216698292879079</v>
      </c>
      <c r="O71" s="189">
        <v>2.1800448406992698</v>
      </c>
      <c r="P71" s="189">
        <v>2.27644835793091</v>
      </c>
      <c r="Q71" s="189">
        <v>2.3284432818610514</v>
      </c>
      <c r="R71" s="189">
        <v>2.3923308958378016</v>
      </c>
      <c r="S71" s="189"/>
      <c r="T71" s="180"/>
      <c r="U71" s="172"/>
      <c r="V71" s="172"/>
      <c r="W71" s="172"/>
      <c r="X71" s="172"/>
    </row>
    <row r="72" spans="2:24">
      <c r="B72" s="192" t="s">
        <v>326</v>
      </c>
      <c r="C72" s="189">
        <v>0.12799851212445335</v>
      </c>
      <c r="D72" s="189">
        <v>0.21521990578128877</v>
      </c>
      <c r="E72" s="189">
        <v>0.33856497618654624</v>
      </c>
      <c r="F72" s="189">
        <v>0.51136031940009796</v>
      </c>
      <c r="G72" s="189">
        <v>0.58213491801237849</v>
      </c>
      <c r="H72" s="189">
        <v>0.66785762487425515</v>
      </c>
      <c r="I72" s="189">
        <v>0.8248688227311568</v>
      </c>
      <c r="J72" s="189">
        <v>0.92790521123700964</v>
      </c>
      <c r="K72" s="189">
        <v>1.0151880702196727</v>
      </c>
      <c r="L72" s="189">
        <v>1.0941590993297263</v>
      </c>
      <c r="M72" s="189">
        <v>1.0662376028562133</v>
      </c>
      <c r="N72" s="189">
        <v>1.1727516048975255</v>
      </c>
      <c r="O72" s="189">
        <v>1.2784243450198081</v>
      </c>
      <c r="P72" s="189">
        <v>1.404854580580158</v>
      </c>
      <c r="Q72" s="189">
        <v>1.4658111370611875</v>
      </c>
      <c r="R72" s="189">
        <v>1.5443407971858965</v>
      </c>
      <c r="S72" s="189"/>
      <c r="T72" s="180"/>
      <c r="U72" s="172"/>
      <c r="V72" s="172"/>
      <c r="W72" s="172"/>
      <c r="X72" s="172"/>
    </row>
    <row r="73" spans="2:24">
      <c r="B73" s="192" t="s">
        <v>327</v>
      </c>
      <c r="C73" s="189"/>
      <c r="D73" s="189"/>
      <c r="E73" s="189"/>
      <c r="F73" s="189"/>
      <c r="G73" s="189"/>
      <c r="H73" s="189"/>
      <c r="I73" s="189"/>
      <c r="J73" s="189"/>
      <c r="K73" s="189"/>
      <c r="L73" s="189"/>
      <c r="M73" s="189"/>
      <c r="N73" s="189"/>
      <c r="O73" s="189"/>
      <c r="P73" s="189"/>
      <c r="Q73" s="189"/>
      <c r="R73" s="189"/>
      <c r="S73" s="189">
        <v>2.6972105458966977</v>
      </c>
      <c r="T73" s="180"/>
      <c r="U73" s="172"/>
      <c r="V73" s="172"/>
      <c r="W73" s="172"/>
      <c r="X73" s="172"/>
    </row>
    <row r="74" spans="2:24">
      <c r="B74" s="192" t="s">
        <v>328</v>
      </c>
      <c r="C74" s="189"/>
      <c r="D74" s="189"/>
      <c r="E74" s="189"/>
      <c r="F74" s="189"/>
      <c r="G74" s="189"/>
      <c r="H74" s="189"/>
      <c r="I74" s="189"/>
      <c r="J74" s="189"/>
      <c r="K74" s="189"/>
      <c r="L74" s="189"/>
      <c r="M74" s="189"/>
      <c r="N74" s="189"/>
      <c r="O74" s="189"/>
      <c r="P74" s="189"/>
      <c r="Q74" s="189"/>
      <c r="R74" s="189"/>
      <c r="S74" s="189">
        <v>1.130128563860644</v>
      </c>
      <c r="T74" s="180"/>
      <c r="U74" s="172"/>
      <c r="V74" s="172"/>
      <c r="W74" s="172"/>
      <c r="X74" s="172"/>
    </row>
    <row r="75" spans="2:24">
      <c r="B75" s="192" t="s">
        <v>303</v>
      </c>
      <c r="C75" s="189"/>
      <c r="D75" s="189"/>
      <c r="E75" s="189"/>
      <c r="F75" s="189"/>
      <c r="G75" s="189"/>
      <c r="H75" s="189"/>
      <c r="I75" s="189"/>
      <c r="J75" s="189"/>
      <c r="K75" s="189"/>
      <c r="L75" s="189"/>
      <c r="M75" s="189"/>
      <c r="N75" s="189"/>
      <c r="O75" s="189"/>
      <c r="P75" s="189"/>
      <c r="Q75" s="189"/>
      <c r="R75" s="189"/>
      <c r="S75" s="189">
        <v>0.60360481953769796</v>
      </c>
      <c r="T75" s="180"/>
      <c r="U75" s="172"/>
      <c r="V75" s="172"/>
      <c r="W75" s="172"/>
      <c r="X75" s="172"/>
    </row>
    <row r="76" spans="2:24">
      <c r="B76" s="192" t="s">
        <v>394</v>
      </c>
      <c r="C76" s="189"/>
      <c r="D76" s="189"/>
      <c r="E76" s="189"/>
      <c r="F76" s="189"/>
      <c r="G76" s="189"/>
      <c r="H76" s="189"/>
      <c r="I76" s="189"/>
      <c r="J76" s="189"/>
      <c r="K76" s="189"/>
      <c r="L76" s="189"/>
      <c r="M76" s="189"/>
      <c r="N76" s="189"/>
      <c r="O76" s="189"/>
      <c r="P76" s="189"/>
      <c r="Q76" s="189"/>
      <c r="R76" s="189"/>
      <c r="S76" s="189">
        <v>1.0128344235706477</v>
      </c>
      <c r="T76" s="180"/>
      <c r="U76" s="172"/>
      <c r="V76" s="172"/>
      <c r="W76" s="172"/>
      <c r="X76" s="172"/>
    </row>
    <row r="77" spans="2:24">
      <c r="B77" s="192" t="s">
        <v>332</v>
      </c>
      <c r="C77" s="189"/>
      <c r="D77" s="189"/>
      <c r="E77" s="189"/>
      <c r="F77" s="189"/>
      <c r="G77" s="189"/>
      <c r="H77" s="189"/>
      <c r="I77" s="189"/>
      <c r="J77" s="189"/>
      <c r="K77" s="189"/>
      <c r="L77" s="189">
        <v>2.7472964999999995E-3</v>
      </c>
      <c r="M77" s="189">
        <v>4.0152794999999998E-3</v>
      </c>
      <c r="N77" s="189">
        <v>6.9739064999999991E-3</v>
      </c>
      <c r="O77" s="189">
        <v>1.0355194499999998E-2</v>
      </c>
      <c r="P77" s="189">
        <v>1.7751761999999997E-2</v>
      </c>
      <c r="Q77" s="189">
        <v>2.6204981999999995E-2</v>
      </c>
      <c r="R77" s="189">
        <v>3.2544896999999996E-2</v>
      </c>
      <c r="S77" s="189"/>
      <c r="T77" s="180"/>
      <c r="U77" s="172"/>
      <c r="V77" s="172"/>
      <c r="W77" s="172"/>
      <c r="X77" s="172"/>
    </row>
    <row r="78" spans="2:24">
      <c r="B78" s="192" t="s">
        <v>333</v>
      </c>
      <c r="C78" s="189"/>
      <c r="D78" s="189"/>
      <c r="E78" s="189"/>
      <c r="F78" s="189"/>
      <c r="G78" s="189"/>
      <c r="H78" s="189"/>
      <c r="I78" s="189"/>
      <c r="J78" s="189"/>
      <c r="K78" s="189"/>
      <c r="L78" s="189">
        <v>0</v>
      </c>
      <c r="M78" s="189">
        <v>2.4080000000000004E-3</v>
      </c>
      <c r="N78" s="189">
        <v>2.4080000000000004E-3</v>
      </c>
      <c r="O78" s="189">
        <v>5.8480000000000008E-3</v>
      </c>
      <c r="P78" s="189">
        <v>1.0319999999999999E-2</v>
      </c>
      <c r="Q78" s="189">
        <v>1.7888000000000001E-2</v>
      </c>
      <c r="R78" s="189">
        <v>2.5111999999999999E-2</v>
      </c>
      <c r="S78" s="189"/>
      <c r="T78" s="181"/>
      <c r="U78" s="172"/>
      <c r="V78" s="172"/>
      <c r="W78" s="172"/>
      <c r="X78" s="172"/>
    </row>
    <row r="79" spans="2:24">
      <c r="B79" s="192"/>
      <c r="C79" s="158"/>
      <c r="D79" s="158"/>
      <c r="E79" s="158"/>
      <c r="F79" s="158"/>
      <c r="G79" s="158"/>
      <c r="H79" s="158"/>
      <c r="I79" s="158"/>
      <c r="J79" s="158"/>
      <c r="K79" s="158"/>
      <c r="L79" s="158"/>
      <c r="M79" s="158"/>
      <c r="N79" s="158"/>
      <c r="O79" s="158"/>
      <c r="P79" s="158"/>
      <c r="Q79" s="158"/>
      <c r="R79" s="158"/>
      <c r="S79" s="158"/>
      <c r="T79" s="172"/>
      <c r="U79" s="172"/>
      <c r="V79" s="172"/>
      <c r="W79" s="172"/>
      <c r="X79" s="172"/>
    </row>
    <row r="80" spans="2:24">
      <c r="B80" s="192"/>
    </row>
    <row r="81" spans="1:30">
      <c r="B81" s="192"/>
    </row>
    <row r="82" spans="1:30">
      <c r="A82" s="172"/>
      <c r="B82" s="192"/>
      <c r="C82" s="172"/>
      <c r="D82" s="172"/>
      <c r="E82" s="172"/>
      <c r="F82" s="172"/>
      <c r="G82" s="172"/>
      <c r="H82" s="172"/>
      <c r="I82" s="172"/>
      <c r="J82" s="172"/>
      <c r="K82" s="172"/>
    </row>
    <row r="83" spans="1:30">
      <c r="A83" s="172"/>
      <c r="B83" s="192"/>
      <c r="D83" s="172"/>
      <c r="E83" s="172"/>
      <c r="F83" s="172"/>
      <c r="G83" s="172"/>
      <c r="H83" s="172"/>
      <c r="I83" s="172"/>
      <c r="J83" s="172"/>
      <c r="K83" s="172"/>
    </row>
    <row r="84" spans="1:30">
      <c r="A84" s="172"/>
      <c r="B84" s="192" t="s">
        <v>393</v>
      </c>
      <c r="C84" s="179">
        <v>2014</v>
      </c>
      <c r="D84" s="179">
        <v>2015</v>
      </c>
      <c r="E84" s="179">
        <v>2016</v>
      </c>
      <c r="F84" s="179">
        <v>2017</v>
      </c>
      <c r="G84" s="179">
        <v>2018</v>
      </c>
      <c r="H84" s="179">
        <v>2019</v>
      </c>
      <c r="I84" s="179">
        <v>2020</v>
      </c>
      <c r="J84" s="177"/>
      <c r="K84" s="172"/>
    </row>
    <row r="85" spans="1:30">
      <c r="A85" s="172"/>
      <c r="B85" s="192" t="s">
        <v>334</v>
      </c>
      <c r="C85" s="176">
        <v>0.13</v>
      </c>
      <c r="D85" s="176">
        <v>0.19</v>
      </c>
      <c r="E85" s="176">
        <v>0.33</v>
      </c>
      <c r="F85" s="176">
        <v>0.49</v>
      </c>
      <c r="G85" s="176">
        <v>0.84</v>
      </c>
      <c r="H85" s="176">
        <v>1.24</v>
      </c>
      <c r="I85" s="176">
        <v>1.54</v>
      </c>
      <c r="J85" s="177"/>
      <c r="K85" s="172"/>
    </row>
    <row r="86" spans="1:30">
      <c r="A86" s="172"/>
      <c r="B86" s="192" t="s">
        <v>335</v>
      </c>
      <c r="C86" s="176">
        <v>0</v>
      </c>
      <c r="D86" s="176">
        <v>7.0000000000000007E-2</v>
      </c>
      <c r="E86" s="189">
        <v>7.0000000000000007E-2</v>
      </c>
      <c r="F86" s="189">
        <v>0.17</v>
      </c>
      <c r="G86" s="189">
        <v>0.3</v>
      </c>
      <c r="H86" s="189">
        <v>0.52</v>
      </c>
      <c r="I86" s="189">
        <v>0.73</v>
      </c>
      <c r="J86" s="177"/>
      <c r="K86" s="172"/>
      <c r="N86" s="158"/>
      <c r="O86" s="158"/>
      <c r="P86" s="158"/>
      <c r="Q86" s="158"/>
      <c r="R86" s="158"/>
      <c r="S86" s="158"/>
      <c r="T86" s="158"/>
      <c r="U86" s="158"/>
      <c r="V86" s="158"/>
      <c r="W86" s="158"/>
      <c r="X86" s="158"/>
      <c r="Y86" s="158"/>
      <c r="Z86" s="158"/>
      <c r="AA86" s="158"/>
      <c r="AB86" s="158"/>
      <c r="AC86" s="158"/>
      <c r="AD86" s="158"/>
    </row>
    <row r="87" spans="1:30">
      <c r="A87" s="172"/>
      <c r="B87" s="192" t="s">
        <v>336</v>
      </c>
      <c r="C87" s="176">
        <v>2.7472964999999995E-3</v>
      </c>
      <c r="D87" s="176">
        <v>4.0152794999999998E-3</v>
      </c>
      <c r="E87" s="189">
        <v>6.9739064999999991E-3</v>
      </c>
      <c r="F87" s="189">
        <v>1.0355194499999998E-2</v>
      </c>
      <c r="G87" s="189">
        <v>1.7751761999999997E-2</v>
      </c>
      <c r="H87" s="189">
        <v>2.6204981999999995E-2</v>
      </c>
      <c r="I87" s="189">
        <v>3.2544896999999996E-2</v>
      </c>
      <c r="J87" s="177"/>
      <c r="K87" s="172"/>
      <c r="N87" s="158"/>
      <c r="O87" s="158"/>
      <c r="P87" s="158"/>
      <c r="Q87" s="158"/>
      <c r="R87" s="158"/>
      <c r="S87" s="158"/>
      <c r="T87" s="158"/>
      <c r="U87" s="158"/>
      <c r="V87" s="158"/>
      <c r="W87" s="158"/>
      <c r="X87" s="158"/>
      <c r="Y87" s="158"/>
      <c r="Z87" s="158"/>
      <c r="AA87" s="158"/>
      <c r="AB87" s="158"/>
      <c r="AC87" s="158"/>
      <c r="AD87" s="158"/>
    </row>
    <row r="88" spans="1:30">
      <c r="A88" s="172"/>
      <c r="B88" s="192" t="s">
        <v>337</v>
      </c>
      <c r="C88" s="176">
        <v>0</v>
      </c>
      <c r="D88" s="176">
        <v>2.4080000000000004E-3</v>
      </c>
      <c r="E88" s="189">
        <v>2.4080000000000004E-3</v>
      </c>
      <c r="F88" s="189">
        <v>5.8480000000000008E-3</v>
      </c>
      <c r="G88" s="189">
        <v>1.0319999999999999E-2</v>
      </c>
      <c r="H88" s="189">
        <v>1.7888000000000001E-2</v>
      </c>
      <c r="I88" s="189">
        <v>2.5111999999999999E-2</v>
      </c>
      <c r="J88" s="177"/>
      <c r="K88" s="172"/>
      <c r="N88" s="158"/>
      <c r="O88" s="158"/>
      <c r="P88" s="158"/>
      <c r="Q88" s="158"/>
      <c r="R88" s="158"/>
      <c r="S88" s="158"/>
      <c r="T88" s="158"/>
      <c r="U88" s="158"/>
      <c r="V88" s="158"/>
      <c r="W88" s="158"/>
      <c r="X88" s="158"/>
      <c r="Y88" s="158"/>
      <c r="Z88" s="158"/>
      <c r="AA88" s="158"/>
      <c r="AB88" s="158"/>
      <c r="AC88" s="158"/>
      <c r="AD88" s="158"/>
    </row>
    <row r="89" spans="1:30">
      <c r="A89" s="172"/>
      <c r="B89" s="175"/>
      <c r="C89" s="172"/>
      <c r="D89" s="172"/>
      <c r="E89" s="172"/>
      <c r="F89" s="172"/>
      <c r="G89" s="172"/>
      <c r="H89" s="172"/>
      <c r="I89" s="172"/>
      <c r="J89" s="172"/>
      <c r="K89" s="172"/>
      <c r="N89" s="158"/>
      <c r="O89" s="158"/>
      <c r="P89" s="158"/>
      <c r="Q89" s="158"/>
      <c r="R89" s="158"/>
      <c r="S89" s="158"/>
      <c r="T89" s="158"/>
      <c r="U89" s="158"/>
      <c r="V89" s="158"/>
      <c r="W89" s="158"/>
      <c r="X89" s="158"/>
      <c r="Y89" s="158"/>
      <c r="Z89" s="158"/>
      <c r="AA89" s="158"/>
      <c r="AB89" s="158"/>
      <c r="AC89" s="158"/>
      <c r="AD89" s="158"/>
    </row>
    <row r="90" spans="1:30">
      <c r="A90" s="172"/>
      <c r="B90" s="173"/>
      <c r="C90" s="172"/>
      <c r="D90" s="172"/>
      <c r="E90" s="172"/>
      <c r="F90" s="172"/>
      <c r="G90" s="172"/>
      <c r="H90" s="172"/>
      <c r="I90" s="172"/>
      <c r="J90" s="172"/>
      <c r="K90" s="172"/>
      <c r="N90" s="158"/>
      <c r="O90" s="158"/>
      <c r="P90" s="158"/>
      <c r="Q90" s="158"/>
      <c r="R90" s="158"/>
      <c r="S90" s="158"/>
      <c r="T90" s="158"/>
      <c r="U90" s="158"/>
      <c r="V90" s="158"/>
      <c r="W90" s="158"/>
      <c r="X90" s="158"/>
      <c r="Y90" s="158"/>
      <c r="Z90" s="158"/>
      <c r="AA90" s="158"/>
      <c r="AB90" s="158"/>
      <c r="AC90" s="158"/>
      <c r="AD90" s="158"/>
    </row>
    <row r="91" spans="1:30">
      <c r="A91" s="172"/>
      <c r="B91" s="182"/>
      <c r="C91" s="183"/>
      <c r="D91" s="172"/>
      <c r="E91" s="172"/>
      <c r="F91" s="172"/>
      <c r="G91" s="172"/>
      <c r="H91" s="172"/>
      <c r="I91" s="172"/>
      <c r="J91" s="172"/>
      <c r="K91" s="172"/>
      <c r="N91" s="158"/>
      <c r="O91" s="158"/>
      <c r="P91" s="158"/>
      <c r="Q91" s="158"/>
      <c r="R91" s="158"/>
      <c r="S91" s="158"/>
      <c r="T91" s="158"/>
      <c r="U91" s="158"/>
      <c r="V91" s="158"/>
      <c r="W91" s="158"/>
      <c r="X91" s="158"/>
      <c r="Y91" s="158"/>
      <c r="Z91" s="158"/>
      <c r="AA91" s="158"/>
      <c r="AB91" s="158"/>
      <c r="AC91" s="158"/>
      <c r="AD91" s="158"/>
    </row>
    <row r="92" spans="1:30">
      <c r="A92" s="172"/>
      <c r="B92" s="172"/>
      <c r="C92" s="172"/>
      <c r="D92" s="172"/>
      <c r="E92" s="172"/>
      <c r="F92" s="172"/>
      <c r="G92" s="172"/>
      <c r="H92" s="172"/>
      <c r="I92" s="172"/>
      <c r="J92" s="172"/>
      <c r="K92" s="172"/>
      <c r="N92" s="158"/>
      <c r="O92" s="158"/>
      <c r="P92" s="158"/>
      <c r="Q92" s="158"/>
      <c r="R92" s="158"/>
      <c r="S92" s="158"/>
      <c r="T92" s="158"/>
      <c r="U92" s="158"/>
      <c r="V92" s="158"/>
      <c r="W92" s="158"/>
      <c r="X92" s="158"/>
      <c r="Y92" s="158"/>
      <c r="Z92" s="158"/>
      <c r="AA92" s="158"/>
      <c r="AB92" s="158"/>
      <c r="AC92" s="158"/>
      <c r="AD92" s="158"/>
    </row>
    <row r="93" spans="1:30">
      <c r="A93" s="172"/>
      <c r="B93" s="172"/>
      <c r="C93" s="172"/>
      <c r="D93" s="172"/>
      <c r="E93" s="172"/>
      <c r="F93" s="172"/>
      <c r="G93" s="172"/>
      <c r="H93" s="172"/>
      <c r="I93" s="172"/>
      <c r="J93" s="172"/>
      <c r="K93" s="172"/>
      <c r="N93" s="158"/>
      <c r="O93" s="158"/>
      <c r="P93" s="158"/>
      <c r="Q93" s="158"/>
      <c r="R93" s="158"/>
      <c r="S93" s="158"/>
      <c r="T93" s="158"/>
      <c r="U93" s="158"/>
      <c r="V93" s="158"/>
      <c r="W93" s="158"/>
      <c r="X93" s="158"/>
      <c r="Y93" s="158"/>
      <c r="Z93" s="158"/>
      <c r="AA93" s="158"/>
      <c r="AB93" s="158"/>
      <c r="AC93" s="158"/>
      <c r="AD93" s="158"/>
    </row>
    <row r="94" spans="1:30">
      <c r="N94" s="158"/>
      <c r="O94" s="158"/>
      <c r="P94" s="158"/>
      <c r="Q94" s="158"/>
      <c r="R94" s="158"/>
      <c r="S94" s="158"/>
      <c r="T94" s="158"/>
      <c r="U94" s="158"/>
      <c r="V94" s="158"/>
      <c r="W94" s="158"/>
      <c r="X94" s="158"/>
      <c r="Y94" s="158"/>
      <c r="Z94" s="158"/>
      <c r="AA94" s="158"/>
      <c r="AB94" s="158"/>
      <c r="AC94" s="158"/>
      <c r="AD94" s="158"/>
    </row>
    <row r="95" spans="1:30">
      <c r="N95" s="158"/>
      <c r="O95" s="158"/>
      <c r="P95" s="158"/>
      <c r="Q95" s="158"/>
      <c r="R95" s="158"/>
      <c r="S95" s="158"/>
      <c r="T95" s="158"/>
      <c r="U95" s="158"/>
      <c r="V95" s="158"/>
      <c r="W95" s="158"/>
      <c r="X95" s="158"/>
      <c r="Y95" s="158"/>
      <c r="Z95" s="158"/>
      <c r="AA95" s="158"/>
      <c r="AB95" s="158"/>
      <c r="AC95" s="158"/>
      <c r="AD95" s="158"/>
    </row>
    <row r="96" spans="1:30">
      <c r="N96" s="158"/>
      <c r="O96" s="158"/>
      <c r="P96" s="158"/>
      <c r="Q96" s="158"/>
      <c r="R96" s="158"/>
      <c r="S96" s="158"/>
      <c r="T96" s="158"/>
      <c r="U96" s="158"/>
      <c r="V96" s="158"/>
      <c r="W96" s="158"/>
      <c r="X96" s="158"/>
      <c r="Y96" s="158"/>
      <c r="Z96" s="158"/>
      <c r="AA96" s="158"/>
      <c r="AB96" s="158"/>
      <c r="AC96" s="158"/>
      <c r="AD96" s="158"/>
    </row>
    <row r="125" spans="14:14">
      <c r="N125" s="145" t="s">
        <v>393</v>
      </c>
    </row>
    <row r="126" spans="14:14">
      <c r="N126" s="145" t="s">
        <v>334</v>
      </c>
    </row>
    <row r="127" spans="14:14">
      <c r="N127" s="145" t="s">
        <v>335</v>
      </c>
    </row>
    <row r="128" spans="14:14">
      <c r="N128" s="145" t="s">
        <v>336</v>
      </c>
    </row>
    <row r="129" spans="14:14">
      <c r="N129" s="145" t="s">
        <v>337</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78"/>
  <sheetViews>
    <sheetView zoomScaleNormal="100" workbookViewId="0">
      <selection activeCell="C25" sqref="C25"/>
    </sheetView>
  </sheetViews>
  <sheetFormatPr defaultRowHeight="12.75"/>
  <cols>
    <col min="1" max="1" width="23.42578125" style="4" customWidth="1"/>
    <col min="2" max="4" width="13.7109375" style="4" customWidth="1"/>
    <col min="5" max="6" width="9.140625" style="4"/>
    <col min="7" max="7" width="9.5703125" style="4" bestFit="1" customWidth="1"/>
    <col min="8" max="16384" width="9.140625" style="4"/>
  </cols>
  <sheetData>
    <row r="1" spans="1:24">
      <c r="A1" s="4" t="s">
        <v>2</v>
      </c>
    </row>
    <row r="2" spans="1:24" ht="15.75">
      <c r="A2" s="5" t="s">
        <v>3</v>
      </c>
    </row>
    <row r="3" spans="1:24" ht="15.75">
      <c r="A3" s="5"/>
    </row>
    <row r="4" spans="1:24">
      <c r="A4" s="4" t="s">
        <v>4</v>
      </c>
      <c r="B4" s="4">
        <v>2.2046000000000001</v>
      </c>
      <c r="C4" s="4" t="s">
        <v>5</v>
      </c>
      <c r="G4" s="6">
        <v>1</v>
      </c>
      <c r="H4" s="6" t="s">
        <v>6</v>
      </c>
      <c r="I4" s="6">
        <f>B9/1000</f>
        <v>3.3487999999999997E-2</v>
      </c>
    </row>
    <row r="5" spans="1:24">
      <c r="G5" s="6">
        <f>1000/B6</f>
        <v>23.884589662749594</v>
      </c>
      <c r="H5" s="6" t="s">
        <v>7</v>
      </c>
      <c r="I5" s="6">
        <f>1000/B8</f>
        <v>0.79984713862615842</v>
      </c>
    </row>
    <row r="6" spans="1:24">
      <c r="A6" s="4" t="s">
        <v>8</v>
      </c>
      <c r="B6" s="4">
        <v>41.868000000000002</v>
      </c>
      <c r="C6" s="4" t="s">
        <v>9</v>
      </c>
      <c r="G6" s="6">
        <f>1000/B9</f>
        <v>29.861442904921166</v>
      </c>
      <c r="H6" s="6" t="s">
        <v>10</v>
      </c>
      <c r="I6" s="6">
        <v>1</v>
      </c>
      <c r="N6" s="4" t="s">
        <v>11</v>
      </c>
      <c r="O6" s="4">
        <v>41.868000000000002</v>
      </c>
      <c r="P6" s="4" t="s">
        <v>12</v>
      </c>
    </row>
    <row r="7" spans="1:24">
      <c r="A7" s="4" t="s">
        <v>13</v>
      </c>
      <c r="B7" s="4">
        <v>1055</v>
      </c>
      <c r="C7" s="4" t="s">
        <v>14</v>
      </c>
      <c r="G7" s="6">
        <f>1000/B6*7.33/365</f>
        <v>0.47965491021357404</v>
      </c>
      <c r="H7" s="6" t="s">
        <v>15</v>
      </c>
      <c r="I7" s="6"/>
      <c r="O7" s="4">
        <f>O6*10^3</f>
        <v>41868</v>
      </c>
      <c r="P7" s="4" t="s">
        <v>16</v>
      </c>
    </row>
    <row r="8" spans="1:24">
      <c r="A8" s="4" t="s">
        <v>17</v>
      </c>
      <c r="B8" s="4">
        <f>B6/B9*10^3</f>
        <v>1250.2388915432393</v>
      </c>
      <c r="C8" s="4" t="s">
        <v>18</v>
      </c>
      <c r="O8" s="4">
        <f>O7*10^3</f>
        <v>41868000</v>
      </c>
      <c r="P8" s="4" t="s">
        <v>19</v>
      </c>
    </row>
    <row r="9" spans="1:24">
      <c r="A9" s="4" t="s">
        <v>20</v>
      </c>
      <c r="B9" s="4">
        <f>C17</f>
        <v>33.488</v>
      </c>
      <c r="C9" s="4" t="s">
        <v>21</v>
      </c>
      <c r="E9" s="7"/>
      <c r="F9" s="7"/>
    </row>
    <row r="10" spans="1:24">
      <c r="A10" s="4" t="s">
        <v>22</v>
      </c>
      <c r="B10" s="4">
        <v>3.7850000000000001</v>
      </c>
      <c r="C10" s="4" t="s">
        <v>23</v>
      </c>
    </row>
    <row r="11" spans="1:24">
      <c r="A11" s="4" t="s">
        <v>24</v>
      </c>
      <c r="B11" s="4">
        <v>235.24</v>
      </c>
      <c r="C11" s="4" t="s">
        <v>25</v>
      </c>
    </row>
    <row r="12" spans="1:24">
      <c r="A12" s="6" t="s">
        <v>26</v>
      </c>
      <c r="B12" s="6">
        <v>3.6</v>
      </c>
      <c r="C12" s="8" t="s">
        <v>19</v>
      </c>
      <c r="K12" s="9"/>
      <c r="L12" s="9"/>
      <c r="M12" s="9"/>
      <c r="N12" s="9"/>
      <c r="O12" s="9"/>
      <c r="P12" s="9"/>
      <c r="Q12" s="9"/>
      <c r="R12" s="9"/>
      <c r="S12" s="9"/>
      <c r="T12" s="9"/>
      <c r="U12" s="9"/>
      <c r="V12" s="9"/>
      <c r="W12" s="9"/>
      <c r="X12" s="9"/>
    </row>
    <row r="13" spans="1:24">
      <c r="A13" s="6" t="s">
        <v>27</v>
      </c>
      <c r="B13" s="6">
        <f>B9/B12</f>
        <v>9.3022222222222215</v>
      </c>
      <c r="C13" s="6" t="s">
        <v>28</v>
      </c>
      <c r="K13" s="9"/>
      <c r="L13" s="9"/>
      <c r="M13" s="9"/>
      <c r="N13" s="9"/>
      <c r="O13" s="9"/>
      <c r="P13" s="9"/>
      <c r="Q13" s="9"/>
      <c r="R13" s="9"/>
      <c r="S13" s="9"/>
      <c r="T13" s="9"/>
      <c r="U13" s="9"/>
      <c r="V13" s="9"/>
      <c r="W13" s="10"/>
      <c r="X13" s="9"/>
    </row>
    <row r="14" spans="1:24" ht="15.75">
      <c r="A14" s="5" t="s">
        <v>29</v>
      </c>
      <c r="K14" s="9"/>
      <c r="L14" s="9"/>
      <c r="M14" s="9"/>
      <c r="N14" s="9"/>
      <c r="O14" s="9"/>
      <c r="P14" s="9"/>
      <c r="Q14" s="9"/>
      <c r="R14" s="9"/>
      <c r="S14" s="9"/>
      <c r="T14" s="9"/>
      <c r="U14" s="9"/>
      <c r="V14" s="9"/>
      <c r="W14" s="11"/>
      <c r="X14" s="9"/>
    </row>
    <row r="15" spans="1:24">
      <c r="A15" s="12"/>
      <c r="K15" s="9"/>
      <c r="L15" s="9"/>
      <c r="M15" s="9"/>
      <c r="N15" s="9"/>
      <c r="O15" s="9"/>
      <c r="P15" s="9"/>
      <c r="Q15" s="9"/>
      <c r="R15" s="9"/>
      <c r="S15" s="9"/>
      <c r="T15" s="9"/>
      <c r="U15" s="9"/>
      <c r="V15" s="9"/>
      <c r="W15" s="10"/>
      <c r="X15" s="9"/>
    </row>
    <row r="16" spans="1:24" ht="76.5">
      <c r="B16" s="7"/>
      <c r="C16" s="7" t="s">
        <v>30</v>
      </c>
      <c r="D16" s="7" t="s">
        <v>31</v>
      </c>
      <c r="E16" s="7"/>
      <c r="F16" s="8" t="s">
        <v>32</v>
      </c>
      <c r="H16" s="7"/>
      <c r="I16" s="7"/>
      <c r="J16" s="7"/>
      <c r="K16" s="7" t="s">
        <v>30</v>
      </c>
      <c r="L16" s="7" t="s">
        <v>31</v>
      </c>
    </row>
    <row r="17" spans="1:22">
      <c r="A17" s="4" t="str">
        <f>G218</f>
        <v>Gasoline</v>
      </c>
      <c r="B17" s="13"/>
      <c r="C17" s="14">
        <f>B95</f>
        <v>33.488</v>
      </c>
      <c r="D17" s="15">
        <f>B35</f>
        <v>44.8</v>
      </c>
      <c r="E17" s="7"/>
      <c r="F17" s="16">
        <f>B171</f>
        <v>2.3207183999999996</v>
      </c>
      <c r="G17" s="7">
        <f>F17/B$13</f>
        <v>0.24947999999999998</v>
      </c>
      <c r="H17" s="7"/>
      <c r="I17" s="7"/>
      <c r="J17" s="7"/>
      <c r="K17" s="7"/>
      <c r="L17" s="7"/>
      <c r="M17" s="6"/>
    </row>
    <row r="18" spans="1:22">
      <c r="A18" s="4" t="str">
        <f>G219</f>
        <v>Gas/diesel oil</v>
      </c>
      <c r="B18" s="13"/>
      <c r="C18" s="14">
        <f>B96</f>
        <v>36.072224999999996</v>
      </c>
      <c r="D18" s="15">
        <f>B36</f>
        <v>43.33</v>
      </c>
      <c r="E18" s="7"/>
      <c r="F18" s="16">
        <f>B172</f>
        <v>2.4803445333333332</v>
      </c>
      <c r="G18" s="7">
        <f>F18/B$13</f>
        <v>0.26663999999999999</v>
      </c>
      <c r="H18" s="7"/>
      <c r="I18" s="7"/>
      <c r="J18" s="7"/>
      <c r="K18" s="6"/>
      <c r="L18" s="6"/>
      <c r="M18" s="6"/>
    </row>
    <row r="19" spans="1:22">
      <c r="A19" s="4" t="str">
        <f>G220</f>
        <v>Jet fuel (kerosene)</v>
      </c>
      <c r="B19" s="13"/>
      <c r="C19" s="14">
        <f>B97</f>
        <v>37.121175000000001</v>
      </c>
      <c r="D19" s="15">
        <f>B37</f>
        <v>44.59</v>
      </c>
      <c r="E19" s="7"/>
      <c r="F19" s="16">
        <f>B173</f>
        <v>2.3943919999999999</v>
      </c>
      <c r="G19" s="7">
        <f t="shared" ref="G19:G27" si="0">F19/B$13</f>
        <v>0.25740000000000002</v>
      </c>
      <c r="H19" s="7"/>
      <c r="I19" s="7"/>
      <c r="J19" s="7"/>
      <c r="K19" s="6"/>
      <c r="L19" s="6"/>
      <c r="M19" s="6"/>
    </row>
    <row r="20" spans="1:22">
      <c r="A20" s="4" t="str">
        <f>G221</f>
        <v>Natural gas</v>
      </c>
      <c r="C20" s="14">
        <f>B98</f>
        <v>8.3886000000000021</v>
      </c>
      <c r="D20" s="15">
        <f>B38</f>
        <v>45.1</v>
      </c>
      <c r="E20" s="7"/>
      <c r="F20" s="16">
        <f>B174</f>
        <v>1.8786768</v>
      </c>
      <c r="G20" s="7">
        <f t="shared" si="0"/>
        <v>0.20196000000000003</v>
      </c>
      <c r="H20" s="7"/>
      <c r="I20" s="7"/>
      <c r="J20" s="7"/>
      <c r="K20" s="6"/>
      <c r="L20" s="6"/>
      <c r="M20" s="6"/>
    </row>
    <row r="21" spans="1:22">
      <c r="A21" s="4" t="str">
        <f>G222</f>
        <v>LPG (60% propane, 40% butane)</v>
      </c>
      <c r="B21" s="13"/>
      <c r="C21" s="14">
        <f>B99</f>
        <v>26.351670000000002</v>
      </c>
      <c r="D21" s="15">
        <f>B39</f>
        <v>47.31</v>
      </c>
      <c r="E21" s="7"/>
      <c r="F21" s="16">
        <f>B175</f>
        <v>2.1119765333333329</v>
      </c>
      <c r="G21" s="7">
        <f t="shared" si="0"/>
        <v>0.22703999999999996</v>
      </c>
      <c r="H21" s="7"/>
      <c r="I21" s="7"/>
      <c r="J21" s="7"/>
      <c r="K21" s="6"/>
      <c r="L21" s="6"/>
      <c r="M21" s="6"/>
    </row>
    <row r="22" spans="1:22">
      <c r="C22" s="17"/>
      <c r="D22" s="17"/>
      <c r="E22" s="7"/>
      <c r="F22" s="17"/>
      <c r="G22" s="7">
        <f t="shared" si="0"/>
        <v>0</v>
      </c>
      <c r="H22" s="7"/>
      <c r="I22" s="7"/>
      <c r="J22" s="7"/>
      <c r="K22" s="6"/>
      <c r="L22" s="6"/>
      <c r="M22" s="6"/>
      <c r="U22" s="6"/>
      <c r="V22" s="6"/>
    </row>
    <row r="23" spans="1:22">
      <c r="A23" s="4" t="s">
        <v>33</v>
      </c>
      <c r="C23" s="14">
        <f>B101</f>
        <v>2.7022500000000003</v>
      </c>
      <c r="D23" s="15">
        <f>B41</f>
        <v>120.1</v>
      </c>
      <c r="E23" s="7"/>
      <c r="F23" s="16">
        <f>B177</f>
        <v>0</v>
      </c>
      <c r="G23" s="7">
        <f t="shared" si="0"/>
        <v>0</v>
      </c>
      <c r="H23" s="7"/>
      <c r="I23" s="7"/>
      <c r="J23" s="7"/>
      <c r="K23" s="6"/>
      <c r="L23" s="6"/>
      <c r="M23" s="6"/>
      <c r="U23" s="6"/>
      <c r="V23" s="6"/>
    </row>
    <row r="24" spans="1:22">
      <c r="A24" s="4" t="s">
        <v>34</v>
      </c>
      <c r="B24" s="13"/>
      <c r="C24" s="14">
        <f>B102</f>
        <v>21.133049999999997</v>
      </c>
      <c r="D24" s="15">
        <f>B42</f>
        <v>26.7</v>
      </c>
      <c r="E24" s="7"/>
      <c r="F24" s="16">
        <f>B178</f>
        <v>2.3360074906367041</v>
      </c>
      <c r="G24" s="7">
        <f t="shared" si="0"/>
        <v>0.25112359550561797</v>
      </c>
      <c r="H24" s="7"/>
      <c r="M24" s="6"/>
      <c r="U24" s="6"/>
      <c r="V24" s="6"/>
    </row>
    <row r="25" spans="1:22">
      <c r="A25" s="4" t="s">
        <v>35</v>
      </c>
      <c r="B25" s="13"/>
      <c r="C25" s="14">
        <f>B103</f>
        <v>32.692</v>
      </c>
      <c r="D25" s="15">
        <f>B43</f>
        <v>37.15</v>
      </c>
      <c r="E25" s="7"/>
      <c r="F25" s="16">
        <f>B179</f>
        <v>2.5249952000000002</v>
      </c>
      <c r="G25" s="7">
        <f t="shared" si="0"/>
        <v>0.27144000000000007</v>
      </c>
      <c r="H25" s="7"/>
      <c r="I25" s="7"/>
      <c r="J25" s="18" t="s">
        <v>36</v>
      </c>
      <c r="K25" s="4">
        <f>A877</f>
        <v>34.4</v>
      </c>
      <c r="L25" s="19">
        <f>K25/A878</f>
        <v>44.102564102564102</v>
      </c>
      <c r="M25" s="6"/>
      <c r="U25" s="6"/>
      <c r="V25" s="6"/>
    </row>
    <row r="26" spans="1:22">
      <c r="A26" s="4" t="s">
        <v>37</v>
      </c>
      <c r="C26" s="14">
        <f>B105</f>
        <v>33.458174999999997</v>
      </c>
      <c r="D26" s="15">
        <f>B45</f>
        <v>40.19</v>
      </c>
      <c r="E26" s="7"/>
      <c r="F26" s="16">
        <f>B181</f>
        <v>2.5908549333333335</v>
      </c>
      <c r="G26" s="7">
        <f t="shared" si="0"/>
        <v>0.27852000000000005</v>
      </c>
      <c r="H26" s="7"/>
      <c r="I26" s="7"/>
      <c r="J26" s="7"/>
      <c r="M26" s="6"/>
      <c r="U26" s="6"/>
      <c r="V26" s="6"/>
    </row>
    <row r="27" spans="1:22" s="6" customFormat="1">
      <c r="A27" s="6" t="s">
        <v>38</v>
      </c>
      <c r="C27" s="14">
        <f>B106</f>
        <v>15.9</v>
      </c>
      <c r="D27" s="15">
        <f>B46</f>
        <v>20.100000000000001</v>
      </c>
      <c r="E27" s="7"/>
      <c r="F27" s="16">
        <f>B182</f>
        <v>1.993334222470031</v>
      </c>
      <c r="G27" s="7">
        <f t="shared" si="0"/>
        <v>0.21428580986897133</v>
      </c>
      <c r="H27" s="7"/>
      <c r="I27" s="7"/>
      <c r="J27" s="7"/>
      <c r="L27" s="20"/>
    </row>
    <row r="28" spans="1:22" s="6" customFormat="1">
      <c r="A28" s="126" t="s">
        <v>306</v>
      </c>
      <c r="C28" s="127">
        <v>18</v>
      </c>
      <c r="D28" s="15"/>
      <c r="E28" s="7"/>
      <c r="F28" s="16"/>
      <c r="G28" s="7"/>
      <c r="H28" s="7"/>
      <c r="I28" s="7"/>
      <c r="J28" s="7"/>
      <c r="L28" s="20"/>
    </row>
    <row r="29" spans="1:22" s="6" customFormat="1">
      <c r="A29" s="126" t="s">
        <v>305</v>
      </c>
      <c r="D29" s="126">
        <v>50</v>
      </c>
    </row>
    <row r="30" spans="1:22" ht="38.25">
      <c r="A30" s="7"/>
      <c r="B30" s="7" t="s">
        <v>39</v>
      </c>
      <c r="C30" s="7" t="s">
        <v>40</v>
      </c>
      <c r="D30" s="7" t="s">
        <v>41</v>
      </c>
      <c r="E30" s="7" t="s">
        <v>42</v>
      </c>
      <c r="F30" s="7" t="s">
        <v>43</v>
      </c>
      <c r="G30" s="7" t="s">
        <v>44</v>
      </c>
      <c r="H30" s="7"/>
      <c r="I30" s="7"/>
    </row>
    <row r="31" spans="1:22">
      <c r="A31" s="21" t="s">
        <v>45</v>
      </c>
      <c r="B31" s="4">
        <v>7.37</v>
      </c>
      <c r="C31" s="4">
        <v>1</v>
      </c>
      <c r="D31" s="4">
        <f>C31/B31</f>
        <v>0.13568521031207598</v>
      </c>
      <c r="E31" s="4">
        <f>41868*D31</f>
        <v>5680.868385345997</v>
      </c>
      <c r="F31" s="4">
        <f>E31/B9</f>
        <v>169.63892693938118</v>
      </c>
      <c r="G31" s="22">
        <v>159</v>
      </c>
    </row>
    <row r="33" spans="1:15" s="24" customFormat="1">
      <c r="A33" s="23" t="s">
        <v>46</v>
      </c>
    </row>
    <row r="34" spans="1:15" s="24" customFormat="1">
      <c r="A34" s="23"/>
    </row>
    <row r="35" spans="1:15">
      <c r="A35" s="4" t="str">
        <f>A17</f>
        <v>Gasoline</v>
      </c>
      <c r="B35" s="19">
        <f>C35</f>
        <v>44.8</v>
      </c>
      <c r="C35" s="25">
        <f>J218</f>
        <v>44.8</v>
      </c>
      <c r="F35" s="26">
        <f>C564</f>
        <v>43.5</v>
      </c>
      <c r="J35" s="27">
        <f>S643</f>
        <v>42.5</v>
      </c>
      <c r="K35" s="28">
        <f>Q364</f>
        <v>44.4</v>
      </c>
      <c r="L35" s="29">
        <f>S663</f>
        <v>43.8</v>
      </c>
      <c r="N35" s="30">
        <f>M729</f>
        <v>42.9</v>
      </c>
    </row>
    <row r="36" spans="1:15">
      <c r="A36" s="4" t="str">
        <f>A18</f>
        <v>Gas/diesel oil</v>
      </c>
      <c r="B36" s="19">
        <f>C36</f>
        <v>43.33</v>
      </c>
      <c r="C36" s="25">
        <f>J219</f>
        <v>43.33</v>
      </c>
      <c r="F36" s="26">
        <f>C565</f>
        <v>42.8</v>
      </c>
      <c r="J36" s="27">
        <f>S644</f>
        <v>43</v>
      </c>
      <c r="L36" s="29">
        <f>S664</f>
        <v>42.8</v>
      </c>
      <c r="N36" s="30">
        <f>M730</f>
        <v>43</v>
      </c>
    </row>
    <row r="37" spans="1:15">
      <c r="A37" s="4" t="str">
        <f>A19</f>
        <v>Jet fuel (kerosene)</v>
      </c>
      <c r="B37" s="19">
        <f>C37</f>
        <v>44.59</v>
      </c>
      <c r="C37" s="25">
        <f>J220</f>
        <v>44.59</v>
      </c>
    </row>
    <row r="38" spans="1:15">
      <c r="A38" s="4" t="str">
        <f>A20</f>
        <v>Natural gas</v>
      </c>
      <c r="B38" s="19">
        <f>N38</f>
        <v>45.1</v>
      </c>
      <c r="C38" s="31"/>
      <c r="J38" s="27">
        <f>S646</f>
        <v>38.1</v>
      </c>
      <c r="L38" s="29">
        <f>S666</f>
        <v>50</v>
      </c>
      <c r="N38" s="30">
        <f>M732</f>
        <v>45.1</v>
      </c>
    </row>
    <row r="39" spans="1:15">
      <c r="A39" s="4" t="str">
        <f>A21</f>
        <v>LPG (60% propane, 40% butane)</v>
      </c>
      <c r="B39" s="19">
        <f>C39</f>
        <v>47.31</v>
      </c>
      <c r="C39" s="25">
        <f>J222</f>
        <v>47.31</v>
      </c>
      <c r="I39" s="32">
        <f>C403</f>
        <v>45.8</v>
      </c>
      <c r="N39" s="30">
        <f>M733</f>
        <v>46</v>
      </c>
    </row>
    <row r="40" spans="1:15">
      <c r="B40" s="19"/>
      <c r="C40" s="33"/>
    </row>
    <row r="41" spans="1:15">
      <c r="A41" s="4" t="str">
        <f>A23</f>
        <v>Hydrogen</v>
      </c>
      <c r="B41" s="19">
        <f>J41</f>
        <v>120.1</v>
      </c>
      <c r="C41" s="33"/>
      <c r="J41" s="27">
        <f>S649</f>
        <v>120.1</v>
      </c>
      <c r="K41" s="28">
        <f>Q370</f>
        <v>121</v>
      </c>
      <c r="L41" s="29">
        <f>S669</f>
        <v>120</v>
      </c>
      <c r="N41" s="30">
        <f>M735</f>
        <v>120.1</v>
      </c>
    </row>
    <row r="42" spans="1:15">
      <c r="A42" s="4" t="str">
        <f>A24</f>
        <v>Ethanol</v>
      </c>
      <c r="B42" s="19">
        <f>F42</f>
        <v>26.7</v>
      </c>
      <c r="C42" s="33"/>
      <c r="F42" s="26">
        <f>C566</f>
        <v>26.7</v>
      </c>
      <c r="L42" s="29">
        <f>S670</f>
        <v>26.9</v>
      </c>
      <c r="N42" s="30">
        <f>M736</f>
        <v>26.8</v>
      </c>
    </row>
    <row r="43" spans="1:15">
      <c r="A43" s="4" t="str">
        <f>A25</f>
        <v>Biodiesel (FAME)</v>
      </c>
      <c r="B43" s="19">
        <f>AVERAGE(L43,N43)</f>
        <v>37.15</v>
      </c>
      <c r="C43" s="33"/>
      <c r="F43" s="26">
        <f>C567</f>
        <v>37.799999999999997</v>
      </c>
      <c r="L43" s="29">
        <f>S671</f>
        <v>37.5</v>
      </c>
      <c r="N43" s="30">
        <f>M737</f>
        <v>36.799999999999997</v>
      </c>
    </row>
    <row r="44" spans="1:15">
      <c r="A44" s="4" t="s">
        <v>47</v>
      </c>
      <c r="B44" s="19">
        <f>O44</f>
        <v>44.1</v>
      </c>
      <c r="C44" s="33"/>
      <c r="E44" s="20"/>
      <c r="F44" s="20"/>
      <c r="G44" s="20"/>
      <c r="H44" s="20"/>
      <c r="I44" s="20"/>
      <c r="J44" s="20"/>
      <c r="K44" s="20"/>
      <c r="L44" s="20"/>
      <c r="M44" s="20"/>
      <c r="N44" s="20"/>
      <c r="O44" s="34">
        <f>G808</f>
        <v>44.1</v>
      </c>
    </row>
    <row r="45" spans="1:15">
      <c r="A45" s="4" t="str">
        <f>A26</f>
        <v xml:space="preserve">Residual fuel oil (bunker fuel) </v>
      </c>
      <c r="B45" s="19">
        <f>C45</f>
        <v>40.19</v>
      </c>
      <c r="C45" s="25">
        <f>J227</f>
        <v>40.19</v>
      </c>
    </row>
    <row r="46" spans="1:15">
      <c r="A46" s="4" t="str">
        <f>A27</f>
        <v>Methanol</v>
      </c>
      <c r="B46" s="35">
        <f>L46</f>
        <v>20.100000000000001</v>
      </c>
      <c r="C46" s="36"/>
      <c r="L46" s="29">
        <f>S673</f>
        <v>20.100000000000001</v>
      </c>
      <c r="N46" s="30">
        <f>M739</f>
        <v>19.899999999999999</v>
      </c>
    </row>
    <row r="47" spans="1:15">
      <c r="C47" s="36"/>
    </row>
    <row r="48" spans="1:15" s="24" customFormat="1">
      <c r="A48" s="23" t="s">
        <v>48</v>
      </c>
    </row>
    <row r="49" spans="1:11" s="24" customFormat="1">
      <c r="A49" s="23"/>
    </row>
    <row r="50" spans="1:11">
      <c r="A50" s="4" t="str">
        <f>A35</f>
        <v>Gasoline</v>
      </c>
      <c r="B50" s="4">
        <f>J50</f>
        <v>46.7</v>
      </c>
      <c r="C50" s="31"/>
      <c r="F50" s="26">
        <f>E564</f>
        <v>47.3</v>
      </c>
      <c r="G50" s="37">
        <f>P333</f>
        <v>47</v>
      </c>
      <c r="J50" s="27">
        <f>R643</f>
        <v>46.7</v>
      </c>
      <c r="K50" s="28">
        <f>O364</f>
        <v>47.3</v>
      </c>
    </row>
    <row r="51" spans="1:11">
      <c r="A51" s="4" t="str">
        <f>A36</f>
        <v>Gas/diesel oil</v>
      </c>
      <c r="B51" s="4">
        <f>J51</f>
        <v>45.9</v>
      </c>
      <c r="C51" s="31"/>
      <c r="G51" s="37">
        <f>P334</f>
        <v>48</v>
      </c>
      <c r="J51" s="27">
        <f>R644</f>
        <v>45.9</v>
      </c>
      <c r="K51" s="28">
        <f>O365</f>
        <v>44.8</v>
      </c>
    </row>
    <row r="52" spans="1:11">
      <c r="A52" s="4" t="str">
        <f>A37</f>
        <v>Jet fuel (kerosene)</v>
      </c>
      <c r="B52" s="38">
        <f>B37*B67</f>
        <v>47.234733441033924</v>
      </c>
      <c r="C52" s="31"/>
      <c r="G52" s="37">
        <f>P335</f>
        <v>47</v>
      </c>
      <c r="K52" s="28">
        <f>O366</f>
        <v>46.2</v>
      </c>
    </row>
    <row r="53" spans="1:11">
      <c r="A53" s="4" t="str">
        <f>A38</f>
        <v>Natural gas</v>
      </c>
      <c r="B53" s="4">
        <f>G53</f>
        <v>55</v>
      </c>
      <c r="C53" s="31"/>
      <c r="G53" s="37">
        <f>P336</f>
        <v>55</v>
      </c>
      <c r="J53" s="27">
        <f>R646</f>
        <v>42.5</v>
      </c>
      <c r="K53" s="28">
        <f>O367</f>
        <v>54</v>
      </c>
    </row>
    <row r="54" spans="1:11">
      <c r="A54" s="4" t="str">
        <f>A39</f>
        <v>LPG (60% propane, 40% butane)</v>
      </c>
      <c r="B54" s="4">
        <f>G54</f>
        <v>51</v>
      </c>
      <c r="C54" s="31"/>
      <c r="G54" s="37">
        <f>P337</f>
        <v>51</v>
      </c>
    </row>
    <row r="55" spans="1:11">
      <c r="A55" s="4" t="s">
        <v>47</v>
      </c>
      <c r="C55" s="33"/>
    </row>
    <row r="56" spans="1:11">
      <c r="A56" s="4" t="str">
        <f>A41</f>
        <v>Hydrogen</v>
      </c>
      <c r="B56" s="4">
        <f>J56</f>
        <v>141.9</v>
      </c>
      <c r="C56" s="33"/>
      <c r="J56" s="27">
        <f>R649</f>
        <v>141.9</v>
      </c>
      <c r="K56" s="28">
        <f>O370</f>
        <v>141.80000000000001</v>
      </c>
    </row>
    <row r="57" spans="1:11">
      <c r="A57" s="4" t="str">
        <f>A42</f>
        <v>Ethanol</v>
      </c>
      <c r="B57" s="4">
        <f>K57</f>
        <v>29.8</v>
      </c>
      <c r="C57" s="33"/>
      <c r="G57" s="37">
        <f>P340</f>
        <v>31.1</v>
      </c>
      <c r="K57" s="28">
        <f>O371</f>
        <v>29.8</v>
      </c>
    </row>
    <row r="58" spans="1:11">
      <c r="A58" s="4" t="str">
        <f>A43</f>
        <v>Biodiesel (FAME)</v>
      </c>
      <c r="B58" s="4">
        <f>G58</f>
        <v>39.9</v>
      </c>
      <c r="C58" s="33"/>
      <c r="G58" s="37">
        <f>P341</f>
        <v>39.9</v>
      </c>
    </row>
    <row r="59" spans="1:11">
      <c r="A59" s="4" t="s">
        <v>47</v>
      </c>
      <c r="C59" s="33"/>
      <c r="G59" s="20"/>
      <c r="H59" s="20"/>
      <c r="I59" s="20"/>
      <c r="J59" s="20"/>
      <c r="K59" s="20"/>
    </row>
    <row r="60" spans="1:11">
      <c r="A60" s="4" t="str">
        <f>A45</f>
        <v xml:space="preserve">Residual fuel oil (bunker fuel) </v>
      </c>
      <c r="B60" s="38">
        <f>B45*B75</f>
        <v>42.573759519963069</v>
      </c>
      <c r="C60" s="31"/>
      <c r="G60" s="20"/>
      <c r="H60" s="20"/>
      <c r="I60" s="20"/>
      <c r="J60" s="20"/>
      <c r="K60" s="20"/>
    </row>
    <row r="61" spans="1:11">
      <c r="A61" s="4" t="str">
        <f>A46</f>
        <v>Methanol</v>
      </c>
      <c r="B61" s="4">
        <f>K61</f>
        <v>32.799999999999997</v>
      </c>
      <c r="C61" s="36"/>
      <c r="G61" s="37">
        <f>P343</f>
        <v>19.899999999999999</v>
      </c>
      <c r="K61" s="28">
        <f>O374</f>
        <v>32.799999999999997</v>
      </c>
    </row>
    <row r="62" spans="1:11">
      <c r="C62" s="36"/>
    </row>
    <row r="63" spans="1:11">
      <c r="A63" s="23" t="s">
        <v>49</v>
      </c>
      <c r="B63" s="24"/>
      <c r="C63" s="36"/>
    </row>
    <row r="64" spans="1:11">
      <c r="A64" s="23"/>
      <c r="B64" s="24"/>
      <c r="C64" s="36"/>
    </row>
    <row r="65" spans="1:14">
      <c r="A65" s="4" t="str">
        <f>A50</f>
        <v>Gasoline</v>
      </c>
      <c r="B65" s="39">
        <f>B50/B35</f>
        <v>1.0424107142857144</v>
      </c>
      <c r="C65" s="36"/>
    </row>
    <row r="66" spans="1:14">
      <c r="A66" s="4" t="str">
        <f>A51</f>
        <v>Gas/diesel oil</v>
      </c>
      <c r="B66" s="39">
        <f>B51/B36</f>
        <v>1.0593122547888298</v>
      </c>
      <c r="C66" s="36"/>
    </row>
    <row r="67" spans="1:14">
      <c r="A67" s="4" t="str">
        <f>A52</f>
        <v>Jet fuel (kerosene)</v>
      </c>
      <c r="B67" s="40">
        <f>B66</f>
        <v>1.0593122547888298</v>
      </c>
      <c r="C67" s="36"/>
    </row>
    <row r="68" spans="1:14">
      <c r="A68" s="4" t="str">
        <f>A53</f>
        <v>Natural gas</v>
      </c>
      <c r="B68" s="39">
        <f>B53/B38</f>
        <v>1.2195121951219512</v>
      </c>
      <c r="C68" s="36"/>
    </row>
    <row r="69" spans="1:14">
      <c r="A69" s="4" t="str">
        <f>A54</f>
        <v>LPG (60% propane, 40% butane)</v>
      </c>
      <c r="B69" s="39">
        <f>B54/B39</f>
        <v>1.0779961953075459</v>
      </c>
      <c r="C69" s="36"/>
    </row>
    <row r="70" spans="1:14">
      <c r="C70" s="36"/>
    </row>
    <row r="71" spans="1:14">
      <c r="A71" s="4" t="str">
        <f>A56</f>
        <v>Hydrogen</v>
      </c>
      <c r="B71" s="39">
        <f>B56/B41</f>
        <v>1.1815154038301416</v>
      </c>
      <c r="C71" s="36"/>
    </row>
    <row r="72" spans="1:14">
      <c r="A72" s="4" t="str">
        <f>A57</f>
        <v>Ethanol</v>
      </c>
      <c r="B72" s="39">
        <f>B57/B42</f>
        <v>1.1161048689138577</v>
      </c>
      <c r="C72" s="36"/>
    </row>
    <row r="73" spans="1:14">
      <c r="A73" s="4" t="str">
        <f>A58</f>
        <v>Biodiesel (FAME)</v>
      </c>
      <c r="B73" s="39">
        <f>B58/B43</f>
        <v>1.0740242261103634</v>
      </c>
      <c r="C73" s="36"/>
    </row>
    <row r="74" spans="1:14">
      <c r="A74" s="4" t="s">
        <v>47</v>
      </c>
      <c r="B74" s="19"/>
      <c r="C74" s="33"/>
      <c r="F74" s="20"/>
      <c r="G74" s="20"/>
      <c r="H74" s="20"/>
      <c r="I74" s="20"/>
      <c r="J74" s="20"/>
      <c r="K74" s="20"/>
      <c r="L74" s="20"/>
      <c r="M74" s="20"/>
      <c r="N74" s="20"/>
    </row>
    <row r="75" spans="1:14">
      <c r="A75" s="4" t="str">
        <f>A60</f>
        <v xml:space="preserve">Residual fuel oil (bunker fuel) </v>
      </c>
      <c r="B75" s="40">
        <f>B66</f>
        <v>1.0593122547888298</v>
      </c>
      <c r="C75" s="36"/>
    </row>
    <row r="76" spans="1:14">
      <c r="A76" s="4" t="str">
        <f>A61</f>
        <v>Methanol</v>
      </c>
      <c r="B76" s="39">
        <f>B61/B46</f>
        <v>1.6318407960199002</v>
      </c>
      <c r="C76" s="36"/>
    </row>
    <row r="77" spans="1:14">
      <c r="C77" s="36"/>
    </row>
    <row r="78" spans="1:14">
      <c r="A78" s="41" t="s">
        <v>50</v>
      </c>
      <c r="C78" s="42"/>
      <c r="H78" s="17"/>
    </row>
    <row r="79" spans="1:14">
      <c r="A79" s="41"/>
      <c r="C79" s="42"/>
      <c r="H79" s="17"/>
    </row>
    <row r="80" spans="1:14">
      <c r="A80" s="4" t="str">
        <f>A35</f>
        <v>Gasoline</v>
      </c>
      <c r="B80" s="19">
        <f>E80</f>
        <v>0.74750000000000005</v>
      </c>
      <c r="C80" s="42"/>
      <c r="E80" s="43">
        <f>K455/10^3</f>
        <v>0.74750000000000005</v>
      </c>
      <c r="F80" s="44">
        <f>F564</f>
        <v>0.73563218390804597</v>
      </c>
      <c r="H80" s="17"/>
      <c r="L80" s="45">
        <f>L95/L35</f>
        <v>0.73287671232876717</v>
      </c>
      <c r="N80" s="30">
        <f>10^-3*O729</f>
        <v>0.75</v>
      </c>
    </row>
    <row r="81" spans="1:15">
      <c r="A81" s="4" t="str">
        <f>A36</f>
        <v>Gas/diesel oil</v>
      </c>
      <c r="B81" s="19">
        <f>E81</f>
        <v>0.83250000000000002</v>
      </c>
      <c r="C81" s="42"/>
      <c r="D81" s="46">
        <f>C421/10^3</f>
        <v>0.84199999999999997</v>
      </c>
      <c r="E81" s="43">
        <f>K456/10^3</f>
        <v>0.83250000000000002</v>
      </c>
      <c r="F81" s="44">
        <f>F565</f>
        <v>0.85046728971962615</v>
      </c>
      <c r="H81" s="17"/>
      <c r="L81" s="45">
        <f>L96/L36</f>
        <v>0.83644859813084116</v>
      </c>
      <c r="N81" s="30">
        <f>10^-3*O730</f>
        <v>0.83499999999999996</v>
      </c>
    </row>
    <row r="82" spans="1:15">
      <c r="A82" s="4" t="str">
        <f>A37</f>
        <v>Jet fuel (kerosene)</v>
      </c>
      <c r="B82" s="40">
        <f>B$81</f>
        <v>0.83250000000000002</v>
      </c>
      <c r="C82" s="42"/>
      <c r="H82" s="17"/>
    </row>
    <row r="83" spans="1:15">
      <c r="A83" s="4" t="str">
        <f>A38</f>
        <v>Natural gas</v>
      </c>
      <c r="B83" s="19">
        <f>L83</f>
        <v>0.18600000000000003</v>
      </c>
      <c r="C83" s="42"/>
      <c r="H83" s="17"/>
      <c r="L83" s="45">
        <f>L98/L38</f>
        <v>0.18600000000000003</v>
      </c>
    </row>
    <row r="84" spans="1:15">
      <c r="A84" s="4" t="str">
        <f>A39</f>
        <v>LPG (60% propane, 40% butane)</v>
      </c>
      <c r="B84" s="35">
        <f>I84</f>
        <v>0.55700000000000005</v>
      </c>
      <c r="C84" s="42"/>
      <c r="H84" s="17"/>
      <c r="I84" s="32">
        <f>C401</f>
        <v>0.55700000000000005</v>
      </c>
      <c r="N84" s="30">
        <f>10^-3*O733</f>
        <v>0.55000000000000004</v>
      </c>
    </row>
    <row r="85" spans="1:15">
      <c r="C85" s="42"/>
      <c r="H85" s="17"/>
    </row>
    <row r="86" spans="1:15">
      <c r="A86" s="4" t="str">
        <f>A41</f>
        <v>Hydrogen</v>
      </c>
      <c r="B86" s="19">
        <f>L86</f>
        <v>2.2500000000000003E-2</v>
      </c>
      <c r="C86" s="42"/>
      <c r="H86" s="17"/>
      <c r="L86" s="45">
        <f>L101/L41</f>
        <v>2.2500000000000003E-2</v>
      </c>
    </row>
    <row r="87" spans="1:15">
      <c r="A87" s="4" t="str">
        <f>A42</f>
        <v>Ethanol</v>
      </c>
      <c r="B87" s="19">
        <f>E87</f>
        <v>0.79149999999999998</v>
      </c>
      <c r="C87" s="42"/>
      <c r="E87" s="43">
        <f>K462/10^3</f>
        <v>0.79149999999999998</v>
      </c>
      <c r="F87" s="44">
        <f>F566</f>
        <v>0.79026217228464424</v>
      </c>
      <c r="H87" s="17"/>
      <c r="L87" s="45">
        <f>L102/L42</f>
        <v>0.78810408921933084</v>
      </c>
      <c r="N87" s="30">
        <f>10^-3*O736</f>
        <v>0.79400000000000004</v>
      </c>
    </row>
    <row r="88" spans="1:15">
      <c r="A88" s="4" t="str">
        <f>A43</f>
        <v>Biodiesel (FAME)</v>
      </c>
      <c r="B88" s="19">
        <f>E88</f>
        <v>0.88</v>
      </c>
      <c r="C88" s="42"/>
      <c r="D88" s="47">
        <f>C447/10^3</f>
        <v>0.92</v>
      </c>
      <c r="E88" s="43">
        <f>K463/10^3</f>
        <v>0.88</v>
      </c>
      <c r="F88" s="26">
        <f>F567</f>
        <v>0.88</v>
      </c>
      <c r="H88" s="17"/>
      <c r="L88" s="45">
        <f>L103/L43</f>
        <v>0.88</v>
      </c>
      <c r="N88" s="30">
        <f>10^-3*O737</f>
        <v>0.89</v>
      </c>
    </row>
    <row r="89" spans="1:15">
      <c r="A89" s="4" t="s">
        <v>47</v>
      </c>
      <c r="B89" s="19">
        <f>O89</f>
        <v>0.78500000000000003</v>
      </c>
      <c r="C89" s="33"/>
      <c r="E89" s="20"/>
      <c r="F89" s="20"/>
      <c r="G89" s="20"/>
      <c r="H89" s="20"/>
      <c r="I89" s="20"/>
      <c r="J89" s="20"/>
      <c r="K89" s="20"/>
      <c r="L89" s="20"/>
      <c r="M89" s="20"/>
      <c r="N89" s="20"/>
      <c r="O89" s="48">
        <f>G809/1000</f>
        <v>0.78500000000000003</v>
      </c>
    </row>
    <row r="90" spans="1:15">
      <c r="A90" s="4" t="str">
        <f>A45</f>
        <v xml:space="preserve">Residual fuel oil (bunker fuel) </v>
      </c>
      <c r="B90" s="40">
        <f>B$81</f>
        <v>0.83250000000000002</v>
      </c>
      <c r="C90" s="42"/>
      <c r="H90" s="17"/>
    </row>
    <row r="91" spans="1:15">
      <c r="A91" s="4" t="str">
        <f>A46</f>
        <v>Methanol</v>
      </c>
      <c r="B91" s="19">
        <f>L91</f>
        <v>0.79104477611940294</v>
      </c>
      <c r="C91" s="36"/>
      <c r="F91" s="26">
        <f>F570</f>
        <v>0.75</v>
      </c>
      <c r="H91" s="17"/>
      <c r="L91" s="45">
        <f>L106/L46</f>
        <v>0.79104477611940294</v>
      </c>
      <c r="N91" s="30">
        <f>10^-3*O739</f>
        <v>0.79300000000000004</v>
      </c>
    </row>
    <row r="92" spans="1:15">
      <c r="C92" s="36"/>
      <c r="D92" s="6"/>
      <c r="E92" s="6"/>
      <c r="F92" s="6"/>
      <c r="G92" s="17"/>
      <c r="H92" s="17"/>
    </row>
    <row r="93" spans="1:15">
      <c r="A93" s="23" t="s">
        <v>51</v>
      </c>
      <c r="C93" s="49"/>
      <c r="G93" s="17"/>
      <c r="H93" s="17"/>
    </row>
    <row r="94" spans="1:15">
      <c r="A94" s="23"/>
      <c r="C94" s="49"/>
      <c r="G94" s="17"/>
      <c r="H94" s="17"/>
    </row>
    <row r="95" spans="1:15">
      <c r="A95" s="4" t="str">
        <f>A80</f>
        <v>Gasoline</v>
      </c>
      <c r="B95" s="50">
        <f>B35*B80</f>
        <v>33.488</v>
      </c>
      <c r="C95" s="42"/>
      <c r="D95" s="51">
        <f>VALUE(LEFT(G420,4))</f>
        <v>34.200000000000003</v>
      </c>
      <c r="F95" s="26">
        <f>B564</f>
        <v>32</v>
      </c>
      <c r="H95" s="17"/>
      <c r="L95" s="29">
        <f>R663</f>
        <v>32.1</v>
      </c>
      <c r="N95" s="52">
        <f>Q729</f>
        <v>32.174999999999997</v>
      </c>
    </row>
    <row r="96" spans="1:15">
      <c r="A96" s="4" t="str">
        <f>A81</f>
        <v>Gas/diesel oil</v>
      </c>
      <c r="B96" s="50">
        <f>B36*B81</f>
        <v>36.072224999999996</v>
      </c>
      <c r="C96" s="42"/>
      <c r="F96" s="26">
        <f>B565</f>
        <v>36.4</v>
      </c>
      <c r="G96" s="17"/>
      <c r="H96" s="17"/>
      <c r="L96" s="29">
        <f>R664</f>
        <v>35.799999999999997</v>
      </c>
      <c r="N96" s="52">
        <f>Q730</f>
        <v>35.905000000000001</v>
      </c>
    </row>
    <row r="97" spans="1:15">
      <c r="A97" s="4" t="str">
        <f>A82</f>
        <v>Jet fuel (kerosene)</v>
      </c>
      <c r="B97" s="38">
        <f>B37*B82</f>
        <v>37.121175000000001</v>
      </c>
      <c r="C97" s="42"/>
      <c r="G97" s="17"/>
      <c r="H97" s="17"/>
      <c r="N97" s="50"/>
    </row>
    <row r="98" spans="1:15">
      <c r="A98" s="4" t="str">
        <f>A83</f>
        <v>Natural gas</v>
      </c>
      <c r="B98" s="50">
        <f>B38*B83</f>
        <v>8.3886000000000021</v>
      </c>
      <c r="C98" s="42"/>
      <c r="G98" s="17"/>
      <c r="H98" s="17"/>
      <c r="L98" s="53">
        <f>R666</f>
        <v>9.3000000000000007</v>
      </c>
      <c r="N98" s="50"/>
    </row>
    <row r="99" spans="1:15">
      <c r="A99" s="4" t="str">
        <f>A84</f>
        <v>LPG (60% propane, 40% butane)</v>
      </c>
      <c r="B99" s="50">
        <f>B39*B84</f>
        <v>26.351670000000002</v>
      </c>
      <c r="C99" s="42"/>
      <c r="D99" s="51">
        <f>VALUE(LEFT(G422,4))</f>
        <v>26.2</v>
      </c>
      <c r="G99" s="17"/>
      <c r="H99" s="17"/>
      <c r="L99" s="29">
        <f>R667</f>
        <v>23.3</v>
      </c>
      <c r="N99" s="52">
        <f>Q733</f>
        <v>25.3</v>
      </c>
    </row>
    <row r="100" spans="1:15">
      <c r="B100" s="50"/>
      <c r="C100" s="42"/>
      <c r="G100" s="17"/>
      <c r="H100" s="17"/>
      <c r="N100" s="50"/>
    </row>
    <row r="101" spans="1:15">
      <c r="A101" s="4" t="str">
        <f t="shared" ref="A101:A106" si="1">A86</f>
        <v>Hydrogen</v>
      </c>
      <c r="B101" s="50">
        <f>B41*B86</f>
        <v>2.7022500000000003</v>
      </c>
      <c r="C101" s="42"/>
      <c r="G101" s="17"/>
      <c r="H101" s="17"/>
      <c r="L101" s="29">
        <f>R669</f>
        <v>2.7</v>
      </c>
      <c r="N101" s="50"/>
    </row>
    <row r="102" spans="1:15">
      <c r="A102" s="4" t="str">
        <f t="shared" si="1"/>
        <v>Ethanol</v>
      </c>
      <c r="B102" s="50">
        <f>B42*B87</f>
        <v>21.133049999999997</v>
      </c>
      <c r="C102" s="42"/>
      <c r="F102" s="26">
        <f>B566</f>
        <v>21.1</v>
      </c>
      <c r="G102" s="17"/>
      <c r="H102" s="17"/>
      <c r="L102" s="29">
        <f>R670</f>
        <v>21.2</v>
      </c>
      <c r="N102" s="52">
        <f>Q736</f>
        <v>21.279199999999999</v>
      </c>
    </row>
    <row r="103" spans="1:15">
      <c r="A103" s="4" t="str">
        <f t="shared" si="1"/>
        <v>Biodiesel (FAME)</v>
      </c>
      <c r="B103" s="50">
        <f>B43*B88</f>
        <v>32.692</v>
      </c>
      <c r="C103" s="42"/>
      <c r="F103" s="54">
        <f>B567</f>
        <v>33.263999999999996</v>
      </c>
      <c r="G103" s="17"/>
      <c r="H103" s="17"/>
      <c r="L103" s="29">
        <f>R671</f>
        <v>33</v>
      </c>
      <c r="N103" s="52">
        <f>Q737</f>
        <v>32.751999999999995</v>
      </c>
    </row>
    <row r="104" spans="1:15">
      <c r="A104" s="4" t="str">
        <f t="shared" si="1"/>
        <v>Biodiesel (hydrogenated)</v>
      </c>
      <c r="B104" s="50">
        <f>B44*B89</f>
        <v>34.618500000000004</v>
      </c>
      <c r="C104" s="42"/>
      <c r="F104" s="55"/>
      <c r="G104" s="17"/>
      <c r="H104" s="17"/>
      <c r="I104" s="20"/>
      <c r="J104" s="20"/>
      <c r="K104" s="20"/>
      <c r="L104" s="20"/>
      <c r="M104" s="20"/>
      <c r="N104" s="55"/>
      <c r="O104" s="56">
        <f>O44*O89</f>
        <v>34.618500000000004</v>
      </c>
    </row>
    <row r="105" spans="1:15">
      <c r="A105" s="4" t="str">
        <f t="shared" si="1"/>
        <v xml:space="preserve">Residual fuel oil (bunker fuel) </v>
      </c>
      <c r="B105" s="50">
        <f>B45*B90</f>
        <v>33.458174999999997</v>
      </c>
      <c r="C105" s="42"/>
      <c r="G105" s="17"/>
      <c r="H105" s="17"/>
      <c r="N105" s="50"/>
    </row>
    <row r="106" spans="1:15">
      <c r="A106" s="4" t="str">
        <f t="shared" si="1"/>
        <v>Methanol</v>
      </c>
      <c r="B106" s="50">
        <f>L106</f>
        <v>15.9</v>
      </c>
      <c r="C106" s="36"/>
      <c r="G106" s="17"/>
      <c r="H106" s="17"/>
      <c r="L106" s="29">
        <f>R673</f>
        <v>15.9</v>
      </c>
      <c r="N106" s="52">
        <f>Q739</f>
        <v>15.7807</v>
      </c>
    </row>
    <row r="107" spans="1:15">
      <c r="A107" s="6"/>
      <c r="B107" s="50"/>
      <c r="C107" s="36"/>
      <c r="D107" s="6"/>
      <c r="E107" s="6"/>
      <c r="F107" s="17"/>
      <c r="G107" s="17"/>
      <c r="H107" s="17"/>
    </row>
    <row r="108" spans="1:15" s="24" customFormat="1">
      <c r="A108" s="23" t="s">
        <v>52</v>
      </c>
    </row>
    <row r="109" spans="1:15" s="24" customFormat="1">
      <c r="A109" s="23"/>
    </row>
    <row r="110" spans="1:15">
      <c r="A110" s="4" t="str">
        <f>A95</f>
        <v>Gasoline</v>
      </c>
      <c r="B110" s="57">
        <f>B95*B65</f>
        <v>34.908250000000002</v>
      </c>
      <c r="C110" s="31"/>
      <c r="F110" s="26">
        <f>D564</f>
        <v>35</v>
      </c>
      <c r="G110" s="37">
        <f>O333</f>
        <v>34.799999999999997</v>
      </c>
    </row>
    <row r="111" spans="1:15">
      <c r="A111" s="4" t="str">
        <f>A96</f>
        <v>Gas/diesel oil</v>
      </c>
      <c r="B111" s="57">
        <f>B96*B66</f>
        <v>38.211749999999995</v>
      </c>
      <c r="C111" s="31"/>
      <c r="D111" s="51">
        <f>H448</f>
        <v>45.7</v>
      </c>
      <c r="G111" s="37">
        <f>O334</f>
        <v>38.6</v>
      </c>
    </row>
    <row r="112" spans="1:15">
      <c r="A112" s="4" t="str">
        <f>A97</f>
        <v>Jet fuel (kerosene)</v>
      </c>
      <c r="B112" s="57">
        <f>B97*B67</f>
        <v>39.322915589660745</v>
      </c>
      <c r="C112" s="31"/>
      <c r="G112" s="37">
        <f>O335</f>
        <v>37.6</v>
      </c>
    </row>
    <row r="113" spans="1:8">
      <c r="A113" s="4" t="str">
        <f>A98</f>
        <v>Natural gas</v>
      </c>
      <c r="B113" s="57">
        <f>B98*B68</f>
        <v>10.230000000000002</v>
      </c>
      <c r="C113" s="31"/>
      <c r="G113" s="37">
        <f>O336</f>
        <v>25.3</v>
      </c>
    </row>
    <row r="114" spans="1:8">
      <c r="A114" s="4" t="str">
        <f>A99</f>
        <v>LPG (60% propane, 40% butane)</v>
      </c>
      <c r="B114" s="57">
        <f>B99*B69</f>
        <v>28.407</v>
      </c>
      <c r="C114" s="31"/>
      <c r="G114" s="37">
        <f>O337</f>
        <v>26.78</v>
      </c>
    </row>
    <row r="115" spans="1:8">
      <c r="B115" s="50"/>
      <c r="C115" s="33"/>
    </row>
    <row r="116" spans="1:8">
      <c r="A116" s="4" t="str">
        <f t="shared" ref="A116:A121" si="2">A101</f>
        <v>Hydrogen</v>
      </c>
      <c r="B116" s="57">
        <f>B101*B71</f>
        <v>3.1927500000000006</v>
      </c>
      <c r="C116" s="33"/>
    </row>
    <row r="117" spans="1:8">
      <c r="A117" s="4" t="str">
        <f t="shared" si="2"/>
        <v>Ethanol</v>
      </c>
      <c r="B117" s="57">
        <f>B102*B72</f>
        <v>23.586699999999997</v>
      </c>
      <c r="C117" s="33"/>
      <c r="G117" s="37">
        <f>O340</f>
        <v>23.5</v>
      </c>
    </row>
    <row r="118" spans="1:8">
      <c r="A118" s="4" t="str">
        <f t="shared" si="2"/>
        <v>Biodiesel (FAME)</v>
      </c>
      <c r="B118" s="57">
        <f>B103*B73</f>
        <v>35.112000000000002</v>
      </c>
      <c r="C118" s="33"/>
      <c r="D118" s="51">
        <f>H447</f>
        <v>41.2</v>
      </c>
      <c r="G118" s="37">
        <f>O341</f>
        <v>35.1</v>
      </c>
    </row>
    <row r="119" spans="1:8" s="20" customFormat="1">
      <c r="A119" s="4" t="str">
        <f t="shared" si="2"/>
        <v>Biodiesel (hydrogenated)</v>
      </c>
      <c r="B119" s="58"/>
      <c r="C119" s="33"/>
    </row>
    <row r="120" spans="1:8">
      <c r="A120" s="4" t="str">
        <f t="shared" si="2"/>
        <v xml:space="preserve">Residual fuel oil (bunker fuel) </v>
      </c>
      <c r="B120" s="57">
        <f>B105*B75</f>
        <v>35.442654800369255</v>
      </c>
      <c r="C120" s="31"/>
    </row>
    <row r="121" spans="1:8">
      <c r="A121" s="4" t="str">
        <f t="shared" si="2"/>
        <v>Methanol</v>
      </c>
      <c r="B121" s="57">
        <f>B106*B76</f>
        <v>25.946268656716413</v>
      </c>
      <c r="C121" s="36"/>
      <c r="G121" s="37">
        <f>O343</f>
        <v>17.899999999999999</v>
      </c>
    </row>
    <row r="122" spans="1:8">
      <c r="C122" s="36"/>
    </row>
    <row r="123" spans="1:8">
      <c r="C123" s="36"/>
    </row>
    <row r="124" spans="1:8">
      <c r="A124" s="23" t="str">
        <f>"Carbon emission factors ["&amp;J264&amp;"] or [g C/MJ]"</f>
        <v>Carbon emission factors [tC/TJ] or [g C/MJ]</v>
      </c>
      <c r="C124" s="42"/>
      <c r="E124" s="6"/>
      <c r="F124" s="17"/>
      <c r="G124" s="17"/>
      <c r="H124" s="17"/>
    </row>
    <row r="125" spans="1:8">
      <c r="A125" s="23"/>
      <c r="C125" s="42"/>
      <c r="E125" s="6"/>
      <c r="F125" s="17"/>
      <c r="G125" s="17"/>
      <c r="H125" s="17"/>
    </row>
    <row r="126" spans="1:8">
      <c r="A126" s="4" t="str">
        <f>A95</f>
        <v>Gasoline</v>
      </c>
      <c r="B126" s="4">
        <f>B141*12/44</f>
        <v>18.899999999999999</v>
      </c>
      <c r="C126" s="59">
        <f>J265</f>
        <v>18.899999999999999</v>
      </c>
      <c r="E126" s="6"/>
      <c r="F126" s="17"/>
      <c r="G126" s="17"/>
      <c r="H126" s="17"/>
    </row>
    <row r="127" spans="1:8">
      <c r="A127" s="4" t="str">
        <f>A96</f>
        <v>Gas/diesel oil</v>
      </c>
      <c r="B127" s="4">
        <f>B142*12/44</f>
        <v>20.2</v>
      </c>
      <c r="C127" s="59">
        <f>J266</f>
        <v>20.2</v>
      </c>
      <c r="E127" s="6"/>
      <c r="F127" s="17"/>
      <c r="G127" s="17"/>
      <c r="H127" s="17"/>
    </row>
    <row r="128" spans="1:8">
      <c r="A128" s="4" t="str">
        <f>A97</f>
        <v>Jet fuel (kerosene)</v>
      </c>
      <c r="B128" s="4">
        <f>B143*12/44</f>
        <v>19.5</v>
      </c>
      <c r="C128" s="59">
        <f>J267</f>
        <v>19.5</v>
      </c>
      <c r="E128" s="6"/>
      <c r="F128" s="17"/>
      <c r="G128" s="17"/>
      <c r="H128" s="17"/>
    </row>
    <row r="129" spans="1:13">
      <c r="A129" s="4" t="str">
        <f>A98</f>
        <v>Natural gas</v>
      </c>
      <c r="B129" s="4">
        <f>B144*12/44</f>
        <v>15.3</v>
      </c>
      <c r="C129" s="59">
        <f>J268</f>
        <v>15.3</v>
      </c>
      <c r="E129" s="6"/>
      <c r="F129" s="17"/>
      <c r="G129" s="17"/>
      <c r="H129" s="17"/>
    </row>
    <row r="130" spans="1:13">
      <c r="A130" s="4" t="str">
        <f>A99</f>
        <v>LPG (60% propane, 40% butane)</v>
      </c>
      <c r="B130" s="4">
        <f>B145*12/44</f>
        <v>17.2</v>
      </c>
      <c r="C130" s="59">
        <f>J269</f>
        <v>17.2</v>
      </c>
      <c r="E130" s="6"/>
      <c r="F130" s="17"/>
      <c r="G130" s="17"/>
      <c r="H130" s="17"/>
    </row>
    <row r="131" spans="1:13">
      <c r="C131" s="33"/>
      <c r="E131" s="6"/>
      <c r="F131" s="17"/>
      <c r="G131" s="17"/>
      <c r="H131" s="17"/>
    </row>
    <row r="132" spans="1:13">
      <c r="A132" s="4" t="str">
        <f>A101</f>
        <v>Hydrogen</v>
      </c>
      <c r="B132" s="4">
        <f>B147*12/44</f>
        <v>0</v>
      </c>
      <c r="C132" s="33"/>
      <c r="E132" s="6"/>
      <c r="F132" s="17"/>
      <c r="G132" s="17"/>
      <c r="H132" s="17"/>
    </row>
    <row r="133" spans="1:13">
      <c r="A133" s="4" t="str">
        <f>A102</f>
        <v>Ethanol</v>
      </c>
      <c r="B133" s="4">
        <f>B148*12/44</f>
        <v>19.024514811031665</v>
      </c>
      <c r="C133" s="33"/>
      <c r="E133" s="6"/>
      <c r="F133" s="17"/>
      <c r="G133" s="17"/>
      <c r="H133" s="17"/>
    </row>
    <row r="134" spans="1:13">
      <c r="A134" s="4" t="str">
        <f>A103</f>
        <v>Biodiesel (FAME)</v>
      </c>
      <c r="B134" s="4">
        <f>B149*12/44</f>
        <v>20.563636363636366</v>
      </c>
      <c r="C134" s="33"/>
      <c r="E134" s="6"/>
      <c r="F134" s="17"/>
      <c r="G134" s="17"/>
      <c r="H134" s="17"/>
    </row>
    <row r="135" spans="1:13">
      <c r="A135" s="4" t="str">
        <f>A120</f>
        <v xml:space="preserve">Residual fuel oil (bunker fuel) </v>
      </c>
      <c r="C135" s="33"/>
      <c r="E135" s="6"/>
      <c r="F135" s="17"/>
      <c r="G135" s="17"/>
      <c r="H135" s="17"/>
    </row>
    <row r="136" spans="1:13">
      <c r="A136" s="4" t="str">
        <f>A105</f>
        <v xml:space="preserve">Residual fuel oil (bunker fuel) </v>
      </c>
      <c r="B136" s="4">
        <f>B151*12/44</f>
        <v>21.1</v>
      </c>
      <c r="C136" s="59">
        <f>J274</f>
        <v>21.1</v>
      </c>
      <c r="E136" s="6"/>
      <c r="F136" s="17"/>
      <c r="G136" s="17"/>
      <c r="H136" s="17"/>
    </row>
    <row r="137" spans="1:13">
      <c r="A137" s="4" t="str">
        <f>A106</f>
        <v>Methanol</v>
      </c>
      <c r="B137" s="50">
        <f>B152*12/44</f>
        <v>16.233773474922067</v>
      </c>
      <c r="C137" s="6"/>
      <c r="D137" s="6"/>
      <c r="E137" s="6"/>
      <c r="F137" s="17"/>
      <c r="G137" s="17"/>
      <c r="H137" s="17"/>
    </row>
    <row r="138" spans="1:13">
      <c r="A138" s="6"/>
      <c r="C138" s="36"/>
      <c r="D138" s="17"/>
      <c r="E138" s="6"/>
      <c r="F138" s="17"/>
      <c r="G138" s="17"/>
      <c r="H138" s="17"/>
    </row>
    <row r="139" spans="1:13">
      <c r="A139" s="23" t="str">
        <f>"Carbon emission factors [g CO2/MJ] - LHV"</f>
        <v>Carbon emission factors [g CO2/MJ] - LHV</v>
      </c>
      <c r="C139" s="42"/>
      <c r="D139" s="17"/>
      <c r="E139" s="6"/>
      <c r="F139" s="17"/>
      <c r="G139" s="17"/>
      <c r="H139" s="17"/>
    </row>
    <row r="140" spans="1:13">
      <c r="A140" s="23"/>
      <c r="C140" s="42"/>
      <c r="D140" s="17"/>
      <c r="E140" s="6"/>
      <c r="F140" s="17"/>
      <c r="G140" s="17"/>
      <c r="H140" s="17"/>
    </row>
    <row r="141" spans="1:13">
      <c r="A141" s="4" t="str">
        <f>A126</f>
        <v>Gasoline</v>
      </c>
      <c r="B141" s="19">
        <f>C141</f>
        <v>69.3</v>
      </c>
      <c r="C141" s="60">
        <f>C126*44/12</f>
        <v>69.3</v>
      </c>
      <c r="D141" s="17"/>
      <c r="E141" s="6"/>
      <c r="F141" s="17"/>
      <c r="G141" s="17"/>
      <c r="H141" s="17"/>
      <c r="I141" s="50"/>
      <c r="M141" s="61">
        <f>H703</f>
        <v>67.184834123222757</v>
      </c>
    </row>
    <row r="142" spans="1:13">
      <c r="A142" s="4" t="str">
        <f>A127</f>
        <v>Gas/diesel oil</v>
      </c>
      <c r="B142" s="19">
        <f>C142</f>
        <v>74.066666666666663</v>
      </c>
      <c r="C142" s="60">
        <f>C127*44/12</f>
        <v>74.066666666666663</v>
      </c>
      <c r="D142" s="17"/>
      <c r="E142" s="6"/>
      <c r="F142" s="17"/>
      <c r="G142" s="50"/>
      <c r="H142" s="50"/>
      <c r="M142" s="61">
        <f>H704</f>
        <v>67.184834123222757</v>
      </c>
    </row>
    <row r="143" spans="1:13">
      <c r="A143" s="4" t="str">
        <f>A128</f>
        <v>Jet fuel (kerosene)</v>
      </c>
      <c r="B143" s="19">
        <f>C143</f>
        <v>71.5</v>
      </c>
      <c r="C143" s="60">
        <f>C128*44/12</f>
        <v>71.5</v>
      </c>
      <c r="D143" s="17"/>
      <c r="E143" s="6"/>
      <c r="F143" s="17"/>
      <c r="M143" s="61">
        <f>H704</f>
        <v>67.184834123222757</v>
      </c>
    </row>
    <row r="144" spans="1:13">
      <c r="A144" s="4" t="str">
        <f>A129</f>
        <v>Natural gas</v>
      </c>
      <c r="B144" s="19">
        <f>C144</f>
        <v>56.1</v>
      </c>
      <c r="C144" s="60">
        <f>C129*44/12</f>
        <v>56.1</v>
      </c>
      <c r="D144" s="17"/>
      <c r="E144" s="6"/>
      <c r="F144" s="17"/>
      <c r="G144" s="50"/>
      <c r="H144" s="17"/>
      <c r="M144" s="61">
        <f>H705</f>
        <v>50.293838862559248</v>
      </c>
    </row>
    <row r="145" spans="1:13">
      <c r="A145" s="4" t="str">
        <f>A130</f>
        <v>LPG (60% propane, 40% butane)</v>
      </c>
      <c r="B145" s="19">
        <f>C145</f>
        <v>63.066666666666663</v>
      </c>
      <c r="C145" s="60">
        <f>C130*44/12</f>
        <v>63.066666666666663</v>
      </c>
      <c r="D145" s="17"/>
      <c r="E145" s="6"/>
      <c r="F145" s="17"/>
      <c r="G145" s="50"/>
      <c r="H145" s="17"/>
    </row>
    <row r="146" spans="1:13">
      <c r="C146" s="33"/>
      <c r="D146" s="17"/>
      <c r="E146" s="6"/>
      <c r="F146" s="17"/>
    </row>
    <row r="147" spans="1:13">
      <c r="A147" s="4" t="str">
        <f t="shared" ref="A147:A152" si="3">A132</f>
        <v>Hydrogen</v>
      </c>
      <c r="B147" s="39"/>
      <c r="C147" s="33"/>
      <c r="D147" s="17"/>
      <c r="E147" s="6"/>
      <c r="F147" s="17"/>
      <c r="G147" s="50"/>
      <c r="H147" s="17"/>
    </row>
    <row r="148" spans="1:13">
      <c r="A148" s="4" t="str">
        <f t="shared" si="3"/>
        <v>Ethanol</v>
      </c>
      <c r="B148" s="39">
        <f>B163/B102*B117</f>
        <v>69.756554307116104</v>
      </c>
      <c r="C148" s="33"/>
      <c r="D148" s="17"/>
      <c r="E148" s="6"/>
      <c r="F148" s="17"/>
      <c r="G148" s="50"/>
      <c r="H148" s="50"/>
    </row>
    <row r="149" spans="1:13">
      <c r="A149" s="4" t="str">
        <f t="shared" si="3"/>
        <v>Biodiesel (FAME)</v>
      </c>
      <c r="B149" s="39">
        <f>$S$845</f>
        <v>75.400000000000006</v>
      </c>
      <c r="C149" s="33"/>
      <c r="D149" s="17"/>
      <c r="E149" s="6"/>
      <c r="F149" s="17"/>
      <c r="G149" s="50"/>
      <c r="H149" s="17"/>
    </row>
    <row r="150" spans="1:13">
      <c r="A150" s="4" t="str">
        <f t="shared" si="3"/>
        <v xml:space="preserve">Residual fuel oil (bunker fuel) </v>
      </c>
      <c r="B150" s="39"/>
      <c r="C150" s="33"/>
      <c r="D150" s="17"/>
      <c r="E150" s="6"/>
      <c r="F150" s="17"/>
      <c r="G150" s="50"/>
      <c r="H150" s="17"/>
    </row>
    <row r="151" spans="1:13">
      <c r="A151" s="4" t="str">
        <f t="shared" si="3"/>
        <v xml:space="preserve">Residual fuel oil (bunker fuel) </v>
      </c>
      <c r="B151" s="19">
        <f>C151</f>
        <v>77.366666666666674</v>
      </c>
      <c r="C151" s="60">
        <f>C136*44/12</f>
        <v>77.366666666666674</v>
      </c>
      <c r="D151" s="17"/>
      <c r="E151" s="6"/>
      <c r="F151" s="17"/>
      <c r="G151" s="17"/>
      <c r="H151" s="17"/>
      <c r="M151" s="61">
        <f>H707</f>
        <v>74.691943127962077</v>
      </c>
    </row>
    <row r="152" spans="1:13">
      <c r="A152" s="4" t="str">
        <f t="shared" si="3"/>
        <v>Methanol</v>
      </c>
      <c r="B152" s="62">
        <f>M152</f>
        <v>59.523836074714254</v>
      </c>
      <c r="C152" s="36"/>
      <c r="D152" s="17"/>
      <c r="E152" s="6"/>
      <c r="F152" s="17"/>
      <c r="G152" s="17"/>
      <c r="H152" s="17"/>
      <c r="M152" s="61">
        <f>(H702-M141*(1-0.85))/0.85</f>
        <v>59.523836074714254</v>
      </c>
    </row>
    <row r="153" spans="1:13">
      <c r="A153" s="6"/>
      <c r="C153" s="33"/>
      <c r="D153" s="17"/>
      <c r="E153" s="6"/>
      <c r="F153" s="17"/>
      <c r="G153" s="17"/>
      <c r="H153" s="17"/>
    </row>
    <row r="154" spans="1:13">
      <c r="A154" s="23" t="str">
        <f>"Carbon emission factors [g CO2/MJ] - HHV"</f>
        <v>Carbon emission factors [g CO2/MJ] - HHV</v>
      </c>
      <c r="C154" s="42"/>
      <c r="D154" s="17"/>
      <c r="E154" s="6"/>
      <c r="F154" s="17"/>
      <c r="G154" s="17"/>
      <c r="H154" s="17"/>
    </row>
    <row r="155" spans="1:13">
      <c r="A155" s="23"/>
      <c r="C155" s="42"/>
      <c r="D155" s="17"/>
      <c r="E155" s="6"/>
      <c r="F155" s="17"/>
      <c r="G155" s="17"/>
      <c r="H155" s="17"/>
    </row>
    <row r="156" spans="1:13">
      <c r="A156" s="4" t="str">
        <f>A141</f>
        <v>Gasoline</v>
      </c>
      <c r="B156" s="57">
        <f>B141*B95/B110</f>
        <v>66.480513918629541</v>
      </c>
      <c r="C156" s="17"/>
      <c r="D156" s="17"/>
      <c r="E156" s="6"/>
      <c r="F156" s="17"/>
      <c r="G156" s="17"/>
      <c r="H156" s="17"/>
      <c r="I156" s="50"/>
    </row>
    <row r="157" spans="1:13">
      <c r="A157" s="4" t="str">
        <f>A142</f>
        <v>Gas/diesel oil</v>
      </c>
      <c r="B157" s="57">
        <f>B142*B96/B111</f>
        <v>69.919578794480742</v>
      </c>
      <c r="C157" s="17"/>
      <c r="D157" s="17"/>
      <c r="E157" s="6"/>
      <c r="F157" s="17"/>
      <c r="G157" s="50"/>
      <c r="H157" s="50"/>
      <c r="I157" s="63">
        <f>R591</f>
        <v>69.7</v>
      </c>
    </row>
    <row r="158" spans="1:13">
      <c r="A158" s="4" t="str">
        <f>A143</f>
        <v>Jet fuel (kerosene)</v>
      </c>
      <c r="B158" s="57">
        <f>B143*B97/B112</f>
        <v>67.496623093681904</v>
      </c>
      <c r="C158" s="17"/>
      <c r="D158" s="17"/>
      <c r="E158" s="6"/>
      <c r="F158" s="17"/>
    </row>
    <row r="159" spans="1:13">
      <c r="A159" s="4" t="str">
        <f>A144</f>
        <v>Natural gas</v>
      </c>
      <c r="B159" s="57">
        <f>B144*B98/B113</f>
        <v>46.002000000000002</v>
      </c>
      <c r="C159" s="17"/>
      <c r="D159" s="17"/>
      <c r="E159" s="6"/>
      <c r="F159" s="17"/>
      <c r="G159" s="50"/>
      <c r="H159" s="17"/>
      <c r="I159" s="63">
        <f>R594</f>
        <v>54.4</v>
      </c>
    </row>
    <row r="160" spans="1:13">
      <c r="A160" s="4" t="str">
        <f>A145</f>
        <v>LPG (60% propane, 40% butane)</v>
      </c>
      <c r="B160" s="57">
        <f>B145*B99/B114</f>
        <v>58.50360784313726</v>
      </c>
      <c r="C160" s="17"/>
      <c r="D160" s="17"/>
      <c r="E160" s="6"/>
      <c r="F160" s="17"/>
      <c r="G160" s="50"/>
      <c r="H160" s="17"/>
      <c r="I160" s="63">
        <f>R595</f>
        <v>59.4</v>
      </c>
    </row>
    <row r="161" spans="1:9">
      <c r="B161" s="64"/>
      <c r="C161" s="17"/>
      <c r="D161" s="17"/>
      <c r="E161" s="6"/>
      <c r="F161" s="17"/>
    </row>
    <row r="162" spans="1:9">
      <c r="A162" s="4" t="str">
        <f t="shared" ref="A162:A167" si="4">A147</f>
        <v>Hydrogen</v>
      </c>
      <c r="B162" s="57">
        <f>B147*B101/B116</f>
        <v>0</v>
      </c>
      <c r="C162" s="17"/>
      <c r="D162" s="17"/>
      <c r="E162" s="6"/>
      <c r="F162" s="17"/>
      <c r="G162" s="50"/>
      <c r="H162" s="17"/>
    </row>
    <row r="163" spans="1:9">
      <c r="A163" s="4" t="str">
        <f t="shared" si="4"/>
        <v>Ethanol</v>
      </c>
      <c r="B163" s="50">
        <f>I163</f>
        <v>62.5</v>
      </c>
      <c r="C163" s="17"/>
      <c r="D163" s="17"/>
      <c r="E163" s="6"/>
      <c r="F163" s="17"/>
      <c r="G163" s="50"/>
      <c r="H163" s="50"/>
      <c r="I163" s="63">
        <f>R592</f>
        <v>62.5</v>
      </c>
    </row>
    <row r="164" spans="1:9">
      <c r="A164" s="4" t="str">
        <f t="shared" si="4"/>
        <v>Biodiesel (FAME)</v>
      </c>
      <c r="B164" s="50">
        <f>B43/B58*B149</f>
        <v>70.203258145363407</v>
      </c>
      <c r="C164" s="17"/>
      <c r="D164" s="17"/>
      <c r="E164" s="6"/>
      <c r="F164" s="17"/>
      <c r="G164" s="50"/>
      <c r="H164" s="17"/>
      <c r="I164" s="63">
        <f>R593</f>
        <v>89</v>
      </c>
    </row>
    <row r="165" spans="1:9">
      <c r="A165" s="4" t="str">
        <f t="shared" si="4"/>
        <v xml:space="preserve">Residual fuel oil (bunker fuel) </v>
      </c>
      <c r="B165" s="50"/>
      <c r="C165" s="17"/>
      <c r="D165" s="17"/>
      <c r="E165" s="6"/>
      <c r="F165" s="17"/>
      <c r="G165" s="50"/>
      <c r="H165" s="17"/>
      <c r="I165" s="63"/>
    </row>
    <row r="166" spans="1:9">
      <c r="A166" s="4" t="str">
        <f t="shared" si="4"/>
        <v xml:space="preserve">Residual fuel oil (bunker fuel) </v>
      </c>
      <c r="B166" s="57">
        <f>B151*B105/B120</f>
        <v>73.03480755265069</v>
      </c>
      <c r="C166" s="17"/>
      <c r="D166" s="17"/>
      <c r="E166" s="6"/>
      <c r="F166" s="17"/>
      <c r="G166" s="17"/>
      <c r="H166" s="17"/>
    </row>
    <row r="167" spans="1:9">
      <c r="A167" s="4" t="str">
        <f t="shared" si="4"/>
        <v>Methanol</v>
      </c>
      <c r="B167" s="57">
        <f>B152*B106/B121</f>
        <v>36.476497106760874</v>
      </c>
      <c r="C167" s="36"/>
      <c r="D167" s="17"/>
      <c r="E167" s="6"/>
      <c r="F167" s="17"/>
      <c r="G167" s="17"/>
      <c r="H167" s="17"/>
    </row>
    <row r="168" spans="1:9">
      <c r="A168" s="6"/>
      <c r="C168" s="33"/>
      <c r="D168" s="17"/>
      <c r="E168" s="6"/>
      <c r="F168" s="17"/>
      <c r="G168" s="17"/>
      <c r="H168" s="17"/>
    </row>
    <row r="169" spans="1:9">
      <c r="A169" s="23" t="str">
        <f>"Carbon emission factors [kg CO2/lge] - LHV"</f>
        <v>Carbon emission factors [kg CO2/lge] - LHV</v>
      </c>
      <c r="C169" s="33"/>
      <c r="D169" s="17"/>
      <c r="E169" s="6"/>
      <c r="F169" s="17"/>
      <c r="G169" s="17"/>
      <c r="H169" s="17"/>
    </row>
    <row r="170" spans="1:9">
      <c r="A170" s="23"/>
      <c r="C170" s="33"/>
      <c r="D170" s="17"/>
      <c r="E170" s="6"/>
      <c r="F170" s="17"/>
      <c r="G170" s="17"/>
      <c r="H170" s="17"/>
    </row>
    <row r="171" spans="1:9">
      <c r="A171" s="4" t="str">
        <f>A141</f>
        <v>Gasoline</v>
      </c>
      <c r="B171" s="39">
        <f>B141*B$95/10^3</f>
        <v>2.3207183999999996</v>
      </c>
      <c r="C171" s="60">
        <f>C141*($C$17/10^3)</f>
        <v>2.3207183999999996</v>
      </c>
      <c r="D171" s="17"/>
      <c r="E171" s="6"/>
      <c r="F171" s="17"/>
      <c r="G171" s="17"/>
      <c r="H171" s="17"/>
    </row>
    <row r="172" spans="1:9">
      <c r="A172" s="4" t="str">
        <f>A142</f>
        <v>Gas/diesel oil</v>
      </c>
      <c r="B172" s="39">
        <f>B142*B$95/10^3</f>
        <v>2.4803445333333332</v>
      </c>
      <c r="C172" s="60">
        <f>C142*($C$17/10^3)</f>
        <v>2.4803445333333332</v>
      </c>
      <c r="D172" s="17"/>
      <c r="E172" s="6"/>
      <c r="F172" s="17"/>
      <c r="G172" s="17"/>
      <c r="H172" s="17"/>
    </row>
    <row r="173" spans="1:9">
      <c r="A173" s="4" t="str">
        <f>A143</f>
        <v>Jet fuel (kerosene)</v>
      </c>
      <c r="B173" s="39">
        <f>B143*B$95/10^3</f>
        <v>2.3943919999999999</v>
      </c>
      <c r="C173" s="60">
        <f>C143*($C$17/10^3)</f>
        <v>2.3943919999999999</v>
      </c>
      <c r="D173" s="17"/>
      <c r="E173" s="6"/>
      <c r="F173" s="17"/>
      <c r="G173" s="17"/>
      <c r="H173" s="17"/>
    </row>
    <row r="174" spans="1:9">
      <c r="A174" s="4" t="str">
        <f>A144</f>
        <v>Natural gas</v>
      </c>
      <c r="B174" s="39">
        <f>B144*B$95/10^3</f>
        <v>1.8786768</v>
      </c>
      <c r="C174" s="60">
        <f>C144*($C$17/10^3)</f>
        <v>1.8786767999999998</v>
      </c>
      <c r="D174" s="17"/>
      <c r="E174" s="6"/>
      <c r="F174" s="17"/>
      <c r="G174" s="17"/>
      <c r="H174" s="17"/>
    </row>
    <row r="175" spans="1:9">
      <c r="A175" s="4" t="str">
        <f>A145</f>
        <v>LPG (60% propane, 40% butane)</v>
      </c>
      <c r="B175" s="39">
        <f>B145*B$95/10^3</f>
        <v>2.1119765333333329</v>
      </c>
      <c r="C175" s="60">
        <f>C145*($C$17/10^3)</f>
        <v>2.1119765333333329</v>
      </c>
      <c r="D175" s="17"/>
      <c r="E175" s="6"/>
      <c r="F175" s="17"/>
      <c r="G175" s="17"/>
      <c r="H175" s="17"/>
    </row>
    <row r="176" spans="1:9">
      <c r="B176" s="19"/>
      <c r="C176" s="33"/>
      <c r="D176" s="6"/>
      <c r="E176" s="6"/>
      <c r="F176" s="17"/>
      <c r="G176" s="17"/>
      <c r="H176" s="17"/>
    </row>
    <row r="177" spans="1:8">
      <c r="A177" s="4" t="str">
        <f>A147</f>
        <v>Hydrogen</v>
      </c>
      <c r="B177" s="39">
        <f>B147*B$95/10^3</f>
        <v>0</v>
      </c>
      <c r="C177" s="33"/>
      <c r="D177" s="6"/>
      <c r="E177" s="6"/>
      <c r="F177" s="17"/>
      <c r="G177" s="17"/>
      <c r="H177" s="17"/>
    </row>
    <row r="178" spans="1:8">
      <c r="A178" s="4" t="str">
        <f>A148</f>
        <v>Ethanol</v>
      </c>
      <c r="B178" s="39">
        <f>B148*B$95/10^3</f>
        <v>2.3360074906367041</v>
      </c>
      <c r="C178" s="33"/>
      <c r="D178" s="6"/>
      <c r="E178" s="6"/>
      <c r="F178" s="17"/>
      <c r="G178" s="17"/>
      <c r="H178" s="17"/>
    </row>
    <row r="179" spans="1:8">
      <c r="A179" s="4" t="str">
        <f>A149</f>
        <v>Biodiesel (FAME)</v>
      </c>
      <c r="B179" s="39">
        <f>B149*B$95/10^3</f>
        <v>2.5249952000000002</v>
      </c>
      <c r="C179" s="33"/>
      <c r="D179" s="6"/>
      <c r="E179" s="6"/>
      <c r="F179" s="6"/>
      <c r="G179" s="17"/>
      <c r="H179" s="17"/>
    </row>
    <row r="180" spans="1:8">
      <c r="A180" s="4" t="str">
        <f>A165</f>
        <v xml:space="preserve">Residual fuel oil (bunker fuel) </v>
      </c>
      <c r="B180" s="39"/>
      <c r="C180" s="33"/>
      <c r="D180" s="6"/>
      <c r="E180" s="6"/>
      <c r="F180" s="6"/>
      <c r="G180" s="17"/>
      <c r="H180" s="17"/>
    </row>
    <row r="181" spans="1:8">
      <c r="A181" s="4" t="str">
        <f>A151</f>
        <v xml:space="preserve">Residual fuel oil (bunker fuel) </v>
      </c>
      <c r="B181" s="39">
        <f>B151*B$95/10^3</f>
        <v>2.5908549333333335</v>
      </c>
      <c r="C181" s="60">
        <f>C151*($C$17/10^3)</f>
        <v>2.5908549333333335</v>
      </c>
      <c r="D181" s="6"/>
      <c r="E181" s="6"/>
      <c r="F181" s="6"/>
      <c r="G181" s="6"/>
      <c r="H181" s="17"/>
    </row>
    <row r="182" spans="1:8">
      <c r="A182" s="4" t="str">
        <f>A152</f>
        <v>Methanol</v>
      </c>
      <c r="B182" s="39">
        <f>B152*B$95/10^3</f>
        <v>1.993334222470031</v>
      </c>
      <c r="C182" s="62"/>
      <c r="D182" s="6"/>
      <c r="E182" s="6"/>
      <c r="F182" s="6"/>
      <c r="G182" s="6"/>
      <c r="H182" s="17"/>
    </row>
    <row r="183" spans="1:8">
      <c r="B183" s="6"/>
      <c r="C183" s="6"/>
      <c r="D183" s="6"/>
      <c r="E183" s="6"/>
      <c r="F183" s="6"/>
      <c r="G183" s="6"/>
      <c r="H183" s="17"/>
    </row>
    <row r="184" spans="1:8">
      <c r="A184" s="23" t="str">
        <f>"Carbon emission factors [kg CO2/l]"</f>
        <v>Carbon emission factors [kg CO2/l]</v>
      </c>
      <c r="C184" s="33"/>
      <c r="D184" s="6"/>
      <c r="E184" s="6"/>
      <c r="F184" s="6"/>
      <c r="G184" s="6"/>
      <c r="H184" s="17"/>
    </row>
    <row r="185" spans="1:8">
      <c r="A185" s="23"/>
      <c r="C185" s="33"/>
      <c r="D185" s="6"/>
      <c r="E185" s="6"/>
      <c r="F185" s="6"/>
      <c r="G185" s="6"/>
      <c r="H185" s="17"/>
    </row>
    <row r="186" spans="1:8">
      <c r="A186" s="4" t="str">
        <f>A171</f>
        <v>Gasoline</v>
      </c>
      <c r="B186" s="19">
        <f>B171</f>
        <v>2.3207183999999996</v>
      </c>
      <c r="C186" s="62"/>
      <c r="D186" s="6"/>
      <c r="E186" s="6"/>
      <c r="F186" s="6"/>
      <c r="G186" s="6"/>
      <c r="H186" s="65">
        <v>2.37</v>
      </c>
    </row>
    <row r="187" spans="1:8">
      <c r="A187" s="4" t="str">
        <f>A172</f>
        <v>Gas/diesel oil</v>
      </c>
      <c r="B187" s="19">
        <f>B172/B$95*B96</f>
        <v>2.6717494649999991</v>
      </c>
      <c r="C187" s="62"/>
      <c r="D187" s="6"/>
      <c r="E187" s="6"/>
      <c r="F187" s="6"/>
      <c r="G187" s="6"/>
      <c r="H187" s="65">
        <v>2.66</v>
      </c>
    </row>
    <row r="188" spans="1:8">
      <c r="A188" s="4" t="str">
        <f>A173</f>
        <v>Jet fuel (kerosene)</v>
      </c>
      <c r="B188" s="19">
        <f>B173/B$95*B97</f>
        <v>2.6541640124999999</v>
      </c>
      <c r="C188" s="62"/>
      <c r="D188" s="6"/>
      <c r="E188" s="6"/>
      <c r="F188" s="6"/>
      <c r="G188" s="6"/>
      <c r="H188" s="17"/>
    </row>
    <row r="189" spans="1:8">
      <c r="A189" s="4" t="str">
        <f>A174</f>
        <v>Natural gas</v>
      </c>
      <c r="B189" s="19">
        <f>B174/B$95*B98</f>
        <v>0.47060046000000016</v>
      </c>
      <c r="C189" s="62"/>
      <c r="D189" s="6"/>
      <c r="E189" s="6"/>
      <c r="F189" s="6"/>
      <c r="G189" s="6"/>
      <c r="H189" s="17"/>
    </row>
    <row r="190" spans="1:8">
      <c r="A190" s="4" t="str">
        <f>A175</f>
        <v>LPG (60% propane, 40% butane)</v>
      </c>
      <c r="B190" s="19">
        <f>B175/B$95*B99</f>
        <v>1.661911988</v>
      </c>
      <c r="C190" s="62"/>
      <c r="D190" s="6"/>
      <c r="E190" s="6"/>
      <c r="F190" s="6"/>
      <c r="G190" s="6"/>
      <c r="H190" s="17"/>
    </row>
    <row r="191" spans="1:8">
      <c r="C191" s="33"/>
      <c r="D191" s="6"/>
      <c r="E191" s="6"/>
      <c r="F191" s="6"/>
      <c r="G191" s="6"/>
      <c r="H191" s="17"/>
    </row>
    <row r="192" spans="1:8">
      <c r="A192" s="4" t="str">
        <f t="shared" ref="A192:A197" si="5">A177</f>
        <v>Hydrogen</v>
      </c>
      <c r="B192" s="19">
        <f>B177/B$95*B101</f>
        <v>0</v>
      </c>
      <c r="C192" s="33"/>
      <c r="D192" s="6"/>
      <c r="E192" s="6"/>
      <c r="F192" s="6"/>
      <c r="G192" s="6"/>
      <c r="H192" s="17"/>
    </row>
    <row r="193" spans="1:8">
      <c r="A193" s="4" t="str">
        <f t="shared" si="5"/>
        <v>Ethanol</v>
      </c>
      <c r="B193" s="19">
        <f>B178/B$95*B102</f>
        <v>1.4741687499999998</v>
      </c>
      <c r="C193" s="33"/>
      <c r="D193" s="6"/>
      <c r="E193" s="6"/>
      <c r="F193" s="6"/>
      <c r="G193" s="6"/>
      <c r="H193" s="17"/>
    </row>
    <row r="194" spans="1:8">
      <c r="A194" s="4" t="str">
        <f t="shared" si="5"/>
        <v>Biodiesel (FAME)</v>
      </c>
      <c r="B194" s="19">
        <f>B179/B$95*B103</f>
        <v>2.4649768000000001</v>
      </c>
      <c r="C194" s="33"/>
      <c r="D194" s="6"/>
      <c r="E194" s="6"/>
      <c r="F194" s="6"/>
      <c r="G194" s="6"/>
      <c r="H194" s="17"/>
    </row>
    <row r="195" spans="1:8">
      <c r="A195" s="4" t="str">
        <f t="shared" si="5"/>
        <v xml:space="preserve">Residual fuel oil (bunker fuel) </v>
      </c>
      <c r="B195" s="39"/>
      <c r="C195" s="33"/>
      <c r="D195" s="6"/>
      <c r="E195" s="6"/>
      <c r="F195" s="6"/>
      <c r="G195" s="17"/>
      <c r="H195" s="17"/>
    </row>
    <row r="196" spans="1:8">
      <c r="A196" s="4" t="str">
        <f t="shared" si="5"/>
        <v xml:space="preserve">Residual fuel oil (bunker fuel) </v>
      </c>
      <c r="B196" s="19">
        <f>B181/B$95*B105</f>
        <v>2.5885474724999997</v>
      </c>
      <c r="C196" s="62"/>
      <c r="D196" s="6"/>
      <c r="E196" s="6"/>
      <c r="F196" s="6"/>
      <c r="G196" s="6"/>
      <c r="H196" s="17"/>
    </row>
    <row r="197" spans="1:8">
      <c r="A197" s="4" t="str">
        <f t="shared" si="5"/>
        <v>Methanol</v>
      </c>
      <c r="B197" s="19">
        <f>B182/B$95*B106</f>
        <v>0.94642899358795674</v>
      </c>
      <c r="C197" s="62"/>
      <c r="D197" s="6"/>
      <c r="E197" s="6"/>
      <c r="F197" s="6"/>
      <c r="G197" s="6"/>
      <c r="H197" s="17"/>
    </row>
    <row r="198" spans="1:8">
      <c r="B198" s="6"/>
      <c r="C198" s="6"/>
      <c r="D198" s="6"/>
      <c r="E198" s="6"/>
      <c r="F198" s="6"/>
      <c r="G198" s="6"/>
      <c r="H198" s="17"/>
    </row>
    <row r="199" spans="1:8">
      <c r="A199" s="66" t="str">
        <f>A212</f>
        <v>IEA CO2 book, using IPCC</v>
      </c>
      <c r="B199" s="67"/>
      <c r="C199" s="67"/>
      <c r="D199" s="67"/>
      <c r="E199" s="6"/>
      <c r="F199" s="6"/>
      <c r="G199" s="6"/>
      <c r="H199" s="17"/>
    </row>
    <row r="200" spans="1:8">
      <c r="A200" s="51" t="str">
        <f>A408</f>
        <v>Woodgas.com</v>
      </c>
      <c r="B200" s="68"/>
      <c r="C200" s="68"/>
      <c r="D200" s="68"/>
      <c r="E200" s="6"/>
      <c r="F200" s="6"/>
      <c r="G200" s="6"/>
      <c r="H200" s="17"/>
    </row>
    <row r="201" spans="1:8">
      <c r="A201" s="69" t="str">
        <f>A452</f>
        <v>Worldwide automotive fuel specifications</v>
      </c>
      <c r="B201" s="70"/>
      <c r="C201" s="70"/>
      <c r="D201" s="70"/>
      <c r="E201" s="6"/>
      <c r="F201" s="6"/>
      <c r="G201" s="6"/>
      <c r="H201" s="17"/>
    </row>
    <row r="202" spans="1:8">
      <c r="A202" s="26" t="s">
        <v>53</v>
      </c>
      <c r="B202" s="71"/>
      <c r="C202" s="71"/>
      <c r="D202" s="71"/>
      <c r="E202" s="6"/>
      <c r="F202" s="6"/>
      <c r="G202" s="6"/>
      <c r="H202" s="17"/>
    </row>
    <row r="203" spans="1:8">
      <c r="A203" s="37" t="str">
        <f>A327&amp;" ("&amp;A328&amp;")"</f>
        <v>Wikipedia 1 (http://en.wikipedia.org/wiki/Fuel_efficiency)</v>
      </c>
      <c r="B203" s="72"/>
      <c r="C203" s="72"/>
      <c r="D203" s="72"/>
      <c r="E203" s="6"/>
      <c r="F203" s="6"/>
      <c r="G203" s="6"/>
      <c r="H203" s="17"/>
    </row>
    <row r="204" spans="1:8">
      <c r="A204" s="65" t="s">
        <v>54</v>
      </c>
      <c r="B204" s="65"/>
      <c r="C204" s="65"/>
      <c r="D204" s="65"/>
      <c r="E204" s="6"/>
      <c r="F204" s="6"/>
      <c r="G204" s="6"/>
      <c r="H204" s="17"/>
    </row>
    <row r="205" spans="1:8">
      <c r="A205" s="32" t="str">
        <f>A400</f>
        <v>LPG fuel</v>
      </c>
      <c r="B205" s="32"/>
      <c r="C205" s="32"/>
      <c r="D205" s="32"/>
    </row>
    <row r="206" spans="1:8">
      <c r="A206" s="73" t="str">
        <f>A577</f>
        <v>Environment Ministry, Australia</v>
      </c>
      <c r="B206" s="73"/>
      <c r="C206" s="73"/>
      <c r="D206" s="73"/>
    </row>
    <row r="207" spans="1:8">
      <c r="A207" s="27" t="str">
        <f>A640</f>
        <v>European fuel cell forum</v>
      </c>
      <c r="B207" s="27"/>
      <c r="C207" s="27"/>
      <c r="D207" s="27"/>
    </row>
    <row r="208" spans="1:8">
      <c r="A208" s="28" t="str">
        <f>A357&amp;" ("&amp;A358&amp;")"</f>
        <v>Wikipedia 2 (http://en.wikipedia.org/wiki/Heat_of_combustion)</v>
      </c>
      <c r="B208" s="28"/>
      <c r="C208" s="28"/>
      <c r="D208" s="28"/>
    </row>
    <row r="209" spans="1:10">
      <c r="A209" s="29" t="str">
        <f>A660</f>
        <v>MIT Energy Club</v>
      </c>
      <c r="B209" s="29"/>
      <c r="C209" s="29"/>
      <c r="D209" s="29"/>
    </row>
    <row r="210" spans="1:10">
      <c r="A210" s="74" t="s">
        <v>55</v>
      </c>
      <c r="B210" s="74"/>
      <c r="C210" s="74"/>
      <c r="D210" s="74"/>
    </row>
    <row r="211" spans="1:10" s="20" customFormat="1"/>
    <row r="212" spans="1:10">
      <c r="A212" s="21" t="s">
        <v>56</v>
      </c>
    </row>
    <row r="216" spans="1:10">
      <c r="J216" s="4" t="s">
        <v>57</v>
      </c>
    </row>
    <row r="217" spans="1:10">
      <c r="J217" s="4" t="s">
        <v>58</v>
      </c>
    </row>
    <row r="218" spans="1:10">
      <c r="G218" s="4" t="s">
        <v>59</v>
      </c>
      <c r="J218" s="4">
        <v>44.8</v>
      </c>
    </row>
    <row r="219" spans="1:10">
      <c r="G219" s="4" t="s">
        <v>60</v>
      </c>
      <c r="J219" s="4">
        <v>43.33</v>
      </c>
    </row>
    <row r="220" spans="1:10">
      <c r="G220" s="4" t="s">
        <v>61</v>
      </c>
      <c r="J220" s="4">
        <v>44.59</v>
      </c>
    </row>
    <row r="221" spans="1:10">
      <c r="G221" s="4" t="s">
        <v>62</v>
      </c>
    </row>
    <row r="222" spans="1:10">
      <c r="G222" s="4" t="s">
        <v>63</v>
      </c>
      <c r="J222" s="4">
        <v>47.31</v>
      </c>
    </row>
    <row r="227" spans="7:10">
      <c r="G227" s="4" t="s">
        <v>64</v>
      </c>
      <c r="J227" s="4">
        <v>40.19</v>
      </c>
    </row>
    <row r="264" spans="7:10">
      <c r="J264" s="4" t="s">
        <v>65</v>
      </c>
    </row>
    <row r="265" spans="7:10">
      <c r="G265" s="4" t="s">
        <v>59</v>
      </c>
      <c r="J265" s="4">
        <v>18.899999999999999</v>
      </c>
    </row>
    <row r="266" spans="7:10">
      <c r="G266" s="4" t="str">
        <f>G219</f>
        <v>Gas/diesel oil</v>
      </c>
      <c r="J266" s="4">
        <v>20.2</v>
      </c>
    </row>
    <row r="267" spans="7:10">
      <c r="G267" s="4" t="s">
        <v>61</v>
      </c>
      <c r="J267" s="4">
        <v>19.5</v>
      </c>
    </row>
    <row r="268" spans="7:10">
      <c r="G268" s="4" t="s">
        <v>62</v>
      </c>
      <c r="J268" s="4">
        <v>15.3</v>
      </c>
    </row>
    <row r="269" spans="7:10">
      <c r="G269" s="4" t="s">
        <v>63</v>
      </c>
      <c r="J269" s="4">
        <v>17.2</v>
      </c>
    </row>
    <row r="274" spans="7:10">
      <c r="G274" s="4" t="s">
        <v>64</v>
      </c>
      <c r="J274" s="4">
        <v>21.1</v>
      </c>
    </row>
    <row r="298" spans="7:10">
      <c r="J298" s="4" t="s">
        <v>65</v>
      </c>
    </row>
    <row r="299" spans="7:10">
      <c r="G299" s="4" t="s">
        <v>66</v>
      </c>
      <c r="J299" s="4">
        <v>26.8</v>
      </c>
    </row>
    <row r="300" spans="7:10">
      <c r="G300" s="4" t="s">
        <v>67</v>
      </c>
      <c r="J300" s="4">
        <v>25.8</v>
      </c>
    </row>
    <row r="301" spans="7:10">
      <c r="G301" s="4" t="s">
        <v>68</v>
      </c>
      <c r="J301" s="4">
        <v>25.8</v>
      </c>
    </row>
    <row r="302" spans="7:10">
      <c r="G302" s="4" t="s">
        <v>69</v>
      </c>
      <c r="J302" s="4">
        <v>26.2</v>
      </c>
    </row>
    <row r="327" spans="1:16">
      <c r="A327" s="21" t="s">
        <v>70</v>
      </c>
    </row>
    <row r="328" spans="1:16">
      <c r="A328" s="12" t="s">
        <v>71</v>
      </c>
    </row>
    <row r="331" spans="1:16">
      <c r="O331" s="4" t="s">
        <v>72</v>
      </c>
      <c r="P331" s="4" t="s">
        <v>72</v>
      </c>
    </row>
    <row r="332" spans="1:16">
      <c r="O332" s="4" t="s">
        <v>73</v>
      </c>
      <c r="P332" s="4" t="s">
        <v>74</v>
      </c>
    </row>
    <row r="333" spans="1:16">
      <c r="L333" s="4" t="s">
        <v>59</v>
      </c>
      <c r="O333" s="4">
        <v>34.799999999999997</v>
      </c>
      <c r="P333" s="4">
        <v>47</v>
      </c>
    </row>
    <row r="334" spans="1:16">
      <c r="L334" s="4" t="s">
        <v>60</v>
      </c>
      <c r="O334" s="4">
        <v>38.6</v>
      </c>
      <c r="P334" s="4">
        <v>48</v>
      </c>
    </row>
    <row r="335" spans="1:16">
      <c r="L335" s="4" t="s">
        <v>61</v>
      </c>
      <c r="O335" s="4">
        <v>37.6</v>
      </c>
      <c r="P335" s="4">
        <v>47</v>
      </c>
    </row>
    <row r="336" spans="1:16">
      <c r="L336" s="4" t="s">
        <v>75</v>
      </c>
      <c r="O336" s="4">
        <v>25.3</v>
      </c>
      <c r="P336" s="4">
        <v>55</v>
      </c>
    </row>
    <row r="337" spans="12:16">
      <c r="L337" s="4" t="s">
        <v>63</v>
      </c>
      <c r="O337" s="4">
        <f>25.5*0.6+28.7*0.4</f>
        <v>26.78</v>
      </c>
      <c r="P337" s="4">
        <v>51</v>
      </c>
    </row>
    <row r="339" spans="12:16">
      <c r="L339" s="4" t="str">
        <f>A23</f>
        <v>Hydrogen</v>
      </c>
    </row>
    <row r="340" spans="12:16">
      <c r="L340" s="4" t="str">
        <f>A24</f>
        <v>Ethanol</v>
      </c>
      <c r="O340" s="4">
        <v>23.5</v>
      </c>
      <c r="P340" s="4">
        <v>31.1</v>
      </c>
    </row>
    <row r="341" spans="12:16">
      <c r="L341" s="4" t="str">
        <f>A25</f>
        <v>Biodiesel (FAME)</v>
      </c>
      <c r="O341" s="4">
        <v>35.1</v>
      </c>
      <c r="P341" s="4">
        <v>39.9</v>
      </c>
    </row>
    <row r="342" spans="12:16">
      <c r="L342" s="4" t="s">
        <v>64</v>
      </c>
    </row>
    <row r="343" spans="12:16">
      <c r="L343" s="4" t="str">
        <f>A27</f>
        <v>Methanol</v>
      </c>
      <c r="O343" s="4">
        <v>17.899999999999999</v>
      </c>
      <c r="P343" s="4">
        <v>19.899999999999999</v>
      </c>
    </row>
    <row r="357" spans="1:17">
      <c r="A357" s="4" t="s">
        <v>76</v>
      </c>
    </row>
    <row r="358" spans="1:17">
      <c r="A358" s="12" t="s">
        <v>77</v>
      </c>
    </row>
    <row r="362" spans="1:17">
      <c r="O362" s="4" t="s">
        <v>72</v>
      </c>
      <c r="Q362" s="4" t="s">
        <v>57</v>
      </c>
    </row>
    <row r="363" spans="1:17">
      <c r="O363" s="4" t="s">
        <v>74</v>
      </c>
      <c r="Q363" s="4" t="s">
        <v>74</v>
      </c>
    </row>
    <row r="364" spans="1:17">
      <c r="L364" s="4" t="str">
        <f>L333</f>
        <v>Gasoline</v>
      </c>
      <c r="O364" s="4">
        <v>47.3</v>
      </c>
      <c r="Q364" s="4">
        <v>44.4</v>
      </c>
    </row>
    <row r="365" spans="1:17">
      <c r="L365" s="4" t="str">
        <f>L334</f>
        <v>Gas/diesel oil</v>
      </c>
      <c r="O365" s="4">
        <v>44.8</v>
      </c>
    </row>
    <row r="366" spans="1:17">
      <c r="L366" s="4" t="str">
        <f>L335</f>
        <v>Jet fuel (kerosene)</v>
      </c>
      <c r="O366" s="4">
        <v>46.2</v>
      </c>
    </row>
    <row r="367" spans="1:17">
      <c r="L367" s="4" t="str">
        <f>L336</f>
        <v>CNG</v>
      </c>
      <c r="O367" s="4">
        <v>54</v>
      </c>
    </row>
    <row r="368" spans="1:17">
      <c r="L368" s="4" t="str">
        <f>L337</f>
        <v>LPG (60% propane, 40% butane)</v>
      </c>
    </row>
    <row r="370" spans="12:17">
      <c r="L370" s="4" t="str">
        <f>L339</f>
        <v>Hydrogen</v>
      </c>
      <c r="O370" s="4">
        <v>141.80000000000001</v>
      </c>
      <c r="Q370" s="4">
        <v>121</v>
      </c>
    </row>
    <row r="371" spans="12:17">
      <c r="L371" s="4" t="str">
        <f>L340</f>
        <v>Ethanol</v>
      </c>
      <c r="O371" s="4">
        <v>29.8</v>
      </c>
    </row>
    <row r="372" spans="12:17">
      <c r="L372" s="4" t="str">
        <f>L341</f>
        <v>Biodiesel (FAME)</v>
      </c>
    </row>
    <row r="373" spans="12:17">
      <c r="L373" s="4" t="str">
        <f>L342</f>
        <v>Residual fuel oil</v>
      </c>
    </row>
    <row r="374" spans="12:17">
      <c r="L374" s="4" t="str">
        <f>L343</f>
        <v>Methanol</v>
      </c>
      <c r="O374" s="4">
        <v>32.799999999999997</v>
      </c>
    </row>
    <row r="400" spans="1:9">
      <c r="A400" s="21" t="s">
        <v>78</v>
      </c>
      <c r="B400" s="21"/>
      <c r="C400" s="21"/>
      <c r="D400" s="21"/>
      <c r="E400" s="21"/>
      <c r="F400" s="21"/>
      <c r="G400" s="21"/>
      <c r="H400" s="21"/>
      <c r="I400" s="21"/>
    </row>
    <row r="401" spans="1:29">
      <c r="A401" s="4" t="s">
        <v>79</v>
      </c>
      <c r="C401" s="4">
        <v>0.55700000000000005</v>
      </c>
      <c r="D401" s="4" t="s">
        <v>80</v>
      </c>
      <c r="E401" s="4" t="s">
        <v>81</v>
      </c>
    </row>
    <row r="402" spans="1:29">
      <c r="A402" s="4" t="s">
        <v>82</v>
      </c>
      <c r="C402" s="4">
        <v>2.2999999999999998</v>
      </c>
      <c r="D402" s="4" t="s">
        <v>80</v>
      </c>
    </row>
    <row r="403" spans="1:29">
      <c r="A403" s="4" t="s">
        <v>57</v>
      </c>
      <c r="C403" s="4">
        <v>45.8</v>
      </c>
      <c r="D403" s="4" t="s">
        <v>58</v>
      </c>
      <c r="E403" s="4" t="s">
        <v>83</v>
      </c>
    </row>
    <row r="404" spans="1:29">
      <c r="C404" s="4">
        <v>105.3</v>
      </c>
      <c r="D404" s="4" t="s">
        <v>84</v>
      </c>
    </row>
    <row r="405" spans="1:29">
      <c r="A405" s="4" t="s">
        <v>72</v>
      </c>
      <c r="C405" s="4">
        <v>49.3</v>
      </c>
      <c r="D405" s="4" t="s">
        <v>58</v>
      </c>
    </row>
    <row r="406" spans="1:29">
      <c r="C406" s="4">
        <v>113.3</v>
      </c>
      <c r="D406" s="4" t="s">
        <v>84</v>
      </c>
    </row>
    <row r="408" spans="1:29">
      <c r="A408" s="21" t="s">
        <v>85</v>
      </c>
    </row>
    <row r="409" spans="1:29">
      <c r="A409" s="4" t="s">
        <v>86</v>
      </c>
    </row>
    <row r="411" spans="1:29">
      <c r="A411" s="75"/>
      <c r="B411" s="76"/>
      <c r="C411" s="76"/>
      <c r="D411" s="76"/>
      <c r="E411" s="76"/>
      <c r="F411" s="76"/>
      <c r="G411" s="76"/>
      <c r="H411" s="76"/>
      <c r="I411" s="76"/>
      <c r="J411" s="76"/>
      <c r="K411" s="76"/>
      <c r="L411" s="76"/>
      <c r="M411" s="76"/>
      <c r="N411" s="76"/>
      <c r="O411" s="76"/>
      <c r="P411" s="76"/>
      <c r="Q411" s="76"/>
      <c r="R411" s="76" t="s">
        <v>87</v>
      </c>
      <c r="S411" s="76"/>
      <c r="T411" s="76"/>
      <c r="U411" s="76"/>
      <c r="V411" s="76"/>
      <c r="W411" s="76"/>
      <c r="X411" s="76"/>
      <c r="Y411" s="76"/>
      <c r="Z411" s="76"/>
      <c r="AA411" s="76"/>
      <c r="AB411" s="76"/>
      <c r="AC411" s="76"/>
    </row>
    <row r="412" spans="1:29" ht="63.75">
      <c r="A412" s="76"/>
      <c r="B412" s="77" t="s">
        <v>88</v>
      </c>
      <c r="C412" s="76"/>
      <c r="D412" s="76"/>
      <c r="E412" s="76"/>
      <c r="F412" s="76"/>
      <c r="G412" s="76" t="s">
        <v>89</v>
      </c>
      <c r="H412" s="76" t="s">
        <v>90</v>
      </c>
      <c r="I412" s="75"/>
      <c r="J412" s="78" t="s">
        <v>89</v>
      </c>
      <c r="K412" s="79"/>
      <c r="L412" s="75"/>
      <c r="M412" s="78" t="s">
        <v>90</v>
      </c>
      <c r="N412" s="80"/>
      <c r="O412" s="79"/>
      <c r="P412" s="77" t="s">
        <v>89</v>
      </c>
      <c r="Q412" s="77" t="s">
        <v>89</v>
      </c>
      <c r="R412" s="78" t="s">
        <v>89</v>
      </c>
      <c r="S412" s="79"/>
      <c r="T412" s="77" t="s">
        <v>90</v>
      </c>
      <c r="U412" s="77" t="s">
        <v>90</v>
      </c>
      <c r="V412" s="78" t="s">
        <v>90</v>
      </c>
      <c r="W412" s="79"/>
      <c r="X412" s="75"/>
      <c r="Y412" s="75"/>
      <c r="Z412" s="75"/>
      <c r="AA412" s="75"/>
      <c r="AB412" s="75"/>
      <c r="AC412" s="75"/>
    </row>
    <row r="413" spans="1:29" ht="25.5">
      <c r="A413" s="76"/>
      <c r="B413" s="76"/>
      <c r="C413" s="77" t="s">
        <v>91</v>
      </c>
      <c r="D413" s="81" t="s">
        <v>87</v>
      </c>
      <c r="E413" s="76"/>
      <c r="F413" s="76"/>
      <c r="G413" s="78" t="s">
        <v>91</v>
      </c>
      <c r="H413" s="82"/>
      <c r="I413" s="75"/>
      <c r="J413" s="78" t="s">
        <v>92</v>
      </c>
      <c r="K413" s="82"/>
      <c r="L413" s="75"/>
      <c r="M413" s="78" t="s">
        <v>92</v>
      </c>
      <c r="N413" s="82"/>
      <c r="O413" s="75"/>
      <c r="P413" s="77" t="s">
        <v>93</v>
      </c>
      <c r="Q413" s="77" t="s">
        <v>93</v>
      </c>
      <c r="R413" s="77" t="s">
        <v>93</v>
      </c>
      <c r="S413" s="75"/>
      <c r="T413" s="77" t="s">
        <v>93</v>
      </c>
      <c r="U413" s="77" t="s">
        <v>93</v>
      </c>
      <c r="V413" s="77" t="s">
        <v>93</v>
      </c>
      <c r="W413" s="75"/>
      <c r="X413" s="76"/>
      <c r="Y413" s="76"/>
      <c r="Z413" s="76"/>
      <c r="AA413" s="76"/>
      <c r="AB413" s="75"/>
      <c r="AC413" s="75"/>
    </row>
    <row r="414" spans="1:29" ht="38.25">
      <c r="A414" s="76" t="s">
        <v>94</v>
      </c>
      <c r="B414" s="77" t="s">
        <v>95</v>
      </c>
      <c r="C414" s="78" t="s">
        <v>96</v>
      </c>
      <c r="D414" s="79"/>
      <c r="E414" s="76" t="s">
        <v>97</v>
      </c>
      <c r="F414" s="81" t="s">
        <v>98</v>
      </c>
      <c r="G414" s="78" t="s">
        <v>99</v>
      </c>
      <c r="H414" s="79"/>
      <c r="I414" s="75"/>
      <c r="J414" s="78" t="s">
        <v>99</v>
      </c>
      <c r="K414" s="83"/>
      <c r="L414" s="75"/>
      <c r="M414" s="78" t="s">
        <v>99</v>
      </c>
      <c r="N414" s="83"/>
      <c r="O414" s="75"/>
      <c r="P414" s="77" t="s">
        <v>91</v>
      </c>
      <c r="Q414" s="77" t="s">
        <v>100</v>
      </c>
      <c r="R414" s="77" t="s">
        <v>100</v>
      </c>
      <c r="S414" s="75"/>
      <c r="T414" s="77" t="s">
        <v>91</v>
      </c>
      <c r="U414" s="77" t="s">
        <v>100</v>
      </c>
      <c r="V414" s="77" t="s">
        <v>100</v>
      </c>
      <c r="W414" s="75"/>
      <c r="X414" s="76" t="s">
        <v>101</v>
      </c>
      <c r="Y414" s="76" t="s">
        <v>102</v>
      </c>
      <c r="Z414" s="76" t="s">
        <v>103</v>
      </c>
      <c r="AA414" s="76"/>
      <c r="AB414" s="76" t="s">
        <v>104</v>
      </c>
      <c r="AC414" s="76" t="s">
        <v>104</v>
      </c>
    </row>
    <row r="415" spans="1:29" ht="25.5">
      <c r="A415" s="75"/>
      <c r="B415" s="76"/>
      <c r="C415" s="78" t="s">
        <v>105</v>
      </c>
      <c r="D415" s="79"/>
      <c r="E415" s="76" t="s">
        <v>106</v>
      </c>
      <c r="F415" s="81" t="s">
        <v>107</v>
      </c>
      <c r="G415" s="78" t="s">
        <v>108</v>
      </c>
      <c r="H415" s="79"/>
      <c r="I415" s="75"/>
      <c r="J415" s="78" t="s">
        <v>109</v>
      </c>
      <c r="K415" s="83"/>
      <c r="L415" s="75"/>
      <c r="M415" s="78" t="s">
        <v>109</v>
      </c>
      <c r="N415" s="83"/>
      <c r="O415" s="75"/>
      <c r="P415" s="77" t="s">
        <v>110</v>
      </c>
      <c r="Q415" s="77" t="s">
        <v>111</v>
      </c>
      <c r="R415" s="77" t="s">
        <v>112</v>
      </c>
      <c r="S415" s="75"/>
      <c r="T415" s="77" t="s">
        <v>110</v>
      </c>
      <c r="U415" s="77" t="s">
        <v>111</v>
      </c>
      <c r="V415" s="77" t="s">
        <v>112</v>
      </c>
      <c r="W415" s="75"/>
      <c r="X415" s="76" t="s">
        <v>113</v>
      </c>
      <c r="Y415" s="76" t="s">
        <v>114</v>
      </c>
      <c r="Z415" s="76" t="s">
        <v>115</v>
      </c>
      <c r="AA415" s="76" t="s">
        <v>116</v>
      </c>
      <c r="AB415" s="75"/>
      <c r="AC415" s="75"/>
    </row>
    <row r="416" spans="1:29" ht="25.5">
      <c r="A416" s="75"/>
      <c r="B416" s="76"/>
      <c r="C416" s="76" t="s">
        <v>117</v>
      </c>
      <c r="D416" s="76" t="s">
        <v>118</v>
      </c>
      <c r="E416" s="76"/>
      <c r="F416" s="81"/>
      <c r="G416" s="76"/>
      <c r="H416" s="76"/>
      <c r="I416" s="75"/>
      <c r="J416" s="76" t="s">
        <v>119</v>
      </c>
      <c r="K416" s="76" t="s">
        <v>118</v>
      </c>
      <c r="L416" s="75"/>
      <c r="M416" s="76" t="s">
        <v>119</v>
      </c>
      <c r="N416" s="76" t="s">
        <v>118</v>
      </c>
      <c r="O416" s="75"/>
      <c r="P416" s="76" t="s">
        <v>120</v>
      </c>
      <c r="Q416" s="76" t="s">
        <v>120</v>
      </c>
      <c r="R416" s="76" t="s">
        <v>120</v>
      </c>
      <c r="S416" s="75"/>
      <c r="T416" s="76" t="s">
        <v>121</v>
      </c>
      <c r="U416" s="76" t="s">
        <v>121</v>
      </c>
      <c r="V416" s="76" t="s">
        <v>121</v>
      </c>
      <c r="W416" s="75"/>
      <c r="X416" s="75"/>
      <c r="Y416" s="76"/>
      <c r="Z416" s="75"/>
      <c r="AA416" s="76"/>
      <c r="AB416" s="75"/>
      <c r="AC416" s="75"/>
    </row>
    <row r="417" spans="1:29">
      <c r="A417" s="75"/>
      <c r="B417" s="76"/>
      <c r="C417" s="81"/>
      <c r="D417" s="75"/>
      <c r="E417" s="76"/>
      <c r="F417" s="81"/>
      <c r="G417" s="75"/>
      <c r="H417" s="75"/>
      <c r="I417" s="75"/>
      <c r="J417" s="76"/>
      <c r="K417" s="76"/>
      <c r="L417" s="75"/>
      <c r="M417" s="76"/>
      <c r="N417" s="76"/>
      <c r="O417" s="75"/>
      <c r="P417" s="75"/>
      <c r="Q417" s="75"/>
      <c r="R417" s="75"/>
      <c r="S417" s="75"/>
      <c r="T417" s="75"/>
      <c r="U417" s="75"/>
      <c r="V417" s="75"/>
      <c r="W417" s="75"/>
      <c r="X417" s="75"/>
      <c r="Y417" s="76"/>
      <c r="Z417" s="75"/>
      <c r="AA417" s="76"/>
      <c r="AB417" s="75"/>
      <c r="AC417" s="75"/>
    </row>
    <row r="418" spans="1:29" ht="25.5">
      <c r="A418" s="76">
        <v>1</v>
      </c>
      <c r="B418" s="76" t="s">
        <v>122</v>
      </c>
      <c r="C418" s="81">
        <v>1120</v>
      </c>
      <c r="D418" s="76">
        <v>860</v>
      </c>
      <c r="E418" s="76">
        <v>62.5</v>
      </c>
      <c r="F418" s="81">
        <v>2</v>
      </c>
      <c r="G418" s="76">
        <v>8</v>
      </c>
      <c r="H418" s="75"/>
      <c r="I418" s="75"/>
      <c r="J418" s="76">
        <v>9</v>
      </c>
      <c r="K418" s="76">
        <v>6.9</v>
      </c>
      <c r="L418" s="75"/>
      <c r="M418" s="76"/>
      <c r="N418" s="76"/>
      <c r="O418" s="75"/>
      <c r="P418" s="76">
        <v>0.33</v>
      </c>
      <c r="Q418" s="76">
        <v>0.34</v>
      </c>
      <c r="R418" s="76">
        <v>2.97</v>
      </c>
      <c r="S418" s="75"/>
      <c r="T418" s="75"/>
      <c r="U418" s="75"/>
      <c r="V418" s="75"/>
      <c r="W418" s="75"/>
      <c r="X418" s="76" t="s">
        <v>123</v>
      </c>
      <c r="Y418" s="76">
        <v>0.63</v>
      </c>
      <c r="Z418" s="76">
        <v>93.3</v>
      </c>
      <c r="AA418" s="76">
        <v>87.7</v>
      </c>
      <c r="AB418" s="75"/>
      <c r="AC418" s="75"/>
    </row>
    <row r="419" spans="1:29" ht="25.5">
      <c r="A419" s="76">
        <v>2</v>
      </c>
      <c r="B419" s="76" t="s">
        <v>124</v>
      </c>
      <c r="C419" s="81">
        <v>1450</v>
      </c>
      <c r="D419" s="76">
        <v>940</v>
      </c>
      <c r="E419" s="76">
        <v>8</v>
      </c>
      <c r="F419" s="81">
        <v>22</v>
      </c>
      <c r="G419" s="76">
        <v>24</v>
      </c>
      <c r="H419" s="75"/>
      <c r="I419" s="75"/>
      <c r="J419" s="76">
        <v>34.799999999999997</v>
      </c>
      <c r="K419" s="76">
        <v>22.6</v>
      </c>
      <c r="L419" s="75"/>
      <c r="M419" s="76"/>
      <c r="N419" s="76"/>
      <c r="O419" s="75"/>
      <c r="P419" s="76">
        <v>1</v>
      </c>
      <c r="Q419" s="76">
        <v>1.1100000000000001</v>
      </c>
      <c r="R419" s="76">
        <v>0.9</v>
      </c>
      <c r="S419" s="75"/>
      <c r="T419" s="75"/>
      <c r="U419" s="75"/>
      <c r="V419" s="75"/>
      <c r="W419" s="75"/>
      <c r="X419" s="76" t="s">
        <v>125</v>
      </c>
      <c r="Y419" s="76">
        <v>1.25</v>
      </c>
      <c r="Z419" s="76">
        <v>90.7</v>
      </c>
      <c r="AA419" s="76">
        <v>89.4</v>
      </c>
      <c r="AB419" s="75"/>
      <c r="AC419" s="75"/>
    </row>
    <row r="420" spans="1:29">
      <c r="A420" s="76">
        <v>3</v>
      </c>
      <c r="B420" s="76" t="s">
        <v>126</v>
      </c>
      <c r="C420" s="81"/>
      <c r="D420" s="76" t="s">
        <v>127</v>
      </c>
      <c r="E420" s="76" t="s">
        <v>128</v>
      </c>
      <c r="F420" s="81" t="s">
        <v>128</v>
      </c>
      <c r="G420" s="76" t="s">
        <v>129</v>
      </c>
      <c r="H420" s="75"/>
      <c r="I420" s="75"/>
      <c r="J420" s="76"/>
      <c r="K420" s="76"/>
      <c r="L420" s="75"/>
      <c r="M420" s="76"/>
      <c r="N420" s="76"/>
      <c r="O420" s="75"/>
      <c r="P420" s="75"/>
      <c r="Q420" s="75"/>
      <c r="R420" s="75"/>
      <c r="S420" s="75"/>
      <c r="T420" s="75"/>
      <c r="U420" s="75"/>
      <c r="V420" s="75"/>
      <c r="W420" s="75"/>
      <c r="X420" s="76" t="s">
        <v>130</v>
      </c>
      <c r="Y420" s="76">
        <v>21.35</v>
      </c>
      <c r="Z420" s="75"/>
      <c r="AA420" s="76">
        <v>71.3</v>
      </c>
      <c r="AB420" s="75"/>
      <c r="AC420" s="75"/>
    </row>
    <row r="421" spans="1:29">
      <c r="A421" s="76">
        <v>4</v>
      </c>
      <c r="B421" s="76" t="s">
        <v>131</v>
      </c>
      <c r="C421" s="81">
        <v>842</v>
      </c>
      <c r="D421" s="76" t="s">
        <v>127</v>
      </c>
      <c r="E421" s="76" t="s">
        <v>128</v>
      </c>
      <c r="F421" s="81" t="s">
        <v>128</v>
      </c>
      <c r="G421" s="76">
        <v>45.7</v>
      </c>
      <c r="H421" s="75"/>
      <c r="I421" s="75"/>
      <c r="J421" s="76">
        <v>38.5</v>
      </c>
      <c r="K421" s="76"/>
      <c r="L421" s="75"/>
      <c r="M421" s="76"/>
      <c r="N421" s="76"/>
      <c r="O421" s="75"/>
      <c r="P421" s="76">
        <v>1.9</v>
      </c>
      <c r="Q421" s="75"/>
      <c r="R421" s="75"/>
      <c r="S421" s="75"/>
      <c r="T421" s="75"/>
      <c r="U421" s="75"/>
      <c r="V421" s="75"/>
      <c r="W421" s="75"/>
      <c r="X421" s="76" t="s">
        <v>132</v>
      </c>
      <c r="Y421" s="76">
        <v>19.25</v>
      </c>
      <c r="Z421" s="76">
        <v>69.7</v>
      </c>
      <c r="AA421" s="76">
        <v>74.900000000000006</v>
      </c>
      <c r="AB421" s="75"/>
      <c r="AC421" s="75"/>
    </row>
    <row r="422" spans="1:29">
      <c r="A422" s="76">
        <v>5</v>
      </c>
      <c r="B422" s="76" t="s">
        <v>133</v>
      </c>
      <c r="C422" s="81"/>
      <c r="D422" s="76" t="s">
        <v>127</v>
      </c>
      <c r="E422" s="76" t="s">
        <v>128</v>
      </c>
      <c r="F422" s="81" t="s">
        <v>128</v>
      </c>
      <c r="G422" s="76" t="s">
        <v>134</v>
      </c>
      <c r="H422" s="75"/>
      <c r="I422" s="75"/>
      <c r="J422" s="76"/>
      <c r="K422" s="76"/>
      <c r="L422" s="75"/>
      <c r="M422" s="76"/>
      <c r="N422" s="76"/>
      <c r="O422" s="75"/>
      <c r="P422" s="75"/>
      <c r="Q422" s="75"/>
      <c r="R422" s="75"/>
      <c r="S422" s="75"/>
      <c r="T422" s="75"/>
      <c r="U422" s="75"/>
      <c r="V422" s="75"/>
      <c r="W422" s="75"/>
      <c r="X422" s="75"/>
      <c r="Y422" s="76"/>
      <c r="Z422" s="76">
        <v>59.4</v>
      </c>
      <c r="AA422" s="76">
        <v>64.7</v>
      </c>
      <c r="AB422" s="75"/>
      <c r="AC422" s="75"/>
    </row>
    <row r="423" spans="1:29">
      <c r="A423" s="76">
        <v>6</v>
      </c>
      <c r="B423" s="76" t="s">
        <v>135</v>
      </c>
      <c r="C423" s="81" t="s">
        <v>127</v>
      </c>
      <c r="D423" s="76" t="s">
        <v>127</v>
      </c>
      <c r="E423" s="76" t="s">
        <v>128</v>
      </c>
      <c r="F423" s="81" t="s">
        <v>128</v>
      </c>
      <c r="G423" s="76" t="s">
        <v>136</v>
      </c>
      <c r="H423" s="75"/>
      <c r="I423" s="75"/>
      <c r="J423" s="76"/>
      <c r="K423" s="76"/>
      <c r="L423" s="75"/>
      <c r="M423" s="76"/>
      <c r="N423" s="76"/>
      <c r="O423" s="75"/>
      <c r="P423" s="75"/>
      <c r="Q423" s="75"/>
      <c r="R423" s="75"/>
      <c r="S423" s="75"/>
      <c r="T423" s="75"/>
      <c r="U423" s="75"/>
      <c r="V423" s="75"/>
      <c r="W423" s="75"/>
      <c r="X423" s="76" t="s">
        <v>127</v>
      </c>
      <c r="Y423" s="76">
        <v>13.81</v>
      </c>
      <c r="Z423" s="76">
        <v>50.9</v>
      </c>
      <c r="AA423" s="76">
        <v>59.4</v>
      </c>
      <c r="AB423" s="75"/>
      <c r="AC423" s="75"/>
    </row>
    <row r="424" spans="1:29" ht="25.5">
      <c r="A424" s="76">
        <v>7</v>
      </c>
      <c r="B424" s="76" t="s">
        <v>137</v>
      </c>
      <c r="C424" s="81">
        <v>1100</v>
      </c>
      <c r="D424" s="76">
        <v>367</v>
      </c>
      <c r="E424" s="76">
        <v>0.5</v>
      </c>
      <c r="F424" s="81" t="s">
        <v>138</v>
      </c>
      <c r="G424" s="76">
        <v>11.85</v>
      </c>
      <c r="H424" s="75"/>
      <c r="I424" s="75"/>
      <c r="J424" s="76">
        <v>13</v>
      </c>
      <c r="K424" s="76">
        <v>4.3</v>
      </c>
      <c r="L424" s="75"/>
      <c r="M424" s="76"/>
      <c r="N424" s="76"/>
      <c r="O424" s="75"/>
      <c r="P424" s="76">
        <v>0.49</v>
      </c>
      <c r="Q424" s="76">
        <v>0.21</v>
      </c>
      <c r="R424" s="76">
        <v>4.6900000000000004</v>
      </c>
      <c r="S424" s="75"/>
      <c r="T424" s="75"/>
      <c r="U424" s="75"/>
      <c r="V424" s="75"/>
      <c r="W424" s="75"/>
      <c r="X424" s="76" t="s">
        <v>139</v>
      </c>
      <c r="Y424" s="76">
        <v>1.69</v>
      </c>
      <c r="Z424" s="76">
        <v>90</v>
      </c>
      <c r="AA424" s="76"/>
      <c r="AB424" s="75"/>
      <c r="AC424" s="75"/>
    </row>
    <row r="425" spans="1:29" ht="25.5">
      <c r="A425" s="76">
        <v>8</v>
      </c>
      <c r="B425" s="76" t="s">
        <v>140</v>
      </c>
      <c r="C425" s="81">
        <v>800</v>
      </c>
      <c r="D425" s="76">
        <v>267</v>
      </c>
      <c r="E425" s="76">
        <v>0.1</v>
      </c>
      <c r="F425" s="81" t="s">
        <v>138</v>
      </c>
      <c r="G425" s="76">
        <v>17.059999999999999</v>
      </c>
      <c r="H425" s="75"/>
      <c r="I425" s="75"/>
      <c r="J425" s="76">
        <v>13.6</v>
      </c>
      <c r="K425" s="76">
        <v>4.5999999999999996</v>
      </c>
      <c r="L425" s="75"/>
      <c r="M425" s="76"/>
      <c r="N425" s="76"/>
      <c r="O425" s="75"/>
      <c r="P425" s="76">
        <v>0.71</v>
      </c>
      <c r="Q425" s="76">
        <v>0.22</v>
      </c>
      <c r="R425" s="76">
        <v>4.4800000000000004</v>
      </c>
      <c r="S425" s="75"/>
      <c r="T425" s="75"/>
      <c r="U425" s="75"/>
      <c r="V425" s="75"/>
      <c r="W425" s="75"/>
      <c r="X425" s="76" t="s">
        <v>139</v>
      </c>
      <c r="Y425" s="76"/>
      <c r="Z425" s="76">
        <v>90</v>
      </c>
      <c r="AA425" s="76"/>
      <c r="AB425" s="75"/>
      <c r="AC425" s="75"/>
    </row>
    <row r="426" spans="1:29" ht="25.5">
      <c r="A426" s="76">
        <v>9</v>
      </c>
      <c r="B426" s="76" t="s">
        <v>141</v>
      </c>
      <c r="C426" s="81">
        <v>1100</v>
      </c>
      <c r="D426" s="76">
        <v>550</v>
      </c>
      <c r="E426" s="76">
        <v>0.5</v>
      </c>
      <c r="F426" s="81" t="s">
        <v>138</v>
      </c>
      <c r="G426" s="76">
        <v>11.85</v>
      </c>
      <c r="H426" s="75"/>
      <c r="I426" s="75"/>
      <c r="J426" s="76">
        <v>13</v>
      </c>
      <c r="K426" s="76">
        <v>6.5</v>
      </c>
      <c r="L426" s="75"/>
      <c r="M426" s="76"/>
      <c r="N426" s="76"/>
      <c r="O426" s="75"/>
      <c r="P426" s="76">
        <v>0.49</v>
      </c>
      <c r="Q426" s="76">
        <v>0.32</v>
      </c>
      <c r="R426" s="76">
        <v>3.13</v>
      </c>
      <c r="S426" s="75"/>
      <c r="T426" s="75"/>
      <c r="U426" s="75"/>
      <c r="V426" s="75"/>
      <c r="W426" s="75"/>
      <c r="X426" s="76" t="s">
        <v>142</v>
      </c>
      <c r="Y426" s="76">
        <v>2.95</v>
      </c>
      <c r="Z426" s="76">
        <v>90</v>
      </c>
      <c r="AA426" s="76"/>
      <c r="AB426" s="75"/>
      <c r="AC426" s="75"/>
    </row>
    <row r="427" spans="1:29" ht="25.5">
      <c r="A427" s="76">
        <v>10</v>
      </c>
      <c r="B427" s="76" t="s">
        <v>143</v>
      </c>
      <c r="C427" s="81">
        <v>800</v>
      </c>
      <c r="D427" s="76">
        <v>400</v>
      </c>
      <c r="E427" s="76">
        <v>0.1</v>
      </c>
      <c r="F427" s="81" t="s">
        <v>138</v>
      </c>
      <c r="G427" s="76">
        <v>17.059999999999999</v>
      </c>
      <c r="H427" s="75"/>
      <c r="I427" s="75"/>
      <c r="J427" s="76">
        <v>13.6</v>
      </c>
      <c r="K427" s="76">
        <v>6.8</v>
      </c>
      <c r="L427" s="75"/>
      <c r="M427" s="76"/>
      <c r="N427" s="76"/>
      <c r="O427" s="75"/>
      <c r="P427" s="76">
        <v>0.71</v>
      </c>
      <c r="Q427" s="76">
        <v>0.33</v>
      </c>
      <c r="R427" s="76">
        <v>2.99</v>
      </c>
      <c r="S427" s="75"/>
      <c r="T427" s="75"/>
      <c r="U427" s="75"/>
      <c r="V427" s="75"/>
      <c r="W427" s="75"/>
      <c r="X427" s="76" t="s">
        <v>142</v>
      </c>
      <c r="Y427" s="76"/>
      <c r="Z427" s="76">
        <v>90</v>
      </c>
      <c r="AA427" s="76"/>
      <c r="AB427" s="75"/>
      <c r="AC427" s="75"/>
    </row>
    <row r="428" spans="1:29">
      <c r="A428" s="76">
        <v>11</v>
      </c>
      <c r="B428" s="76" t="s">
        <v>144</v>
      </c>
      <c r="C428" s="81" t="s">
        <v>127</v>
      </c>
      <c r="D428" s="76">
        <v>705</v>
      </c>
      <c r="E428" s="76" t="s">
        <v>145</v>
      </c>
      <c r="F428" s="81" t="s">
        <v>146</v>
      </c>
      <c r="G428" s="76">
        <v>19.75</v>
      </c>
      <c r="H428" s="75"/>
      <c r="I428" s="75"/>
      <c r="J428" s="76"/>
      <c r="K428" s="76">
        <v>13.9</v>
      </c>
      <c r="L428" s="75"/>
      <c r="M428" s="76"/>
      <c r="N428" s="76"/>
      <c r="O428" s="75"/>
      <c r="P428" s="76">
        <v>0.82</v>
      </c>
      <c r="Q428" s="76">
        <v>0.68</v>
      </c>
      <c r="R428" s="76">
        <v>1.47</v>
      </c>
      <c r="S428" s="75"/>
      <c r="T428" s="75"/>
      <c r="U428" s="75"/>
      <c r="V428" s="75"/>
      <c r="W428" s="75"/>
      <c r="X428" s="76" t="s">
        <v>147</v>
      </c>
      <c r="Y428" s="76">
        <v>8.35</v>
      </c>
      <c r="Z428" s="76">
        <v>90</v>
      </c>
      <c r="AA428" s="76"/>
      <c r="AB428" s="75"/>
      <c r="AC428" s="75"/>
    </row>
    <row r="429" spans="1:29" ht="25.5">
      <c r="A429" s="76">
        <v>12</v>
      </c>
      <c r="B429" s="76" t="s">
        <v>148</v>
      </c>
      <c r="C429" s="81" t="s">
        <v>127</v>
      </c>
      <c r="D429" s="76">
        <v>340</v>
      </c>
      <c r="E429" s="76">
        <v>0.5</v>
      </c>
      <c r="F429" s="81" t="s">
        <v>138</v>
      </c>
      <c r="G429" s="76">
        <v>11.6</v>
      </c>
      <c r="H429" s="75"/>
      <c r="I429" s="75"/>
      <c r="J429" s="76"/>
      <c r="K429" s="76">
        <v>3.9</v>
      </c>
      <c r="L429" s="75"/>
      <c r="M429" s="76"/>
      <c r="N429" s="76"/>
      <c r="O429" s="75"/>
      <c r="P429" s="76">
        <v>0.48</v>
      </c>
      <c r="Q429" s="76">
        <v>0.19</v>
      </c>
      <c r="R429" s="76">
        <v>5.17</v>
      </c>
      <c r="S429" s="75"/>
      <c r="T429" s="75"/>
      <c r="U429" s="75"/>
      <c r="V429" s="75"/>
      <c r="W429" s="75"/>
      <c r="X429" s="76" t="s">
        <v>149</v>
      </c>
      <c r="Y429" s="76">
        <v>1.64</v>
      </c>
      <c r="Z429" s="76">
        <v>90</v>
      </c>
      <c r="AA429" s="76"/>
      <c r="AB429" s="75"/>
      <c r="AC429" s="75"/>
    </row>
    <row r="430" spans="1:29">
      <c r="A430" s="76">
        <v>13</v>
      </c>
      <c r="B430" s="76" t="s">
        <v>150</v>
      </c>
      <c r="C430" s="81"/>
      <c r="D430" s="75"/>
      <c r="E430" s="76">
        <v>0.5</v>
      </c>
      <c r="F430" s="81"/>
      <c r="G430" s="76">
        <v>8.1999999999999993</v>
      </c>
      <c r="H430" s="75"/>
      <c r="I430" s="75"/>
      <c r="J430" s="76"/>
      <c r="K430" s="76"/>
      <c r="L430" s="75"/>
      <c r="M430" s="76"/>
      <c r="N430" s="76"/>
      <c r="O430" s="75"/>
      <c r="P430" s="76">
        <v>0.34</v>
      </c>
      <c r="Q430" s="75"/>
      <c r="R430" s="75"/>
      <c r="S430" s="75"/>
      <c r="T430" s="75"/>
      <c r="U430" s="75"/>
      <c r="V430" s="75"/>
      <c r="W430" s="75"/>
      <c r="X430" s="75"/>
      <c r="Y430" s="76"/>
      <c r="Z430" s="75"/>
      <c r="AA430" s="76"/>
      <c r="AB430" s="75"/>
      <c r="AC430" s="75"/>
    </row>
    <row r="431" spans="1:29" ht="25.5">
      <c r="A431" s="76">
        <v>14</v>
      </c>
      <c r="B431" s="76" t="s">
        <v>151</v>
      </c>
      <c r="C431" s="81"/>
      <c r="D431" s="75"/>
      <c r="E431" s="76">
        <v>0.13</v>
      </c>
      <c r="F431" s="81"/>
      <c r="G431" s="76">
        <v>16.2</v>
      </c>
      <c r="H431" s="75"/>
      <c r="I431" s="75"/>
      <c r="J431" s="76"/>
      <c r="K431" s="76"/>
      <c r="L431" s="75"/>
      <c r="M431" s="76"/>
      <c r="N431" s="76"/>
      <c r="O431" s="75"/>
      <c r="P431" s="76">
        <v>0.68</v>
      </c>
      <c r="Q431" s="75"/>
      <c r="R431" s="75"/>
      <c r="S431" s="75"/>
      <c r="T431" s="75"/>
      <c r="U431" s="75"/>
      <c r="V431" s="75"/>
      <c r="W431" s="75"/>
      <c r="X431" s="75"/>
      <c r="Y431" s="76"/>
      <c r="Z431" s="75"/>
      <c r="AA431" s="76"/>
      <c r="AB431" s="75"/>
      <c r="AC431" s="75"/>
    </row>
    <row r="432" spans="1:29">
      <c r="A432" s="76">
        <v>15</v>
      </c>
      <c r="B432" s="76" t="s">
        <v>152</v>
      </c>
      <c r="C432" s="81"/>
      <c r="D432" s="75"/>
      <c r="E432" s="76">
        <v>0.05</v>
      </c>
      <c r="F432" s="81"/>
      <c r="G432" s="76">
        <v>30</v>
      </c>
      <c r="H432" s="75"/>
      <c r="I432" s="75"/>
      <c r="J432" s="76"/>
      <c r="K432" s="76"/>
      <c r="L432" s="75"/>
      <c r="M432" s="76"/>
      <c r="N432" s="76"/>
      <c r="O432" s="75"/>
      <c r="P432" s="76">
        <v>1.25</v>
      </c>
      <c r="Q432" s="75"/>
      <c r="R432" s="75"/>
      <c r="S432" s="75"/>
      <c r="T432" s="75"/>
      <c r="U432" s="75"/>
      <c r="V432" s="75"/>
      <c r="W432" s="75"/>
      <c r="X432" s="75"/>
      <c r="Y432" s="76"/>
      <c r="Z432" s="75"/>
      <c r="AA432" s="76"/>
      <c r="AB432" s="75"/>
      <c r="AC432" s="75"/>
    </row>
    <row r="433" spans="1:29" ht="25.5">
      <c r="A433" s="76">
        <v>16</v>
      </c>
      <c r="B433" s="76" t="s">
        <v>153</v>
      </c>
      <c r="C433" s="81">
        <v>600</v>
      </c>
      <c r="D433" s="76">
        <v>300</v>
      </c>
      <c r="E433" s="76">
        <v>0.1</v>
      </c>
      <c r="F433" s="81" t="s">
        <v>138</v>
      </c>
      <c r="G433" s="76">
        <v>21.5</v>
      </c>
      <c r="H433" s="75"/>
      <c r="I433" s="75"/>
      <c r="J433" s="76">
        <v>12.9</v>
      </c>
      <c r="K433" s="76">
        <v>6.5</v>
      </c>
      <c r="L433" s="75"/>
      <c r="M433" s="76"/>
      <c r="N433" s="76"/>
      <c r="O433" s="75"/>
      <c r="P433" s="76">
        <v>0.9</v>
      </c>
      <c r="Q433" s="76">
        <v>0.32</v>
      </c>
      <c r="R433" s="76">
        <v>3.16</v>
      </c>
      <c r="S433" s="75"/>
      <c r="T433" s="75"/>
      <c r="U433" s="75"/>
      <c r="V433" s="75"/>
      <c r="W433" s="75"/>
      <c r="X433" s="76" t="s">
        <v>127</v>
      </c>
      <c r="Y433" s="76"/>
      <c r="Z433" s="75"/>
      <c r="AA433" s="76"/>
      <c r="AB433" s="75"/>
      <c r="AC433" s="75"/>
    </row>
    <row r="434" spans="1:29">
      <c r="A434" s="75"/>
      <c r="B434" s="76"/>
      <c r="C434" s="81"/>
      <c r="D434" s="75"/>
      <c r="E434" s="76"/>
      <c r="F434" s="81"/>
      <c r="G434" s="75"/>
      <c r="H434" s="75"/>
      <c r="I434" s="75"/>
      <c r="J434" s="76"/>
      <c r="K434" s="76"/>
      <c r="L434" s="75"/>
      <c r="M434" s="76"/>
      <c r="N434" s="76"/>
      <c r="O434" s="75"/>
      <c r="P434" s="75"/>
      <c r="Q434" s="75"/>
      <c r="R434" s="75"/>
      <c r="S434" s="75"/>
      <c r="T434" s="75"/>
      <c r="U434" s="75"/>
      <c r="V434" s="75"/>
      <c r="W434" s="75"/>
      <c r="X434" s="75"/>
      <c r="Y434" s="76"/>
      <c r="Z434" s="75"/>
      <c r="AA434" s="76"/>
      <c r="AB434" s="75"/>
      <c r="AC434" s="75"/>
    </row>
    <row r="435" spans="1:29" ht="25.5">
      <c r="A435" s="76">
        <v>17</v>
      </c>
      <c r="B435" s="76" t="s">
        <v>154</v>
      </c>
      <c r="C435" s="76"/>
      <c r="D435" s="76">
        <v>850</v>
      </c>
      <c r="E435" s="76"/>
      <c r="F435" s="81"/>
      <c r="G435" s="76">
        <v>24</v>
      </c>
      <c r="H435" s="75"/>
      <c r="I435" s="75"/>
      <c r="J435" s="76"/>
      <c r="K435" s="76">
        <v>20.399999999999999</v>
      </c>
      <c r="L435" s="75"/>
      <c r="M435" s="76"/>
      <c r="N435" s="76"/>
      <c r="O435" s="75"/>
      <c r="P435" s="76">
        <v>1</v>
      </c>
      <c r="Q435" s="76">
        <v>1</v>
      </c>
      <c r="R435" s="76">
        <v>1</v>
      </c>
      <c r="S435" s="75"/>
      <c r="T435" s="75"/>
      <c r="U435" s="75"/>
      <c r="V435" s="75"/>
      <c r="W435" s="75"/>
      <c r="X435" s="75"/>
      <c r="Y435" s="76"/>
      <c r="Z435" s="75"/>
      <c r="AA435" s="76"/>
      <c r="AB435" s="75"/>
      <c r="AC435" s="75"/>
    </row>
    <row r="436" spans="1:29" ht="25.5">
      <c r="A436" s="76">
        <v>18</v>
      </c>
      <c r="B436" s="76" t="s">
        <v>155</v>
      </c>
      <c r="C436" s="81"/>
      <c r="D436" s="76">
        <v>200</v>
      </c>
      <c r="E436" s="76" t="s">
        <v>104</v>
      </c>
      <c r="F436" s="81"/>
      <c r="G436" s="76">
        <v>18</v>
      </c>
      <c r="H436" s="75"/>
      <c r="I436" s="75"/>
      <c r="J436" s="76"/>
      <c r="K436" s="76">
        <v>3.6</v>
      </c>
      <c r="L436" s="75"/>
      <c r="M436" s="76"/>
      <c r="N436" s="76"/>
      <c r="O436" s="75"/>
      <c r="P436" s="76">
        <v>0.75</v>
      </c>
      <c r="Q436" s="76">
        <v>0.18</v>
      </c>
      <c r="R436" s="76">
        <v>5.67</v>
      </c>
      <c r="S436" s="75"/>
      <c r="T436" s="75"/>
      <c r="U436" s="75"/>
      <c r="V436" s="75"/>
      <c r="W436" s="75"/>
      <c r="X436" s="75"/>
      <c r="Y436" s="76"/>
      <c r="Z436" s="75"/>
      <c r="AA436" s="76"/>
      <c r="AB436" s="75"/>
      <c r="AC436" s="75"/>
    </row>
    <row r="437" spans="1:29" ht="25.5">
      <c r="A437" s="76">
        <v>19</v>
      </c>
      <c r="B437" s="76" t="s">
        <v>156</v>
      </c>
      <c r="C437" s="81">
        <v>1300</v>
      </c>
      <c r="D437" s="76">
        <v>650</v>
      </c>
      <c r="E437" s="76" t="s">
        <v>104</v>
      </c>
      <c r="F437" s="81"/>
      <c r="G437" s="76">
        <v>18</v>
      </c>
      <c r="H437" s="75"/>
      <c r="I437" s="75"/>
      <c r="J437" s="76">
        <v>23.4</v>
      </c>
      <c r="K437" s="76">
        <v>11.7</v>
      </c>
      <c r="L437" s="75"/>
      <c r="M437" s="76"/>
      <c r="N437" s="76"/>
      <c r="O437" s="75"/>
      <c r="P437" s="76">
        <v>0.75</v>
      </c>
      <c r="Q437" s="76">
        <v>0.56999999999999995</v>
      </c>
      <c r="R437" s="76">
        <v>1.74</v>
      </c>
      <c r="S437" s="75"/>
      <c r="T437" s="75"/>
      <c r="U437" s="75"/>
      <c r="V437" s="75"/>
      <c r="W437" s="75"/>
      <c r="X437" s="75"/>
      <c r="Y437" s="76"/>
      <c r="Z437" s="75"/>
      <c r="AA437" s="76"/>
      <c r="AB437" s="75"/>
      <c r="AC437" s="75"/>
    </row>
    <row r="438" spans="1:29" ht="25.5">
      <c r="A438" s="76">
        <v>20</v>
      </c>
      <c r="B438" s="76" t="s">
        <v>157</v>
      </c>
      <c r="C438" s="81">
        <v>1300</v>
      </c>
      <c r="D438" s="76">
        <v>650</v>
      </c>
      <c r="E438" s="76">
        <v>0.03</v>
      </c>
      <c r="F438" s="81"/>
      <c r="G438" s="76">
        <v>22</v>
      </c>
      <c r="H438" s="75"/>
      <c r="I438" s="75"/>
      <c r="J438" s="76">
        <v>28.6</v>
      </c>
      <c r="K438" s="76">
        <v>14.3</v>
      </c>
      <c r="L438" s="75"/>
      <c r="M438" s="76"/>
      <c r="N438" s="76"/>
      <c r="O438" s="75"/>
      <c r="P438" s="76">
        <v>0.92</v>
      </c>
      <c r="Q438" s="76">
        <v>0.7</v>
      </c>
      <c r="R438" s="76">
        <v>1.43</v>
      </c>
      <c r="S438" s="75"/>
      <c r="T438" s="75"/>
      <c r="U438" s="75"/>
      <c r="V438" s="75"/>
      <c r="W438" s="75"/>
      <c r="X438" s="75"/>
      <c r="Y438" s="76"/>
      <c r="Z438" s="75"/>
      <c r="AA438" s="76"/>
      <c r="AB438" s="75"/>
      <c r="AC438" s="75"/>
    </row>
    <row r="439" spans="1:29">
      <c r="A439" s="75"/>
      <c r="B439" s="76"/>
      <c r="C439" s="81"/>
      <c r="D439" s="75"/>
      <c r="E439" s="76"/>
      <c r="F439" s="81"/>
      <c r="G439" s="75"/>
      <c r="H439" s="76" t="s">
        <v>104</v>
      </c>
      <c r="I439" s="75"/>
      <c r="J439" s="76"/>
      <c r="K439" s="76"/>
      <c r="L439" s="75"/>
      <c r="M439" s="76"/>
      <c r="N439" s="76"/>
      <c r="O439" s="75"/>
      <c r="P439" s="75"/>
      <c r="Q439" s="75"/>
      <c r="R439" s="75"/>
      <c r="S439" s="75"/>
      <c r="T439" s="75"/>
      <c r="U439" s="75"/>
      <c r="V439" s="75"/>
      <c r="W439" s="75"/>
      <c r="X439" s="75"/>
      <c r="Y439" s="76"/>
      <c r="Z439" s="75"/>
      <c r="AA439" s="76"/>
      <c r="AB439" s="75"/>
      <c r="AC439" s="75"/>
    </row>
    <row r="440" spans="1:29" ht="25.5">
      <c r="A440" s="76">
        <v>21</v>
      </c>
      <c r="B440" s="76" t="s">
        <v>158</v>
      </c>
      <c r="C440" s="81" t="s">
        <v>104</v>
      </c>
      <c r="D440" s="76">
        <v>190</v>
      </c>
      <c r="E440" s="76">
        <v>7.0000000000000007E-2</v>
      </c>
      <c r="F440" s="81"/>
      <c r="G440" s="76" t="s">
        <v>104</v>
      </c>
      <c r="H440" s="76">
        <v>20</v>
      </c>
      <c r="I440" s="75"/>
      <c r="J440" s="76"/>
      <c r="K440" s="76"/>
      <c r="L440" s="75"/>
      <c r="M440" s="76"/>
      <c r="N440" s="76">
        <v>3.8</v>
      </c>
      <c r="O440" s="75"/>
      <c r="P440" s="75"/>
      <c r="Q440" s="75"/>
      <c r="R440" s="75"/>
      <c r="S440" s="75"/>
      <c r="T440" s="76">
        <v>0.62</v>
      </c>
      <c r="U440" s="76">
        <v>0.11</v>
      </c>
      <c r="V440" s="76">
        <v>9.42</v>
      </c>
      <c r="W440" s="75"/>
      <c r="X440" s="75"/>
      <c r="Y440" s="76"/>
      <c r="Z440" s="75"/>
      <c r="AA440" s="76"/>
      <c r="AB440" s="75"/>
      <c r="AC440" s="75"/>
    </row>
    <row r="441" spans="1:29" ht="38.25">
      <c r="A441" s="76">
        <v>22</v>
      </c>
      <c r="B441" s="76" t="s">
        <v>159</v>
      </c>
      <c r="C441" s="81"/>
      <c r="D441" s="76">
        <v>680</v>
      </c>
      <c r="E441" s="76"/>
      <c r="F441" s="81"/>
      <c r="G441" s="75"/>
      <c r="H441" s="76">
        <v>20</v>
      </c>
      <c r="I441" s="75"/>
      <c r="J441" s="76"/>
      <c r="K441" s="76"/>
      <c r="L441" s="75"/>
      <c r="M441" s="76"/>
      <c r="N441" s="76">
        <v>13.6</v>
      </c>
      <c r="O441" s="75"/>
      <c r="P441" s="75"/>
      <c r="Q441" s="75"/>
      <c r="R441" s="75"/>
      <c r="S441" s="75"/>
      <c r="T441" s="76">
        <v>0.62</v>
      </c>
      <c r="U441" s="76">
        <v>0.38</v>
      </c>
      <c r="V441" s="76">
        <v>2.63</v>
      </c>
      <c r="W441" s="75"/>
      <c r="X441" s="75"/>
      <c r="Y441" s="76"/>
      <c r="Z441" s="75"/>
      <c r="AA441" s="76"/>
      <c r="AB441" s="75"/>
      <c r="AC441" s="75"/>
    </row>
    <row r="442" spans="1:29" ht="25.5">
      <c r="A442" s="76">
        <v>23</v>
      </c>
      <c r="B442" s="76" t="s">
        <v>160</v>
      </c>
      <c r="C442" s="81"/>
      <c r="D442" s="76">
        <v>650</v>
      </c>
      <c r="E442" s="76"/>
      <c r="F442" s="81"/>
      <c r="G442" s="75"/>
      <c r="H442" s="76">
        <v>19.8</v>
      </c>
      <c r="I442" s="75"/>
      <c r="J442" s="76"/>
      <c r="K442" s="76"/>
      <c r="L442" s="75"/>
      <c r="M442" s="76"/>
      <c r="N442" s="76">
        <v>12.9</v>
      </c>
      <c r="O442" s="75"/>
      <c r="P442" s="75"/>
      <c r="Q442" s="75"/>
      <c r="R442" s="75"/>
      <c r="S442" s="75"/>
      <c r="T442" s="76">
        <v>0.61</v>
      </c>
      <c r="U442" s="76">
        <v>0.36</v>
      </c>
      <c r="V442" s="76">
        <v>2.78</v>
      </c>
      <c r="W442" s="75"/>
      <c r="X442" s="75"/>
      <c r="Y442" s="76"/>
      <c r="Z442" s="75"/>
      <c r="AA442" s="76"/>
      <c r="AB442" s="75"/>
      <c r="AC442" s="75"/>
    </row>
    <row r="443" spans="1:29">
      <c r="A443" s="76">
        <v>24</v>
      </c>
      <c r="B443" s="76" t="s">
        <v>161</v>
      </c>
      <c r="C443" s="81"/>
      <c r="D443" s="76">
        <v>760</v>
      </c>
      <c r="E443" s="76"/>
      <c r="F443" s="81"/>
      <c r="G443" s="75"/>
      <c r="H443" s="76">
        <v>19</v>
      </c>
      <c r="I443" s="75"/>
      <c r="J443" s="76"/>
      <c r="K443" s="76"/>
      <c r="L443" s="75"/>
      <c r="M443" s="76"/>
      <c r="N443" s="76">
        <v>14.4</v>
      </c>
      <c r="O443" s="75"/>
      <c r="P443" s="75"/>
      <c r="Q443" s="75"/>
      <c r="R443" s="75"/>
      <c r="S443" s="75"/>
      <c r="T443" s="76">
        <v>0.57999999999999996</v>
      </c>
      <c r="U443" s="76">
        <v>0.4</v>
      </c>
      <c r="V443" s="76">
        <v>2.48</v>
      </c>
      <c r="W443" s="75"/>
      <c r="X443" s="75"/>
      <c r="Y443" s="76"/>
      <c r="Z443" s="75"/>
      <c r="AA443" s="76"/>
      <c r="AB443" s="75"/>
      <c r="AC443" s="75"/>
    </row>
    <row r="444" spans="1:29">
      <c r="A444" s="76">
        <v>25</v>
      </c>
      <c r="B444" s="76" t="s">
        <v>162</v>
      </c>
      <c r="C444" s="81"/>
      <c r="D444" s="76">
        <v>770</v>
      </c>
      <c r="E444" s="76"/>
      <c r="F444" s="81"/>
      <c r="G444" s="75"/>
      <c r="H444" s="76">
        <v>21</v>
      </c>
      <c r="I444" s="75"/>
      <c r="J444" s="76"/>
      <c r="K444" s="76"/>
      <c r="L444" s="75"/>
      <c r="M444" s="76"/>
      <c r="N444" s="76">
        <v>16.2</v>
      </c>
      <c r="O444" s="75"/>
      <c r="P444" s="75"/>
      <c r="Q444" s="75"/>
      <c r="R444" s="75"/>
      <c r="S444" s="75"/>
      <c r="T444" s="76">
        <v>0.65</v>
      </c>
      <c r="U444" s="76">
        <v>0.45</v>
      </c>
      <c r="V444" s="76">
        <v>2.21</v>
      </c>
      <c r="W444" s="75"/>
      <c r="X444" s="75"/>
      <c r="Y444" s="76"/>
      <c r="Z444" s="75"/>
      <c r="AA444" s="76"/>
      <c r="AB444" s="75"/>
      <c r="AC444" s="75"/>
    </row>
    <row r="445" spans="1:29" ht="25.5">
      <c r="A445" s="76">
        <v>26</v>
      </c>
      <c r="B445" s="76" t="s">
        <v>163</v>
      </c>
      <c r="C445" s="81"/>
      <c r="D445" s="76">
        <v>540</v>
      </c>
      <c r="E445" s="76"/>
      <c r="F445" s="81"/>
      <c r="G445" s="75"/>
      <c r="H445" s="76">
        <v>20.5</v>
      </c>
      <c r="I445" s="75"/>
      <c r="J445" s="76"/>
      <c r="K445" s="76"/>
      <c r="L445" s="75"/>
      <c r="M445" s="76"/>
      <c r="N445" s="76">
        <v>11.1</v>
      </c>
      <c r="O445" s="75"/>
      <c r="P445" s="75"/>
      <c r="Q445" s="75"/>
      <c r="R445" s="75"/>
      <c r="S445" s="75"/>
      <c r="T445" s="76">
        <v>0.63</v>
      </c>
      <c r="U445" s="76">
        <v>0.31</v>
      </c>
      <c r="V445" s="76">
        <v>3.23</v>
      </c>
      <c r="W445" s="75"/>
      <c r="X445" s="75"/>
      <c r="Y445" s="76"/>
      <c r="Z445" s="75"/>
      <c r="AA445" s="76"/>
      <c r="AB445" s="75"/>
      <c r="AC445" s="75"/>
    </row>
    <row r="446" spans="1:29">
      <c r="A446" s="76">
        <v>27</v>
      </c>
      <c r="B446" s="76" t="s">
        <v>164</v>
      </c>
      <c r="C446" s="76" t="s">
        <v>104</v>
      </c>
      <c r="D446" s="76">
        <v>1100</v>
      </c>
      <c r="E446" s="76"/>
      <c r="F446" s="81"/>
      <c r="G446" s="75"/>
      <c r="H446" s="76">
        <v>32.5</v>
      </c>
      <c r="I446" s="75"/>
      <c r="J446" s="76"/>
      <c r="K446" s="76"/>
      <c r="L446" s="75"/>
      <c r="M446" s="76"/>
      <c r="N446" s="76">
        <v>35.799999999999997</v>
      </c>
      <c r="O446" s="75"/>
      <c r="P446" s="75"/>
      <c r="Q446" s="75"/>
      <c r="R446" s="75"/>
      <c r="S446" s="75"/>
      <c r="T446" s="76">
        <v>1</v>
      </c>
      <c r="U446" s="76">
        <v>1</v>
      </c>
      <c r="V446" s="76">
        <v>1</v>
      </c>
      <c r="W446" s="75"/>
      <c r="X446" s="75"/>
      <c r="Y446" s="76"/>
      <c r="Z446" s="75"/>
      <c r="AA446" s="76"/>
      <c r="AB446" s="75"/>
      <c r="AC446" s="75"/>
    </row>
    <row r="447" spans="1:29">
      <c r="A447" s="76">
        <v>28</v>
      </c>
      <c r="B447" s="76" t="s">
        <v>165</v>
      </c>
      <c r="C447" s="81">
        <v>920</v>
      </c>
      <c r="D447" s="75"/>
      <c r="E447" s="76"/>
      <c r="F447" s="81"/>
      <c r="G447" s="75"/>
      <c r="H447" s="76">
        <v>41.2</v>
      </c>
      <c r="I447" s="75"/>
      <c r="J447" s="76"/>
      <c r="K447" s="76"/>
      <c r="L447" s="75"/>
      <c r="M447" s="76">
        <v>37.9</v>
      </c>
      <c r="N447" s="76"/>
      <c r="O447" s="75"/>
      <c r="P447" s="75"/>
      <c r="Q447" s="75"/>
      <c r="R447" s="75"/>
      <c r="S447" s="75"/>
      <c r="T447" s="76">
        <v>1.27</v>
      </c>
      <c r="U447" s="75"/>
      <c r="V447" s="75"/>
      <c r="W447" s="75"/>
      <c r="X447" s="75"/>
      <c r="Y447" s="76"/>
      <c r="Z447" s="75"/>
      <c r="AA447" s="76"/>
      <c r="AB447" s="75"/>
      <c r="AC447" s="75"/>
    </row>
    <row r="448" spans="1:29">
      <c r="A448" s="76">
        <v>29</v>
      </c>
      <c r="B448" s="76" t="s">
        <v>166</v>
      </c>
      <c r="C448" s="81">
        <v>880</v>
      </c>
      <c r="D448" s="75"/>
      <c r="E448" s="76"/>
      <c r="F448" s="81"/>
      <c r="G448" s="75"/>
      <c r="H448" s="76">
        <v>45.7</v>
      </c>
      <c r="I448" s="75"/>
      <c r="J448" s="76"/>
      <c r="K448" s="76"/>
      <c r="L448" s="75"/>
      <c r="M448" s="76">
        <v>40.200000000000003</v>
      </c>
      <c r="N448" s="76"/>
      <c r="O448" s="75"/>
      <c r="P448" s="75"/>
      <c r="Q448" s="75"/>
      <c r="R448" s="75"/>
      <c r="S448" s="75"/>
      <c r="T448" s="76">
        <v>1.41</v>
      </c>
      <c r="U448" s="75"/>
      <c r="V448" s="75"/>
      <c r="W448" s="75"/>
      <c r="X448" s="75"/>
      <c r="Y448" s="76"/>
      <c r="Z448" s="75"/>
      <c r="AA448" s="76"/>
      <c r="AB448" s="75"/>
      <c r="AC448" s="75"/>
    </row>
    <row r="449" spans="1:29">
      <c r="A449" s="75"/>
      <c r="B449" s="76"/>
      <c r="C449" s="81"/>
      <c r="D449" s="76"/>
      <c r="E449" s="76"/>
      <c r="F449" s="81"/>
      <c r="G449" s="76"/>
      <c r="H449" s="76"/>
      <c r="I449" s="75"/>
      <c r="J449" s="76"/>
      <c r="K449" s="76"/>
      <c r="L449" s="75"/>
      <c r="M449" s="76"/>
      <c r="N449" s="76"/>
      <c r="O449" s="75"/>
      <c r="P449" s="76"/>
      <c r="Q449" s="76"/>
      <c r="R449" s="76"/>
      <c r="S449" s="75"/>
      <c r="T449" s="76"/>
      <c r="U449" s="76"/>
      <c r="V449" s="76"/>
      <c r="W449" s="75"/>
      <c r="X449" s="76"/>
      <c r="Y449" s="76"/>
      <c r="Z449" s="76"/>
      <c r="AA449" s="76"/>
      <c r="AB449" s="75"/>
      <c r="AC449" s="75"/>
    </row>
    <row r="452" spans="1:29">
      <c r="A452" s="21" t="s">
        <v>167</v>
      </c>
    </row>
    <row r="453" spans="1:29">
      <c r="A453" s="21"/>
    </row>
    <row r="454" spans="1:29">
      <c r="K454" s="4" t="s">
        <v>168</v>
      </c>
    </row>
    <row r="455" spans="1:29">
      <c r="J455" s="4" t="s">
        <v>59</v>
      </c>
      <c r="K455" s="4">
        <f>AVERAGE(720,775)</f>
        <v>747.5</v>
      </c>
    </row>
    <row r="456" spans="1:29">
      <c r="J456" s="4" t="s">
        <v>166</v>
      </c>
      <c r="K456" s="4">
        <f>AVERAGE(820,845)</f>
        <v>832.5</v>
      </c>
    </row>
    <row r="462" spans="1:29">
      <c r="J462" s="4" t="s">
        <v>169</v>
      </c>
      <c r="K462" s="4">
        <v>791.5</v>
      </c>
    </row>
    <row r="463" spans="1:29">
      <c r="J463" s="4" t="s">
        <v>165</v>
      </c>
      <c r="K463" s="4">
        <f>AVERAGE(860,900)</f>
        <v>880</v>
      </c>
    </row>
    <row r="535" spans="1:14">
      <c r="A535" s="84" t="s">
        <v>170</v>
      </c>
      <c r="B535" s="22"/>
      <c r="C535" s="22"/>
      <c r="D535" s="22"/>
      <c r="E535" s="22"/>
      <c r="F535" s="22"/>
      <c r="G535" s="22"/>
      <c r="H535" s="22"/>
      <c r="I535" s="22"/>
      <c r="J535" s="22"/>
      <c r="K535" s="22"/>
      <c r="L535" s="22"/>
      <c r="M535" s="22"/>
      <c r="N535" s="22"/>
    </row>
    <row r="536" spans="1:14">
      <c r="A536" s="85" t="s">
        <v>171</v>
      </c>
      <c r="B536" s="22"/>
      <c r="C536" s="22"/>
      <c r="D536" s="22"/>
      <c r="E536" s="22"/>
      <c r="F536" s="22"/>
      <c r="G536" s="22"/>
      <c r="H536" s="22"/>
      <c r="I536" s="22"/>
      <c r="J536" s="22"/>
      <c r="K536" s="22"/>
      <c r="L536" s="22"/>
      <c r="M536" s="22"/>
      <c r="N536" s="22"/>
    </row>
    <row r="537" spans="1:14">
      <c r="A537" s="22"/>
      <c r="B537" s="22"/>
      <c r="C537" s="22"/>
      <c r="D537" s="22"/>
      <c r="E537" s="22"/>
      <c r="F537" s="22"/>
      <c r="G537" s="22"/>
      <c r="H537" s="22"/>
      <c r="I537" s="22"/>
      <c r="J537" s="22"/>
      <c r="K537" s="22"/>
      <c r="L537" s="22"/>
      <c r="M537" s="22"/>
      <c r="N537" s="22"/>
    </row>
    <row r="538" spans="1:14" ht="15">
      <c r="A538" s="86" t="s">
        <v>172</v>
      </c>
      <c r="B538" s="22"/>
      <c r="C538" s="22"/>
      <c r="D538" s="22"/>
      <c r="E538" s="22"/>
      <c r="F538" s="22"/>
      <c r="G538" s="22"/>
      <c r="H538" s="22"/>
      <c r="I538" s="22"/>
      <c r="J538" s="22"/>
      <c r="K538" s="22"/>
      <c r="L538" s="22"/>
      <c r="M538" s="22"/>
      <c r="N538" s="22"/>
    </row>
    <row r="539" spans="1:14" ht="15">
      <c r="A539" s="87" t="s">
        <v>173</v>
      </c>
      <c r="B539" s="22"/>
      <c r="C539" s="22"/>
      <c r="D539" s="22"/>
      <c r="E539" s="22"/>
      <c r="F539" s="22"/>
      <c r="G539" s="22"/>
      <c r="H539" s="22"/>
      <c r="I539" s="22"/>
      <c r="J539" s="22"/>
      <c r="K539" s="22"/>
      <c r="L539" s="22"/>
      <c r="M539" s="22"/>
      <c r="N539" s="22"/>
    </row>
    <row r="540" spans="1:14" ht="15">
      <c r="A540" s="87" t="s">
        <v>174</v>
      </c>
      <c r="B540" s="22"/>
      <c r="C540" s="22"/>
      <c r="D540" s="22"/>
      <c r="E540" s="22"/>
      <c r="F540" s="22"/>
      <c r="G540" s="22"/>
      <c r="H540" s="22"/>
      <c r="I540" s="22"/>
      <c r="J540" s="22"/>
      <c r="K540" s="22"/>
      <c r="L540" s="22"/>
      <c r="M540" s="22"/>
      <c r="N540" s="22"/>
    </row>
    <row r="541" spans="1:14" ht="15">
      <c r="A541" s="87" t="s">
        <v>175</v>
      </c>
      <c r="B541" s="22"/>
      <c r="C541" s="22"/>
      <c r="D541" s="22"/>
      <c r="E541" s="22"/>
      <c r="F541" s="22"/>
      <c r="G541" s="22"/>
      <c r="H541" s="22"/>
      <c r="I541" s="22"/>
      <c r="J541" s="22"/>
      <c r="K541" s="22"/>
      <c r="L541" s="22"/>
      <c r="M541" s="22"/>
      <c r="N541" s="22"/>
    </row>
    <row r="542" spans="1:14" ht="15">
      <c r="A542" s="87" t="s">
        <v>176</v>
      </c>
      <c r="B542" s="22"/>
      <c r="C542" s="22"/>
      <c r="D542" s="22"/>
      <c r="E542" s="22"/>
      <c r="F542" s="22"/>
      <c r="G542" s="22"/>
      <c r="H542" s="22"/>
      <c r="I542" s="22"/>
      <c r="J542" s="22"/>
      <c r="K542" s="22"/>
      <c r="L542" s="22"/>
      <c r="M542" s="22"/>
      <c r="N542" s="22"/>
    </row>
    <row r="543" spans="1:14">
      <c r="A543" s="22"/>
      <c r="B543" s="22"/>
      <c r="C543" s="22"/>
      <c r="D543" s="22"/>
      <c r="E543" s="22"/>
      <c r="F543" s="22"/>
      <c r="G543" s="22"/>
      <c r="H543" s="22"/>
      <c r="I543" s="22"/>
      <c r="J543" s="22"/>
      <c r="K543" s="22"/>
      <c r="L543" s="22"/>
      <c r="M543" s="22"/>
      <c r="N543" s="22"/>
    </row>
    <row r="544" spans="1:14" ht="15">
      <c r="A544" s="88" t="s">
        <v>177</v>
      </c>
      <c r="B544" s="22"/>
      <c r="C544" s="22"/>
      <c r="D544" s="22"/>
      <c r="E544" s="22"/>
      <c r="F544" s="22"/>
      <c r="G544" s="22"/>
      <c r="H544" s="22"/>
      <c r="I544" s="22"/>
      <c r="J544" s="22"/>
      <c r="K544" s="22"/>
      <c r="L544" s="22"/>
      <c r="M544" s="22"/>
      <c r="N544" s="22"/>
    </row>
    <row r="545" spans="1:14" ht="15">
      <c r="A545" s="88" t="s">
        <v>178</v>
      </c>
      <c r="B545" s="22"/>
      <c r="C545" s="22"/>
      <c r="D545" s="22"/>
      <c r="E545" s="22"/>
      <c r="F545" s="22"/>
      <c r="G545" s="22"/>
      <c r="H545" s="22"/>
      <c r="I545" s="22"/>
      <c r="J545" s="22"/>
      <c r="K545" s="22"/>
      <c r="L545" s="22"/>
      <c r="M545" s="22"/>
      <c r="N545" s="22"/>
    </row>
    <row r="546" spans="1:14" ht="17.25">
      <c r="A546" s="88" t="s">
        <v>179</v>
      </c>
      <c r="B546" s="22"/>
      <c r="C546" s="22"/>
      <c r="D546" s="22"/>
      <c r="E546" s="22"/>
      <c r="F546" s="22"/>
      <c r="G546" s="22"/>
      <c r="H546" s="22"/>
      <c r="I546" s="22"/>
      <c r="J546" s="22"/>
      <c r="K546" s="22"/>
      <c r="L546" s="22"/>
      <c r="M546" s="22"/>
      <c r="N546" s="22"/>
    </row>
    <row r="547" spans="1:14" ht="15">
      <c r="A547" s="88" t="s">
        <v>180</v>
      </c>
      <c r="B547" s="22"/>
      <c r="C547" s="22"/>
      <c r="D547" s="22"/>
      <c r="E547" s="22"/>
      <c r="F547" s="22"/>
      <c r="G547" s="22"/>
      <c r="H547" s="22"/>
      <c r="I547" s="22"/>
      <c r="J547" s="22"/>
      <c r="K547" s="22"/>
      <c r="L547" s="22"/>
      <c r="M547" s="22"/>
      <c r="N547" s="22"/>
    </row>
    <row r="548" spans="1:14" ht="17.25">
      <c r="A548" s="88" t="s">
        <v>181</v>
      </c>
      <c r="B548" s="22"/>
      <c r="C548" s="22"/>
      <c r="D548" s="22"/>
      <c r="E548" s="22"/>
      <c r="F548" s="22"/>
      <c r="G548" s="22"/>
      <c r="H548" s="22"/>
      <c r="I548" s="22"/>
      <c r="J548" s="22"/>
      <c r="K548" s="22"/>
      <c r="L548" s="22"/>
      <c r="M548" s="22"/>
      <c r="N548" s="22"/>
    </row>
    <row r="549" spans="1:14">
      <c r="A549" s="89"/>
      <c r="B549" s="22"/>
      <c r="C549" s="22"/>
      <c r="D549" s="22"/>
      <c r="E549" s="22"/>
      <c r="F549" s="22"/>
      <c r="G549" s="22"/>
      <c r="H549" s="22"/>
      <c r="I549" s="22"/>
      <c r="J549" s="22"/>
      <c r="K549" s="22"/>
      <c r="L549" s="22"/>
      <c r="M549" s="22"/>
      <c r="N549" s="22"/>
    </row>
    <row r="550" spans="1:14" ht="15">
      <c r="A550" s="88" t="s">
        <v>182</v>
      </c>
      <c r="B550" s="22"/>
      <c r="C550" s="22"/>
      <c r="D550" s="22"/>
      <c r="E550" s="22"/>
      <c r="F550" s="22"/>
      <c r="G550" s="22"/>
      <c r="H550" s="22"/>
      <c r="I550" s="22"/>
      <c r="J550" s="22"/>
      <c r="K550" s="22"/>
      <c r="L550" s="22"/>
      <c r="M550" s="22"/>
      <c r="N550" s="22"/>
    </row>
    <row r="551" spans="1:14" ht="15.75" thickBot="1">
      <c r="A551" s="90" t="s">
        <v>183</v>
      </c>
      <c r="B551" s="22"/>
      <c r="C551" s="22"/>
      <c r="D551" s="22"/>
      <c r="E551" s="22"/>
      <c r="F551" s="22"/>
      <c r="G551" s="22"/>
      <c r="H551" s="22"/>
      <c r="I551" s="22"/>
      <c r="J551" s="22"/>
      <c r="K551" s="22"/>
      <c r="L551" s="22"/>
      <c r="M551" s="22"/>
      <c r="N551" s="22"/>
    </row>
    <row r="552" spans="1:14" ht="15">
      <c r="A552" s="88" t="s">
        <v>184</v>
      </c>
      <c r="B552" s="22"/>
      <c r="C552" s="22"/>
      <c r="D552" s="22"/>
      <c r="E552" s="22"/>
      <c r="F552" s="22"/>
      <c r="G552" s="22"/>
      <c r="H552" s="22"/>
      <c r="I552" s="22"/>
      <c r="J552" s="22"/>
      <c r="K552" s="22"/>
      <c r="L552" s="22"/>
      <c r="M552" s="22"/>
      <c r="N552" s="22"/>
    </row>
    <row r="553" spans="1:14" ht="15">
      <c r="A553" s="91" t="s">
        <v>185</v>
      </c>
      <c r="B553" s="22"/>
      <c r="C553" s="22"/>
      <c r="D553" s="22"/>
      <c r="E553" s="22"/>
      <c r="F553" s="22"/>
      <c r="G553" s="22"/>
      <c r="H553" s="22"/>
      <c r="I553" s="22"/>
      <c r="J553" s="22"/>
      <c r="K553" s="22"/>
      <c r="L553" s="22"/>
      <c r="M553" s="22"/>
      <c r="N553" s="22"/>
    </row>
    <row r="554" spans="1:14" ht="18" thickBot="1">
      <c r="A554" s="90" t="s">
        <v>186</v>
      </c>
      <c r="B554" s="22"/>
      <c r="C554" s="22"/>
      <c r="D554" s="22"/>
      <c r="E554" s="22"/>
      <c r="F554" s="22"/>
      <c r="G554" s="22"/>
      <c r="H554" s="22"/>
      <c r="I554" s="22"/>
      <c r="J554" s="22"/>
      <c r="K554" s="22"/>
      <c r="L554" s="22"/>
      <c r="M554" s="22"/>
      <c r="N554" s="22"/>
    </row>
    <row r="555" spans="1:14" ht="15">
      <c r="A555" s="88" t="s">
        <v>187</v>
      </c>
      <c r="B555" s="22"/>
      <c r="C555" s="22"/>
      <c r="D555" s="22"/>
      <c r="E555" s="22"/>
      <c r="F555" s="22"/>
      <c r="G555" s="22"/>
      <c r="H555" s="22"/>
      <c r="I555" s="22"/>
      <c r="J555" s="22"/>
      <c r="K555" s="22"/>
      <c r="L555" s="22"/>
      <c r="M555" s="22"/>
      <c r="N555" s="22"/>
    </row>
    <row r="556" spans="1:14" ht="18" thickBot="1">
      <c r="A556" s="90" t="s">
        <v>188</v>
      </c>
      <c r="B556" s="22"/>
      <c r="C556" s="22"/>
      <c r="D556" s="22"/>
      <c r="E556" s="22"/>
      <c r="F556" s="22"/>
      <c r="G556" s="22"/>
      <c r="H556" s="22"/>
      <c r="I556" s="22"/>
      <c r="J556" s="22"/>
      <c r="K556" s="22"/>
      <c r="L556" s="22"/>
      <c r="M556" s="22"/>
      <c r="N556" s="22"/>
    </row>
    <row r="557" spans="1:14" ht="15">
      <c r="A557" s="88" t="s">
        <v>189</v>
      </c>
      <c r="B557" s="22"/>
      <c r="C557" s="22"/>
      <c r="D557" s="22"/>
      <c r="E557" s="22"/>
      <c r="F557" s="22"/>
      <c r="G557" s="22"/>
      <c r="H557" s="22"/>
      <c r="I557" s="22"/>
      <c r="J557" s="22"/>
      <c r="K557" s="22"/>
      <c r="L557" s="22"/>
      <c r="M557" s="22"/>
      <c r="N557" s="22"/>
    </row>
    <row r="558" spans="1:14" ht="15.75" thickBot="1">
      <c r="A558" s="90" t="s">
        <v>190</v>
      </c>
      <c r="B558" s="22"/>
      <c r="C558" s="22"/>
      <c r="D558" s="22"/>
      <c r="E558" s="22"/>
      <c r="F558" s="22"/>
      <c r="G558" s="22"/>
      <c r="H558" s="22"/>
      <c r="I558" s="22"/>
      <c r="J558" s="22"/>
      <c r="K558" s="22"/>
      <c r="L558" s="22"/>
      <c r="M558" s="22"/>
      <c r="N558" s="22"/>
    </row>
    <row r="559" spans="1:14" ht="17.25">
      <c r="A559" s="88" t="s">
        <v>191</v>
      </c>
      <c r="B559" s="22"/>
      <c r="C559" s="22"/>
      <c r="D559" s="22"/>
      <c r="E559" s="22"/>
      <c r="F559" s="22"/>
      <c r="G559" s="22"/>
      <c r="H559" s="22"/>
      <c r="I559" s="22"/>
      <c r="J559" s="22"/>
      <c r="K559" s="22"/>
      <c r="L559" s="22"/>
      <c r="M559" s="22"/>
      <c r="N559" s="22"/>
    </row>
    <row r="560" spans="1:14">
      <c r="A560" s="22"/>
      <c r="B560" s="22"/>
      <c r="C560" s="22"/>
      <c r="D560" s="22"/>
      <c r="E560" s="22"/>
      <c r="F560" s="22"/>
      <c r="G560" s="22"/>
      <c r="H560" s="22"/>
      <c r="I560" s="22"/>
      <c r="J560" s="22"/>
      <c r="K560" s="22"/>
      <c r="L560" s="22"/>
      <c r="M560" s="22"/>
      <c r="N560" s="22"/>
    </row>
    <row r="561" spans="1:16">
      <c r="A561" s="84" t="s">
        <v>192</v>
      </c>
      <c r="B561" s="22"/>
      <c r="C561" s="22"/>
      <c r="D561" s="22"/>
      <c r="E561" s="22"/>
      <c r="F561" s="22"/>
      <c r="G561" s="22"/>
      <c r="H561" s="22"/>
      <c r="I561" s="22"/>
      <c r="J561" s="22"/>
      <c r="K561" s="22"/>
      <c r="L561" s="22"/>
      <c r="M561" s="22"/>
      <c r="N561" s="22"/>
    </row>
    <row r="562" spans="1:16">
      <c r="A562" s="84"/>
      <c r="B562" s="22" t="s">
        <v>57</v>
      </c>
      <c r="C562" s="22" t="s">
        <v>57</v>
      </c>
      <c r="D562" s="22" t="s">
        <v>72</v>
      </c>
      <c r="E562" s="22" t="s">
        <v>72</v>
      </c>
      <c r="F562" s="22"/>
      <c r="G562" s="22"/>
      <c r="H562" s="22"/>
      <c r="I562" s="22"/>
      <c r="J562" s="22"/>
      <c r="K562" s="22"/>
      <c r="L562" s="22"/>
      <c r="M562" s="22"/>
      <c r="N562" s="22"/>
      <c r="O562" s="22"/>
      <c r="P562" s="22"/>
    </row>
    <row r="563" spans="1:16">
      <c r="A563" s="22"/>
      <c r="B563" s="22" t="s">
        <v>73</v>
      </c>
      <c r="C563" s="22" t="s">
        <v>58</v>
      </c>
      <c r="D563" s="22" t="s">
        <v>73</v>
      </c>
      <c r="E563" s="22" t="s">
        <v>58</v>
      </c>
      <c r="F563" s="22" t="s">
        <v>193</v>
      </c>
      <c r="G563" s="22" t="s">
        <v>84</v>
      </c>
      <c r="H563" s="22" t="s">
        <v>194</v>
      </c>
      <c r="I563" s="22" t="s">
        <v>195</v>
      </c>
      <c r="J563" s="22" t="s">
        <v>196</v>
      </c>
      <c r="K563" s="22" t="s">
        <v>197</v>
      </c>
      <c r="L563" s="22" t="s">
        <v>198</v>
      </c>
      <c r="M563" s="22" t="s">
        <v>97</v>
      </c>
      <c r="N563" s="22"/>
      <c r="O563" s="22"/>
      <c r="P563" s="22"/>
    </row>
    <row r="564" spans="1:16">
      <c r="A564" s="22" t="s">
        <v>59</v>
      </c>
      <c r="B564" s="22">
        <v>32</v>
      </c>
      <c r="C564" s="22">
        <v>43.5</v>
      </c>
      <c r="D564" s="4">
        <v>35</v>
      </c>
      <c r="E564" s="4">
        <v>47.3</v>
      </c>
      <c r="F564" s="92">
        <f>B564/C564</f>
        <v>0.73563218390804597</v>
      </c>
      <c r="G564" s="22"/>
      <c r="H564" s="22"/>
      <c r="I564" s="22"/>
      <c r="J564" s="22"/>
      <c r="K564" s="22"/>
      <c r="L564" s="22"/>
      <c r="M564" s="22"/>
      <c r="N564" s="22"/>
      <c r="O564" s="22"/>
      <c r="P564" s="22"/>
    </row>
    <row r="565" spans="1:16">
      <c r="A565" s="22" t="s">
        <v>166</v>
      </c>
      <c r="B565" s="22">
        <v>36.4</v>
      </c>
      <c r="C565" s="22">
        <v>42.8</v>
      </c>
      <c r="F565" s="92">
        <f>B565/C565</f>
        <v>0.85046728971962615</v>
      </c>
      <c r="G565" s="22"/>
      <c r="H565" s="22"/>
      <c r="I565" s="22"/>
      <c r="J565" s="22"/>
      <c r="K565" s="22"/>
      <c r="L565" s="22"/>
      <c r="M565" s="22"/>
      <c r="N565" s="22"/>
      <c r="O565" s="22"/>
      <c r="P565" s="22"/>
    </row>
    <row r="566" spans="1:16">
      <c r="A566" s="22" t="s">
        <v>34</v>
      </c>
      <c r="B566" s="22">
        <v>21.1</v>
      </c>
      <c r="C566" s="22">
        <v>26.7</v>
      </c>
      <c r="F566" s="92">
        <f>B566/C566</f>
        <v>0.79026217228464424</v>
      </c>
      <c r="G566" s="22"/>
      <c r="H566" s="22"/>
      <c r="I566" s="22"/>
      <c r="J566" s="22"/>
      <c r="K566" s="22"/>
      <c r="L566" s="22"/>
      <c r="M566" s="22"/>
      <c r="N566" s="22"/>
      <c r="O566" s="22"/>
      <c r="P566" s="22"/>
    </row>
    <row r="567" spans="1:16">
      <c r="A567" s="22" t="s">
        <v>199</v>
      </c>
      <c r="B567" s="92">
        <f>C567*F567</f>
        <v>33.263999999999996</v>
      </c>
      <c r="C567" s="22">
        <v>37.799999999999997</v>
      </c>
      <c r="F567" s="22">
        <v>0.88</v>
      </c>
      <c r="G567" s="22"/>
      <c r="H567" s="22"/>
      <c r="I567" s="22"/>
      <c r="J567" s="22"/>
      <c r="K567" s="22"/>
      <c r="L567" s="22"/>
      <c r="M567" s="22"/>
      <c r="N567" s="22"/>
      <c r="O567" s="22"/>
      <c r="P567" s="22"/>
    </row>
    <row r="568" spans="1:16">
      <c r="A568" s="22" t="s">
        <v>200</v>
      </c>
      <c r="B568" s="93">
        <f>K568/Convert!B10*Convert!B7/10^6</f>
        <v>33.447820343461032</v>
      </c>
      <c r="C568" s="94">
        <f>B568/F568</f>
        <v>38.008886753932991</v>
      </c>
      <c r="F568" s="22">
        <f>F567</f>
        <v>0.88</v>
      </c>
      <c r="G568" s="22"/>
      <c r="H568" s="22"/>
      <c r="I568" s="22"/>
      <c r="J568" s="22"/>
      <c r="K568" s="95">
        <v>120000</v>
      </c>
      <c r="L568" s="22"/>
      <c r="M568" s="22"/>
      <c r="N568" s="22"/>
      <c r="O568" s="12" t="s">
        <v>201</v>
      </c>
      <c r="P568" s="22"/>
    </row>
    <row r="569" spans="1:16">
      <c r="A569" s="22" t="s">
        <v>202</v>
      </c>
      <c r="B569" s="92">
        <f>C569*F569</f>
        <v>25.305000000000003</v>
      </c>
      <c r="C569" s="22">
        <v>24.1</v>
      </c>
      <c r="F569" s="22">
        <v>1.05</v>
      </c>
      <c r="G569" s="22"/>
      <c r="H569" s="22"/>
      <c r="I569" s="22"/>
      <c r="J569" s="22"/>
      <c r="K569" s="96"/>
      <c r="L569" s="22"/>
      <c r="M569" s="22"/>
      <c r="N569" s="22"/>
      <c r="O569" s="12" t="s">
        <v>203</v>
      </c>
      <c r="P569" s="22"/>
    </row>
    <row r="570" spans="1:16">
      <c r="A570" s="22" t="s">
        <v>38</v>
      </c>
      <c r="B570" s="92">
        <f>C570*F570</f>
        <v>15.070500000000001</v>
      </c>
      <c r="C570" s="22">
        <v>20.094000000000001</v>
      </c>
      <c r="F570" s="22">
        <v>0.75</v>
      </c>
      <c r="G570" s="22"/>
      <c r="H570" s="22"/>
      <c r="I570" s="22"/>
      <c r="J570" s="22"/>
      <c r="K570" s="96"/>
      <c r="L570" s="22"/>
      <c r="M570" s="22"/>
      <c r="N570" s="22"/>
      <c r="O570" s="12" t="s">
        <v>204</v>
      </c>
      <c r="P570" s="22"/>
    </row>
    <row r="571" spans="1:16">
      <c r="A571" s="22"/>
      <c r="B571" s="22"/>
      <c r="C571" s="22"/>
      <c r="F571" s="22"/>
      <c r="G571" s="22"/>
      <c r="H571" s="22"/>
      <c r="I571" s="22"/>
      <c r="J571" s="22"/>
      <c r="K571" s="22"/>
      <c r="L571" s="22"/>
      <c r="M571" s="22"/>
      <c r="N571" s="22"/>
      <c r="O571" s="12"/>
      <c r="P571" s="22"/>
    </row>
    <row r="572" spans="1:16">
      <c r="A572" s="22" t="s">
        <v>205</v>
      </c>
      <c r="B572" s="22"/>
      <c r="C572" s="97">
        <v>29</v>
      </c>
      <c r="F572" s="22"/>
      <c r="G572" s="22"/>
      <c r="H572" s="22"/>
      <c r="I572" s="22"/>
      <c r="J572" s="22"/>
      <c r="K572" s="22"/>
      <c r="L572" s="22"/>
      <c r="M572" s="22"/>
      <c r="N572" s="22"/>
      <c r="O572" s="22"/>
      <c r="P572" s="22"/>
    </row>
    <row r="573" spans="1:16">
      <c r="A573" s="22" t="s">
        <v>206</v>
      </c>
      <c r="B573" s="92"/>
      <c r="C573" s="89">
        <f>O573</f>
        <v>41.868000000000002</v>
      </c>
      <c r="F573" s="89"/>
      <c r="G573" s="22"/>
      <c r="H573" s="22"/>
      <c r="I573" s="22"/>
      <c r="J573" s="22"/>
      <c r="K573" s="22"/>
      <c r="L573" s="22"/>
      <c r="M573" s="22"/>
      <c r="N573" s="22"/>
      <c r="O573" s="22">
        <v>41.868000000000002</v>
      </c>
      <c r="P573" s="22" t="s">
        <v>207</v>
      </c>
    </row>
    <row r="574" spans="1:16">
      <c r="A574" s="98" t="s">
        <v>33</v>
      </c>
      <c r="B574" s="99"/>
      <c r="C574" s="98">
        <f>I574*10^3/Convert!$B$7</f>
        <v>189.53554502369667</v>
      </c>
      <c r="F574" s="100"/>
      <c r="G574" s="22">
        <f>H574*(3.3^3)/10^3</f>
        <v>10.42173</v>
      </c>
      <c r="H574" s="22">
        <v>290</v>
      </c>
      <c r="I574" s="22">
        <v>199.96</v>
      </c>
      <c r="J574" s="22"/>
      <c r="K574" s="22"/>
      <c r="L574" s="22"/>
      <c r="M574" s="22"/>
      <c r="N574" s="22"/>
      <c r="O574" s="12" t="s">
        <v>208</v>
      </c>
      <c r="P574" s="22"/>
    </row>
    <row r="575" spans="1:16">
      <c r="A575" s="98" t="s">
        <v>62</v>
      </c>
      <c r="B575" s="99"/>
      <c r="C575" s="98">
        <f>I575*10^3/Convert!$B$7</f>
        <v>44.672985781990519</v>
      </c>
      <c r="F575" s="22"/>
      <c r="G575" s="22">
        <f>H575*(3.3^3)/10^3</f>
        <v>35.326070999999999</v>
      </c>
      <c r="H575" s="22">
        <v>983</v>
      </c>
      <c r="I575" s="22">
        <v>47.13</v>
      </c>
      <c r="J575" s="22"/>
      <c r="K575" s="22"/>
      <c r="L575" s="22"/>
      <c r="M575" s="22"/>
      <c r="N575" s="22"/>
      <c r="O575" s="12" t="s">
        <v>208</v>
      </c>
      <c r="P575" s="22"/>
    </row>
    <row r="576" spans="1:16">
      <c r="A576" s="98"/>
      <c r="B576" s="99"/>
      <c r="C576" s="98"/>
      <c r="D576" s="22"/>
      <c r="E576" s="22"/>
      <c r="F576" s="22"/>
      <c r="G576" s="22"/>
      <c r="H576" s="22"/>
      <c r="I576" s="22"/>
      <c r="J576" s="22"/>
      <c r="K576" s="22"/>
      <c r="L576" s="22"/>
      <c r="M576" s="12"/>
      <c r="N576" s="22"/>
    </row>
    <row r="577" spans="1:22">
      <c r="A577" s="84" t="s">
        <v>209</v>
      </c>
      <c r="B577" s="22"/>
      <c r="C577" s="101"/>
      <c r="D577" s="22"/>
      <c r="E577" s="22"/>
      <c r="F577" s="22"/>
      <c r="G577" s="22"/>
      <c r="H577" s="22"/>
      <c r="I577" s="22"/>
      <c r="J577" s="22"/>
      <c r="K577" s="102"/>
      <c r="L577" s="22"/>
      <c r="M577" s="22"/>
      <c r="N577" s="22"/>
    </row>
    <row r="578" spans="1:22" s="104" customFormat="1">
      <c r="A578" s="103" t="s">
        <v>210</v>
      </c>
    </row>
    <row r="579" spans="1:22" s="104" customFormat="1"/>
    <row r="580" spans="1:22" s="104" customFormat="1"/>
    <row r="581" spans="1:22" s="104" customFormat="1"/>
    <row r="582" spans="1:22" s="104" customFormat="1"/>
    <row r="583" spans="1:22" s="104" customFormat="1"/>
    <row r="584" spans="1:22" s="104" customFormat="1"/>
    <row r="585" spans="1:22" s="104" customFormat="1"/>
    <row r="586" spans="1:22" s="104" customFormat="1"/>
    <row r="587" spans="1:22" s="104" customFormat="1"/>
    <row r="588" spans="1:22" s="104" customFormat="1"/>
    <row r="589" spans="1:22" s="104" customFormat="1">
      <c r="R589" s="104" t="s">
        <v>211</v>
      </c>
    </row>
    <row r="590" spans="1:22" s="104" customFormat="1">
      <c r="P590" s="104" t="s">
        <v>59</v>
      </c>
      <c r="R590" s="105"/>
      <c r="U590" s="106"/>
      <c r="V590" s="107"/>
    </row>
    <row r="591" spans="1:22" s="104" customFormat="1">
      <c r="P591" s="104" t="s">
        <v>166</v>
      </c>
      <c r="R591" s="104">
        <v>69.7</v>
      </c>
      <c r="U591" s="106"/>
      <c r="V591" s="106"/>
    </row>
    <row r="592" spans="1:22" s="104" customFormat="1">
      <c r="P592" s="104" t="s">
        <v>169</v>
      </c>
      <c r="R592" s="104">
        <v>62.5</v>
      </c>
      <c r="S592" s="105"/>
      <c r="U592" s="106"/>
      <c r="V592" s="106"/>
    </row>
    <row r="593" spans="16:22" s="104" customFormat="1">
      <c r="P593" s="104" t="s">
        <v>165</v>
      </c>
      <c r="R593" s="104">
        <v>89</v>
      </c>
      <c r="S593" s="108"/>
      <c r="U593" s="106"/>
    </row>
    <row r="594" spans="16:22" s="104" customFormat="1">
      <c r="P594" s="104" t="s">
        <v>75</v>
      </c>
      <c r="R594" s="104">
        <v>54.4</v>
      </c>
      <c r="U594" s="106"/>
      <c r="V594" s="106"/>
    </row>
    <row r="595" spans="16:22" s="104" customFormat="1">
      <c r="P595" s="104" t="s">
        <v>133</v>
      </c>
      <c r="R595" s="104">
        <v>59.4</v>
      </c>
      <c r="S595" s="105"/>
      <c r="U595" s="106"/>
      <c r="V595" s="106"/>
    </row>
    <row r="596" spans="16:22" s="104" customFormat="1"/>
    <row r="597" spans="16:22" s="104" customFormat="1"/>
    <row r="598" spans="16:22" s="104" customFormat="1"/>
    <row r="599" spans="16:22" s="104" customFormat="1"/>
    <row r="600" spans="16:22" s="104" customFormat="1"/>
    <row r="601" spans="16:22" s="104" customFormat="1"/>
    <row r="602" spans="16:22" s="104" customFormat="1"/>
    <row r="603" spans="16:22" s="104" customFormat="1"/>
    <row r="604" spans="16:22" s="104" customFormat="1"/>
    <row r="605" spans="16:22" s="104" customFormat="1"/>
    <row r="606" spans="16:22" s="104" customFormat="1"/>
    <row r="607" spans="16:22" s="104" customFormat="1"/>
    <row r="608" spans="16:22" s="104" customFormat="1"/>
    <row r="609" s="104" customFormat="1"/>
    <row r="610" s="104" customFormat="1"/>
    <row r="611" s="104" customFormat="1"/>
    <row r="612" s="104" customFormat="1"/>
    <row r="613" s="104" customFormat="1"/>
    <row r="614" s="104" customFormat="1"/>
    <row r="615" s="104" customFormat="1"/>
    <row r="616" s="104" customFormat="1"/>
    <row r="617" s="104" customFormat="1"/>
    <row r="618" s="104" customFormat="1"/>
    <row r="619" s="104" customFormat="1"/>
    <row r="620" s="104" customFormat="1"/>
    <row r="621" s="104" customFormat="1"/>
    <row r="622" s="104" customFormat="1"/>
    <row r="623" s="104" customFormat="1"/>
    <row r="624" s="104" customFormat="1"/>
    <row r="625" spans="1:19" s="104" customFormat="1"/>
    <row r="626" spans="1:19" s="104" customFormat="1"/>
    <row r="627" spans="1:19" s="104" customFormat="1"/>
    <row r="628" spans="1:19" s="104" customFormat="1"/>
    <row r="629" spans="1:19" s="104" customFormat="1"/>
    <row r="630" spans="1:19" s="104" customFormat="1"/>
    <row r="631" spans="1:19" s="104" customFormat="1"/>
    <row r="632" spans="1:19" s="104" customFormat="1"/>
    <row r="633" spans="1:19" s="104" customFormat="1"/>
    <row r="634" spans="1:19" s="104" customFormat="1"/>
    <row r="635" spans="1:19" s="104" customFormat="1"/>
    <row r="636" spans="1:19" s="104" customFormat="1"/>
    <row r="637" spans="1:19" s="104" customFormat="1"/>
    <row r="638" spans="1:19" s="104" customFormat="1">
      <c r="R638" s="104" t="s">
        <v>72</v>
      </c>
      <c r="S638" s="104" t="s">
        <v>57</v>
      </c>
    </row>
    <row r="639" spans="1:19" s="104" customFormat="1"/>
    <row r="640" spans="1:19" s="104" customFormat="1">
      <c r="A640" s="109" t="s">
        <v>212</v>
      </c>
    </row>
    <row r="641" spans="1:19" s="104" customFormat="1">
      <c r="A641" s="12" t="s">
        <v>213</v>
      </c>
    </row>
    <row r="642" spans="1:19" s="104" customFormat="1">
      <c r="R642" s="104" t="s">
        <v>58</v>
      </c>
      <c r="S642" s="104" t="s">
        <v>58</v>
      </c>
    </row>
    <row r="643" spans="1:19">
      <c r="P643" s="4" t="str">
        <f>A186</f>
        <v>Gasoline</v>
      </c>
      <c r="R643" s="4">
        <v>46.7</v>
      </c>
      <c r="S643" s="4">
        <v>42.5</v>
      </c>
    </row>
    <row r="644" spans="1:19">
      <c r="P644" s="4" t="str">
        <f>A187</f>
        <v>Gas/diesel oil</v>
      </c>
      <c r="R644" s="4">
        <v>45.9</v>
      </c>
      <c r="S644" s="4">
        <v>43</v>
      </c>
    </row>
    <row r="645" spans="1:19">
      <c r="P645" s="4" t="str">
        <f>A188</f>
        <v>Jet fuel (kerosene)</v>
      </c>
    </row>
    <row r="646" spans="1:19">
      <c r="P646" s="4" t="str">
        <f>A189</f>
        <v>Natural gas</v>
      </c>
      <c r="R646" s="4">
        <v>42.5</v>
      </c>
      <c r="S646" s="4">
        <v>38.1</v>
      </c>
    </row>
    <row r="647" spans="1:19">
      <c r="P647" s="4" t="str">
        <f>A190</f>
        <v>LPG (60% propane, 40% butane)</v>
      </c>
    </row>
    <row r="649" spans="1:19">
      <c r="P649" s="4" t="str">
        <f>A192</f>
        <v>Hydrogen</v>
      </c>
      <c r="R649" s="4">
        <v>141.9</v>
      </c>
      <c r="S649" s="4">
        <v>120.1</v>
      </c>
    </row>
    <row r="650" spans="1:19">
      <c r="P650" s="4" t="str">
        <f>A193</f>
        <v>Ethanol</v>
      </c>
    </row>
    <row r="651" spans="1:19">
      <c r="P651" s="4" t="str">
        <f>A194</f>
        <v>Biodiesel (FAME)</v>
      </c>
    </row>
    <row r="652" spans="1:19">
      <c r="P652" s="4" t="str">
        <f>A196</f>
        <v xml:space="preserve">Residual fuel oil (bunker fuel) </v>
      </c>
    </row>
    <row r="653" spans="1:19">
      <c r="P653" s="4" t="str">
        <f>A197</f>
        <v>Methanol</v>
      </c>
    </row>
    <row r="660" spans="1:19">
      <c r="A660" s="21" t="s">
        <v>214</v>
      </c>
    </row>
    <row r="661" spans="1:19">
      <c r="A661" s="110" t="s">
        <v>215</v>
      </c>
      <c r="R661" s="4" t="s">
        <v>57</v>
      </c>
    </row>
    <row r="662" spans="1:19">
      <c r="R662" s="4" t="s">
        <v>73</v>
      </c>
      <c r="S662" s="4" t="s">
        <v>58</v>
      </c>
    </row>
    <row r="663" spans="1:19">
      <c r="P663" s="4" t="str">
        <f>P643</f>
        <v>Gasoline</v>
      </c>
      <c r="R663" s="50">
        <v>32.1</v>
      </c>
      <c r="S663" s="4">
        <v>43.8</v>
      </c>
    </row>
    <row r="664" spans="1:19">
      <c r="P664" s="4" t="str">
        <f>P644</f>
        <v>Gas/diesel oil</v>
      </c>
      <c r="R664" s="50">
        <v>35.799999999999997</v>
      </c>
      <c r="S664" s="4">
        <v>42.8</v>
      </c>
    </row>
    <row r="665" spans="1:19">
      <c r="P665" s="4" t="str">
        <f>P645</f>
        <v>Jet fuel (kerosene)</v>
      </c>
      <c r="R665" s="50"/>
    </row>
    <row r="666" spans="1:19">
      <c r="P666" s="4" t="s">
        <v>75</v>
      </c>
      <c r="R666" s="50">
        <v>9.3000000000000007</v>
      </c>
      <c r="S666" s="4">
        <v>50</v>
      </c>
    </row>
    <row r="667" spans="1:19">
      <c r="P667" s="4" t="str">
        <f>P647</f>
        <v>LPG (60% propane, 40% butane)</v>
      </c>
      <c r="R667" s="50">
        <v>23.3</v>
      </c>
    </row>
    <row r="669" spans="1:19">
      <c r="P669" s="4" t="str">
        <f>P649</f>
        <v>Hydrogen</v>
      </c>
      <c r="R669" s="50">
        <v>2.7</v>
      </c>
      <c r="S669" s="4">
        <v>120</v>
      </c>
    </row>
    <row r="670" spans="1:19">
      <c r="P670" s="4" t="str">
        <f>P650</f>
        <v>Ethanol</v>
      </c>
      <c r="R670" s="50">
        <v>21.2</v>
      </c>
      <c r="S670" s="4">
        <v>26.9</v>
      </c>
    </row>
    <row r="671" spans="1:19">
      <c r="P671" s="4" t="str">
        <f>P651</f>
        <v>Biodiesel (FAME)</v>
      </c>
      <c r="R671" s="50">
        <v>33</v>
      </c>
      <c r="S671" s="4">
        <v>37.5</v>
      </c>
    </row>
    <row r="672" spans="1:19">
      <c r="P672" s="4" t="str">
        <f>P652</f>
        <v xml:space="preserve">Residual fuel oil (bunker fuel) </v>
      </c>
      <c r="R672" s="50"/>
    </row>
    <row r="673" spans="1:19">
      <c r="P673" s="4" t="str">
        <f>P653</f>
        <v>Methanol</v>
      </c>
      <c r="R673" s="50">
        <v>15.9</v>
      </c>
      <c r="S673" s="4">
        <v>20.100000000000001</v>
      </c>
    </row>
    <row r="683" spans="1:19">
      <c r="A683" s="21" t="s">
        <v>55</v>
      </c>
    </row>
    <row r="684" spans="1:19">
      <c r="A684" s="4" t="s">
        <v>216</v>
      </c>
    </row>
    <row r="686" spans="1:19" ht="13.5" thickBot="1">
      <c r="A686" s="111" t="s">
        <v>217</v>
      </c>
      <c r="B686" s="6"/>
      <c r="C686" s="6"/>
      <c r="D686" s="6"/>
      <c r="E686" s="6"/>
      <c r="F686" s="6"/>
    </row>
    <row r="687" spans="1:19" ht="13.5" thickBot="1">
      <c r="A687" s="193" t="s">
        <v>218</v>
      </c>
      <c r="B687" s="194"/>
      <c r="C687" s="195" t="s">
        <v>219</v>
      </c>
      <c r="D687" s="196"/>
      <c r="E687" s="197"/>
      <c r="F687" s="197"/>
    </row>
    <row r="688" spans="1:19" ht="25.5" customHeight="1" thickBot="1">
      <c r="A688" s="193"/>
      <c r="B688" s="194"/>
      <c r="C688" s="195" t="s">
        <v>220</v>
      </c>
      <c r="D688" s="194"/>
      <c r="E688" s="195" t="s">
        <v>221</v>
      </c>
      <c r="F688" s="197"/>
      <c r="H688" s="4" t="s">
        <v>211</v>
      </c>
    </row>
    <row r="689" spans="1:8" ht="13.5" thickBot="1">
      <c r="A689" s="193" t="s">
        <v>222</v>
      </c>
      <c r="B689" s="194"/>
      <c r="C689" s="198" t="s">
        <v>223</v>
      </c>
      <c r="D689" s="194"/>
      <c r="E689" s="198">
        <v>69.19</v>
      </c>
      <c r="F689" s="197"/>
    </row>
    <row r="690" spans="1:8">
      <c r="A690" s="199" t="s">
        <v>165</v>
      </c>
      <c r="B690" s="200"/>
      <c r="C690" s="201"/>
      <c r="D690" s="200"/>
      <c r="E690" s="201"/>
      <c r="F690" s="202"/>
    </row>
    <row r="691" spans="1:8">
      <c r="A691" s="203" t="s">
        <v>224</v>
      </c>
      <c r="B691" s="204"/>
      <c r="C691" s="205" t="s">
        <v>225</v>
      </c>
      <c r="D691" s="206"/>
      <c r="E691" s="205">
        <v>0</v>
      </c>
      <c r="F691" s="207"/>
    </row>
    <row r="692" spans="1:8">
      <c r="A692" s="203" t="s">
        <v>226</v>
      </c>
      <c r="B692" s="204"/>
      <c r="C692" s="205" t="s">
        <v>227</v>
      </c>
      <c r="D692" s="206"/>
      <c r="E692" s="205">
        <v>59.44</v>
      </c>
      <c r="F692" s="207"/>
    </row>
    <row r="693" spans="1:8">
      <c r="A693" s="203" t="s">
        <v>228</v>
      </c>
      <c r="B693" s="204"/>
      <c r="C693" s="205" t="s">
        <v>229</v>
      </c>
      <c r="D693" s="206"/>
      <c r="E693" s="205">
        <v>66.349999999999994</v>
      </c>
      <c r="F693" s="207"/>
    </row>
    <row r="694" spans="1:8">
      <c r="A694" s="203" t="s">
        <v>230</v>
      </c>
      <c r="B694" s="204"/>
      <c r="C694" s="205" t="s">
        <v>231</v>
      </c>
      <c r="D694" s="206"/>
      <c r="E694" s="205">
        <v>69.760000000000005</v>
      </c>
      <c r="F694" s="207"/>
    </row>
    <row r="695" spans="1:8" ht="13.5" thickBot="1">
      <c r="A695" s="203" t="s">
        <v>232</v>
      </c>
      <c r="B695" s="204"/>
      <c r="C695" s="205" t="s">
        <v>233</v>
      </c>
      <c r="D695" s="206"/>
      <c r="E695" s="205">
        <v>71.8</v>
      </c>
      <c r="F695" s="207"/>
    </row>
    <row r="696" spans="1:8" ht="13.5" thickBot="1">
      <c r="A696" s="193" t="s">
        <v>234</v>
      </c>
      <c r="B696" s="194"/>
      <c r="C696" s="198" t="s">
        <v>235</v>
      </c>
      <c r="D696" s="194"/>
      <c r="E696" s="198">
        <v>73.150000000000006</v>
      </c>
      <c r="F696" s="197"/>
      <c r="H696" s="50">
        <f>E696/$B$7*1000</f>
        <v>69.33649289099526</v>
      </c>
    </row>
    <row r="697" spans="1:8">
      <c r="A697" s="199" t="s">
        <v>236</v>
      </c>
      <c r="B697" s="200"/>
      <c r="C697" s="205"/>
      <c r="D697" s="206"/>
      <c r="E697" s="205"/>
      <c r="F697" s="207"/>
    </row>
    <row r="698" spans="1:8">
      <c r="A698" s="203" t="s">
        <v>237</v>
      </c>
      <c r="B698" s="204"/>
      <c r="C698" s="205" t="s">
        <v>225</v>
      </c>
      <c r="D698" s="206"/>
      <c r="E698" s="205">
        <v>0</v>
      </c>
      <c r="F698" s="207"/>
    </row>
    <row r="699" spans="1:8">
      <c r="A699" s="203" t="s">
        <v>238</v>
      </c>
      <c r="B699" s="204"/>
      <c r="C699" s="205" t="s">
        <v>239</v>
      </c>
      <c r="D699" s="206"/>
      <c r="E699" s="205">
        <v>14.71</v>
      </c>
      <c r="F699" s="207"/>
    </row>
    <row r="700" spans="1:8" ht="13.5" thickBot="1">
      <c r="A700" s="203" t="s">
        <v>240</v>
      </c>
      <c r="B700" s="204"/>
      <c r="C700" s="205" t="s">
        <v>241</v>
      </c>
      <c r="D700" s="206"/>
      <c r="E700" s="205" t="s">
        <v>242</v>
      </c>
      <c r="F700" s="207"/>
    </row>
    <row r="701" spans="1:8">
      <c r="A701" s="199" t="s">
        <v>243</v>
      </c>
      <c r="B701" s="200"/>
      <c r="C701" s="201"/>
      <c r="D701" s="200"/>
      <c r="E701" s="201"/>
      <c r="F701" s="202"/>
    </row>
    <row r="702" spans="1:8" ht="13.5" thickBot="1">
      <c r="A702" s="203" t="s">
        <v>244</v>
      </c>
      <c r="B702" s="204"/>
      <c r="C702" s="205" t="s">
        <v>245</v>
      </c>
      <c r="D702" s="206"/>
      <c r="E702" s="205">
        <v>64.010000000000005</v>
      </c>
      <c r="F702" s="207"/>
      <c r="H702" s="50">
        <f t="shared" ref="H702:H707" si="6">E702/$B$7*1000</f>
        <v>60.672985781990526</v>
      </c>
    </row>
    <row r="703" spans="1:8" ht="13.5" thickBot="1">
      <c r="A703" s="193" t="s">
        <v>246</v>
      </c>
      <c r="B703" s="194"/>
      <c r="C703" s="198" t="s">
        <v>247</v>
      </c>
      <c r="D703" s="194"/>
      <c r="E703" s="198" t="s">
        <v>248</v>
      </c>
      <c r="F703" s="197"/>
      <c r="H703" s="50">
        <f t="shared" si="6"/>
        <v>67.184834123222757</v>
      </c>
    </row>
    <row r="704" spans="1:8" ht="13.5" thickBot="1">
      <c r="A704" s="193" t="s">
        <v>249</v>
      </c>
      <c r="B704" s="194"/>
      <c r="C704" s="198" t="s">
        <v>250</v>
      </c>
      <c r="D704" s="194"/>
      <c r="E704" s="198" t="s">
        <v>248</v>
      </c>
      <c r="F704" s="197"/>
      <c r="H704" s="50">
        <f t="shared" si="6"/>
        <v>67.184834123222757</v>
      </c>
    </row>
    <row r="705" spans="1:11" ht="13.5" thickBot="1">
      <c r="A705" s="193" t="s">
        <v>135</v>
      </c>
      <c r="B705" s="194"/>
      <c r="C705" s="198" t="s">
        <v>251</v>
      </c>
      <c r="D705" s="194"/>
      <c r="E705" s="198" t="s">
        <v>252</v>
      </c>
      <c r="F705" s="197"/>
      <c r="H705" s="50">
        <f t="shared" si="6"/>
        <v>50.293838862559248</v>
      </c>
    </row>
    <row r="706" spans="1:11" ht="13.5" thickBot="1">
      <c r="A706" s="193" t="s">
        <v>253</v>
      </c>
      <c r="B706" s="194"/>
      <c r="C706" s="198" t="s">
        <v>254</v>
      </c>
      <c r="D706" s="194"/>
      <c r="E706" s="216">
        <v>63.1</v>
      </c>
      <c r="F706" s="217"/>
      <c r="H706" s="50">
        <f t="shared" si="6"/>
        <v>59.810426540284361</v>
      </c>
    </row>
    <row r="707" spans="1:11" ht="13.5" thickBot="1">
      <c r="A707" s="193" t="s">
        <v>255</v>
      </c>
      <c r="B707" s="194"/>
      <c r="C707" s="198" t="s">
        <v>256</v>
      </c>
      <c r="D707" s="194"/>
      <c r="E707" s="198" t="s">
        <v>257</v>
      </c>
      <c r="F707" s="197"/>
      <c r="H707" s="50">
        <f t="shared" si="6"/>
        <v>74.691943127962077</v>
      </c>
    </row>
    <row r="708" spans="1:11">
      <c r="A708" s="208" t="s">
        <v>258</v>
      </c>
      <c r="B708" s="209"/>
      <c r="C708" s="209"/>
      <c r="D708" s="202"/>
      <c r="E708" s="202"/>
      <c r="F708" s="202"/>
    </row>
    <row r="710" spans="1:11">
      <c r="A710" s="21" t="s">
        <v>259</v>
      </c>
    </row>
    <row r="711" spans="1:11">
      <c r="A711" s="12" t="s">
        <v>260</v>
      </c>
    </row>
    <row r="712" spans="1:11" ht="13.5" thickBot="1"/>
    <row r="713" spans="1:11">
      <c r="A713" s="210" t="s">
        <v>261</v>
      </c>
      <c r="B713" s="211"/>
      <c r="C713" s="211"/>
      <c r="D713" s="212"/>
    </row>
    <row r="714" spans="1:11">
      <c r="A714" s="112" t="s">
        <v>262</v>
      </c>
      <c r="B714" s="113" t="s">
        <v>34</v>
      </c>
      <c r="C714" s="113" t="s">
        <v>263</v>
      </c>
      <c r="D714" s="114" t="s">
        <v>59</v>
      </c>
      <c r="I714" s="4" t="s">
        <v>73</v>
      </c>
      <c r="J714" s="4" t="s">
        <v>264</v>
      </c>
      <c r="K714" s="4" t="s">
        <v>58</v>
      </c>
    </row>
    <row r="715" spans="1:11">
      <c r="A715" s="213" t="s">
        <v>265</v>
      </c>
      <c r="B715" s="214"/>
      <c r="C715" s="214"/>
      <c r="D715" s="215"/>
      <c r="H715" s="4" t="s">
        <v>59</v>
      </c>
      <c r="I715" s="4">
        <f>AVERAGE(32.2,32.9)</f>
        <v>32.549999999999997</v>
      </c>
      <c r="J715" s="19">
        <f>AVERAGE(0.72,0.775)</f>
        <v>0.74750000000000005</v>
      </c>
      <c r="K715" s="50">
        <f>I715/J715</f>
        <v>43.545150501672232</v>
      </c>
    </row>
    <row r="716" spans="1:11">
      <c r="A716" s="213" t="s">
        <v>266</v>
      </c>
      <c r="B716" s="214"/>
      <c r="C716" s="214"/>
      <c r="D716" s="215"/>
      <c r="H716" s="4" t="s">
        <v>34</v>
      </c>
      <c r="I716" s="4">
        <f>AVERAGE(21.1,21.7)</f>
        <v>21.4</v>
      </c>
      <c r="J716" s="19">
        <v>0.79400000000000004</v>
      </c>
      <c r="K716" s="50">
        <f>I716/J716</f>
        <v>26.952141057934504</v>
      </c>
    </row>
    <row r="717" spans="1:11">
      <c r="A717" s="115" t="s">
        <v>267</v>
      </c>
      <c r="B717" s="116">
        <v>0.79400000000000004</v>
      </c>
      <c r="C717" s="116">
        <v>0.81399999999999995</v>
      </c>
      <c r="D717" s="117" t="s">
        <v>268</v>
      </c>
      <c r="H717" s="4" t="s">
        <v>269</v>
      </c>
      <c r="I717" s="4">
        <f>AVERAGE(26.9,27)</f>
        <v>26.95</v>
      </c>
      <c r="J717" s="19">
        <v>0.81399999999999995</v>
      </c>
      <c r="K717" s="50">
        <f>I717/J717</f>
        <v>33.108108108108112</v>
      </c>
    </row>
    <row r="718" spans="1:11">
      <c r="A718" s="118" t="s">
        <v>270</v>
      </c>
      <c r="B718" s="119" t="s">
        <v>271</v>
      </c>
      <c r="C718" s="119" t="s">
        <v>272</v>
      </c>
      <c r="D718" s="120" t="s">
        <v>273</v>
      </c>
    </row>
    <row r="719" spans="1:11">
      <c r="A719" s="115" t="s">
        <v>274</v>
      </c>
      <c r="B719" s="116" t="s">
        <v>275</v>
      </c>
      <c r="C719" s="116">
        <v>941</v>
      </c>
      <c r="D719" s="117">
        <v>95</v>
      </c>
    </row>
    <row r="720" spans="1:11">
      <c r="A720" s="118" t="s">
        <v>276</v>
      </c>
      <c r="B720" s="119" t="s">
        <v>277</v>
      </c>
      <c r="C720" s="119" t="s">
        <v>278</v>
      </c>
      <c r="D720" s="120">
        <v>85</v>
      </c>
    </row>
    <row r="721" spans="1:17">
      <c r="A721" s="115" t="s">
        <v>279</v>
      </c>
      <c r="B721" s="116" t="s">
        <v>280</v>
      </c>
      <c r="C721" s="116" t="s">
        <v>281</v>
      </c>
      <c r="D721" s="117" t="s">
        <v>282</v>
      </c>
    </row>
    <row r="722" spans="1:17" ht="13.5" thickBot="1">
      <c r="A722" s="121" t="s">
        <v>283</v>
      </c>
      <c r="B722" s="122">
        <v>34.700000000000003</v>
      </c>
      <c r="C722" s="122">
        <v>21.6</v>
      </c>
      <c r="D722" s="123" t="s">
        <v>284</v>
      </c>
    </row>
    <row r="724" spans="1:17">
      <c r="A724" s="21" t="s">
        <v>285</v>
      </c>
    </row>
    <row r="725" spans="1:17">
      <c r="A725" s="12" t="s">
        <v>286</v>
      </c>
    </row>
    <row r="728" spans="1:17">
      <c r="M728" s="4" t="s">
        <v>287</v>
      </c>
      <c r="O728" s="4" t="s">
        <v>168</v>
      </c>
      <c r="Q728" s="4" t="s">
        <v>288</v>
      </c>
    </row>
    <row r="729" spans="1:17">
      <c r="J729" s="4" t="str">
        <f>A17</f>
        <v>Gasoline</v>
      </c>
      <c r="M729" s="4">
        <v>42.9</v>
      </c>
      <c r="O729" s="4">
        <v>750</v>
      </c>
      <c r="Q729" s="50">
        <f>M729*O729/10^3</f>
        <v>32.174999999999997</v>
      </c>
    </row>
    <row r="730" spans="1:17">
      <c r="J730" s="4" t="str">
        <f t="shared" ref="J730:J739" si="7">A18</f>
        <v>Gas/diesel oil</v>
      </c>
      <c r="M730" s="4">
        <v>43</v>
      </c>
      <c r="O730" s="4">
        <v>835</v>
      </c>
      <c r="Q730" s="50">
        <f>M730*O730/10^3</f>
        <v>35.905000000000001</v>
      </c>
    </row>
    <row r="731" spans="1:17">
      <c r="J731" s="4" t="str">
        <f t="shared" si="7"/>
        <v>Jet fuel (kerosene)</v>
      </c>
    </row>
    <row r="732" spans="1:17">
      <c r="J732" s="4" t="str">
        <f t="shared" si="7"/>
        <v>Natural gas</v>
      </c>
      <c r="M732" s="4">
        <v>45.1</v>
      </c>
    </row>
    <row r="733" spans="1:17">
      <c r="J733" s="4" t="str">
        <f t="shared" si="7"/>
        <v>LPG (60% propane, 40% butane)</v>
      </c>
      <c r="M733" s="4">
        <v>46</v>
      </c>
      <c r="O733" s="4">
        <v>550</v>
      </c>
      <c r="Q733" s="4">
        <f>M733*O733/10^3</f>
        <v>25.3</v>
      </c>
    </row>
    <row r="735" spans="1:17">
      <c r="J735" s="4" t="str">
        <f t="shared" si="7"/>
        <v>Hydrogen</v>
      </c>
      <c r="M735" s="4">
        <v>120.1</v>
      </c>
    </row>
    <row r="736" spans="1:17">
      <c r="J736" s="4" t="str">
        <f t="shared" si="7"/>
        <v>Ethanol</v>
      </c>
      <c r="M736" s="4">
        <v>26.8</v>
      </c>
      <c r="O736" s="4">
        <v>794</v>
      </c>
      <c r="Q736" s="4">
        <f>M736*O736/10^3</f>
        <v>21.279199999999999</v>
      </c>
    </row>
    <row r="737" spans="10:17">
      <c r="J737" s="4" t="str">
        <f t="shared" si="7"/>
        <v>Biodiesel (FAME)</v>
      </c>
      <c r="M737" s="4">
        <v>36.799999999999997</v>
      </c>
      <c r="O737" s="4">
        <v>890</v>
      </c>
      <c r="Q737" s="4">
        <f>M737*O737/10^3</f>
        <v>32.751999999999995</v>
      </c>
    </row>
    <row r="738" spans="10:17">
      <c r="J738" s="4" t="str">
        <f t="shared" si="7"/>
        <v xml:space="preserve">Residual fuel oil (bunker fuel) </v>
      </c>
    </row>
    <row r="739" spans="10:17">
      <c r="J739" s="4" t="str">
        <f t="shared" si="7"/>
        <v>Methanol</v>
      </c>
      <c r="M739" s="4">
        <v>19.899999999999999</v>
      </c>
      <c r="O739" s="4">
        <v>793</v>
      </c>
      <c r="Q739" s="4">
        <f>M739*O739/10^3</f>
        <v>15.7807</v>
      </c>
    </row>
    <row r="762" spans="1:3">
      <c r="A762" s="21" t="s">
        <v>289</v>
      </c>
    </row>
    <row r="763" spans="1:3">
      <c r="A763" s="12" t="s">
        <v>290</v>
      </c>
    </row>
    <row r="765" spans="1:3">
      <c r="B765" s="4" t="s">
        <v>72</v>
      </c>
      <c r="C765" s="4" t="s">
        <v>57</v>
      </c>
    </row>
    <row r="766" spans="1:3">
      <c r="B766" s="4" t="s">
        <v>58</v>
      </c>
      <c r="C766" s="4" t="str">
        <f>B766</f>
        <v>MJ/kg</v>
      </c>
    </row>
    <row r="767" spans="1:3">
      <c r="A767" s="4" t="s">
        <v>291</v>
      </c>
      <c r="B767" s="4">
        <v>22.5</v>
      </c>
      <c r="C767" s="4">
        <f>B767*(1-0.21)</f>
        <v>17.775000000000002</v>
      </c>
    </row>
    <row r="768" spans="1:3">
      <c r="A768" s="4" t="s">
        <v>292</v>
      </c>
    </row>
    <row r="786" spans="1:1">
      <c r="A786" s="21" t="s">
        <v>293</v>
      </c>
    </row>
    <row r="787" spans="1:1">
      <c r="A787" s="12" t="s">
        <v>294</v>
      </c>
    </row>
    <row r="801" spans="1:8">
      <c r="B801" s="4" t="s">
        <v>72</v>
      </c>
    </row>
    <row r="802" spans="1:8">
      <c r="B802" s="4" t="s">
        <v>58</v>
      </c>
    </row>
    <row r="803" spans="1:8">
      <c r="A803" s="4" t="s">
        <v>291</v>
      </c>
      <c r="B803" s="4">
        <v>22.5</v>
      </c>
    </row>
    <row r="806" spans="1:8">
      <c r="A806" s="21" t="s">
        <v>295</v>
      </c>
    </row>
    <row r="807" spans="1:8">
      <c r="A807" s="124" t="s">
        <v>296</v>
      </c>
    </row>
    <row r="808" spans="1:8">
      <c r="G808" s="4">
        <v>44.1</v>
      </c>
      <c r="H808" s="4" t="s">
        <v>58</v>
      </c>
    </row>
    <row r="809" spans="1:8">
      <c r="G809" s="4">
        <v>785</v>
      </c>
      <c r="H809" s="4" t="s">
        <v>105</v>
      </c>
    </row>
    <row r="844" spans="19:19">
      <c r="S844" s="4" t="s">
        <v>297</v>
      </c>
    </row>
    <row r="845" spans="19:19">
      <c r="S845" s="4">
        <v>75.400000000000006</v>
      </c>
    </row>
    <row r="873" spans="1:2">
      <c r="A873" s="21" t="s">
        <v>298</v>
      </c>
    </row>
    <row r="874" spans="1:2">
      <c r="A874" s="124" t="s">
        <v>299</v>
      </c>
    </row>
    <row r="877" spans="1:2">
      <c r="A877" s="6">
        <v>34.4</v>
      </c>
      <c r="B877" s="4" t="s">
        <v>300</v>
      </c>
    </row>
    <row r="878" spans="1:2">
      <c r="A878" s="6">
        <v>0.78</v>
      </c>
      <c r="B878" s="4" t="s">
        <v>301</v>
      </c>
    </row>
  </sheetData>
  <mergeCells count="65">
    <mergeCell ref="A708:F708"/>
    <mergeCell ref="A713:D713"/>
    <mergeCell ref="A715:D715"/>
    <mergeCell ref="A716:D716"/>
    <mergeCell ref="A706:B706"/>
    <mergeCell ref="C706:D706"/>
    <mergeCell ref="E706:F706"/>
    <mergeCell ref="A707:B707"/>
    <mergeCell ref="C707:D707"/>
    <mergeCell ref="E707:F707"/>
    <mergeCell ref="A704:B704"/>
    <mergeCell ref="C704:D704"/>
    <mergeCell ref="E704:F704"/>
    <mergeCell ref="A705:B705"/>
    <mergeCell ref="C705:D705"/>
    <mergeCell ref="E705:F705"/>
    <mergeCell ref="A702:B702"/>
    <mergeCell ref="C702:D702"/>
    <mergeCell ref="E702:F702"/>
    <mergeCell ref="A703:B703"/>
    <mergeCell ref="C703:D703"/>
    <mergeCell ref="E703:F703"/>
    <mergeCell ref="A700:B700"/>
    <mergeCell ref="C700:D700"/>
    <mergeCell ref="E700:F700"/>
    <mergeCell ref="A701:B701"/>
    <mergeCell ref="C701:D701"/>
    <mergeCell ref="E701:F701"/>
    <mergeCell ref="A698:B698"/>
    <mergeCell ref="C698:D698"/>
    <mergeCell ref="E698:F698"/>
    <mergeCell ref="A699:B699"/>
    <mergeCell ref="C699:D699"/>
    <mergeCell ref="E699:F699"/>
    <mergeCell ref="A696:B696"/>
    <mergeCell ref="C696:D696"/>
    <mergeCell ref="E696:F696"/>
    <mergeCell ref="A697:B697"/>
    <mergeCell ref="C697:D697"/>
    <mergeCell ref="E697:F697"/>
    <mergeCell ref="A694:B694"/>
    <mergeCell ref="C694:D694"/>
    <mergeCell ref="E694:F694"/>
    <mergeCell ref="A695:B695"/>
    <mergeCell ref="C695:D695"/>
    <mergeCell ref="E695:F695"/>
    <mergeCell ref="A692:B692"/>
    <mergeCell ref="C692:D692"/>
    <mergeCell ref="E692:F692"/>
    <mergeCell ref="A693:B693"/>
    <mergeCell ref="C693:D693"/>
    <mergeCell ref="E693:F693"/>
    <mergeCell ref="A690:B690"/>
    <mergeCell ref="C690:D690"/>
    <mergeCell ref="E690:F690"/>
    <mergeCell ref="A691:B691"/>
    <mergeCell ref="C691:D691"/>
    <mergeCell ref="E691:F691"/>
    <mergeCell ref="A687:B688"/>
    <mergeCell ref="C687:F687"/>
    <mergeCell ref="C688:D688"/>
    <mergeCell ref="E688:F688"/>
    <mergeCell ref="A689:B689"/>
    <mergeCell ref="C689:D689"/>
    <mergeCell ref="E689:F689"/>
  </mergeCells>
  <hyperlinks>
    <hyperlink ref="A536" r:id="rId1"/>
    <hyperlink ref="O574" r:id="rId2"/>
    <hyperlink ref="O575" r:id="rId3"/>
    <hyperlink ref="O568" r:id="rId4"/>
    <hyperlink ref="A328" r:id="rId5"/>
    <hyperlink ref="A578" r:id="rId6"/>
    <hyperlink ref="A641" r:id="rId7"/>
    <hyperlink ref="A358" r:id="rId8"/>
    <hyperlink ref="A711" r:id="rId9"/>
    <hyperlink ref="A725" r:id="rId10"/>
    <hyperlink ref="A763" r:id="rId11"/>
    <hyperlink ref="A787" r:id="rId12"/>
    <hyperlink ref="A807" r:id="rId13"/>
    <hyperlink ref="A661" r:id="rId14"/>
  </hyperlinks>
  <pageMargins left="0.75" right="0.75" top="1" bottom="1" header="0.5" footer="0.5"/>
  <pageSetup paperSize="9" orientation="portrait" r:id="rId15"/>
  <headerFooter alignWithMargins="0"/>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C1"/>
  <sheetViews>
    <sheetView workbookViewId="0">
      <selection activeCell="H37" sqref="H37:H38"/>
    </sheetView>
  </sheetViews>
  <sheetFormatPr defaultRowHeight="12.75"/>
  <cols>
    <col min="1" max="16384" width="9.140625" style="3"/>
  </cols>
  <sheetData>
    <row r="1" spans="1:3">
      <c r="A1" s="3">
        <v>41109</v>
      </c>
      <c r="B1" s="3" t="s">
        <v>0</v>
      </c>
      <c r="C1" s="3" t="s">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1"/>
  <sheetViews>
    <sheetView topLeftCell="A28" zoomScaleNormal="100" workbookViewId="0">
      <selection activeCell="F4" sqref="F4"/>
    </sheetView>
  </sheetViews>
  <sheetFormatPr defaultRowHeight="15"/>
  <cols>
    <col min="1" max="1" width="28.7109375" customWidth="1"/>
    <col min="2" max="4" width="12.85546875" bestFit="1" customWidth="1"/>
    <col min="5" max="5" width="10.5703125" customWidth="1"/>
    <col min="6" max="8" width="12.85546875" bestFit="1" customWidth="1"/>
    <col min="9" max="14" width="11.5703125" bestFit="1" customWidth="1"/>
    <col min="15" max="15" width="27.28515625" customWidth="1"/>
    <col min="16" max="16" width="11.5703125" bestFit="1" customWidth="1"/>
    <col min="17" max="17" width="26" bestFit="1" customWidth="1"/>
    <col min="18" max="18" width="12.5703125" customWidth="1"/>
    <col min="19" max="19" width="17.85546875" bestFit="1" customWidth="1"/>
  </cols>
  <sheetData>
    <row r="1" spans="1:19">
      <c r="A1" s="128" t="s">
        <v>311</v>
      </c>
      <c r="B1" s="129" t="e">
        <f>#REF!</f>
        <v>#REF!</v>
      </c>
      <c r="C1" s="129" t="e">
        <f>#REF!</f>
        <v>#REF!</v>
      </c>
      <c r="D1" s="129" t="e">
        <f>#REF!</f>
        <v>#REF!</v>
      </c>
      <c r="E1" s="129" t="e">
        <f>#REF!</f>
        <v>#REF!</v>
      </c>
      <c r="F1" s="129" t="e">
        <f>#REF!</f>
        <v>#REF!</v>
      </c>
      <c r="G1" s="129" t="e">
        <f>#REF!</f>
        <v>#REF!</v>
      </c>
      <c r="H1" s="129" t="e">
        <f>#REF!</f>
        <v>#REF!</v>
      </c>
      <c r="I1" s="129" t="e">
        <f>#REF!</f>
        <v>#REF!</v>
      </c>
      <c r="J1" s="129" t="e">
        <f>#REF!</f>
        <v>#REF!</v>
      </c>
      <c r="K1" s="129" t="e">
        <f>#REF!</f>
        <v>#REF!</v>
      </c>
      <c r="L1" s="129" t="e">
        <f>#REF!</f>
        <v>#REF!</v>
      </c>
      <c r="O1" s="132" t="s">
        <v>304</v>
      </c>
      <c r="P1" s="132" t="s">
        <v>308</v>
      </c>
      <c r="Q1" s="132" t="s">
        <v>310</v>
      </c>
      <c r="R1" s="132" t="s">
        <v>312</v>
      </c>
    </row>
    <row r="2" spans="1:19">
      <c r="A2" s="129" t="e">
        <f>#REF!</f>
        <v>#REF!</v>
      </c>
      <c r="B2" s="130" t="e">
        <f t="shared" ref="B2:G2" si="0">SUM(B3:B10)</f>
        <v>#REF!</v>
      </c>
      <c r="C2" s="130" t="e">
        <f t="shared" si="0"/>
        <v>#REF!</v>
      </c>
      <c r="D2" s="130" t="e">
        <f t="shared" si="0"/>
        <v>#REF!</v>
      </c>
      <c r="E2" s="130" t="e">
        <f t="shared" si="0"/>
        <v>#REF!</v>
      </c>
      <c r="F2" s="130" t="e">
        <f t="shared" si="0"/>
        <v>#REF!</v>
      </c>
      <c r="G2" s="130" t="e">
        <f t="shared" si="0"/>
        <v>#REF!</v>
      </c>
      <c r="H2" s="130" t="e">
        <f t="shared" ref="H2:L2" si="1">SUM(H3:H10)</f>
        <v>#REF!</v>
      </c>
      <c r="I2" s="130" t="e">
        <f>SUM(I3:I10)</f>
        <v>#REF!</v>
      </c>
      <c r="J2" s="130" t="e">
        <f t="shared" si="1"/>
        <v>#REF!</v>
      </c>
      <c r="K2" s="130" t="e">
        <f>SUM(K3:K10)</f>
        <v>#REF!</v>
      </c>
      <c r="L2" s="130" t="e">
        <f t="shared" si="1"/>
        <v>#REF!</v>
      </c>
      <c r="O2" s="128" t="s">
        <v>321</v>
      </c>
      <c r="P2" s="131">
        <f>Convert!C24</f>
        <v>21.133049999999997</v>
      </c>
      <c r="Q2" s="133">
        <f>P3/P2</f>
        <v>1.5846269232316208</v>
      </c>
      <c r="R2" s="134">
        <f>(P2*(1*10^9))/(1*10^12)</f>
        <v>2.1133049999999997E-2</v>
      </c>
    </row>
    <row r="3" spans="1:19">
      <c r="A3" s="130" t="e">
        <f>#REF!</f>
        <v>#REF!</v>
      </c>
      <c r="B3" s="130" t="e">
        <f>B14/$R$2</f>
        <v>#REF!</v>
      </c>
      <c r="C3" s="130" t="e">
        <f>C14/$R$2</f>
        <v>#REF!</v>
      </c>
      <c r="D3" s="130" t="e">
        <f>D14/$R$2</f>
        <v>#REF!</v>
      </c>
      <c r="E3" s="130" t="e">
        <f t="shared" ref="E3:L4" si="2">E14/$R$2</f>
        <v>#REF!</v>
      </c>
      <c r="F3" s="130" t="e">
        <f t="shared" si="2"/>
        <v>#REF!</v>
      </c>
      <c r="G3" s="130" t="e">
        <f t="shared" si="2"/>
        <v>#REF!</v>
      </c>
      <c r="H3" s="130" t="e">
        <f t="shared" si="2"/>
        <v>#REF!</v>
      </c>
      <c r="I3" s="130" t="e">
        <f t="shared" si="2"/>
        <v>#REF!</v>
      </c>
      <c r="J3" s="130" t="e">
        <f t="shared" si="2"/>
        <v>#REF!</v>
      </c>
      <c r="K3" s="130" t="e">
        <f t="shared" si="2"/>
        <v>#REF!</v>
      </c>
      <c r="L3" s="130" t="e">
        <f t="shared" si="2"/>
        <v>#REF!</v>
      </c>
      <c r="O3" s="128" t="str">
        <f>Convert!A17</f>
        <v>Gasoline</v>
      </c>
      <c r="P3" s="131">
        <f>Convert!C17</f>
        <v>33.488</v>
      </c>
      <c r="Q3" s="128"/>
      <c r="R3" s="134">
        <f>(P3*(1*10^9))/(1*10^12)</f>
        <v>3.3487999999999997E-2</v>
      </c>
    </row>
    <row r="4" spans="1:19">
      <c r="A4" s="130" t="e">
        <f>#REF!</f>
        <v>#REF!</v>
      </c>
      <c r="B4" s="130" t="e">
        <f>B15/$R$2</f>
        <v>#REF!</v>
      </c>
      <c r="C4" s="130" t="e">
        <f t="shared" ref="C4:D4" si="3">C15/$R$2</f>
        <v>#REF!</v>
      </c>
      <c r="D4" s="130" t="e">
        <f t="shared" si="3"/>
        <v>#REF!</v>
      </c>
      <c r="E4" s="130" t="e">
        <f t="shared" ref="E4:K4" si="4">E15/$R$2</f>
        <v>#REF!</v>
      </c>
      <c r="F4" s="130" t="e">
        <f t="shared" si="4"/>
        <v>#REF!</v>
      </c>
      <c r="G4" s="130" t="e">
        <f t="shared" si="4"/>
        <v>#REF!</v>
      </c>
      <c r="H4" s="130" t="e">
        <f t="shared" si="4"/>
        <v>#REF!</v>
      </c>
      <c r="I4" s="130" t="e">
        <f t="shared" si="4"/>
        <v>#REF!</v>
      </c>
      <c r="J4" s="130" t="e">
        <f t="shared" si="4"/>
        <v>#REF!</v>
      </c>
      <c r="K4" s="130" t="e">
        <f t="shared" si="4"/>
        <v>#REF!</v>
      </c>
      <c r="L4" s="130" t="e">
        <f t="shared" si="2"/>
        <v>#REF!</v>
      </c>
      <c r="O4" s="128" t="str">
        <f>Convert!A25</f>
        <v>Biodiesel (FAME)</v>
      </c>
      <c r="P4" s="131">
        <f>Convert!C25</f>
        <v>32.692</v>
      </c>
      <c r="Q4" s="133">
        <f>P3/P4</f>
        <v>1.024348464456136</v>
      </c>
      <c r="R4" s="134">
        <f t="shared" ref="R4:R7" si="5">(P4*(1*10^9))/(1*10^12)</f>
        <v>3.2691999999999999E-2</v>
      </c>
    </row>
    <row r="5" spans="1:19">
      <c r="A5" s="130" t="e">
        <f>#REF!</f>
        <v>#REF!</v>
      </c>
      <c r="B5" s="130" t="e">
        <f>B16/$R$2</f>
        <v>#REF!</v>
      </c>
      <c r="C5" s="130" t="e">
        <f>C16/$R$2</f>
        <v>#REF!</v>
      </c>
      <c r="D5" s="130" t="e">
        <f t="shared" ref="D5:F5" si="6">D16/$R$2</f>
        <v>#REF!</v>
      </c>
      <c r="E5" s="130" t="e">
        <f t="shared" si="6"/>
        <v>#REF!</v>
      </c>
      <c r="F5" s="130" t="e">
        <f t="shared" si="6"/>
        <v>#REF!</v>
      </c>
      <c r="G5" s="130" t="e">
        <f>G16/$R$2</f>
        <v>#REF!</v>
      </c>
      <c r="H5" s="130" t="e">
        <f>H16/$R$2</f>
        <v>#REF!</v>
      </c>
      <c r="I5" s="130" t="e">
        <f>I16/$R$2</f>
        <v>#REF!</v>
      </c>
      <c r="J5" s="130" t="e">
        <f>J16/$R$2</f>
        <v>#REF!</v>
      </c>
      <c r="K5" s="130" t="e">
        <f t="shared" ref="K5:L5" si="7">K16/$R$2</f>
        <v>#REF!</v>
      </c>
      <c r="L5" s="130" t="e">
        <f t="shared" si="7"/>
        <v>#REF!</v>
      </c>
      <c r="O5" s="128" t="str">
        <f>Convert!J25</f>
        <v>Hydrotreated biodiesel</v>
      </c>
      <c r="P5" s="128">
        <f>Convert!K25</f>
        <v>34.4</v>
      </c>
      <c r="Q5" s="133">
        <f>P3/P5</f>
        <v>0.9734883720930233</v>
      </c>
      <c r="R5" s="134">
        <f t="shared" si="5"/>
        <v>3.44E-2</v>
      </c>
    </row>
    <row r="6" spans="1:19">
      <c r="A6" s="130" t="e">
        <f>#REF!</f>
        <v>#REF!</v>
      </c>
      <c r="B6" s="130" t="e">
        <f t="shared" ref="B6:L6" si="8">B17/$R$4</f>
        <v>#REF!</v>
      </c>
      <c r="C6" s="130" t="e">
        <f t="shared" si="8"/>
        <v>#REF!</v>
      </c>
      <c r="D6" s="130" t="e">
        <f t="shared" si="8"/>
        <v>#REF!</v>
      </c>
      <c r="E6" s="130" t="e">
        <f t="shared" si="8"/>
        <v>#REF!</v>
      </c>
      <c r="F6" s="130" t="e">
        <f t="shared" si="8"/>
        <v>#REF!</v>
      </c>
      <c r="G6" s="130" t="e">
        <f t="shared" si="8"/>
        <v>#REF!</v>
      </c>
      <c r="H6" s="130" t="e">
        <f t="shared" si="8"/>
        <v>#REF!</v>
      </c>
      <c r="I6" s="130" t="e">
        <f t="shared" si="8"/>
        <v>#REF!</v>
      </c>
      <c r="J6" s="130" t="e">
        <f t="shared" si="8"/>
        <v>#REF!</v>
      </c>
      <c r="K6" s="130" t="e">
        <f t="shared" si="8"/>
        <v>#REF!</v>
      </c>
      <c r="L6" s="130" t="e">
        <f t="shared" si="8"/>
        <v>#REF!</v>
      </c>
      <c r="O6" s="128" t="str">
        <f>Convert!A19</f>
        <v>Jet fuel (kerosene)</v>
      </c>
      <c r="P6" s="131">
        <f>Convert!C19</f>
        <v>37.121175000000001</v>
      </c>
      <c r="Q6" s="133">
        <f>P3/P6</f>
        <v>0.90212661641233072</v>
      </c>
      <c r="R6" s="134">
        <f t="shared" si="5"/>
        <v>3.7121174999999999E-2</v>
      </c>
    </row>
    <row r="7" spans="1:19">
      <c r="A7" s="130" t="e">
        <f>#REF!</f>
        <v>#REF!</v>
      </c>
      <c r="B7" s="130" t="e">
        <f>B18/$R$5</f>
        <v>#REF!</v>
      </c>
      <c r="C7" s="130" t="e">
        <f t="shared" ref="C7:F7" si="9">C18/$R$5</f>
        <v>#REF!</v>
      </c>
      <c r="D7" s="130" t="e">
        <f t="shared" si="9"/>
        <v>#REF!</v>
      </c>
      <c r="E7" s="130" t="e">
        <f t="shared" si="9"/>
        <v>#REF!</v>
      </c>
      <c r="F7" s="130" t="e">
        <f t="shared" si="9"/>
        <v>#REF!</v>
      </c>
      <c r="G7" s="130" t="e">
        <f>G18/$R$5</f>
        <v>#REF!</v>
      </c>
      <c r="H7" s="130" t="e">
        <f>H18/$R$5</f>
        <v>#REF!</v>
      </c>
      <c r="I7" s="130" t="e">
        <f>I18/$R$5</f>
        <v>#REF!</v>
      </c>
      <c r="J7" s="130" t="e">
        <f>J18/$R$5</f>
        <v>#REF!</v>
      </c>
      <c r="K7" s="130" t="e">
        <f>K18/$R$5</f>
        <v>#REF!</v>
      </c>
      <c r="L7" s="130" t="e">
        <f t="shared" ref="L7" si="10">L18/$R$5</f>
        <v>#REF!</v>
      </c>
      <c r="O7" s="128" t="s">
        <v>307</v>
      </c>
      <c r="P7" s="128">
        <f>Convert!C28</f>
        <v>18</v>
      </c>
      <c r="Q7" s="133">
        <f>P3/P7</f>
        <v>1.8604444444444443</v>
      </c>
      <c r="R7" s="134">
        <f t="shared" si="5"/>
        <v>1.7999999999999999E-2</v>
      </c>
    </row>
    <row r="8" spans="1:19">
      <c r="A8" s="130" t="e">
        <f>#REF!</f>
        <v>#REF!</v>
      </c>
      <c r="B8" s="131" t="e">
        <f>B19/$R$8</f>
        <v>#REF!</v>
      </c>
      <c r="C8" s="131" t="e">
        <f t="shared" ref="C8:F8" si="11">C19/$R$8</f>
        <v>#REF!</v>
      </c>
      <c r="D8" s="131" t="e">
        <f t="shared" si="11"/>
        <v>#REF!</v>
      </c>
      <c r="E8" s="131" t="e">
        <f t="shared" si="11"/>
        <v>#REF!</v>
      </c>
      <c r="F8" s="131" t="e">
        <f t="shared" si="11"/>
        <v>#REF!</v>
      </c>
      <c r="G8" s="131" t="e">
        <f>G19/$R$8</f>
        <v>#REF!</v>
      </c>
      <c r="H8" s="131" t="e">
        <f>H19/$R$8</f>
        <v>#REF!</v>
      </c>
      <c r="I8" s="131" t="e">
        <f>I19/$R$8</f>
        <v>#REF!</v>
      </c>
      <c r="J8" s="131" t="e">
        <f>J19/$R$8</f>
        <v>#REF!</v>
      </c>
      <c r="K8" s="131" t="e">
        <f t="shared" ref="K8:L8" si="12">K19/$R$8</f>
        <v>#REF!</v>
      </c>
      <c r="L8" s="131" t="e">
        <f t="shared" si="12"/>
        <v>#REF!</v>
      </c>
      <c r="O8" s="128" t="s">
        <v>309</v>
      </c>
      <c r="P8" s="131">
        <v>50</v>
      </c>
      <c r="Q8" s="133">
        <f>Convert!D17/P8</f>
        <v>0.89599999999999991</v>
      </c>
      <c r="R8" s="134">
        <f>1/(((1*10^12)/$P$8)*R9/10^9)</f>
        <v>0.1111111111111111</v>
      </c>
      <c r="S8" s="2"/>
    </row>
    <row r="9" spans="1:19">
      <c r="A9" s="130" t="e">
        <f>#REF!</f>
        <v>#REF!</v>
      </c>
      <c r="B9" s="130" t="e">
        <f>B21/$R$6</f>
        <v>#REF!</v>
      </c>
      <c r="C9" s="130" t="e">
        <f t="shared" ref="C9:L9" si="13">C21/$R$6</f>
        <v>#REF!</v>
      </c>
      <c r="D9" s="130" t="e">
        <f t="shared" si="13"/>
        <v>#REF!</v>
      </c>
      <c r="E9" s="130" t="e">
        <f t="shared" si="13"/>
        <v>#REF!</v>
      </c>
      <c r="F9" s="130" t="e">
        <f t="shared" si="13"/>
        <v>#REF!</v>
      </c>
      <c r="G9" s="130" t="e">
        <f t="shared" si="13"/>
        <v>#REF!</v>
      </c>
      <c r="H9" s="130" t="e">
        <f t="shared" si="13"/>
        <v>#REF!</v>
      </c>
      <c r="I9" s="130" t="e">
        <f t="shared" si="13"/>
        <v>#REF!</v>
      </c>
      <c r="J9" s="130" t="e">
        <f>J21/$R$6</f>
        <v>#REF!</v>
      </c>
      <c r="K9" s="130" t="e">
        <f t="shared" si="13"/>
        <v>#REF!</v>
      </c>
      <c r="L9" s="130" t="e">
        <f t="shared" si="13"/>
        <v>#REF!</v>
      </c>
      <c r="O9" s="128" t="s">
        <v>390</v>
      </c>
      <c r="P9" s="131">
        <v>450</v>
      </c>
      <c r="Q9" s="128" t="s">
        <v>391</v>
      </c>
      <c r="R9" s="166">
        <f>P9/1000</f>
        <v>0.45</v>
      </c>
    </row>
    <row r="10" spans="1:19">
      <c r="A10" s="130" t="e">
        <f>#REF!</f>
        <v>#REF!</v>
      </c>
      <c r="B10" s="130" t="e">
        <f>B21/$R$7</f>
        <v>#REF!</v>
      </c>
      <c r="C10" s="130" t="e">
        <f t="shared" ref="C10:G10" si="14">C21/$R$7</f>
        <v>#REF!</v>
      </c>
      <c r="D10" s="130" t="e">
        <f t="shared" si="14"/>
        <v>#REF!</v>
      </c>
      <c r="E10" s="130" t="e">
        <f>E21/$R$7</f>
        <v>#REF!</v>
      </c>
      <c r="F10" s="130" t="e">
        <f t="shared" si="14"/>
        <v>#REF!</v>
      </c>
      <c r="G10" s="130" t="e">
        <f t="shared" si="14"/>
        <v>#REF!</v>
      </c>
      <c r="H10" s="130" t="e">
        <f>H21/$R$7</f>
        <v>#REF!</v>
      </c>
      <c r="I10" s="130" t="e">
        <f t="shared" ref="I10:L10" si="15">I21/$R$7</f>
        <v>#REF!</v>
      </c>
      <c r="J10" s="130" t="e">
        <f t="shared" si="15"/>
        <v>#REF!</v>
      </c>
      <c r="K10" s="130" t="e">
        <f>K21/$R$7</f>
        <v>#REF!</v>
      </c>
      <c r="L10" s="130" t="e">
        <f t="shared" si="15"/>
        <v>#REF!</v>
      </c>
      <c r="P10" s="125"/>
    </row>
    <row r="11" spans="1:19">
      <c r="A11" s="1"/>
      <c r="P11" s="125"/>
    </row>
    <row r="12" spans="1:19">
      <c r="A12" s="128" t="s">
        <v>6</v>
      </c>
      <c r="B12" s="132">
        <v>2000</v>
      </c>
      <c r="C12" s="132">
        <v>2005</v>
      </c>
      <c r="D12" s="132">
        <v>2010</v>
      </c>
      <c r="E12" s="132">
        <v>2015</v>
      </c>
      <c r="F12" s="132">
        <v>2020</v>
      </c>
      <c r="G12" s="132">
        <v>2025</v>
      </c>
      <c r="H12" s="132">
        <v>2030</v>
      </c>
      <c r="I12" s="132">
        <v>2035</v>
      </c>
      <c r="J12" s="132">
        <v>2040</v>
      </c>
      <c r="K12" s="132">
        <v>2045</v>
      </c>
      <c r="L12" s="132">
        <v>2050</v>
      </c>
      <c r="P12" s="125"/>
    </row>
    <row r="13" spans="1:19">
      <c r="A13" s="132" t="s">
        <v>322</v>
      </c>
      <c r="B13" s="131" t="e">
        <f>#REF!</f>
        <v>#REF!</v>
      </c>
      <c r="C13" s="131" t="e">
        <f>#REF!</f>
        <v>#REF!</v>
      </c>
      <c r="D13" s="131" t="e">
        <f>#REF!</f>
        <v>#REF!</v>
      </c>
      <c r="E13" s="131" t="e">
        <f>#REF!</f>
        <v>#REF!</v>
      </c>
      <c r="F13" s="131" t="e">
        <f>#REF!</f>
        <v>#REF!</v>
      </c>
      <c r="G13" s="131" t="e">
        <f>#REF!</f>
        <v>#REF!</v>
      </c>
      <c r="H13" s="131" t="e">
        <f>#REF!</f>
        <v>#REF!</v>
      </c>
      <c r="I13" s="131" t="e">
        <f>#REF!</f>
        <v>#REF!</v>
      </c>
      <c r="J13" s="131" t="e">
        <f>#REF!</f>
        <v>#REF!</v>
      </c>
      <c r="K13" s="131" t="e">
        <f>#REF!</f>
        <v>#REF!</v>
      </c>
      <c r="L13" s="131" t="e">
        <f>#REF!</f>
        <v>#REF!</v>
      </c>
      <c r="P13" s="125"/>
    </row>
    <row r="14" spans="1:19">
      <c r="A14" s="128" t="s">
        <v>313</v>
      </c>
      <c r="B14" s="131" t="e">
        <f>#REF!</f>
        <v>#REF!</v>
      </c>
      <c r="C14" s="131" t="e">
        <f>#REF!</f>
        <v>#REF!</v>
      </c>
      <c r="D14" s="131" t="e">
        <f>#REF!</f>
        <v>#REF!</v>
      </c>
      <c r="E14" s="131" t="e">
        <f>#REF!</f>
        <v>#REF!</v>
      </c>
      <c r="F14" s="131" t="e">
        <f>#REF!</f>
        <v>#REF!</v>
      </c>
      <c r="G14" s="131" t="e">
        <f>#REF!</f>
        <v>#REF!</v>
      </c>
      <c r="H14" s="131" t="e">
        <f>#REF!</f>
        <v>#REF!</v>
      </c>
      <c r="I14" s="131" t="e">
        <f>#REF!</f>
        <v>#REF!</v>
      </c>
      <c r="J14" s="131" t="e">
        <f>#REF!</f>
        <v>#REF!</v>
      </c>
      <c r="K14" s="131" t="e">
        <f>#REF!</f>
        <v>#REF!</v>
      </c>
      <c r="L14" s="131" t="e">
        <f>#REF!</f>
        <v>#REF!</v>
      </c>
      <c r="P14" s="125"/>
    </row>
    <row r="15" spans="1:19">
      <c r="A15" s="128" t="s">
        <v>314</v>
      </c>
      <c r="B15" s="131" t="e">
        <f>#REF!</f>
        <v>#REF!</v>
      </c>
      <c r="C15" s="131" t="e">
        <f>#REF!</f>
        <v>#REF!</v>
      </c>
      <c r="D15" s="131" t="e">
        <f>#REF!</f>
        <v>#REF!</v>
      </c>
      <c r="E15" s="131" t="e">
        <f>#REF!</f>
        <v>#REF!</v>
      </c>
      <c r="F15" s="131" t="e">
        <f>#REF!</f>
        <v>#REF!</v>
      </c>
      <c r="G15" s="131" t="e">
        <f>#REF!</f>
        <v>#REF!</v>
      </c>
      <c r="H15" s="131" t="e">
        <f>#REF!</f>
        <v>#REF!</v>
      </c>
      <c r="I15" s="131" t="e">
        <f>#REF!</f>
        <v>#REF!</v>
      </c>
      <c r="J15" s="131" t="e">
        <f>#REF!</f>
        <v>#REF!</v>
      </c>
      <c r="K15" s="131" t="e">
        <f>#REF!</f>
        <v>#REF!</v>
      </c>
      <c r="L15" s="131" t="e">
        <f>#REF!</f>
        <v>#REF!</v>
      </c>
      <c r="P15" s="125"/>
    </row>
    <row r="16" spans="1:19">
      <c r="A16" s="128" t="s">
        <v>315</v>
      </c>
      <c r="B16" s="131" t="e">
        <f>#REF!</f>
        <v>#REF!</v>
      </c>
      <c r="C16" s="131" t="e">
        <f>#REF!</f>
        <v>#REF!</v>
      </c>
      <c r="D16" s="131" t="e">
        <f>#REF!</f>
        <v>#REF!</v>
      </c>
      <c r="E16" s="131" t="e">
        <f>#REF!</f>
        <v>#REF!</v>
      </c>
      <c r="F16" s="131" t="e">
        <f>#REF!</f>
        <v>#REF!</v>
      </c>
      <c r="G16" s="131" t="e">
        <f>#REF!</f>
        <v>#REF!</v>
      </c>
      <c r="H16" s="131" t="e">
        <f>#REF!</f>
        <v>#REF!</v>
      </c>
      <c r="I16" s="131" t="e">
        <f>#REF!</f>
        <v>#REF!</v>
      </c>
      <c r="J16" s="131" t="e">
        <f>#REF!</f>
        <v>#REF!</v>
      </c>
      <c r="K16" s="131" t="e">
        <f>#REF!</f>
        <v>#REF!</v>
      </c>
      <c r="L16" s="131" t="e">
        <f>#REF!</f>
        <v>#REF!</v>
      </c>
    </row>
    <row r="17" spans="1:20">
      <c r="A17" s="128" t="s">
        <v>316</v>
      </c>
      <c r="B17" s="131" t="e">
        <f>#REF!</f>
        <v>#REF!</v>
      </c>
      <c r="C17" s="131" t="e">
        <f>#REF!</f>
        <v>#REF!</v>
      </c>
      <c r="D17" s="131" t="e">
        <f>#REF!</f>
        <v>#REF!</v>
      </c>
      <c r="E17" s="131" t="e">
        <f>#REF!</f>
        <v>#REF!</v>
      </c>
      <c r="F17" s="131" t="e">
        <f>#REF!</f>
        <v>#REF!</v>
      </c>
      <c r="G17" s="131" t="e">
        <f>#REF!</f>
        <v>#REF!</v>
      </c>
      <c r="H17" s="131" t="e">
        <f>#REF!</f>
        <v>#REF!</v>
      </c>
      <c r="I17" s="131" t="e">
        <f>#REF!</f>
        <v>#REF!</v>
      </c>
      <c r="J17" s="131" t="e">
        <f>#REF!</f>
        <v>#REF!</v>
      </c>
      <c r="K17" s="131" t="e">
        <f>#REF!</f>
        <v>#REF!</v>
      </c>
      <c r="L17" s="131" t="e">
        <f>#REF!</f>
        <v>#REF!</v>
      </c>
    </row>
    <row r="18" spans="1:20">
      <c r="A18" s="128" t="s">
        <v>317</v>
      </c>
      <c r="B18" s="131" t="e">
        <f>#REF!</f>
        <v>#REF!</v>
      </c>
      <c r="C18" s="131" t="e">
        <f>#REF!</f>
        <v>#REF!</v>
      </c>
      <c r="D18" s="131" t="e">
        <f>#REF!</f>
        <v>#REF!</v>
      </c>
      <c r="E18" s="131" t="e">
        <f>#REF!</f>
        <v>#REF!</v>
      </c>
      <c r="F18" s="131" t="e">
        <f>#REF!</f>
        <v>#REF!</v>
      </c>
      <c r="G18" s="131" t="e">
        <f>#REF!</f>
        <v>#REF!</v>
      </c>
      <c r="H18" s="131" t="e">
        <f>#REF!</f>
        <v>#REF!</v>
      </c>
      <c r="I18" s="131" t="e">
        <f>#REF!</f>
        <v>#REF!</v>
      </c>
      <c r="J18" s="131" t="e">
        <f>#REF!</f>
        <v>#REF!</v>
      </c>
      <c r="K18" s="131" t="e">
        <f>#REF!</f>
        <v>#REF!</v>
      </c>
      <c r="L18" s="131" t="e">
        <f>#REF!</f>
        <v>#REF!</v>
      </c>
    </row>
    <row r="19" spans="1:20">
      <c r="A19" s="128" t="s">
        <v>318</v>
      </c>
      <c r="B19" s="131" t="e">
        <f>#REF!</f>
        <v>#REF!</v>
      </c>
      <c r="C19" s="131" t="e">
        <f>#REF!</f>
        <v>#REF!</v>
      </c>
      <c r="D19" s="131" t="e">
        <f>#REF!</f>
        <v>#REF!</v>
      </c>
      <c r="E19" s="131" t="e">
        <f>#REF!</f>
        <v>#REF!</v>
      </c>
      <c r="F19" s="131" t="e">
        <f>#REF!</f>
        <v>#REF!</v>
      </c>
      <c r="G19" s="131" t="e">
        <f>#REF!</f>
        <v>#REF!</v>
      </c>
      <c r="H19" s="131" t="e">
        <f>#REF!</f>
        <v>#REF!</v>
      </c>
      <c r="I19" s="131" t="e">
        <f>#REF!</f>
        <v>#REF!</v>
      </c>
      <c r="J19" s="131" t="e">
        <f>#REF!</f>
        <v>#REF!</v>
      </c>
      <c r="K19" s="131" t="e">
        <f>#REF!</f>
        <v>#REF!</v>
      </c>
      <c r="L19" s="131" t="e">
        <f>#REF!</f>
        <v>#REF!</v>
      </c>
    </row>
    <row r="20" spans="1:20">
      <c r="A20" s="128" t="s">
        <v>319</v>
      </c>
      <c r="B20" s="131" t="e">
        <f>#REF!</f>
        <v>#REF!</v>
      </c>
      <c r="C20" s="131" t="e">
        <f>#REF!</f>
        <v>#REF!</v>
      </c>
      <c r="D20" s="131" t="e">
        <f>#REF!</f>
        <v>#REF!</v>
      </c>
      <c r="E20" s="131" t="e">
        <f>#REF!</f>
        <v>#REF!</v>
      </c>
      <c r="F20" s="131" t="e">
        <f>#REF!</f>
        <v>#REF!</v>
      </c>
      <c r="G20" s="131" t="e">
        <f>#REF!</f>
        <v>#REF!</v>
      </c>
      <c r="H20" s="131" t="e">
        <f>#REF!</f>
        <v>#REF!</v>
      </c>
      <c r="I20" s="131" t="e">
        <f>#REF!</f>
        <v>#REF!</v>
      </c>
      <c r="J20" s="131" t="e">
        <f>#REF!</f>
        <v>#REF!</v>
      </c>
      <c r="K20" s="131" t="e">
        <f>#REF!</f>
        <v>#REF!</v>
      </c>
      <c r="L20" s="131" t="e">
        <f>#REF!</f>
        <v>#REF!</v>
      </c>
    </row>
    <row r="21" spans="1:20">
      <c r="A21" s="128" t="s">
        <v>320</v>
      </c>
      <c r="B21" s="131" t="e">
        <f>#REF!</f>
        <v>#REF!</v>
      </c>
      <c r="C21" s="131" t="e">
        <f>#REF!</f>
        <v>#REF!</v>
      </c>
      <c r="D21" s="131" t="e">
        <f>#REF!</f>
        <v>#REF!</v>
      </c>
      <c r="E21" s="131" t="e">
        <f>#REF!</f>
        <v>#REF!</v>
      </c>
      <c r="F21" s="131" t="e">
        <f>#REF!</f>
        <v>#REF!</v>
      </c>
      <c r="G21" s="131" t="e">
        <f>#REF!</f>
        <v>#REF!</v>
      </c>
      <c r="H21" s="131" t="e">
        <f>#REF!</f>
        <v>#REF!</v>
      </c>
      <c r="I21" s="131" t="e">
        <f>#REF!</f>
        <v>#REF!</v>
      </c>
      <c r="J21" s="131" t="e">
        <f>#REF!</f>
        <v>#REF!</v>
      </c>
      <c r="K21" s="131" t="e">
        <f>#REF!</f>
        <v>#REF!</v>
      </c>
      <c r="L21" s="131" t="e">
        <f>#REF!</f>
        <v>#REF!</v>
      </c>
    </row>
    <row r="24" spans="1:20">
      <c r="A24" s="132" t="s">
        <v>392</v>
      </c>
      <c r="B24" s="128">
        <v>2005</v>
      </c>
      <c r="C24" s="128">
        <v>2006</v>
      </c>
      <c r="D24" s="128">
        <v>2007</v>
      </c>
      <c r="E24" s="128">
        <v>2008</v>
      </c>
      <c r="F24" s="128">
        <v>2009</v>
      </c>
      <c r="G24" s="128">
        <v>2010</v>
      </c>
      <c r="H24" s="128">
        <v>2011</v>
      </c>
      <c r="I24" s="128">
        <v>2012</v>
      </c>
      <c r="J24" s="128">
        <v>2013</v>
      </c>
      <c r="K24" s="128">
        <v>2014</v>
      </c>
      <c r="L24" s="128">
        <v>2015</v>
      </c>
      <c r="M24" s="128">
        <v>2016</v>
      </c>
      <c r="N24" s="128">
        <v>2017</v>
      </c>
      <c r="O24" s="128">
        <v>2018</v>
      </c>
      <c r="P24" s="128">
        <v>2019</v>
      </c>
      <c r="Q24" s="128">
        <v>2020</v>
      </c>
      <c r="R24" s="128"/>
      <c r="S24" s="128" t="s">
        <v>330</v>
      </c>
      <c r="T24" s="128" t="s">
        <v>329</v>
      </c>
    </row>
    <row r="25" spans="1:20">
      <c r="A25" s="128" t="s">
        <v>323</v>
      </c>
      <c r="B25" s="133">
        <v>32.635588519503045</v>
      </c>
      <c r="C25" s="133">
        <v>38.880126962718421</v>
      </c>
      <c r="D25" s="133">
        <v>51.534647776615657</v>
      </c>
      <c r="E25" s="133">
        <v>67.085534637420977</v>
      </c>
      <c r="F25" s="133">
        <v>74.417694156564451</v>
      </c>
      <c r="G25" s="133">
        <v>86.164417641156774</v>
      </c>
      <c r="H25" s="133">
        <v>84.519556422979321</v>
      </c>
      <c r="I25" s="133">
        <v>83.599082632688422</v>
      </c>
      <c r="J25" s="133">
        <v>90.707910701939312</v>
      </c>
      <c r="K25" s="133">
        <v>96.596689324156699</v>
      </c>
      <c r="L25" s="133">
        <v>100.77522381493718</v>
      </c>
      <c r="M25" s="133">
        <v>100.39581741811561</v>
      </c>
      <c r="N25" s="133">
        <v>103.15807896632386</v>
      </c>
      <c r="O25" s="133">
        <v>107.71982075142539</v>
      </c>
      <c r="P25" s="133">
        <v>110.1801813680965</v>
      </c>
      <c r="Q25" s="133">
        <v>113.20329511536679</v>
      </c>
      <c r="R25" s="128"/>
      <c r="S25" s="128"/>
      <c r="T25" s="128"/>
    </row>
    <row r="26" spans="1:20">
      <c r="A26" s="128" t="s">
        <v>324</v>
      </c>
      <c r="B26" s="133">
        <v>3.915285455905217</v>
      </c>
      <c r="C26" s="133">
        <v>6.5832590781013334</v>
      </c>
      <c r="D26" s="133">
        <v>10.356202624083759</v>
      </c>
      <c r="E26" s="133">
        <v>15.641756986421692</v>
      </c>
      <c r="F26" s="133">
        <v>17.806647437060409</v>
      </c>
      <c r="G26" s="133">
        <v>20.428778443480216</v>
      </c>
      <c r="H26" s="133">
        <v>25.231519109603475</v>
      </c>
      <c r="I26" s="133">
        <v>28.383250068426822</v>
      </c>
      <c r="J26" s="133">
        <v>31.05310382416716</v>
      </c>
      <c r="K26" s="133">
        <v>33.468710979130257</v>
      </c>
      <c r="L26" s="133">
        <v>32.61463363685958</v>
      </c>
      <c r="M26" s="133">
        <v>35.872739657944621</v>
      </c>
      <c r="N26" s="133">
        <v>39.105112719313844</v>
      </c>
      <c r="O26" s="133">
        <v>42.972426911175766</v>
      </c>
      <c r="P26" s="133">
        <v>44.836997952440584</v>
      </c>
      <c r="Q26" s="133">
        <v>47.239104281961843</v>
      </c>
      <c r="R26" s="128"/>
      <c r="S26" s="128"/>
      <c r="T26" s="128"/>
    </row>
    <row r="27" spans="1:20">
      <c r="A27" s="128" t="s">
        <v>325</v>
      </c>
      <c r="B27" s="133">
        <f>B25*$R$2</f>
        <v>0.68968952396208372</v>
      </c>
      <c r="C27" s="133">
        <f t="shared" ref="C27:P27" si="16">C25*$R$2</f>
        <v>0.82165566710947646</v>
      </c>
      <c r="D27" s="133">
        <f t="shared" si="16"/>
        <v>1.0890842881956073</v>
      </c>
      <c r="E27" s="133">
        <f t="shared" si="16"/>
        <v>1.4177219577693492</v>
      </c>
      <c r="F27" s="133">
        <f t="shared" si="16"/>
        <v>1.572672851495384</v>
      </c>
      <c r="G27" s="133">
        <f t="shared" si="16"/>
        <v>1.8209169462314478</v>
      </c>
      <c r="H27" s="133">
        <f t="shared" si="16"/>
        <v>1.7861560118646429</v>
      </c>
      <c r="I27" s="133">
        <f t="shared" si="16"/>
        <v>1.7667035932307358</v>
      </c>
      <c r="J27" s="133">
        <f t="shared" si="16"/>
        <v>1.9169348122596184</v>
      </c>
      <c r="K27" s="133">
        <f t="shared" si="16"/>
        <v>2.0413826653218696</v>
      </c>
      <c r="L27" s="133">
        <f t="shared" si="16"/>
        <v>2.1296878436422579</v>
      </c>
      <c r="M27" s="133">
        <f t="shared" si="16"/>
        <v>2.1216698292879079</v>
      </c>
      <c r="N27" s="133">
        <f t="shared" si="16"/>
        <v>2.1800448406992698</v>
      </c>
      <c r="O27" s="133">
        <f t="shared" si="16"/>
        <v>2.27644835793091</v>
      </c>
      <c r="P27" s="133">
        <f t="shared" si="16"/>
        <v>2.3284432818610514</v>
      </c>
      <c r="Q27" s="133">
        <f>Q25*$R$2</f>
        <v>2.3923308958378016</v>
      </c>
      <c r="R27" s="128"/>
      <c r="S27" s="128"/>
      <c r="T27" s="128"/>
    </row>
    <row r="28" spans="1:20">
      <c r="A28" s="128" t="s">
        <v>326</v>
      </c>
      <c r="B28" s="133">
        <f>B26*$R$4</f>
        <v>0.12799851212445335</v>
      </c>
      <c r="C28" s="133">
        <f t="shared" ref="C28:Q28" si="17">C26*$R$4</f>
        <v>0.21521990578128877</v>
      </c>
      <c r="D28" s="133">
        <f t="shared" si="17"/>
        <v>0.33856497618654624</v>
      </c>
      <c r="E28" s="133">
        <f t="shared" si="17"/>
        <v>0.51136031940009796</v>
      </c>
      <c r="F28" s="133">
        <f t="shared" si="17"/>
        <v>0.58213491801237882</v>
      </c>
      <c r="G28" s="133">
        <f t="shared" si="17"/>
        <v>0.66785762487425515</v>
      </c>
      <c r="H28" s="133">
        <f t="shared" si="17"/>
        <v>0.8248688227311568</v>
      </c>
      <c r="I28" s="133">
        <f t="shared" si="17"/>
        <v>0.92790521123700964</v>
      </c>
      <c r="J28" s="133">
        <f t="shared" si="17"/>
        <v>1.0151880702196727</v>
      </c>
      <c r="K28" s="133">
        <f t="shared" si="17"/>
        <v>1.0941590993297263</v>
      </c>
      <c r="L28" s="133">
        <f t="shared" si="17"/>
        <v>1.0662376028562133</v>
      </c>
      <c r="M28" s="133">
        <f t="shared" si="17"/>
        <v>1.1727516048975255</v>
      </c>
      <c r="N28" s="133">
        <f t="shared" si="17"/>
        <v>1.2784243450198081</v>
      </c>
      <c r="O28" s="133">
        <f t="shared" si="17"/>
        <v>1.404854580580158</v>
      </c>
      <c r="P28" s="133">
        <f t="shared" si="17"/>
        <v>1.4658111370611875</v>
      </c>
      <c r="Q28" s="133">
        <f t="shared" si="17"/>
        <v>1.5443407971858965</v>
      </c>
      <c r="R28" s="128"/>
      <c r="S28" s="128"/>
      <c r="T28" s="128"/>
    </row>
    <row r="29" spans="1:20">
      <c r="A29" s="128" t="s">
        <v>327</v>
      </c>
      <c r="B29" s="128"/>
      <c r="C29" s="128"/>
      <c r="D29" s="128"/>
      <c r="E29" s="128"/>
      <c r="F29" s="128"/>
      <c r="G29" s="128"/>
      <c r="H29" s="128"/>
      <c r="I29" s="128"/>
      <c r="J29" s="128"/>
      <c r="K29" s="128"/>
      <c r="L29" s="128"/>
      <c r="M29" s="128"/>
      <c r="N29" s="128"/>
      <c r="O29" s="128"/>
      <c r="P29" s="128"/>
      <c r="Q29" s="128"/>
      <c r="R29" s="128"/>
      <c r="S29" s="133" t="e">
        <f>F14+F15</f>
        <v>#REF!</v>
      </c>
      <c r="T29" s="133" t="e">
        <f>G14+G15</f>
        <v>#REF!</v>
      </c>
    </row>
    <row r="30" spans="1:20">
      <c r="A30" s="128" t="s">
        <v>328</v>
      </c>
      <c r="B30" s="128"/>
      <c r="C30" s="128"/>
      <c r="D30" s="128"/>
      <c r="E30" s="128"/>
      <c r="F30" s="128"/>
      <c r="G30" s="128"/>
      <c r="H30" s="128"/>
      <c r="I30" s="128"/>
      <c r="J30" s="128"/>
      <c r="K30" s="128"/>
      <c r="L30" s="128"/>
      <c r="M30" s="128"/>
      <c r="N30" s="128"/>
      <c r="O30" s="128"/>
      <c r="P30" s="128"/>
      <c r="Q30" s="128"/>
      <c r="R30" s="128"/>
      <c r="S30" s="133" t="e">
        <f>F17</f>
        <v>#REF!</v>
      </c>
      <c r="T30" s="133" t="e">
        <f>G17</f>
        <v>#REF!</v>
      </c>
    </row>
    <row r="31" spans="1:20">
      <c r="A31" s="135" t="s">
        <v>303</v>
      </c>
      <c r="B31" s="128"/>
      <c r="C31" s="128"/>
      <c r="D31" s="128"/>
      <c r="E31" s="128"/>
      <c r="F31" s="128"/>
      <c r="G31" s="128"/>
      <c r="H31" s="128"/>
      <c r="I31" s="128"/>
      <c r="J31" s="128"/>
      <c r="K31" s="128"/>
      <c r="L31" s="128"/>
      <c r="M31" s="128"/>
      <c r="N31" s="128"/>
      <c r="O31" s="128"/>
      <c r="P31" s="128"/>
      <c r="Q31" s="128"/>
      <c r="R31" s="128"/>
      <c r="S31" s="133" t="e">
        <f>F16</f>
        <v>#REF!</v>
      </c>
      <c r="T31" s="133" t="e">
        <f>G16</f>
        <v>#REF!</v>
      </c>
    </row>
    <row r="32" spans="1:20">
      <c r="A32" s="135" t="s">
        <v>358</v>
      </c>
      <c r="B32" s="128"/>
      <c r="C32" s="128"/>
      <c r="D32" s="128"/>
      <c r="E32" s="128"/>
      <c r="F32" s="128"/>
      <c r="G32" s="128"/>
      <c r="H32" s="128"/>
      <c r="I32" s="128"/>
      <c r="J32" s="128"/>
      <c r="K32" s="128"/>
      <c r="L32" s="128"/>
      <c r="M32" s="128"/>
      <c r="N32" s="128"/>
      <c r="O32" s="128"/>
      <c r="P32" s="128"/>
      <c r="Q32" s="128"/>
      <c r="R32" s="128"/>
      <c r="S32" s="133" t="e">
        <f>F18</f>
        <v>#REF!</v>
      </c>
      <c r="T32" s="133" t="e">
        <f>G18</f>
        <v>#REF!</v>
      </c>
    </row>
    <row r="33" spans="1:19">
      <c r="A33" s="135" t="s">
        <v>332</v>
      </c>
      <c r="B33" s="128"/>
      <c r="C33" s="128"/>
      <c r="D33" s="128"/>
      <c r="E33" s="128"/>
      <c r="F33" s="128"/>
      <c r="G33" s="128"/>
      <c r="H33" s="128"/>
      <c r="I33" s="128"/>
      <c r="J33" s="128"/>
      <c r="K33" s="134">
        <f>B60</f>
        <v>2.7472964999999995E-3</v>
      </c>
      <c r="L33" s="134">
        <f t="shared" ref="K33:Q34" si="18">C60</f>
        <v>4.0152794999999998E-3</v>
      </c>
      <c r="M33" s="134">
        <f t="shared" si="18"/>
        <v>6.9739064999999991E-3</v>
      </c>
      <c r="N33" s="134">
        <f t="shared" si="18"/>
        <v>1.0355194499999998E-2</v>
      </c>
      <c r="O33" s="134">
        <f t="shared" si="18"/>
        <v>1.7751761999999997E-2</v>
      </c>
      <c r="P33" s="134">
        <f t="shared" si="18"/>
        <v>2.6204981999999995E-2</v>
      </c>
      <c r="Q33" s="134">
        <f>H60</f>
        <v>3.2544896999999996E-2</v>
      </c>
    </row>
    <row r="34" spans="1:19">
      <c r="A34" s="135" t="s">
        <v>333</v>
      </c>
      <c r="B34" s="128"/>
      <c r="C34" s="128"/>
      <c r="D34" s="128"/>
      <c r="E34" s="128"/>
      <c r="F34" s="128"/>
      <c r="G34" s="128"/>
      <c r="H34" s="128"/>
      <c r="I34" s="128"/>
      <c r="J34" s="128"/>
      <c r="K34" s="134">
        <f t="shared" si="18"/>
        <v>0</v>
      </c>
      <c r="L34" s="134">
        <f>C61</f>
        <v>2.4080000000000004E-3</v>
      </c>
      <c r="M34" s="134">
        <f t="shared" si="18"/>
        <v>2.4080000000000004E-3</v>
      </c>
      <c r="N34" s="134">
        <f t="shared" si="18"/>
        <v>5.8480000000000008E-3</v>
      </c>
      <c r="O34" s="134">
        <f t="shared" si="18"/>
        <v>1.0319999999999999E-2</v>
      </c>
      <c r="P34" s="134">
        <f t="shared" si="18"/>
        <v>1.7888000000000001E-2</v>
      </c>
      <c r="Q34" s="134">
        <f t="shared" si="18"/>
        <v>2.5111999999999999E-2</v>
      </c>
      <c r="S34" s="137" t="e">
        <f>(S31+S32)-(Q33+Q34)</f>
        <v>#REF!</v>
      </c>
    </row>
    <row r="36" spans="1:19">
      <c r="K36" t="s">
        <v>395</v>
      </c>
      <c r="L36" s="137">
        <f>L25+L26+C58+C59</f>
        <v>133.64985745179675</v>
      </c>
      <c r="M36" s="137">
        <f>M25+M26+D58+D59</f>
        <v>136.66855707606024</v>
      </c>
    </row>
    <row r="39" spans="1:19">
      <c r="J39" s="142"/>
    </row>
    <row r="55" spans="1:8">
      <c r="A55" s="2" t="s">
        <v>331</v>
      </c>
    </row>
    <row r="56" spans="1:8" ht="60">
      <c r="A56" s="136" t="s">
        <v>359</v>
      </c>
    </row>
    <row r="57" spans="1:8">
      <c r="A57" s="2" t="s">
        <v>393</v>
      </c>
      <c r="B57" s="132">
        <v>2014</v>
      </c>
      <c r="C57" s="132">
        <v>2015</v>
      </c>
      <c r="D57" s="132">
        <v>2016</v>
      </c>
      <c r="E57" s="132">
        <v>2017</v>
      </c>
      <c r="F57" s="132">
        <v>2018</v>
      </c>
      <c r="G57" s="132">
        <v>2019</v>
      </c>
      <c r="H57" s="132">
        <v>2020</v>
      </c>
    </row>
    <row r="58" spans="1:8">
      <c r="A58" s="128" t="s">
        <v>334</v>
      </c>
      <c r="B58" s="133">
        <v>0.13</v>
      </c>
      <c r="C58" s="133">
        <v>0.19</v>
      </c>
      <c r="D58" s="133">
        <v>0.33</v>
      </c>
      <c r="E58" s="133">
        <v>0.49</v>
      </c>
      <c r="F58" s="133">
        <v>0.84</v>
      </c>
      <c r="G58" s="133">
        <v>1.24</v>
      </c>
      <c r="H58" s="133">
        <v>1.54</v>
      </c>
    </row>
    <row r="59" spans="1:8">
      <c r="A59" s="128" t="s">
        <v>335</v>
      </c>
      <c r="B59" s="138">
        <v>0</v>
      </c>
      <c r="C59" s="133">
        <v>7.0000000000000007E-2</v>
      </c>
      <c r="D59" s="133">
        <v>7.0000000000000007E-2</v>
      </c>
      <c r="E59" s="133">
        <v>0.17</v>
      </c>
      <c r="F59" s="133">
        <v>0.3</v>
      </c>
      <c r="G59" s="133">
        <v>0.52</v>
      </c>
      <c r="H59" s="133">
        <v>0.73</v>
      </c>
    </row>
    <row r="60" spans="1:8">
      <c r="A60" s="128" t="s">
        <v>336</v>
      </c>
      <c r="B60" s="134">
        <f>B58*$R$2</f>
        <v>2.7472964999999995E-3</v>
      </c>
      <c r="C60" s="134">
        <f t="shared" ref="C60:G60" si="19">C58*$R$2</f>
        <v>4.0152794999999998E-3</v>
      </c>
      <c r="D60" s="134">
        <f t="shared" si="19"/>
        <v>6.9739064999999991E-3</v>
      </c>
      <c r="E60" s="134">
        <f t="shared" si="19"/>
        <v>1.0355194499999998E-2</v>
      </c>
      <c r="F60" s="134">
        <f t="shared" si="19"/>
        <v>1.7751761999999997E-2</v>
      </c>
      <c r="G60" s="134">
        <f t="shared" si="19"/>
        <v>2.6204981999999995E-2</v>
      </c>
      <c r="H60" s="134">
        <f>H58*$R$2</f>
        <v>3.2544896999999996E-2</v>
      </c>
    </row>
    <row r="61" spans="1:8">
      <c r="A61" s="128" t="s">
        <v>337</v>
      </c>
      <c r="B61" s="134">
        <f>B59*$R$5</f>
        <v>0</v>
      </c>
      <c r="C61" s="134">
        <f t="shared" ref="C61:G61" si="20">C59*$R$5</f>
        <v>2.4080000000000004E-3</v>
      </c>
      <c r="D61" s="134">
        <f t="shared" si="20"/>
        <v>2.4080000000000004E-3</v>
      </c>
      <c r="E61" s="134">
        <f t="shared" si="20"/>
        <v>5.8480000000000008E-3</v>
      </c>
      <c r="F61" s="134">
        <f t="shared" si="20"/>
        <v>1.0319999999999999E-2</v>
      </c>
      <c r="G61" s="134">
        <f t="shared" si="20"/>
        <v>1.7888000000000001E-2</v>
      </c>
      <c r="H61" s="134">
        <f>H59*$R$5</f>
        <v>2.5111999999999999E-2</v>
      </c>
    </row>
  </sheetData>
  <pageMargins left="0.7" right="0.7" top="0.75" bottom="0.75" header="0.3" footer="0.3"/>
  <pageSetup paperSize="9" orientation="portrait" verticalDpi="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117"/>
  <sheetViews>
    <sheetView topLeftCell="A7" zoomScale="70" zoomScaleNormal="70" workbookViewId="0">
      <selection activeCell="P30" sqref="P30"/>
    </sheetView>
  </sheetViews>
  <sheetFormatPr defaultColWidth="8.85546875" defaultRowHeight="15"/>
  <cols>
    <col min="1" max="1" width="3.42578125" style="145" customWidth="1"/>
    <col min="2" max="2" width="33.140625" style="145" customWidth="1"/>
    <col min="3" max="13" width="8.85546875" style="145"/>
    <col min="14" max="14" width="8.85546875" style="146"/>
    <col min="15" max="15" width="17" style="145" customWidth="1"/>
    <col min="16" max="16" width="8.85546875" style="145"/>
    <col min="17" max="17" width="15.42578125" style="145" customWidth="1"/>
    <col min="18" max="26" width="8.85546875" style="145"/>
    <col min="27" max="27" width="8.85546875" style="146"/>
    <col min="28" max="39" width="8.85546875" style="145"/>
    <col min="40" max="40" width="8.85546875" style="146"/>
    <col min="41" max="16384" width="8.85546875" style="145"/>
  </cols>
  <sheetData>
    <row r="1" spans="2:40" s="144" customFormat="1" ht="21">
      <c r="B1" s="143" t="s">
        <v>360</v>
      </c>
      <c r="N1" s="143"/>
      <c r="AA1" s="143"/>
      <c r="AN1" s="143"/>
    </row>
    <row r="2" spans="2:40">
      <c r="O2" s="146"/>
      <c r="P2" s="146"/>
      <c r="Q2" s="146"/>
      <c r="R2" s="146"/>
      <c r="S2" s="146"/>
      <c r="T2" s="146"/>
      <c r="U2" s="146"/>
      <c r="V2" s="146"/>
      <c r="W2" s="146"/>
      <c r="X2" s="146"/>
      <c r="Y2" s="146"/>
    </row>
    <row r="3" spans="2:40" ht="23.25">
      <c r="B3" s="147" t="s">
        <v>361</v>
      </c>
    </row>
    <row r="5" spans="2:40">
      <c r="B5" s="146" t="s">
        <v>362</v>
      </c>
      <c r="C5" s="148" t="s">
        <v>363</v>
      </c>
    </row>
    <row r="6" spans="2:40">
      <c r="B6" s="146" t="s">
        <v>364</v>
      </c>
      <c r="C6" s="148" t="s">
        <v>365</v>
      </c>
    </row>
    <row r="7" spans="2:40">
      <c r="B7" s="146" t="s">
        <v>366</v>
      </c>
      <c r="C7" s="148" t="s">
        <v>367</v>
      </c>
    </row>
    <row r="8" spans="2:40">
      <c r="B8" s="146" t="s">
        <v>368</v>
      </c>
      <c r="C8" s="148" t="s">
        <v>369</v>
      </c>
    </row>
    <row r="9" spans="2:40" ht="23.25">
      <c r="B9" s="146"/>
      <c r="C9" s="149"/>
      <c r="L9" s="147" t="s">
        <v>370</v>
      </c>
    </row>
    <row r="10" spans="2:40">
      <c r="B10" s="146" t="s">
        <v>371</v>
      </c>
      <c r="C10" s="149"/>
    </row>
    <row r="11" spans="2:40">
      <c r="B11" s="146" t="s">
        <v>372</v>
      </c>
      <c r="C11" s="148" t="s">
        <v>388</v>
      </c>
    </row>
    <row r="12" spans="2:40">
      <c r="B12" s="146" t="s">
        <v>373</v>
      </c>
      <c r="C12" s="148" t="s">
        <v>374</v>
      </c>
    </row>
    <row r="14" spans="2:40">
      <c r="B14" s="146"/>
      <c r="C14" s="150"/>
    </row>
    <row r="15" spans="2:40">
      <c r="B15" s="146"/>
      <c r="C15" s="150"/>
    </row>
    <row r="16" spans="2:40">
      <c r="B16" s="146" t="s">
        <v>375</v>
      </c>
      <c r="C16" s="150"/>
    </row>
    <row r="17" spans="2:38">
      <c r="B17" s="146" t="s">
        <v>376</v>
      </c>
      <c r="C17" s="151" t="s">
        <v>377</v>
      </c>
    </row>
    <row r="18" spans="2:38">
      <c r="B18" s="146" t="s">
        <v>378</v>
      </c>
      <c r="C18" s="151" t="s">
        <v>379</v>
      </c>
    </row>
    <row r="19" spans="2:38">
      <c r="B19" s="146"/>
      <c r="C19" s="150"/>
    </row>
    <row r="20" spans="2:38">
      <c r="B20" s="146" t="s">
        <v>380</v>
      </c>
      <c r="V20" s="152"/>
      <c r="W20" s="152"/>
    </row>
    <row r="21" spans="2:38">
      <c r="B21" s="218" t="s">
        <v>381</v>
      </c>
      <c r="C21" s="219"/>
      <c r="D21" s="219"/>
      <c r="E21" s="219"/>
      <c r="F21" s="219"/>
      <c r="G21" s="219"/>
      <c r="H21" s="220"/>
      <c r="V21" s="152"/>
      <c r="W21" s="152"/>
    </row>
    <row r="22" spans="2:38">
      <c r="B22" s="221"/>
      <c r="C22" s="222"/>
      <c r="D22" s="222"/>
      <c r="E22" s="222"/>
      <c r="F22" s="222"/>
      <c r="G22" s="222"/>
      <c r="H22" s="223"/>
      <c r="V22" s="152"/>
      <c r="W22" s="152"/>
    </row>
    <row r="23" spans="2:38">
      <c r="B23" s="221"/>
      <c r="C23" s="222"/>
      <c r="D23" s="222"/>
      <c r="E23" s="222"/>
      <c r="F23" s="222"/>
      <c r="G23" s="222"/>
      <c r="H23" s="223"/>
      <c r="V23" s="152"/>
      <c r="W23" s="152"/>
    </row>
    <row r="24" spans="2:38">
      <c r="B24" s="221"/>
      <c r="C24" s="222"/>
      <c r="D24" s="222"/>
      <c r="E24" s="222"/>
      <c r="F24" s="222"/>
      <c r="G24" s="222"/>
      <c r="H24" s="223"/>
      <c r="V24" s="152"/>
      <c r="W24" s="152"/>
      <c r="X24" s="146"/>
      <c r="Y24" s="146"/>
    </row>
    <row r="25" spans="2:38">
      <c r="B25" s="221"/>
      <c r="C25" s="222"/>
      <c r="D25" s="222"/>
      <c r="E25" s="222"/>
      <c r="F25" s="222"/>
      <c r="G25" s="222"/>
      <c r="H25" s="223"/>
      <c r="V25" s="152"/>
      <c r="W25" s="152"/>
      <c r="X25" s="146"/>
      <c r="Y25" s="146"/>
    </row>
    <row r="26" spans="2:38" ht="15.75">
      <c r="B26" s="221"/>
      <c r="C26" s="222"/>
      <c r="D26" s="222"/>
      <c r="E26" s="222"/>
      <c r="F26" s="222"/>
      <c r="G26" s="222"/>
      <c r="H26" s="223"/>
      <c r="N26" s="153"/>
      <c r="V26" s="152"/>
      <c r="W26" s="152"/>
      <c r="Z26" s="154"/>
      <c r="AA26" s="153"/>
    </row>
    <row r="27" spans="2:38" s="146" customFormat="1">
      <c r="B27" s="221"/>
      <c r="C27" s="222"/>
      <c r="D27" s="222"/>
      <c r="E27" s="222"/>
      <c r="F27" s="222"/>
      <c r="G27" s="222"/>
      <c r="H27" s="223"/>
      <c r="N27" s="155"/>
      <c r="V27" s="152"/>
      <c r="W27" s="152"/>
      <c r="AA27" s="156"/>
    </row>
    <row r="28" spans="2:38">
      <c r="B28" s="221"/>
      <c r="C28" s="222"/>
      <c r="D28" s="222"/>
      <c r="E28" s="222"/>
      <c r="F28" s="222"/>
      <c r="G28" s="222"/>
      <c r="H28" s="223"/>
      <c r="N28" s="157"/>
      <c r="V28" s="152"/>
      <c r="W28" s="152"/>
      <c r="X28" s="158"/>
      <c r="Y28" s="158"/>
      <c r="AA28" s="157"/>
      <c r="AB28" s="158"/>
      <c r="AC28" s="158"/>
      <c r="AD28" s="158"/>
      <c r="AE28" s="158"/>
      <c r="AF28" s="158"/>
      <c r="AG28" s="158"/>
      <c r="AH28" s="158"/>
      <c r="AI28" s="158"/>
      <c r="AJ28" s="158"/>
      <c r="AK28" s="158"/>
      <c r="AL28" s="158"/>
    </row>
    <row r="29" spans="2:38">
      <c r="B29" s="221"/>
      <c r="C29" s="222"/>
      <c r="D29" s="222"/>
      <c r="E29" s="222"/>
      <c r="F29" s="222"/>
      <c r="G29" s="222"/>
      <c r="H29" s="223"/>
      <c r="N29" s="157"/>
      <c r="V29" s="152"/>
      <c r="W29" s="152"/>
      <c r="X29" s="158"/>
      <c r="Y29" s="158"/>
      <c r="AA29" s="157"/>
      <c r="AB29" s="158"/>
      <c r="AC29" s="158"/>
      <c r="AD29" s="158"/>
      <c r="AE29" s="158"/>
      <c r="AF29" s="158"/>
      <c r="AG29" s="158"/>
      <c r="AH29" s="158"/>
      <c r="AI29" s="158"/>
      <c r="AJ29" s="158"/>
      <c r="AK29" s="158"/>
      <c r="AL29" s="158"/>
    </row>
    <row r="30" spans="2:38">
      <c r="B30" s="221"/>
      <c r="C30" s="222"/>
      <c r="D30" s="222"/>
      <c r="E30" s="222"/>
      <c r="F30" s="222"/>
      <c r="G30" s="222"/>
      <c r="H30" s="223"/>
      <c r="N30" s="157"/>
      <c r="V30" s="152"/>
      <c r="W30" s="152"/>
      <c r="X30" s="158"/>
      <c r="Y30" s="158"/>
      <c r="AA30" s="157"/>
      <c r="AB30" s="158"/>
      <c r="AC30" s="158"/>
      <c r="AD30" s="158"/>
      <c r="AE30" s="158"/>
      <c r="AF30" s="158"/>
      <c r="AG30" s="158"/>
      <c r="AH30" s="158"/>
      <c r="AI30" s="158"/>
      <c r="AJ30" s="158"/>
      <c r="AK30" s="158"/>
      <c r="AL30" s="158"/>
    </row>
    <row r="31" spans="2:38">
      <c r="B31" s="221"/>
      <c r="C31" s="222"/>
      <c r="D31" s="222"/>
      <c r="E31" s="222"/>
      <c r="F31" s="222"/>
      <c r="G31" s="222"/>
      <c r="H31" s="223"/>
      <c r="N31" s="157"/>
      <c r="V31" s="152"/>
      <c r="W31" s="152"/>
      <c r="X31" s="158"/>
      <c r="Y31" s="158"/>
      <c r="AA31" s="157"/>
      <c r="AB31" s="158"/>
      <c r="AC31" s="158"/>
      <c r="AD31" s="158"/>
      <c r="AE31" s="158"/>
      <c r="AF31" s="158"/>
      <c r="AG31" s="158"/>
      <c r="AH31" s="158"/>
      <c r="AI31" s="158"/>
      <c r="AJ31" s="158"/>
      <c r="AK31" s="158"/>
      <c r="AL31" s="158"/>
    </row>
    <row r="32" spans="2:38">
      <c r="B32" s="221"/>
      <c r="C32" s="222"/>
      <c r="D32" s="222"/>
      <c r="E32" s="222"/>
      <c r="F32" s="222"/>
      <c r="G32" s="222"/>
      <c r="H32" s="223"/>
      <c r="N32" s="157"/>
      <c r="V32" s="152"/>
      <c r="W32" s="152"/>
      <c r="X32" s="158"/>
      <c r="Y32" s="158"/>
      <c r="AA32" s="157"/>
      <c r="AB32" s="158"/>
      <c r="AC32" s="158"/>
      <c r="AD32" s="158"/>
      <c r="AE32" s="158"/>
      <c r="AF32" s="158"/>
      <c r="AG32" s="158"/>
      <c r="AH32" s="158"/>
      <c r="AI32" s="158"/>
      <c r="AJ32" s="158"/>
      <c r="AK32" s="158"/>
      <c r="AL32" s="158"/>
    </row>
    <row r="33" spans="2:38">
      <c r="B33" s="221"/>
      <c r="C33" s="222"/>
      <c r="D33" s="222"/>
      <c r="E33" s="222"/>
      <c r="F33" s="222"/>
      <c r="G33" s="222"/>
      <c r="H33" s="223"/>
      <c r="N33" s="157"/>
      <c r="V33" s="152"/>
      <c r="W33" s="152"/>
      <c r="X33" s="158"/>
      <c r="Y33" s="158"/>
      <c r="AA33" s="157"/>
      <c r="AB33" s="158"/>
      <c r="AC33" s="158"/>
      <c r="AD33" s="158"/>
      <c r="AE33" s="158"/>
      <c r="AF33" s="158"/>
      <c r="AG33" s="158"/>
      <c r="AH33" s="158"/>
      <c r="AI33" s="158"/>
      <c r="AJ33" s="158"/>
      <c r="AK33" s="158"/>
      <c r="AL33" s="158"/>
    </row>
    <row r="34" spans="2:38">
      <c r="B34" s="221"/>
      <c r="C34" s="222"/>
      <c r="D34" s="222"/>
      <c r="E34" s="222"/>
      <c r="F34" s="222"/>
      <c r="G34" s="222"/>
      <c r="H34" s="223"/>
      <c r="N34" s="157"/>
      <c r="V34" s="152"/>
      <c r="W34" s="152"/>
      <c r="X34" s="158"/>
      <c r="Y34" s="158"/>
      <c r="AA34" s="157"/>
      <c r="AB34" s="158"/>
      <c r="AC34" s="158"/>
      <c r="AD34" s="158"/>
      <c r="AE34" s="158"/>
      <c r="AF34" s="158"/>
      <c r="AG34" s="158"/>
      <c r="AH34" s="158"/>
      <c r="AI34" s="158"/>
      <c r="AJ34" s="158"/>
      <c r="AK34" s="158"/>
      <c r="AL34" s="158"/>
    </row>
    <row r="35" spans="2:38">
      <c r="B35" s="224"/>
      <c r="C35" s="225"/>
      <c r="D35" s="225"/>
      <c r="E35" s="225"/>
      <c r="F35" s="225"/>
      <c r="G35" s="225"/>
      <c r="H35" s="226"/>
      <c r="N35" s="157"/>
      <c r="O35" s="152"/>
      <c r="P35" s="152"/>
      <c r="Q35" s="152"/>
      <c r="R35" s="152"/>
      <c r="S35" s="152"/>
      <c r="T35" s="152"/>
      <c r="U35" s="152"/>
      <c r="V35" s="152"/>
      <c r="W35" s="152"/>
      <c r="X35" s="158"/>
      <c r="Y35" s="158"/>
      <c r="AA35" s="157"/>
      <c r="AB35" s="158"/>
      <c r="AC35" s="158"/>
      <c r="AD35" s="158"/>
      <c r="AE35" s="158"/>
      <c r="AF35" s="158"/>
      <c r="AG35" s="158"/>
      <c r="AH35" s="158"/>
      <c r="AI35" s="158"/>
      <c r="AJ35" s="158"/>
      <c r="AK35" s="158"/>
      <c r="AL35" s="158"/>
    </row>
    <row r="36" spans="2:38">
      <c r="N36" s="157"/>
      <c r="O36" s="158"/>
      <c r="P36" s="158"/>
      <c r="Q36" s="158"/>
      <c r="R36" s="158"/>
      <c r="S36" s="158"/>
      <c r="T36" s="158"/>
      <c r="U36" s="158"/>
      <c r="V36" s="158"/>
      <c r="W36" s="158"/>
      <c r="X36" s="158"/>
      <c r="Y36" s="158"/>
      <c r="AA36" s="157"/>
      <c r="AB36" s="158"/>
      <c r="AC36" s="158"/>
      <c r="AD36" s="158"/>
      <c r="AE36" s="158"/>
      <c r="AF36" s="158"/>
      <c r="AG36" s="158"/>
      <c r="AH36" s="158"/>
      <c r="AI36" s="158"/>
      <c r="AJ36" s="158"/>
      <c r="AK36" s="158"/>
      <c r="AL36" s="158"/>
    </row>
    <row r="37" spans="2:38">
      <c r="N37" s="157"/>
      <c r="O37" s="158"/>
      <c r="P37" s="158"/>
      <c r="Q37" s="158"/>
      <c r="R37" s="158"/>
      <c r="S37" s="158"/>
      <c r="T37" s="158"/>
      <c r="U37" s="158"/>
      <c r="V37" s="158"/>
      <c r="W37" s="158"/>
      <c r="X37" s="158"/>
      <c r="Y37" s="158"/>
      <c r="AA37" s="157"/>
      <c r="AB37" s="158"/>
      <c r="AC37" s="158"/>
      <c r="AD37" s="158"/>
      <c r="AE37" s="158"/>
      <c r="AF37" s="158"/>
      <c r="AG37" s="158"/>
      <c r="AH37" s="158"/>
      <c r="AI37" s="158"/>
      <c r="AJ37" s="158"/>
      <c r="AK37" s="158"/>
      <c r="AL37" s="158"/>
    </row>
    <row r="38" spans="2:38" ht="23.25">
      <c r="B38" s="147" t="s">
        <v>382</v>
      </c>
      <c r="C38" s="159"/>
      <c r="N38" s="157"/>
      <c r="O38" s="158"/>
      <c r="P38" s="158"/>
      <c r="Q38" s="158"/>
      <c r="R38" s="158"/>
      <c r="S38" s="158"/>
      <c r="T38" s="158"/>
      <c r="U38" s="158"/>
      <c r="V38" s="158"/>
      <c r="W38" s="158"/>
      <c r="X38" s="158"/>
      <c r="Y38" s="158"/>
      <c r="AA38" s="157"/>
      <c r="AB38" s="158"/>
      <c r="AC38" s="158"/>
      <c r="AD38" s="158"/>
      <c r="AE38" s="158"/>
      <c r="AF38" s="158"/>
      <c r="AG38" s="158"/>
      <c r="AH38" s="158"/>
      <c r="AI38" s="158"/>
      <c r="AJ38" s="158"/>
      <c r="AK38" s="158"/>
      <c r="AL38" s="158"/>
    </row>
    <row r="39" spans="2:38">
      <c r="B39" s="145" t="s">
        <v>383</v>
      </c>
      <c r="N39" s="157"/>
      <c r="O39" s="158"/>
      <c r="P39" s="158"/>
      <c r="Q39" s="158"/>
      <c r="R39" s="158"/>
      <c r="S39" s="158"/>
      <c r="T39" s="158"/>
      <c r="U39" s="158"/>
      <c r="V39" s="158"/>
      <c r="W39" s="158"/>
      <c r="X39" s="158"/>
      <c r="Y39" s="158"/>
      <c r="AA39" s="157"/>
      <c r="AB39" s="158"/>
      <c r="AC39" s="158"/>
      <c r="AD39" s="158"/>
      <c r="AE39" s="158"/>
      <c r="AF39" s="158"/>
      <c r="AG39" s="158"/>
      <c r="AH39" s="158"/>
      <c r="AI39" s="158"/>
      <c r="AJ39" s="158"/>
      <c r="AK39" s="158"/>
      <c r="AL39" s="158"/>
    </row>
    <row r="40" spans="2:38">
      <c r="B40" s="148"/>
      <c r="C40" s="165" t="e">
        <f>'TCEP 2DS target data'!E1</f>
        <v>#REF!</v>
      </c>
      <c r="D40" s="165" t="e">
        <f>'TCEP 2DS target data'!F1</f>
        <v>#REF!</v>
      </c>
      <c r="E40" s="165" t="e">
        <f>'TCEP 2DS target data'!G1</f>
        <v>#REF!</v>
      </c>
      <c r="F40" s="165" t="e">
        <f>'TCEP 2DS target data'!H1</f>
        <v>#REF!</v>
      </c>
      <c r="G40" s="165" t="e">
        <f>'TCEP 2DS target data'!I1</f>
        <v>#REF!</v>
      </c>
      <c r="H40" s="165" t="e">
        <f>'TCEP 2DS target data'!J1</f>
        <v>#REF!</v>
      </c>
      <c r="I40" s="165" t="e">
        <f>'TCEP 2DS target data'!K1</f>
        <v>#REF!</v>
      </c>
      <c r="J40" s="165" t="e">
        <f>'TCEP 2DS target data'!L1</f>
        <v>#REF!</v>
      </c>
      <c r="K40" s="165"/>
      <c r="N40" s="157"/>
      <c r="O40" s="158"/>
      <c r="P40" s="158"/>
      <c r="Q40" s="158"/>
      <c r="R40" s="158"/>
      <c r="S40" s="158"/>
      <c r="T40" s="158"/>
      <c r="U40" s="158"/>
      <c r="V40" s="158"/>
      <c r="W40" s="158"/>
      <c r="X40" s="158"/>
      <c r="Y40" s="158"/>
      <c r="AA40" s="157"/>
      <c r="AB40" s="158"/>
      <c r="AC40" s="158"/>
      <c r="AD40" s="158"/>
      <c r="AE40" s="158"/>
      <c r="AF40" s="158"/>
      <c r="AG40" s="158"/>
      <c r="AH40" s="158"/>
      <c r="AI40" s="158"/>
      <c r="AJ40" s="158"/>
      <c r="AK40" s="158"/>
      <c r="AL40" s="158"/>
    </row>
    <row r="41" spans="2:38">
      <c r="B41" s="165" t="s">
        <v>389</v>
      </c>
      <c r="C41" s="160" t="e">
        <f>'TCEP 2DS target data'!E3</f>
        <v>#REF!</v>
      </c>
      <c r="D41" s="160" t="e">
        <f>'TCEP 2DS target data'!F3</f>
        <v>#REF!</v>
      </c>
      <c r="E41" s="160" t="e">
        <f>'TCEP 2DS target data'!G3</f>
        <v>#REF!</v>
      </c>
      <c r="F41" s="160" t="e">
        <f>'TCEP 2DS target data'!H3</f>
        <v>#REF!</v>
      </c>
      <c r="G41" s="160" t="e">
        <f>'TCEP 2DS target data'!I3</f>
        <v>#REF!</v>
      </c>
      <c r="H41" s="160" t="e">
        <f>'TCEP 2DS target data'!J3</f>
        <v>#REF!</v>
      </c>
      <c r="I41" s="160" t="e">
        <f>'TCEP 2DS target data'!K3</f>
        <v>#REF!</v>
      </c>
      <c r="J41" s="160" t="e">
        <f>'TCEP 2DS target data'!L3</f>
        <v>#REF!</v>
      </c>
      <c r="K41" s="160"/>
      <c r="N41" s="157"/>
      <c r="O41" s="158"/>
      <c r="P41" s="158"/>
      <c r="Q41" s="158"/>
      <c r="R41" s="158"/>
      <c r="S41" s="158"/>
      <c r="T41" s="158"/>
      <c r="U41" s="158"/>
      <c r="V41" s="158"/>
      <c r="W41" s="158"/>
      <c r="X41" s="158"/>
      <c r="Y41" s="158"/>
      <c r="AA41" s="157"/>
      <c r="AB41" s="158"/>
      <c r="AC41" s="158"/>
      <c r="AD41" s="158"/>
      <c r="AE41" s="158"/>
      <c r="AF41" s="158"/>
      <c r="AG41" s="158"/>
      <c r="AH41" s="158"/>
      <c r="AI41" s="158"/>
      <c r="AJ41" s="158"/>
      <c r="AK41" s="158"/>
      <c r="AL41" s="158"/>
    </row>
    <row r="42" spans="2:38">
      <c r="B42" s="165" t="s">
        <v>384</v>
      </c>
      <c r="C42" s="160" t="e">
        <f>'TCEP 2DS target data'!E4</f>
        <v>#REF!</v>
      </c>
      <c r="D42" s="160" t="e">
        <f>'TCEP 2DS target data'!F4</f>
        <v>#REF!</v>
      </c>
      <c r="E42" s="160" t="e">
        <f>'TCEP 2DS target data'!G4</f>
        <v>#REF!</v>
      </c>
      <c r="F42" s="160" t="e">
        <f>'TCEP 2DS target data'!H4</f>
        <v>#REF!</v>
      </c>
      <c r="G42" s="160" t="e">
        <f>'TCEP 2DS target data'!I4</f>
        <v>#REF!</v>
      </c>
      <c r="H42" s="160" t="e">
        <f>'TCEP 2DS target data'!J4</f>
        <v>#REF!</v>
      </c>
      <c r="I42" s="160" t="e">
        <f>'TCEP 2DS target data'!K4</f>
        <v>#REF!</v>
      </c>
      <c r="J42" s="160" t="e">
        <f>'TCEP 2DS target data'!L4</f>
        <v>#REF!</v>
      </c>
      <c r="K42" s="160"/>
      <c r="N42" s="157"/>
      <c r="O42" s="158"/>
      <c r="P42" s="158"/>
      <c r="Q42" s="158"/>
      <c r="R42" s="158"/>
      <c r="S42" s="158"/>
      <c r="T42" s="158"/>
      <c r="U42" s="158"/>
      <c r="V42" s="158"/>
      <c r="W42" s="158"/>
      <c r="X42" s="158"/>
      <c r="Y42" s="158"/>
      <c r="AA42" s="157"/>
      <c r="AB42" s="158"/>
      <c r="AC42" s="158"/>
      <c r="AD42" s="158"/>
      <c r="AE42" s="158"/>
      <c r="AF42" s="158"/>
      <c r="AG42" s="158"/>
      <c r="AH42" s="158"/>
      <c r="AI42" s="158"/>
      <c r="AJ42" s="158"/>
      <c r="AK42" s="158"/>
      <c r="AL42" s="158"/>
    </row>
    <row r="43" spans="2:38">
      <c r="B43" s="165" t="s">
        <v>387</v>
      </c>
      <c r="C43" s="160" t="e">
        <f>'TCEP 2DS target data'!E5</f>
        <v>#REF!</v>
      </c>
      <c r="D43" s="160" t="e">
        <f>'TCEP 2DS target data'!F5</f>
        <v>#REF!</v>
      </c>
      <c r="E43" s="160" t="e">
        <f>'TCEP 2DS target data'!G5</f>
        <v>#REF!</v>
      </c>
      <c r="F43" s="160" t="e">
        <f>'TCEP 2DS target data'!H5</f>
        <v>#REF!</v>
      </c>
      <c r="G43" s="160" t="e">
        <f>'TCEP 2DS target data'!I5</f>
        <v>#REF!</v>
      </c>
      <c r="H43" s="160" t="e">
        <f>'TCEP 2DS target data'!J5</f>
        <v>#REF!</v>
      </c>
      <c r="I43" s="160" t="e">
        <f>'TCEP 2DS target data'!K5</f>
        <v>#REF!</v>
      </c>
      <c r="J43" s="160" t="e">
        <f>'TCEP 2DS target data'!L5</f>
        <v>#REF!</v>
      </c>
      <c r="K43" s="160"/>
      <c r="N43" s="157"/>
      <c r="O43" s="158"/>
      <c r="P43" s="158"/>
      <c r="Q43" s="158"/>
      <c r="R43" s="158"/>
      <c r="S43" s="158"/>
      <c r="T43" s="158"/>
      <c r="U43" s="158"/>
      <c r="V43" s="158"/>
      <c r="W43" s="158"/>
      <c r="X43" s="158"/>
      <c r="Y43" s="158"/>
      <c r="AA43" s="157"/>
      <c r="AB43" s="158"/>
      <c r="AC43" s="158"/>
      <c r="AD43" s="158"/>
      <c r="AE43" s="158"/>
      <c r="AF43" s="158"/>
      <c r="AG43" s="158"/>
      <c r="AH43" s="158"/>
      <c r="AI43" s="158"/>
      <c r="AJ43" s="158"/>
      <c r="AK43" s="158"/>
      <c r="AL43" s="158"/>
    </row>
    <row r="44" spans="2:38">
      <c r="B44" s="165" t="s">
        <v>302</v>
      </c>
      <c r="C44" s="160" t="e">
        <f>'TCEP 2DS target data'!E6</f>
        <v>#REF!</v>
      </c>
      <c r="D44" s="160" t="e">
        <f>'TCEP 2DS target data'!F6</f>
        <v>#REF!</v>
      </c>
      <c r="E44" s="160" t="e">
        <f>'TCEP 2DS target data'!G6</f>
        <v>#REF!</v>
      </c>
      <c r="F44" s="160" t="e">
        <f>'TCEP 2DS target data'!H6</f>
        <v>#REF!</v>
      </c>
      <c r="G44" s="160" t="e">
        <f>'TCEP 2DS target data'!I6</f>
        <v>#REF!</v>
      </c>
      <c r="H44" s="160" t="e">
        <f>'TCEP 2DS target data'!J6</f>
        <v>#REF!</v>
      </c>
      <c r="I44" s="160" t="e">
        <f>'TCEP 2DS target data'!K6</f>
        <v>#REF!</v>
      </c>
      <c r="J44" s="160" t="e">
        <f>'TCEP 2DS target data'!L6</f>
        <v>#REF!</v>
      </c>
      <c r="K44" s="160"/>
      <c r="N44" s="157"/>
      <c r="O44" s="158"/>
      <c r="P44" s="158"/>
      <c r="Q44" s="158"/>
      <c r="R44" s="158"/>
      <c r="S44" s="158"/>
      <c r="T44" s="158"/>
      <c r="U44" s="158"/>
      <c r="V44" s="158"/>
      <c r="W44" s="158"/>
      <c r="X44" s="158"/>
      <c r="Y44" s="158"/>
      <c r="AA44" s="157"/>
      <c r="AB44" s="158"/>
      <c r="AC44" s="158"/>
      <c r="AD44" s="158"/>
      <c r="AE44" s="158"/>
      <c r="AF44" s="158"/>
      <c r="AG44" s="158"/>
      <c r="AH44" s="158"/>
      <c r="AI44" s="158"/>
      <c r="AJ44" s="158"/>
      <c r="AK44" s="158"/>
      <c r="AL44" s="158"/>
    </row>
    <row r="45" spans="2:38">
      <c r="B45" s="165" t="s">
        <v>386</v>
      </c>
      <c r="C45" s="160" t="e">
        <f>'TCEP 2DS target data'!E7</f>
        <v>#REF!</v>
      </c>
      <c r="D45" s="160" t="e">
        <f>'TCEP 2DS target data'!F7</f>
        <v>#REF!</v>
      </c>
      <c r="E45" s="160" t="e">
        <f>'TCEP 2DS target data'!G7</f>
        <v>#REF!</v>
      </c>
      <c r="F45" s="160" t="e">
        <f>'TCEP 2DS target data'!H7</f>
        <v>#REF!</v>
      </c>
      <c r="G45" s="160" t="e">
        <f>'TCEP 2DS target data'!I7</f>
        <v>#REF!</v>
      </c>
      <c r="H45" s="160" t="e">
        <f>'TCEP 2DS target data'!J7</f>
        <v>#REF!</v>
      </c>
      <c r="I45" s="160" t="e">
        <f>'TCEP 2DS target data'!K7</f>
        <v>#REF!</v>
      </c>
      <c r="J45" s="160" t="e">
        <f>'TCEP 2DS target data'!L7</f>
        <v>#REF!</v>
      </c>
      <c r="K45" s="160"/>
      <c r="N45" s="157"/>
      <c r="O45" s="158"/>
      <c r="P45" s="158"/>
      <c r="Q45" s="158"/>
      <c r="R45" s="158"/>
      <c r="S45" s="158"/>
      <c r="T45" s="158"/>
      <c r="U45" s="158"/>
      <c r="V45" s="158"/>
      <c r="W45" s="158"/>
      <c r="X45" s="158"/>
      <c r="Y45" s="158"/>
      <c r="AA45" s="157"/>
      <c r="AB45" s="158"/>
      <c r="AC45" s="158"/>
      <c r="AD45" s="158"/>
      <c r="AE45" s="158"/>
      <c r="AF45" s="158"/>
      <c r="AG45" s="158"/>
      <c r="AH45" s="158"/>
      <c r="AI45" s="158"/>
      <c r="AJ45" s="158"/>
      <c r="AK45" s="158"/>
      <c r="AL45" s="158"/>
    </row>
    <row r="46" spans="2:38">
      <c r="B46" s="165" t="s">
        <v>305</v>
      </c>
      <c r="C46" s="160" t="e">
        <f>'TCEP 2DS target data'!E8</f>
        <v>#REF!</v>
      </c>
      <c r="D46" s="160" t="e">
        <f>'TCEP 2DS target data'!F8</f>
        <v>#REF!</v>
      </c>
      <c r="E46" s="160" t="e">
        <f>'TCEP 2DS target data'!G8</f>
        <v>#REF!</v>
      </c>
      <c r="F46" s="160" t="e">
        <f>'TCEP 2DS target data'!H8</f>
        <v>#REF!</v>
      </c>
      <c r="G46" s="160" t="e">
        <f>'TCEP 2DS target data'!I8</f>
        <v>#REF!</v>
      </c>
      <c r="H46" s="160" t="e">
        <f>'TCEP 2DS target data'!J8</f>
        <v>#REF!</v>
      </c>
      <c r="I46" s="160" t="e">
        <f>'TCEP 2DS target data'!K8</f>
        <v>#REF!</v>
      </c>
      <c r="J46" s="160" t="e">
        <f>'TCEP 2DS target data'!L8</f>
        <v>#REF!</v>
      </c>
      <c r="K46" s="160"/>
      <c r="N46" s="157"/>
      <c r="O46" s="158"/>
      <c r="P46" s="158"/>
      <c r="Q46" s="158"/>
      <c r="R46" s="158"/>
      <c r="S46" s="158"/>
      <c r="T46" s="158"/>
      <c r="U46" s="158"/>
      <c r="V46" s="158"/>
      <c r="W46" s="158"/>
      <c r="X46" s="158"/>
      <c r="Y46" s="158"/>
      <c r="AA46" s="157"/>
      <c r="AB46" s="158"/>
      <c r="AC46" s="158"/>
      <c r="AD46" s="158"/>
      <c r="AE46" s="158"/>
      <c r="AF46" s="158"/>
      <c r="AG46" s="158"/>
      <c r="AH46" s="158"/>
      <c r="AI46" s="158"/>
      <c r="AJ46" s="158"/>
      <c r="AK46" s="158"/>
      <c r="AL46" s="158"/>
    </row>
    <row r="47" spans="2:38">
      <c r="B47" s="165" t="s">
        <v>385</v>
      </c>
      <c r="C47" s="160" t="e">
        <f>'TCEP 2DS target data'!E9</f>
        <v>#REF!</v>
      </c>
      <c r="D47" s="160" t="e">
        <f>'TCEP 2DS target data'!F9</f>
        <v>#REF!</v>
      </c>
      <c r="E47" s="160" t="e">
        <f>'TCEP 2DS target data'!G9</f>
        <v>#REF!</v>
      </c>
      <c r="F47" s="160" t="e">
        <f>'TCEP 2DS target data'!H9</f>
        <v>#REF!</v>
      </c>
      <c r="G47" s="160" t="e">
        <f>'TCEP 2DS target data'!I9</f>
        <v>#REF!</v>
      </c>
      <c r="H47" s="160" t="e">
        <f>'TCEP 2DS target data'!J9</f>
        <v>#REF!</v>
      </c>
      <c r="I47" s="160" t="e">
        <f>'TCEP 2DS target data'!K9</f>
        <v>#REF!</v>
      </c>
      <c r="J47" s="160" t="e">
        <f>'TCEP 2DS target data'!L9</f>
        <v>#REF!</v>
      </c>
      <c r="K47" s="160"/>
      <c r="N47" s="157"/>
      <c r="O47" s="158"/>
      <c r="P47" s="158"/>
      <c r="Q47" s="158"/>
      <c r="R47" s="158"/>
      <c r="S47" s="158"/>
      <c r="T47" s="158"/>
      <c r="U47" s="158"/>
      <c r="V47" s="158"/>
      <c r="W47" s="158"/>
      <c r="X47" s="158"/>
      <c r="Y47" s="158"/>
      <c r="AA47" s="157"/>
      <c r="AB47" s="158"/>
      <c r="AC47" s="158"/>
      <c r="AD47" s="158"/>
      <c r="AE47" s="158"/>
      <c r="AF47" s="158"/>
      <c r="AG47" s="158"/>
      <c r="AH47" s="158"/>
      <c r="AI47" s="158"/>
      <c r="AJ47" s="158"/>
      <c r="AK47" s="158"/>
      <c r="AL47" s="158"/>
    </row>
    <row r="48" spans="2:38">
      <c r="B48" s="165" t="s">
        <v>307</v>
      </c>
      <c r="C48" s="160" t="e">
        <f>'TCEP 2DS target data'!E10</f>
        <v>#REF!</v>
      </c>
      <c r="D48" s="160" t="e">
        <f>'TCEP 2DS target data'!F10</f>
        <v>#REF!</v>
      </c>
      <c r="E48" s="160" t="e">
        <f>'TCEP 2DS target data'!G10</f>
        <v>#REF!</v>
      </c>
      <c r="F48" s="160" t="e">
        <f>'TCEP 2DS target data'!H10</f>
        <v>#REF!</v>
      </c>
      <c r="G48" s="160" t="e">
        <f>'TCEP 2DS target data'!I10</f>
        <v>#REF!</v>
      </c>
      <c r="H48" s="160" t="e">
        <f>'TCEP 2DS target data'!J10</f>
        <v>#REF!</v>
      </c>
      <c r="I48" s="160" t="e">
        <f>'TCEP 2DS target data'!K10</f>
        <v>#REF!</v>
      </c>
      <c r="J48" s="160" t="e">
        <f>'TCEP 2DS target data'!L10</f>
        <v>#REF!</v>
      </c>
      <c r="K48" s="160"/>
      <c r="N48" s="157"/>
      <c r="O48" s="158"/>
      <c r="P48" s="158"/>
      <c r="Q48" s="158"/>
      <c r="R48" s="158"/>
      <c r="S48" s="158"/>
      <c r="T48" s="158"/>
      <c r="U48" s="158"/>
      <c r="V48" s="158"/>
      <c r="W48" s="158"/>
      <c r="X48" s="158"/>
      <c r="Y48" s="158"/>
      <c r="AA48" s="157"/>
      <c r="AB48" s="158"/>
      <c r="AC48" s="158"/>
      <c r="AD48" s="158"/>
      <c r="AE48" s="158"/>
      <c r="AF48" s="158"/>
      <c r="AG48" s="158"/>
      <c r="AH48" s="158"/>
      <c r="AI48" s="158"/>
      <c r="AJ48" s="158"/>
      <c r="AK48" s="158"/>
      <c r="AL48" s="158"/>
    </row>
    <row r="49" spans="2:38">
      <c r="B49" s="165"/>
      <c r="C49" s="160">
        <f>'TCEP 2DS target data'!E11</f>
        <v>0</v>
      </c>
      <c r="D49" s="160">
        <f>'TCEP 2DS target data'!F11</f>
        <v>0</v>
      </c>
      <c r="E49" s="160">
        <f>'TCEP 2DS target data'!G11</f>
        <v>0</v>
      </c>
      <c r="F49" s="160">
        <f>'TCEP 2DS target data'!H11</f>
        <v>0</v>
      </c>
      <c r="G49" s="160">
        <f>'TCEP 2DS target data'!I11</f>
        <v>0</v>
      </c>
      <c r="H49" s="160">
        <f>'TCEP 2DS target data'!J11</f>
        <v>0</v>
      </c>
      <c r="I49" s="160">
        <f>'TCEP 2DS target data'!K11</f>
        <v>0</v>
      </c>
      <c r="J49" s="160">
        <f>'TCEP 2DS target data'!L11</f>
        <v>0</v>
      </c>
      <c r="K49" s="160"/>
      <c r="N49" s="157"/>
      <c r="O49" s="158"/>
      <c r="P49" s="158"/>
      <c r="Q49" s="158"/>
      <c r="R49" s="158"/>
      <c r="S49" s="158"/>
      <c r="T49" s="158"/>
      <c r="U49" s="158"/>
      <c r="V49" s="158"/>
      <c r="W49" s="158"/>
      <c r="X49" s="158"/>
      <c r="Y49" s="158"/>
      <c r="AA49" s="157"/>
      <c r="AB49" s="158"/>
      <c r="AC49" s="158"/>
      <c r="AD49" s="158"/>
      <c r="AE49" s="158"/>
      <c r="AF49" s="158"/>
      <c r="AG49" s="158"/>
      <c r="AH49" s="158"/>
      <c r="AI49" s="158"/>
      <c r="AJ49" s="158"/>
      <c r="AK49" s="158"/>
      <c r="AL49" s="158"/>
    </row>
    <row r="50" spans="2:38">
      <c r="N50" s="157"/>
      <c r="O50" s="158"/>
      <c r="P50" s="158"/>
      <c r="Q50" s="158"/>
      <c r="R50" s="158"/>
      <c r="S50" s="158"/>
      <c r="T50" s="158"/>
      <c r="U50" s="158"/>
      <c r="V50" s="158"/>
      <c r="W50" s="158"/>
      <c r="X50" s="158"/>
      <c r="Y50" s="158"/>
      <c r="AA50" s="157"/>
      <c r="AB50" s="158"/>
      <c r="AC50" s="158"/>
      <c r="AD50" s="158"/>
      <c r="AE50" s="158"/>
      <c r="AF50" s="158"/>
      <c r="AG50" s="158"/>
      <c r="AH50" s="158"/>
      <c r="AI50" s="158"/>
      <c r="AJ50" s="158"/>
      <c r="AK50" s="158"/>
      <c r="AL50" s="158"/>
    </row>
    <row r="51" spans="2:38">
      <c r="C51" s="161"/>
      <c r="D51" s="161"/>
      <c r="E51" s="161"/>
      <c r="F51" s="161"/>
      <c r="G51" s="161"/>
      <c r="H51" s="161"/>
      <c r="I51" s="161"/>
      <c r="J51" s="161"/>
      <c r="K51" s="161"/>
      <c r="N51" s="157"/>
      <c r="O51" s="158"/>
      <c r="P51" s="158"/>
      <c r="Q51" s="158"/>
      <c r="R51" s="158"/>
      <c r="S51" s="158"/>
      <c r="T51" s="158"/>
      <c r="U51" s="158"/>
      <c r="V51" s="158"/>
      <c r="W51" s="158"/>
      <c r="X51" s="158"/>
      <c r="Y51" s="158"/>
      <c r="AA51" s="157"/>
      <c r="AB51" s="158"/>
      <c r="AC51" s="158"/>
      <c r="AD51" s="158"/>
      <c r="AE51" s="158"/>
      <c r="AF51" s="158"/>
      <c r="AG51" s="158"/>
      <c r="AH51" s="158"/>
      <c r="AI51" s="158"/>
      <c r="AJ51" s="158"/>
      <c r="AK51" s="158"/>
      <c r="AL51" s="158"/>
    </row>
    <row r="52" spans="2:38">
      <c r="N52" s="157"/>
      <c r="O52" s="158"/>
      <c r="P52" s="158"/>
      <c r="Q52" s="158"/>
      <c r="R52" s="158"/>
      <c r="S52" s="158"/>
      <c r="T52" s="158"/>
      <c r="U52" s="158"/>
      <c r="V52" s="158"/>
      <c r="W52" s="158"/>
      <c r="X52" s="158"/>
      <c r="Y52" s="158"/>
      <c r="AA52" s="157"/>
      <c r="AB52" s="158"/>
      <c r="AC52" s="158"/>
      <c r="AD52" s="158"/>
      <c r="AE52" s="158"/>
      <c r="AF52" s="158"/>
      <c r="AG52" s="158"/>
      <c r="AH52" s="158"/>
      <c r="AI52" s="158"/>
      <c r="AJ52" s="158"/>
      <c r="AK52" s="158"/>
      <c r="AL52" s="158"/>
    </row>
    <row r="53" spans="2:38">
      <c r="C53" s="158"/>
      <c r="D53" s="158"/>
      <c r="E53" s="158"/>
      <c r="F53" s="158"/>
      <c r="G53" s="158"/>
      <c r="H53" s="158"/>
      <c r="I53" s="158"/>
      <c r="J53" s="158"/>
      <c r="K53" s="158"/>
      <c r="N53" s="157"/>
      <c r="O53" s="158"/>
      <c r="P53" s="158"/>
      <c r="Q53" s="158"/>
      <c r="R53" s="158"/>
      <c r="S53" s="158"/>
      <c r="T53" s="158"/>
      <c r="U53" s="158"/>
      <c r="V53" s="158"/>
      <c r="W53" s="158"/>
      <c r="X53" s="158"/>
      <c r="Y53" s="158"/>
      <c r="AA53" s="157"/>
      <c r="AB53" s="158"/>
      <c r="AC53" s="158"/>
      <c r="AD53" s="158"/>
      <c r="AE53" s="158"/>
      <c r="AF53" s="158"/>
      <c r="AG53" s="158"/>
      <c r="AH53" s="158"/>
      <c r="AI53" s="158"/>
      <c r="AJ53" s="158"/>
      <c r="AK53" s="158"/>
      <c r="AL53" s="158"/>
    </row>
    <row r="54" spans="2:38">
      <c r="C54" s="158"/>
      <c r="D54" s="158"/>
      <c r="E54" s="158"/>
      <c r="F54" s="158"/>
      <c r="G54" s="158"/>
      <c r="H54" s="158"/>
      <c r="I54" s="158"/>
      <c r="J54" s="158"/>
      <c r="K54" s="158"/>
      <c r="O54" s="146"/>
      <c r="P54" s="146"/>
    </row>
    <row r="55" spans="2:38">
      <c r="B55" s="162"/>
      <c r="C55" s="163"/>
      <c r="D55" s="163"/>
      <c r="E55" s="163"/>
      <c r="F55" s="163"/>
      <c r="G55" s="163"/>
      <c r="H55" s="163"/>
      <c r="I55" s="163"/>
      <c r="J55" s="163"/>
      <c r="K55" s="163"/>
      <c r="O55" s="146"/>
      <c r="P55" s="146"/>
    </row>
    <row r="56" spans="2:38">
      <c r="B56" s="150"/>
      <c r="C56" s="164"/>
      <c r="D56" s="164"/>
      <c r="E56" s="164"/>
      <c r="F56" s="164"/>
      <c r="G56" s="164"/>
      <c r="H56" s="164"/>
      <c r="I56" s="164"/>
      <c r="J56" s="164"/>
      <c r="K56" s="164"/>
      <c r="O56" s="146"/>
      <c r="P56" s="146"/>
    </row>
    <row r="57" spans="2:38">
      <c r="B57" s="150"/>
      <c r="C57" s="164"/>
      <c r="D57" s="164"/>
      <c r="E57" s="164"/>
      <c r="F57" s="164"/>
      <c r="G57" s="164"/>
      <c r="H57" s="164"/>
      <c r="I57" s="164"/>
      <c r="J57" s="164"/>
      <c r="K57" s="164"/>
      <c r="O57" s="146"/>
      <c r="P57" s="146"/>
    </row>
    <row r="58" spans="2:38">
      <c r="B58" s="150"/>
      <c r="C58" s="164"/>
      <c r="D58" s="164"/>
      <c r="E58" s="164"/>
      <c r="F58" s="164"/>
      <c r="G58" s="164"/>
      <c r="H58" s="164"/>
      <c r="I58" s="164"/>
      <c r="J58" s="164"/>
      <c r="K58" s="164"/>
      <c r="O58" s="146"/>
      <c r="P58" s="146"/>
    </row>
    <row r="59" spans="2:38">
      <c r="B59" s="150"/>
      <c r="C59" s="164"/>
      <c r="D59" s="164"/>
      <c r="E59" s="164"/>
      <c r="F59" s="164"/>
      <c r="G59" s="164"/>
      <c r="H59" s="164"/>
      <c r="I59" s="164"/>
      <c r="J59" s="164"/>
      <c r="K59" s="164"/>
      <c r="O59" s="146"/>
      <c r="P59" s="146"/>
    </row>
    <row r="60" spans="2:38">
      <c r="O60" s="146"/>
      <c r="P60" s="146"/>
    </row>
    <row r="61" spans="2:38">
      <c r="O61" s="146"/>
      <c r="P61" s="146"/>
    </row>
    <row r="62" spans="2:38">
      <c r="O62" s="146"/>
      <c r="P62" s="146"/>
    </row>
    <row r="63" spans="2:38">
      <c r="O63" s="146"/>
      <c r="P63" s="146"/>
    </row>
    <row r="64" spans="2:38">
      <c r="O64" s="146"/>
      <c r="P64" s="146"/>
    </row>
    <row r="65" spans="15:16">
      <c r="O65" s="146"/>
      <c r="P65" s="146"/>
    </row>
    <row r="66" spans="15:16">
      <c r="O66" s="146"/>
      <c r="P66" s="146"/>
    </row>
    <row r="67" spans="15:16">
      <c r="O67" s="146"/>
      <c r="P67" s="146"/>
    </row>
    <row r="68" spans="15:16">
      <c r="O68" s="146"/>
      <c r="P68" s="146"/>
    </row>
    <row r="69" spans="15:16">
      <c r="O69" s="146"/>
      <c r="P69" s="146"/>
    </row>
    <row r="70" spans="15:16">
      <c r="O70" s="146"/>
      <c r="P70" s="146"/>
    </row>
    <row r="71" spans="15:16">
      <c r="O71" s="146"/>
      <c r="P71" s="146"/>
    </row>
    <row r="72" spans="15:16">
      <c r="O72" s="146"/>
      <c r="P72" s="146"/>
    </row>
    <row r="73" spans="15:16">
      <c r="O73" s="146"/>
      <c r="P73" s="146"/>
    </row>
    <row r="74" spans="15:16">
      <c r="O74" s="146"/>
      <c r="P74" s="146"/>
    </row>
    <row r="75" spans="15:16">
      <c r="O75" s="146"/>
      <c r="P75" s="146"/>
    </row>
    <row r="76" spans="15:16">
      <c r="O76" s="146"/>
      <c r="P76" s="146"/>
    </row>
    <row r="77" spans="15:16">
      <c r="O77" s="146"/>
      <c r="P77" s="146"/>
    </row>
    <row r="78" spans="15:16">
      <c r="O78" s="146"/>
      <c r="P78" s="146"/>
    </row>
    <row r="79" spans="15:16">
      <c r="O79" s="146"/>
      <c r="P79" s="146"/>
    </row>
    <row r="80" spans="15:16">
      <c r="O80" s="146"/>
      <c r="P80" s="146"/>
    </row>
    <row r="81" spans="15:16">
      <c r="O81" s="146"/>
      <c r="P81" s="146"/>
    </row>
    <row r="82" spans="15:16">
      <c r="O82" s="146"/>
      <c r="P82" s="146"/>
    </row>
    <row r="83" spans="15:16">
      <c r="O83" s="146"/>
      <c r="P83" s="146"/>
    </row>
    <row r="84" spans="15:16">
      <c r="O84" s="146"/>
      <c r="P84" s="146"/>
    </row>
    <row r="85" spans="15:16">
      <c r="O85" s="146"/>
      <c r="P85" s="146"/>
    </row>
    <row r="86" spans="15:16">
      <c r="O86" s="146"/>
      <c r="P86" s="146"/>
    </row>
    <row r="87" spans="15:16">
      <c r="O87" s="146"/>
      <c r="P87" s="146"/>
    </row>
    <row r="88" spans="15:16">
      <c r="O88" s="146"/>
      <c r="P88" s="146"/>
    </row>
    <row r="89" spans="15:16">
      <c r="O89" s="146"/>
      <c r="P89" s="146"/>
    </row>
    <row r="90" spans="15:16">
      <c r="O90" s="146"/>
      <c r="P90" s="146"/>
    </row>
    <row r="91" spans="15:16">
      <c r="O91" s="146"/>
      <c r="P91" s="146"/>
    </row>
    <row r="92" spans="15:16">
      <c r="O92" s="146"/>
      <c r="P92" s="146"/>
    </row>
    <row r="93" spans="15:16">
      <c r="O93" s="146"/>
      <c r="P93" s="146"/>
    </row>
    <row r="94" spans="15:16">
      <c r="O94" s="146"/>
      <c r="P94" s="146"/>
    </row>
    <row r="95" spans="15:16">
      <c r="O95" s="146"/>
      <c r="P95" s="146"/>
    </row>
    <row r="96" spans="15:16">
      <c r="O96" s="146"/>
      <c r="P96" s="146"/>
    </row>
    <row r="97" spans="15:16">
      <c r="O97" s="146"/>
      <c r="P97" s="146"/>
    </row>
    <row r="98" spans="15:16">
      <c r="O98" s="146"/>
      <c r="P98" s="146"/>
    </row>
    <row r="99" spans="15:16">
      <c r="O99" s="146"/>
      <c r="P99" s="146"/>
    </row>
    <row r="100" spans="15:16">
      <c r="O100" s="146"/>
      <c r="P100" s="146"/>
    </row>
    <row r="101" spans="15:16">
      <c r="O101" s="146"/>
      <c r="P101" s="146"/>
    </row>
    <row r="102" spans="15:16">
      <c r="O102" s="146"/>
      <c r="P102" s="146"/>
    </row>
    <row r="103" spans="15:16">
      <c r="O103" s="146"/>
      <c r="P103" s="146"/>
    </row>
    <row r="104" spans="15:16">
      <c r="O104" s="146"/>
      <c r="P104" s="146"/>
    </row>
    <row r="105" spans="15:16">
      <c r="O105" s="146"/>
      <c r="P105" s="146"/>
    </row>
    <row r="106" spans="15:16">
      <c r="O106" s="146"/>
      <c r="P106" s="146"/>
    </row>
    <row r="107" spans="15:16">
      <c r="O107" s="146"/>
      <c r="P107" s="146"/>
    </row>
    <row r="108" spans="15:16">
      <c r="O108" s="146"/>
      <c r="P108" s="146"/>
    </row>
    <row r="109" spans="15:16">
      <c r="O109" s="146"/>
      <c r="P109" s="146"/>
    </row>
    <row r="110" spans="15:16">
      <c r="O110" s="146"/>
      <c r="P110" s="146"/>
    </row>
    <row r="111" spans="15:16">
      <c r="O111" s="146"/>
      <c r="P111" s="146"/>
    </row>
    <row r="112" spans="15:16">
      <c r="O112" s="146"/>
      <c r="P112" s="146"/>
    </row>
    <row r="113" spans="15:16">
      <c r="O113" s="146"/>
      <c r="P113" s="146"/>
    </row>
    <row r="114" spans="15:16">
      <c r="O114" s="146"/>
      <c r="P114" s="146"/>
    </row>
    <row r="115" spans="15:16">
      <c r="O115" s="146"/>
      <c r="P115" s="146"/>
    </row>
    <row r="116" spans="15:16">
      <c r="O116" s="146"/>
      <c r="P116" s="146"/>
    </row>
    <row r="117" spans="15:16">
      <c r="O117" s="146"/>
      <c r="P117" s="146"/>
    </row>
  </sheetData>
  <mergeCells count="1">
    <mergeCell ref="B21:H35"/>
  </mergeCells>
  <pageMargins left="0" right="0" top="0" bottom="0" header="0" footer="0"/>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29"/>
  <sheetViews>
    <sheetView workbookViewId="0">
      <selection activeCell="D21" sqref="D21"/>
    </sheetView>
  </sheetViews>
  <sheetFormatPr defaultRowHeight="15"/>
  <cols>
    <col min="4" max="4" width="10.85546875" bestFit="1" customWidth="1"/>
    <col min="5" max="5" width="12.7109375" bestFit="1" customWidth="1"/>
    <col min="6" max="7" width="13.85546875" bestFit="1" customWidth="1"/>
    <col min="8" max="8" width="14.140625" customWidth="1"/>
    <col min="9" max="9" width="15.42578125" customWidth="1"/>
    <col min="12" max="12" width="12.7109375" bestFit="1" customWidth="1"/>
  </cols>
  <sheetData>
    <row r="2" spans="4:9">
      <c r="E2" t="s">
        <v>354</v>
      </c>
      <c r="F2" t="s">
        <v>353</v>
      </c>
      <c r="G2" t="s">
        <v>352</v>
      </c>
      <c r="H2" t="s">
        <v>351</v>
      </c>
      <c r="I2" t="s">
        <v>350</v>
      </c>
    </row>
    <row r="3" spans="4:9">
      <c r="D3" t="s">
        <v>349</v>
      </c>
      <c r="E3" s="139">
        <v>965102611</v>
      </c>
      <c r="F3" s="139">
        <v>1251630564</v>
      </c>
      <c r="G3" s="139">
        <v>2895307827</v>
      </c>
      <c r="H3" s="139">
        <v>3860410431</v>
      </c>
      <c r="I3" s="140">
        <f t="shared" ref="I3:I14" si="0">((E3+F3)/(E3+F3+G3))*100</f>
        <v>43.362977216590018</v>
      </c>
    </row>
    <row r="4" spans="4:9">
      <c r="D4" t="s">
        <v>348</v>
      </c>
      <c r="E4" s="139">
        <v>777530632</v>
      </c>
      <c r="F4" s="139">
        <v>1268322519</v>
      </c>
      <c r="G4" s="139">
        <v>2332591892</v>
      </c>
      <c r="H4" s="139">
        <v>3110122520</v>
      </c>
      <c r="I4" s="140">
        <f t="shared" si="0"/>
        <v>46.725564233603649</v>
      </c>
    </row>
    <row r="5" spans="4:9">
      <c r="D5" t="s">
        <v>347</v>
      </c>
      <c r="E5" s="139">
        <v>884573582</v>
      </c>
      <c r="F5" s="139">
        <v>1447636136</v>
      </c>
      <c r="G5" s="139">
        <v>2517632500</v>
      </c>
      <c r="H5" s="139">
        <v>3402206081</v>
      </c>
      <c r="I5" s="140">
        <f t="shared" si="0"/>
        <v>48.088362737742166</v>
      </c>
    </row>
    <row r="6" spans="4:9">
      <c r="D6" t="s">
        <v>346</v>
      </c>
      <c r="E6" s="139">
        <v>931345827</v>
      </c>
      <c r="F6" s="139">
        <v>1497882728</v>
      </c>
      <c r="G6" s="139">
        <v>2518083159</v>
      </c>
      <c r="H6" s="139">
        <v>3449428985</v>
      </c>
      <c r="I6" s="140">
        <f t="shared" si="0"/>
        <v>49.101991049517281</v>
      </c>
    </row>
    <row r="7" spans="4:9">
      <c r="D7" t="s">
        <v>345</v>
      </c>
      <c r="E7" s="139">
        <v>884240455</v>
      </c>
      <c r="F7" s="139">
        <v>1432809305</v>
      </c>
      <c r="G7" s="139">
        <v>2390724186</v>
      </c>
      <c r="H7" s="139">
        <v>3274964640</v>
      </c>
      <c r="I7" s="140">
        <f t="shared" si="0"/>
        <v>49.217523750661414</v>
      </c>
    </row>
    <row r="8" spans="4:9">
      <c r="D8" t="s">
        <v>344</v>
      </c>
      <c r="E8" s="139">
        <v>903050765</v>
      </c>
      <c r="F8" s="139">
        <v>1488125858</v>
      </c>
      <c r="G8" s="139">
        <v>2441581693</v>
      </c>
      <c r="H8" s="139">
        <v>3344632455</v>
      </c>
      <c r="I8" s="140">
        <f t="shared" si="0"/>
        <v>49.478506199729438</v>
      </c>
    </row>
    <row r="9" spans="4:9">
      <c r="D9" t="s">
        <v>343</v>
      </c>
      <c r="E9" s="139">
        <v>923980213</v>
      </c>
      <c r="F9" s="139">
        <v>1550065026</v>
      </c>
      <c r="G9" s="139">
        <v>2498168720</v>
      </c>
      <c r="H9" s="139">
        <v>3422148930</v>
      </c>
      <c r="I9" s="140">
        <f t="shared" si="0"/>
        <v>49.757417106354254</v>
      </c>
    </row>
    <row r="10" spans="4:9">
      <c r="D10" t="s">
        <v>342</v>
      </c>
      <c r="E10" s="139">
        <v>888141900</v>
      </c>
      <c r="F10" s="139">
        <v>1573254388</v>
      </c>
      <c r="G10" s="139">
        <v>2401272540</v>
      </c>
      <c r="H10" s="139">
        <v>3289414439</v>
      </c>
      <c r="I10" s="140">
        <f t="shared" si="0"/>
        <v>50.618217589215597</v>
      </c>
    </row>
    <row r="11" spans="4:9">
      <c r="D11" t="s">
        <v>341</v>
      </c>
      <c r="E11" s="139">
        <v>893595519</v>
      </c>
      <c r="F11" s="139">
        <v>1621157894</v>
      </c>
      <c r="G11" s="139">
        <v>2412559320</v>
      </c>
      <c r="H11" s="139">
        <v>3306154839</v>
      </c>
      <c r="I11" s="140">
        <f t="shared" si="0"/>
        <v>51.037016509177192</v>
      </c>
    </row>
    <row r="12" spans="4:9">
      <c r="D12" t="s">
        <v>340</v>
      </c>
      <c r="E12" s="139">
        <v>935916571</v>
      </c>
      <c r="F12" s="139">
        <v>1737110719</v>
      </c>
      <c r="G12" s="139">
        <v>2530441104</v>
      </c>
      <c r="H12" s="139">
        <v>3466357674</v>
      </c>
      <c r="I12" s="140">
        <f t="shared" si="0"/>
        <v>51.370107159336385</v>
      </c>
    </row>
    <row r="13" spans="4:9">
      <c r="D13" t="s">
        <v>339</v>
      </c>
      <c r="E13" s="139">
        <v>877393317</v>
      </c>
      <c r="F13" s="139">
        <v>1406639954</v>
      </c>
      <c r="G13" s="139">
        <v>2372211562</v>
      </c>
      <c r="H13" s="139">
        <v>3249604876</v>
      </c>
      <c r="I13" s="140">
        <f t="shared" si="0"/>
        <v>49.053117972072066</v>
      </c>
    </row>
    <row r="14" spans="4:9">
      <c r="D14" t="s">
        <v>338</v>
      </c>
      <c r="E14" s="139">
        <f>SUM(E3:E13)</f>
        <v>9864871392</v>
      </c>
      <c r="F14" s="139">
        <f>SUM(F3:F13)</f>
        <v>16274635091</v>
      </c>
      <c r="G14" s="139">
        <f>SUM(G3:G13)</f>
        <v>27310574503</v>
      </c>
      <c r="H14" s="139">
        <f>SUM(H3:H13)</f>
        <v>37175445870</v>
      </c>
      <c r="I14" s="140">
        <f t="shared" si="0"/>
        <v>48.904521753384493</v>
      </c>
    </row>
    <row r="16" spans="4:9">
      <c r="E16" s="139" t="s">
        <v>355</v>
      </c>
      <c r="F16" s="139" t="s">
        <v>356</v>
      </c>
      <c r="G16" s="139" t="s">
        <v>59</v>
      </c>
      <c r="H16" s="139" t="s">
        <v>34</v>
      </c>
    </row>
    <row r="17" spans="4:11">
      <c r="E17" s="139">
        <v>36224340</v>
      </c>
      <c r="F17" s="139">
        <v>25030412</v>
      </c>
      <c r="G17" s="139">
        <v>10413865</v>
      </c>
      <c r="H17" s="139">
        <v>777768</v>
      </c>
      <c r="I17" s="139"/>
      <c r="J17" s="139"/>
      <c r="K17" s="139"/>
    </row>
    <row r="18" spans="4:11">
      <c r="D18" t="s">
        <v>357</v>
      </c>
      <c r="E18" s="141">
        <f>(H17+F17)/E17</f>
        <v>0.71245411234545608</v>
      </c>
      <c r="F18" s="139"/>
      <c r="G18" s="139"/>
      <c r="H18" s="139"/>
      <c r="I18" s="139"/>
      <c r="J18" s="139"/>
      <c r="K18" s="139"/>
    </row>
    <row r="19" spans="4:11">
      <c r="E19" s="139"/>
      <c r="F19" s="139"/>
      <c r="G19" s="139"/>
      <c r="H19" s="139"/>
      <c r="I19" s="139"/>
      <c r="J19" s="139"/>
      <c r="K19" s="139"/>
    </row>
    <row r="20" spans="4:11">
      <c r="E20" s="139"/>
      <c r="F20" s="139"/>
      <c r="G20" s="139"/>
      <c r="H20" s="139"/>
      <c r="I20" s="139"/>
      <c r="J20" s="139"/>
      <c r="K20" s="139"/>
    </row>
    <row r="21" spans="4:11">
      <c r="E21" s="139"/>
      <c r="F21" s="139"/>
      <c r="G21" s="139"/>
      <c r="H21" s="139"/>
      <c r="I21" s="139"/>
      <c r="J21" s="139"/>
      <c r="K21" s="139"/>
    </row>
    <row r="22" spans="4:11">
      <c r="E22" s="139"/>
      <c r="F22" s="139"/>
      <c r="G22" s="139"/>
      <c r="H22" s="139"/>
      <c r="I22" s="139"/>
      <c r="J22" s="139"/>
      <c r="K22" s="139"/>
    </row>
    <row r="23" spans="4:11">
      <c r="E23" s="139"/>
      <c r="F23" s="139"/>
      <c r="G23" s="139"/>
      <c r="H23" s="139"/>
      <c r="I23" s="139"/>
      <c r="J23" s="139"/>
      <c r="K23" s="139"/>
    </row>
    <row r="24" spans="4:11">
      <c r="E24" s="139"/>
      <c r="F24" s="139"/>
      <c r="G24" s="139"/>
      <c r="H24" s="139"/>
      <c r="I24" s="139"/>
      <c r="J24" s="139"/>
      <c r="K24" s="139"/>
    </row>
    <row r="25" spans="4:11">
      <c r="E25" s="139"/>
      <c r="F25" s="139"/>
      <c r="G25" s="139"/>
      <c r="H25" s="139"/>
      <c r="I25" s="139"/>
      <c r="J25" s="139"/>
      <c r="K25" s="139"/>
    </row>
    <row r="26" spans="4:11">
      <c r="E26" s="139"/>
      <c r="F26" s="139"/>
      <c r="G26" s="139"/>
      <c r="H26" s="139"/>
      <c r="I26" s="139"/>
      <c r="J26" s="139"/>
      <c r="K26" s="139"/>
    </row>
    <row r="27" spans="4:11">
      <c r="E27" s="139"/>
      <c r="F27" s="139"/>
      <c r="G27" s="139"/>
      <c r="H27" s="139"/>
      <c r="I27" s="139"/>
      <c r="J27" s="139"/>
      <c r="K27" s="139"/>
    </row>
    <row r="28" spans="4:11">
      <c r="E28" s="139"/>
      <c r="F28" s="139"/>
      <c r="G28" s="139"/>
      <c r="H28" s="139"/>
    </row>
    <row r="29" spans="4:11">
      <c r="E29" s="139"/>
      <c r="F29" s="139"/>
      <c r="G29" s="139"/>
      <c r="H29" s="1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2DS volumes in Vol &amp; EJ</vt:lpstr>
      <vt:lpstr>TCEP2017_Figure_43</vt:lpstr>
      <vt:lpstr>Convert</vt:lpstr>
      <vt:lpstr>LOG</vt:lpstr>
      <vt:lpstr>2 DS Graph - not for TCEP</vt:lpstr>
      <vt:lpstr>TCEP 2DS target data</vt:lpstr>
      <vt:lpstr>2DS biofuels by type </vt:lpstr>
      <vt:lpstr>Brazil data</vt:lpstr>
      <vt:lpstr>CO2EmissionFactors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TETER Jacob, IEA/SPT/ETP/EDT</dc:creator>
  <cp:lastModifiedBy>MARK Louis, IEA/STO/EED/ECC</cp:lastModifiedBy>
  <cp:lastPrinted>2015-10-21T15:05:04Z</cp:lastPrinted>
  <dcterms:created xsi:type="dcterms:W3CDTF">2015-10-12T07:51:20Z</dcterms:created>
  <dcterms:modified xsi:type="dcterms:W3CDTF">2017-08-31T09:22:22Z</dcterms:modified>
</cp:coreProperties>
</file>