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15" yWindow="1005" windowWidth="15375" windowHeight="4710" tabRatio="799"/>
  </bookViews>
  <sheets>
    <sheet name="Info" sheetId="13" r:id="rId1"/>
    <sheet name="Summary" sheetId="12" r:id="rId2"/>
    <sheet name="R365" sheetId="14" r:id="rId3"/>
    <sheet name="Sheet1" sheetId="8" state="hidden" r:id="rId4"/>
    <sheet name="Sheet2" sheetId="10" state="hidden" r:id="rId5"/>
  </sheets>
  <definedNames>
    <definedName name="_xlnm._FilterDatabase" localSheetId="2" hidden="1">'R365'!$A$2:$N$134</definedName>
    <definedName name="Asset">Summary!$E$78:$E$87</definedName>
    <definedName name="Auth">Summary!$B$78:$B$81</definedName>
    <definedName name="Bug">Summary!$C$95:$C$98</definedName>
    <definedName name="Category">Summary!$B$94:$F$94</definedName>
    <definedName name="Clarification">Summary!$E$95:$E$97</definedName>
    <definedName name="Contract">Summary!$D$78:$D$91</definedName>
    <definedName name="CR">Summary!$F$95:$F$96</definedName>
    <definedName name="Dashboard">Summary!$I$78:$I$81</definedName>
    <definedName name="Enhancement">Summary!$D$95:$D$98</definedName>
    <definedName name="General">Summary!$K$78:$K$81</definedName>
    <definedName name="Issue">Summary!$B$95:$B$98</definedName>
    <definedName name="MainMod">Summary!$B$77:$L$77</definedName>
    <definedName name="Notification">Summary!$H$78:$H$81</definedName>
    <definedName name="Others">Summary!$L$78</definedName>
    <definedName name="Performance">Summary!$J$78</definedName>
    <definedName name="release_ver">Info!$A$7:$A$8</definedName>
    <definedName name="relver">Info!$A$7:$A$8</definedName>
    <definedName name="Settings">Summary!$G$78:$G$85</definedName>
    <definedName name="Severity">Summary!$A$102:$A$104</definedName>
    <definedName name="Staff">Summary!$F$78:$F$87</definedName>
    <definedName name="Status">Summary!$B$102:$B$103</definedName>
    <definedName name="Urgency">Summary!#REF!</definedName>
    <definedName name="UserGroup">Summary!$C$78:$C$82</definedName>
  </definedNames>
  <calcPr calcId="125725"/>
  <customWorkbookViews>
    <customWorkbookView name="Xu Lei - Personal View" guid="{F8382029-E2D2-4E19-B477-032FDBE4EF46}" mergeInterval="0" personalView="1" maximized="1" xWindow="-8" yWindow="-8" windowWidth="1382" windowHeight="703" tabRatio="799" activeSheetId="1"/>
    <customWorkbookView name="Lee, Leng Yean Alex - Personal View" guid="{B5A6DE04-3DB0-4879-A3DC-44C888992079}" mergeInterval="0" personalView="1" maximized="1" windowWidth="1362" windowHeight="523" tabRatio="799" activeSheetId="9"/>
    <customWorkbookView name="Yuko, ATBO-CMSD - Personal View" guid="{03D9ACE7-261E-4F55-8BE3-6349605B2B35}" mergeInterval="0" personalView="1" maximized="1" windowWidth="1596" windowHeight="734" activeSheetId="4"/>
    <customWorkbookView name="Winson - Personal View" guid="{717D9CA6-9CE3-462B-8B2C-B19E86277051}" mergeInterval="0" personalView="1" maximized="1" windowWidth="1436" windowHeight="697" activeSheetId="3"/>
    <customWorkbookView name="TanKCC - Personal View" guid="{F64AC404-96A8-41BB-AC52-9571B0DCA3A0}" mergeInterval="0" personalView="1" maximized="1" windowWidth="1276" windowHeight="860" activeSheetId="2"/>
    <customWorkbookView name="Administrator - Personal View" guid="{6618E972-A485-4A36-B976-01F67F87B6F7}" mergeInterval="0" personalView="1" maximized="1" windowWidth="1020" windowHeight="618" activeSheetId="1"/>
    <customWorkbookView name="Kay Thwe Soe - Personal View" guid="{2743C748-22A7-495D-AAEF-C34950B74F4C}" mergeInterval="0" personalView="1" maximized="1" windowWidth="1024" windowHeight="582" tabRatio="799" activeSheetId="8"/>
    <customWorkbookView name="Dewi Sari - Personal View" guid="{00722E94-9584-4433-BC1C-7643378CA673}" mergeInterval="0" personalView="1" maximized="1" windowWidth="1596" windowHeight="714" tabRatio="799" activeSheetId="9"/>
    <customWorkbookView name="Eugene Neo Wei Quan - Personal View" guid="{D4735876-F675-486E-8C32-16A96CF2A8EA}" mergeInterval="0" personalView="1" maximized="1" windowWidth="1362" windowHeight="523" tabRatio="799" activeSheetId="7"/>
    <customWorkbookView name="PSA - Personal View" guid="{55387EE4-C7E9-442D-82F7-5E9AA4E8DE76}" mergeInterval="0" personalView="1" maximized="1" xWindow="1" yWindow="1" windowWidth="1600" windowHeight="1009" tabRatio="799" activeSheetId="2"/>
  </customWorkbookViews>
</workbook>
</file>

<file path=xl/calcChain.xml><?xml version="1.0" encoding="utf-8"?>
<calcChain xmlns="http://schemas.openxmlformats.org/spreadsheetml/2006/main">
  <c r="AF72" i="12"/>
  <c r="AE72"/>
  <c r="AD72"/>
  <c r="AC72"/>
  <c r="AA72"/>
  <c r="Z72"/>
  <c r="Y72"/>
  <c r="X72"/>
  <c r="W72"/>
  <c r="U72"/>
  <c r="T72"/>
  <c r="S72"/>
  <c r="R72"/>
  <c r="Q72"/>
  <c r="P72"/>
  <c r="N72"/>
  <c r="M72"/>
  <c r="L72"/>
  <c r="K72"/>
  <c r="J72"/>
  <c r="I72"/>
  <c r="G72"/>
  <c r="F72"/>
  <c r="E72"/>
  <c r="D72"/>
  <c r="C72"/>
  <c r="B72"/>
  <c r="AF71"/>
  <c r="AE71"/>
  <c r="AD71"/>
  <c r="AC71"/>
  <c r="AA71"/>
  <c r="Z71"/>
  <c r="Y71"/>
  <c r="X71"/>
  <c r="W71"/>
  <c r="U71"/>
  <c r="T71"/>
  <c r="S71"/>
  <c r="R71"/>
  <c r="Q71"/>
  <c r="P71"/>
  <c r="N71"/>
  <c r="M71"/>
  <c r="L71"/>
  <c r="K71"/>
  <c r="J71"/>
  <c r="I71"/>
  <c r="G71"/>
  <c r="F71"/>
  <c r="E71"/>
  <c r="D71"/>
  <c r="C71"/>
  <c r="B71"/>
  <c r="AF70"/>
  <c r="AE70"/>
  <c r="AD70"/>
  <c r="AC70"/>
  <c r="AA70"/>
  <c r="Z70"/>
  <c r="Y70"/>
  <c r="X70"/>
  <c r="W70"/>
  <c r="U70"/>
  <c r="T70"/>
  <c r="S70"/>
  <c r="R70"/>
  <c r="Q70"/>
  <c r="P70"/>
  <c r="N70"/>
  <c r="M70"/>
  <c r="L70"/>
  <c r="K70"/>
  <c r="J70"/>
  <c r="I70"/>
  <c r="G70"/>
  <c r="F70"/>
  <c r="E70"/>
  <c r="D70"/>
  <c r="C70"/>
  <c r="B70"/>
  <c r="AF69"/>
  <c r="AE69"/>
  <c r="AD69"/>
  <c r="AC69"/>
  <c r="AA69"/>
  <c r="Z69"/>
  <c r="Y69"/>
  <c r="X69"/>
  <c r="W69"/>
  <c r="U69"/>
  <c r="T69"/>
  <c r="S69"/>
  <c r="R69"/>
  <c r="Q69"/>
  <c r="P69"/>
  <c r="N69"/>
  <c r="M69"/>
  <c r="L69"/>
  <c r="K69"/>
  <c r="J69"/>
  <c r="I69"/>
  <c r="G69"/>
  <c r="F69"/>
  <c r="E69"/>
  <c r="D69"/>
  <c r="C69"/>
  <c r="B69"/>
  <c r="AF68"/>
  <c r="AE68"/>
  <c r="AD68"/>
  <c r="AC68"/>
  <c r="AA68"/>
  <c r="Z68"/>
  <c r="Y68"/>
  <c r="X68"/>
  <c r="W68"/>
  <c r="U68"/>
  <c r="T68"/>
  <c r="S68"/>
  <c r="R68"/>
  <c r="Q68"/>
  <c r="P68"/>
  <c r="N68"/>
  <c r="M68"/>
  <c r="L68"/>
  <c r="K68"/>
  <c r="J68"/>
  <c r="I68"/>
  <c r="G68"/>
  <c r="F68"/>
  <c r="E68"/>
  <c r="D68"/>
  <c r="C68"/>
  <c r="B68"/>
  <c r="AF67"/>
  <c r="AE67"/>
  <c r="AD67"/>
  <c r="AC67"/>
  <c r="AA67"/>
  <c r="Z67"/>
  <c r="Y67"/>
  <c r="X67"/>
  <c r="W67"/>
  <c r="U67"/>
  <c r="T67"/>
  <c r="S67"/>
  <c r="R67"/>
  <c r="Q67"/>
  <c r="P67"/>
  <c r="N67"/>
  <c r="M67"/>
  <c r="L67"/>
  <c r="K67"/>
  <c r="J67"/>
  <c r="I67"/>
  <c r="G67"/>
  <c r="F67"/>
  <c r="E67"/>
  <c r="D67"/>
  <c r="C67"/>
  <c r="B67"/>
  <c r="AF66"/>
  <c r="AE66"/>
  <c r="AD66"/>
  <c r="AC66"/>
  <c r="AA66"/>
  <c r="Z66"/>
  <c r="Y66"/>
  <c r="X66"/>
  <c r="W66"/>
  <c r="U66"/>
  <c r="T66"/>
  <c r="S66"/>
  <c r="R66"/>
  <c r="Q66"/>
  <c r="P66"/>
  <c r="N66"/>
  <c r="M66"/>
  <c r="L66"/>
  <c r="K66"/>
  <c r="J66"/>
  <c r="I66"/>
  <c r="G66"/>
  <c r="F66"/>
  <c r="E66"/>
  <c r="D66"/>
  <c r="C66"/>
  <c r="B66"/>
  <c r="AF65"/>
  <c r="AE65"/>
  <c r="AD65"/>
  <c r="AC65"/>
  <c r="AA65"/>
  <c r="Z65"/>
  <c r="Y65"/>
  <c r="X65"/>
  <c r="W65"/>
  <c r="U65"/>
  <c r="T65"/>
  <c r="S65"/>
  <c r="R65"/>
  <c r="Q65"/>
  <c r="P65"/>
  <c r="N65"/>
  <c r="M65"/>
  <c r="L65"/>
  <c r="K65"/>
  <c r="J65"/>
  <c r="I65"/>
  <c r="G65"/>
  <c r="F65"/>
  <c r="E65"/>
  <c r="D65"/>
  <c r="C65"/>
  <c r="B65"/>
  <c r="AF64"/>
  <c r="AE64"/>
  <c r="AD64"/>
  <c r="AC64"/>
  <c r="AA64"/>
  <c r="Z64"/>
  <c r="Y64"/>
  <c r="X64"/>
  <c r="W64"/>
  <c r="U64"/>
  <c r="T64"/>
  <c r="S64"/>
  <c r="R64"/>
  <c r="Q64"/>
  <c r="P64"/>
  <c r="N64"/>
  <c r="M64"/>
  <c r="L64"/>
  <c r="K64"/>
  <c r="J64"/>
  <c r="I64"/>
  <c r="G64"/>
  <c r="F64"/>
  <c r="E64"/>
  <c r="D64"/>
  <c r="C64"/>
  <c r="B64"/>
  <c r="AF63"/>
  <c r="AE63"/>
  <c r="AD63"/>
  <c r="AC63"/>
  <c r="AA63"/>
  <c r="Z63"/>
  <c r="Y63"/>
  <c r="X63"/>
  <c r="W63"/>
  <c r="U63"/>
  <c r="T63"/>
  <c r="S63"/>
  <c r="R63"/>
  <c r="Q63"/>
  <c r="P63"/>
  <c r="N63"/>
  <c r="M63"/>
  <c r="L63"/>
  <c r="K63"/>
  <c r="J63"/>
  <c r="I63"/>
  <c r="G63"/>
  <c r="F63"/>
  <c r="E63"/>
  <c r="D63"/>
  <c r="C63"/>
  <c r="B63"/>
  <c r="AF62"/>
  <c r="AE62"/>
  <c r="AD62"/>
  <c r="AC62"/>
  <c r="AA62"/>
  <c r="Z62"/>
  <c r="Y62"/>
  <c r="X62"/>
  <c r="W62"/>
  <c r="U62"/>
  <c r="T62"/>
  <c r="S62"/>
  <c r="R62"/>
  <c r="Q62"/>
  <c r="P62"/>
  <c r="N62"/>
  <c r="M62"/>
  <c r="L62"/>
  <c r="K62"/>
  <c r="J62"/>
  <c r="I62"/>
  <c r="G62"/>
  <c r="F62"/>
  <c r="E62"/>
  <c r="D62"/>
  <c r="C62"/>
  <c r="B62"/>
  <c r="AG70"/>
  <c r="AA73" l="1"/>
  <c r="AG62"/>
  <c r="Y73"/>
  <c r="AD73"/>
  <c r="Z73"/>
  <c r="L73"/>
  <c r="S73"/>
  <c r="I73"/>
  <c r="R73"/>
  <c r="X73"/>
  <c r="AC73"/>
  <c r="AB64"/>
  <c r="AB68"/>
  <c r="AG65"/>
  <c r="AG69"/>
  <c r="AB65"/>
  <c r="AB69"/>
  <c r="N73"/>
  <c r="U73"/>
  <c r="C73"/>
  <c r="K73"/>
  <c r="Q73"/>
  <c r="W73"/>
  <c r="AB66"/>
  <c r="AB70"/>
  <c r="AG63"/>
  <c r="AG67"/>
  <c r="AG71"/>
  <c r="M73"/>
  <c r="T73"/>
  <c r="D73"/>
  <c r="J73"/>
  <c r="P73"/>
  <c r="AB63"/>
  <c r="AB67"/>
  <c r="AB71"/>
  <c r="AB72"/>
  <c r="AE73"/>
  <c r="AG64"/>
  <c r="AG66"/>
  <c r="AG68"/>
  <c r="AG72"/>
  <c r="AF73"/>
  <c r="V72"/>
  <c r="H66"/>
  <c r="H70"/>
  <c r="V69"/>
  <c r="H69"/>
  <c r="O62"/>
  <c r="O66"/>
  <c r="O70"/>
  <c r="H65"/>
  <c r="H72"/>
  <c r="V62"/>
  <c r="V64"/>
  <c r="V66"/>
  <c r="V68"/>
  <c r="V70"/>
  <c r="V65"/>
  <c r="H68"/>
  <c r="O67"/>
  <c r="V67"/>
  <c r="V71"/>
  <c r="AB62"/>
  <c r="H64"/>
  <c r="O63"/>
  <c r="O71"/>
  <c r="V63"/>
  <c r="H63"/>
  <c r="H67"/>
  <c r="H71"/>
  <c r="O64"/>
  <c r="O68"/>
  <c r="O72"/>
  <c r="O65"/>
  <c r="O69"/>
  <c r="B73"/>
  <c r="G73"/>
  <c r="F73"/>
  <c r="E73"/>
  <c r="AG73" l="1"/>
  <c r="AB73"/>
  <c r="V73"/>
  <c r="O73"/>
  <c r="H62"/>
  <c r="H73" s="1"/>
</calcChain>
</file>

<file path=xl/sharedStrings.xml><?xml version="1.0" encoding="utf-8"?>
<sst xmlns="http://schemas.openxmlformats.org/spreadsheetml/2006/main" count="445" uniqueCount="148">
  <si>
    <t>Status</t>
  </si>
  <si>
    <t>Open</t>
  </si>
  <si>
    <t>Issue</t>
  </si>
  <si>
    <t>Bug</t>
  </si>
  <si>
    <t>General Issue</t>
  </si>
  <si>
    <t>Closing the tab does not kill the session for our application. E.g. when the customer logout form marine portal and login as another user, our application will retrieve the old session upon click another page</t>
  </si>
  <si>
    <t>General</t>
  </si>
  <si>
    <t>CR</t>
  </si>
  <si>
    <t>Create</t>
  </si>
  <si>
    <t>Fixed</t>
  </si>
  <si>
    <t>Closed</t>
  </si>
  <si>
    <t>Download</t>
  </si>
  <si>
    <t>Invalid</t>
  </si>
  <si>
    <t>User</t>
  </si>
  <si>
    <t>#</t>
  </si>
  <si>
    <t>Performance</t>
  </si>
  <si>
    <t>Login</t>
  </si>
  <si>
    <t>Session Timeout</t>
  </si>
  <si>
    <t>Clarification</t>
  </si>
  <si>
    <t>Description</t>
  </si>
  <si>
    <t>Logout</t>
  </si>
  <si>
    <t>View</t>
  </si>
  <si>
    <t>Notification</t>
  </si>
  <si>
    <t>Category</t>
  </si>
  <si>
    <t>Severity</t>
  </si>
  <si>
    <t>Feedback Summary</t>
  </si>
  <si>
    <t>Contract</t>
  </si>
  <si>
    <t>Asset</t>
  </si>
  <si>
    <t>Staff</t>
  </si>
  <si>
    <t>Settings</t>
  </si>
  <si>
    <t>Dashboard</t>
  </si>
  <si>
    <t>Others</t>
  </si>
  <si>
    <t>Auth</t>
  </si>
  <si>
    <t>Group</t>
  </si>
  <si>
    <t>My Group</t>
  </si>
  <si>
    <t>Access Control</t>
  </si>
  <si>
    <t>Update</t>
  </si>
  <si>
    <t>Delete</t>
  </si>
  <si>
    <t>Renew</t>
  </si>
  <si>
    <t>Maker Checker</t>
  </si>
  <si>
    <t>Expiry Calendar</t>
  </si>
  <si>
    <t>Search, Sort, Filter</t>
  </si>
  <si>
    <t>Record Summary</t>
  </si>
  <si>
    <t>Asset Default Rem</t>
  </si>
  <si>
    <t>Staff Default Rem</t>
  </si>
  <si>
    <t>Contract Default Rem</t>
  </si>
  <si>
    <t>Asset Types</t>
  </si>
  <si>
    <t>Asset Locations</t>
  </si>
  <si>
    <t>Staff Particulars</t>
  </si>
  <si>
    <t>Staff Record Types</t>
  </si>
  <si>
    <t>Reminder</t>
  </si>
  <si>
    <t xml:space="preserve">Expiry </t>
  </si>
  <si>
    <t>Summary by User Group</t>
  </si>
  <si>
    <t>Summary by Module</t>
  </si>
  <si>
    <t>UserGroup</t>
  </si>
  <si>
    <t>Enhancement</t>
  </si>
  <si>
    <t>High</t>
  </si>
  <si>
    <t>Low</t>
  </si>
  <si>
    <t>Medium</t>
  </si>
  <si>
    <t>SubMod</t>
  </si>
  <si>
    <t>MainMod</t>
  </si>
  <si>
    <t>Clarified</t>
  </si>
  <si>
    <t>MainMod \ Status</t>
  </si>
  <si>
    <t>Total</t>
  </si>
  <si>
    <t>Enhanced</t>
  </si>
  <si>
    <t>Issue (open)</t>
  </si>
  <si>
    <t>Bug (open)</t>
  </si>
  <si>
    <t>Enhancement (open)</t>
  </si>
  <si>
    <t>Clarification (open)</t>
  </si>
  <si>
    <t>CR (open)</t>
  </si>
  <si>
    <t>Test Evidence</t>
  </si>
  <si>
    <t>#1.PNG</t>
  </si>
  <si>
    <t>Logging</t>
  </si>
  <si>
    <t>Observation:
when user login, password is printed in clear text
Expectation: 
password should not be printed in clear text</t>
  </si>
  <si>
    <t>Observation:
At login page, if user hasn't keyin username / password, user is not allowed to click LOGIN button. However, error message is not clearly shown. --&gt; User may not be clear about what is happening,
Expectation:
App should show error message clearly when user hasn't keyed in proper username / password.</t>
  </si>
  <si>
    <t xml:space="preserve">Observaztion:
When user keys in wrong username / password, and then click LOGIN button repeatedly, the same error messages are shwon on the screen repeatedly
Expectation:
Duplicate error message should not be shown on screen
</t>
  </si>
  <si>
    <t>06/02/2018 Wensi</t>
  </si>
  <si>
    <t>#2.PNG</t>
  </si>
  <si>
    <t>#4.PNG</t>
  </si>
  <si>
    <t>#5.png</t>
  </si>
  <si>
    <t xml:space="preserve">Observation:
Username and password is always automatically remembered by browser, user has no option to unsave the password
Expectation:
Provide a checkbox for user to choose to save or unsave password at login page.
</t>
  </si>
  <si>
    <t>07/02/2018 Wensi</t>
  </si>
  <si>
    <t>Observation:
When click the arrow icon of the summary boxes (e.g. "No. of Contracts Expired", "No. of Contracts Expiring This Month","No. of Contracts Expiring Next Month", etc...), user will be redirected to login page</t>
  </si>
  <si>
    <t>Observation:
Whenever user clicks browser refresh button (e.g. on dashboard, contract list page, etc), user will see "Access Denied" error
Expectation:
User shall be able to refresh page</t>
  </si>
  <si>
    <t>#7.PNG</t>
  </si>
  <si>
    <t>#8.PNG</t>
  </si>
  <si>
    <t>#9.PNG</t>
  </si>
  <si>
    <t>Observation:
Calendar popup is only closed when user clicks on the calendar icon, but not closed when user click on outside of the input field.
Expectation:
Expect calendar pop up to be closed when calendar popup lose focus</t>
  </si>
  <si>
    <t>Observation:
no error message is shown when reminder dates are later than expiry date. User is able to create a contract reminder whose reminder dates are later than expiry dates
Expectation:
1st, 2nd and 3rd reminder dates shall not be later than expiry date. Expriy message shall be shown properly</t>
  </si>
  <si>
    <t>#10.PNG</t>
  </si>
  <si>
    <t>Reminder365 Web App</t>
  </si>
  <si>
    <t>http://rs365-test.marine.psa:8080/Reminder365/</t>
  </si>
  <si>
    <t>http://10.114.72.44:8080/Reminder365/</t>
  </si>
  <si>
    <t>Revision History</t>
  </si>
  <si>
    <t>Date</t>
  </si>
  <si>
    <t>Comments</t>
  </si>
  <si>
    <t>Release History</t>
  </si>
  <si>
    <t>Released By</t>
  </si>
  <si>
    <t>Release Date</t>
  </si>
  <si>
    <t>Sourabh</t>
  </si>
  <si>
    <t>Project:</t>
  </si>
  <si>
    <t>Test URL:</t>
  </si>
  <si>
    <t>Version</t>
  </si>
  <si>
    <t>20180206</t>
  </si>
  <si>
    <t>Prepared By</t>
  </si>
  <si>
    <t>Test</t>
  </si>
  <si>
    <t>Date &amp; By</t>
  </si>
  <si>
    <t>Verify</t>
  </si>
  <si>
    <t>Release</t>
  </si>
  <si>
    <t>PSAM</t>
  </si>
  <si>
    <t>Saksoft</t>
  </si>
  <si>
    <t>Module</t>
  </si>
  <si>
    <t>Main</t>
  </si>
  <si>
    <t>Mod</t>
  </si>
  <si>
    <r>
      <t xml:space="preserve">Observation:
"Forgot Password?" dialogue will only be closed when user clicks the "x" icon
Expectation:
"Forgot Password?" dialogue should </t>
    </r>
    <r>
      <rPr>
        <u/>
        <sz val="10"/>
        <rFont val="Arial"/>
        <family val="2"/>
      </rPr>
      <t>also</t>
    </r>
    <r>
      <rPr>
        <sz val="10"/>
        <rFont val="Arial"/>
        <family val="2"/>
      </rPr>
      <t xml:space="preserve"> be closed when user click outside of the dialogue.</t>
    </r>
  </si>
  <si>
    <t>#12.PNG</t>
  </si>
  <si>
    <t>Observation:
There is a "-" and "x" icon on Expiry Calendar. However,  there is not effect when user clicks "-" and "x" icon
Expectation:
"-" and "x" is not required</t>
  </si>
  <si>
    <t>#13.PNG</t>
  </si>
  <si>
    <t>Observation:
Expiry calendar function is not ready yet
- not default to current month
- &lt; &gt; button is not working
- dates and weekdays don't match
- etc</t>
  </si>
  <si>
    <t>#15.PNG</t>
  </si>
  <si>
    <t>Observation:
Fields "Savings Currency &amp; Contract" and "Contract Currency &amp; Value" require 2 decimal places. However, the place holders for them are "000" and "00" respectively, which might be confusing to user
Expectation:
Please use placeholder "00.00" for these two fields</t>
  </si>
  <si>
    <t>Observation:
Confirmation dialogue "You have unsaved data!, Do you want to leave?" is shown if user going to leave current edit page.
Expectation: 
Display following message in confirmation dialogue instead:
"You are going to leave this page without saving any information. Click OK to continue. [CANCEL] [OK]"</t>
  </si>
  <si>
    <t>Observaton:
In create page, "Active" is default to "NO"
Expectation:
Please default "Active" to "Yes". See URS 6.2.1</t>
  </si>
  <si>
    <t>Observation:
Checker is able to edit details of a "pending-verification" contract
Expectation:
A checker shall only be able to verify or reject a contract. He shall not be able to edit the contract details</t>
  </si>
  <si>
    <t>Observation:
Created By, Created Date, Last Modified By, Last Modified Date is missing from view, update, review page
Expectation:
Created By, Created Date, Last Modified By, Last Modified Date shall be shown in view, udpate, and review page. see URS</t>
  </si>
  <si>
    <t>Observation:
For all Date fields, placeholders are DD/MM/YYYY. However, after pickup a date from calendar, date are in YYYY-MM-DD format
Expectation:
Please make placeholder and user input consistent</t>
  </si>
  <si>
    <t>#20.PNG</t>
  </si>
  <si>
    <t>Coding</t>
  </si>
  <si>
    <t>Database</t>
  </si>
  <si>
    <r>
      <t xml:space="preserve">Observation:
When click "Reject" button on reivew contract page, Following popup will be shown:
------------------------------------------------------------------------------
</t>
    </r>
    <r>
      <rPr>
        <b/>
        <sz val="10"/>
        <rFont val="Arial"/>
        <family val="2"/>
      </rPr>
      <t xml:space="preserve">REJECT MESSAGE
</t>
    </r>
    <r>
      <rPr>
        <sz val="10"/>
        <rFont val="Arial"/>
        <family val="2"/>
      </rPr>
      <t xml:space="preserve">
Contract Title: (readonly)
Contract Reference Number: (readonly)
Message To: (textfield)
Remarks: (textarea)
[SEND MESSAGE]
------------------------------------------------------------------------------
Analysis:
Rejection Remarks will be shown in contract review page after a contract is rejected, rather than notification email (see email template), so "Message To" field and "Send Message" button are not relevent.
Expectation:
when user clicks "Reject" button, app shows following popup box 
------------------------------------------------------------------------------
</t>
    </r>
    <r>
      <rPr>
        <b/>
        <sz val="10"/>
        <rFont val="Arial"/>
        <family val="2"/>
      </rPr>
      <t>Reject Contract</t>
    </r>
    <r>
      <rPr>
        <sz val="10"/>
        <rFont val="Arial"/>
        <family val="2"/>
      </rPr>
      <t xml:space="preserve">
You are going to reject Contract ContNumABC. Please key in Rejection Remarks, and click OK to continue. 
Rejection Remarks: (textarea)
[CANCEL] [OK]
------------------------------------------------------------------------------</t>
    </r>
  </si>
  <si>
    <t>Observation:
In review contract page, message such as "This contract is created by Harry Lim on 07/02/2018 13:45. Please verify" is not shown.
Expectation:
Please display mesasge on review contract page in following format:
This contract is {action}ed by {maker} on {date time}. Please review and verify.
E.g. This contract is added by Harry Lim on 07/02/2018 15:47. Please review and verify.</t>
  </si>
  <si>
    <r>
      <t xml:space="preserve">Observation:
</t>
    </r>
    <r>
      <rPr>
        <b/>
        <sz val="10"/>
        <rFont val="Arial"/>
        <family val="2"/>
      </rPr>
      <t xml:space="preserve">Step1: </t>
    </r>
    <r>
      <rPr>
        <sz val="10"/>
        <rFont val="Arial"/>
        <family val="2"/>
      </rPr>
      <t xml:space="preserve">maker adds contract 
</t>
    </r>
    <r>
      <rPr>
        <b/>
        <sz val="10"/>
        <rFont val="Arial"/>
        <family val="2"/>
      </rPr>
      <t xml:space="preserve">Step2: </t>
    </r>
    <r>
      <rPr>
        <sz val="10"/>
        <rFont val="Arial"/>
        <family val="2"/>
      </rPr>
      <t xml:space="preserve">checker rejects contract </t>
    </r>
    <r>
      <rPr>
        <b/>
        <sz val="10"/>
        <rFont val="Arial"/>
        <family val="2"/>
      </rPr>
      <t xml:space="preserve">
Step3: </t>
    </r>
    <r>
      <rPr>
        <sz val="10"/>
        <rFont val="Arial"/>
        <family val="2"/>
      </rPr>
      <t xml:space="preserve">maker updates and </t>
    </r>
    <r>
      <rPr>
        <b/>
        <sz val="10"/>
        <rFont val="Arial"/>
        <family val="2"/>
      </rPr>
      <t>resubmit</t>
    </r>
    <r>
      <rPr>
        <sz val="10"/>
        <rFont val="Arial"/>
        <family val="2"/>
      </rPr>
      <t xml:space="preserve"> contract 
</t>
    </r>
    <r>
      <rPr>
        <b/>
        <sz val="10"/>
        <rFont val="Arial"/>
        <family val="2"/>
      </rPr>
      <t>Results:</t>
    </r>
    <r>
      <rPr>
        <sz val="10"/>
        <rFont val="Arial"/>
        <family val="2"/>
      </rPr>
      <t xml:space="preserve">
in contract review list, there is one contract with status "Rejected" and one contract with status "New"
</t>
    </r>
    <r>
      <rPr>
        <b/>
        <sz val="10"/>
        <rFont val="Arial"/>
        <family val="2"/>
      </rPr>
      <t>Step4:</t>
    </r>
    <r>
      <rPr>
        <sz val="10"/>
        <rFont val="Arial"/>
        <family val="2"/>
      </rPr>
      <t xml:space="preserve"> maker delete "Rejected" contract
</t>
    </r>
    <r>
      <rPr>
        <b/>
        <sz val="10"/>
        <rFont val="Arial"/>
        <family val="2"/>
      </rPr>
      <t>Results</t>
    </r>
    <r>
      <rPr>
        <sz val="10"/>
        <rFont val="Arial"/>
        <family val="2"/>
      </rPr>
      <t>:
in contract review list, there is one contract with status "Deleted" and one contract with status "New"
Expectation:
At Step3: the resubmitted contract shall overwrite the "Rejected" contract, so in contract review list, there is only one "New" contract with updated details. 
At Step4: after maker delete the "Rejected" contract, this rejected contract shall be removed from the system.</t>
    </r>
  </si>
  <si>
    <t>#23.PNG</t>
  </si>
  <si>
    <t>Observation:
Step1: maker adds contract
Step2: checker verified contract
--&gt; when user clicks "verify" button, there is no confirmation dialogue shown for user to confirm his action 
Expectation:
Please show confirmation dialogue for user to confirm his action. refer to #14</t>
  </si>
  <si>
    <t>Observation:
When user clicks Submit button on create page, following confirmation dialogue is shown:
"Contract "abc" will be created! Confirm to continue. [NO][YES]"
Expectation:
Please show confirmation dialogue in following format:
"You are going to {action} Contract {contract_num}. Click OK to continue." [CANCEL] [OK]
e.g.
You are going to Add Contract CONT1234. Click OK to continue. [CANCEL] [OK]
You are going to Edit Contract CONT1234. Click OK to continue. [CANCEL] [OK]
You are going to Delete Contract CONT1234. Click OK to continue. [CANCEL] [OK]
You are going to Verify Contract CONT1234. Click OK to continue. [CANCEL] [OK]
You are going to Reject Contract CONT1234. Click OK to continue. [CANCEL] [OK]</t>
  </si>
  <si>
    <t>Observation:
Confirmation message "Contract has been added to Reminder365 successfully" is shown when a contract is created successfully. However, contract reminder number is not included in confirmation message.
Expectation:
Contract reference number shall be included in confirmation message whenever possible.
Please show confirmation message after contract is added/update/deleted/resubmitted ... in following format
Contract {contract ref number} is {action}ed and waiting for verification.
E.g.
Contract CONT1234 is added and waiting for verification.
Contract CONT1234 is edited and waiting for verification.
Contract CONT1234 is deleted and waiting for verification.
Contract CONT1234 is resubmitted and waiting for verification.
Contract {contract ref number} is {action}ed successfully
E.g. 
Contract CONT1234 is verified successfully.
Contract CCNT1234 is rejected successfully.</t>
  </si>
  <si>
    <t xml:space="preserve">Observation:
Step1: maker creates contract
Step2: checker verifies contract
Step3: maker updates contract (update contract ref number)
--&gt; result: the original contract is missing in contract list.
Expectation:
The original contract shall still be in contract list, and the updated contract shall be in contract review list. see urs 6.2.6.2
</t>
  </si>
  <si>
    <t xml:space="preserve">Observation:
Step1: maker creates contract
Step2: checker verifies contract
Step3: maker updates contract (update contract title)
Step4: checker verifies contract
--&gt; result: both the original contract and updated contract exist in contract list
Expectation:
Only the updated contract shall be shown in the contract list after the updated details are verified. 
</t>
  </si>
  <si>
    <t>MakerChecker</t>
  </si>
  <si>
    <t>MC-Update</t>
  </si>
  <si>
    <t>MC-Delete</t>
  </si>
  <si>
    <t>MC-Add</t>
  </si>
  <si>
    <t xml:space="preserve">Observation:
Step1: maker creates contract
Step2: checker verifies contract
Step3: maker deletes contract
--&gt; result: the original contract is missing in contract list.
Expectation:
The original contract shall still be in contract list, and the deleted contract shall be in contract review list. see urs 6.2.6.3
</t>
  </si>
  <si>
    <t xml:space="preserve">Observation:
Step1: maker creates contract
Step2: checker verifies contract
Step3: maker deletes contract
Step4: checker verifies contract deletion
--&gt; result: the original contract appears in contract list again..
Expectation:
After contract deletion is verified, the contract shall be removed from the system
</t>
  </si>
  <si>
    <t>Observation:
in create reminder page, user is unable to click "submit" button if there are validation error. No error message is shown. User is unclear about what is happening.
Expectation:
Allow user to click "SUBMIT" button when there is invalid data, app shall show error message properly after user clicks "SUBMIT" button</t>
  </si>
  <si>
    <t>Wensi</t>
  </si>
  <si>
    <t>07/02/2018</t>
  </si>
  <si>
    <t>1.0</t>
  </si>
</sst>
</file>

<file path=xl/styles.xml><?xml version="1.0" encoding="utf-8"?>
<styleSheet xmlns="http://schemas.openxmlformats.org/spreadsheetml/2006/main">
  <fonts count="33">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1"/>
      <name val="ＭＳ Ｐゴシック"/>
      <family val="3"/>
      <charset val="128"/>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b/>
      <sz val="10"/>
      <name val="Arial"/>
      <family val="2"/>
    </font>
    <font>
      <b/>
      <sz val="10"/>
      <color theme="0"/>
      <name val="Arial"/>
      <family val="2"/>
    </font>
    <font>
      <sz val="9"/>
      <name val="宋体"/>
      <family val="3"/>
      <charset val="134"/>
    </font>
    <font>
      <b/>
      <sz val="11"/>
      <color theme="0"/>
      <name val="Calibri"/>
      <family val="2"/>
      <scheme val="minor"/>
    </font>
    <font>
      <sz val="11"/>
      <name val="Calibri"/>
      <family val="2"/>
      <scheme val="minor"/>
    </font>
    <font>
      <u/>
      <sz val="10"/>
      <color theme="10"/>
      <name val="Arial"/>
      <family val="2"/>
    </font>
    <font>
      <b/>
      <sz val="11"/>
      <name val="Calibri"/>
      <family val="2"/>
      <scheme val="minor"/>
    </font>
    <font>
      <b/>
      <sz val="11"/>
      <color theme="1"/>
      <name val="Calibri"/>
      <family val="2"/>
      <scheme val="minor"/>
    </font>
    <font>
      <u/>
      <sz val="10"/>
      <name val="Arial"/>
      <family val="2"/>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tint="-4.9989318521683403E-2"/>
        <bgColor indexed="64"/>
      </patternFill>
    </fill>
    <fill>
      <patternFill patternType="solid">
        <fgColor theme="1"/>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right style="thin">
        <color indexed="64"/>
      </right>
      <top/>
      <bottom/>
      <diagonal/>
    </border>
  </borders>
  <cellStyleXfs count="55">
    <xf numFmtId="0" fontId="0" fillId="0" borderId="0"/>
    <xf numFmtId="0" fontId="6" fillId="2"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7" fillId="12"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9" borderId="0" applyNumberFormat="0" applyBorder="0" applyAlignment="0" applyProtection="0"/>
    <xf numFmtId="0" fontId="8" fillId="3" borderId="0" applyNumberFormat="0" applyBorder="0" applyAlignment="0" applyProtection="0"/>
    <xf numFmtId="0" fontId="9" fillId="20" borderId="1" applyNumberFormat="0" applyAlignment="0" applyProtection="0"/>
    <xf numFmtId="0" fontId="10" fillId="21" borderId="2" applyNumberFormat="0" applyAlignment="0" applyProtection="0"/>
    <xf numFmtId="0" fontId="12" fillId="0" borderId="0" applyNumberFormat="0" applyFill="0" applyBorder="0" applyAlignment="0" applyProtection="0"/>
    <xf numFmtId="0" fontId="13" fillId="4"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17" fillId="7" borderId="1" applyNumberFormat="0" applyAlignment="0" applyProtection="0"/>
    <xf numFmtId="0" fontId="18" fillId="0" borderId="6" applyNumberFormat="0" applyFill="0" applyAlignment="0" applyProtection="0"/>
    <xf numFmtId="0" fontId="19" fillId="22" borderId="0" applyNumberFormat="0" applyBorder="0" applyAlignment="0" applyProtection="0"/>
    <xf numFmtId="0" fontId="11" fillId="23" borderId="7" applyNumberFormat="0" applyFont="0" applyAlignment="0" applyProtection="0"/>
    <xf numFmtId="0" fontId="20" fillId="20" borderId="8" applyNumberFormat="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xf numFmtId="0" fontId="5" fillId="0" borderId="0"/>
    <xf numFmtId="0" fontId="4" fillId="0" borderId="0"/>
    <xf numFmtId="0" fontId="3" fillId="0" borderId="0"/>
    <xf numFmtId="0" fontId="3"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applyNumberFormat="0" applyFill="0" applyBorder="0" applyAlignment="0" applyProtection="0">
      <alignment vertical="top"/>
      <protection locked="0"/>
    </xf>
  </cellStyleXfs>
  <cellXfs count="75">
    <xf numFmtId="0" fontId="0" fillId="0" borderId="0" xfId="0"/>
    <xf numFmtId="0" fontId="0" fillId="0" borderId="0" xfId="0" applyFill="1"/>
    <xf numFmtId="0" fontId="0" fillId="0" borderId="10" xfId="0" applyBorder="1"/>
    <xf numFmtId="0" fontId="0" fillId="0" borderId="0" xfId="0" applyAlignment="1">
      <alignment horizontal="center"/>
    </xf>
    <xf numFmtId="0" fontId="0" fillId="0" borderId="10" xfId="0" applyFill="1" applyBorder="1"/>
    <xf numFmtId="0" fontId="25" fillId="0" borderId="0" xfId="0" applyFont="1" applyFill="1" applyBorder="1"/>
    <xf numFmtId="0" fontId="0" fillId="0" borderId="0" xfId="0" applyFill="1" applyBorder="1"/>
    <xf numFmtId="0" fontId="0" fillId="0" borderId="10" xfId="0" applyFill="1" applyBorder="1" applyAlignment="1">
      <alignment horizontal="center" vertical="top"/>
    </xf>
    <xf numFmtId="0" fontId="0" fillId="24" borderId="10" xfId="0" applyFont="1" applyFill="1" applyBorder="1" applyAlignment="1">
      <alignment horizontal="center"/>
    </xf>
    <xf numFmtId="0" fontId="0" fillId="24" borderId="10" xfId="0" applyFont="1" applyFill="1" applyBorder="1" applyAlignment="1">
      <alignment horizontal="center" vertical="top"/>
    </xf>
    <xf numFmtId="0" fontId="0" fillId="24" borderId="10" xfId="0" applyFill="1" applyBorder="1" applyAlignment="1">
      <alignment horizontal="center"/>
    </xf>
    <xf numFmtId="0" fontId="0" fillId="24" borderId="10" xfId="0" applyFill="1" applyBorder="1" applyAlignment="1">
      <alignment horizontal="center" vertical="top"/>
    </xf>
    <xf numFmtId="0" fontId="0" fillId="24" borderId="10" xfId="0" applyFill="1" applyBorder="1" applyAlignment="1">
      <alignment horizontal="left"/>
    </xf>
    <xf numFmtId="0" fontId="24" fillId="0" borderId="0" xfId="0" applyFont="1" applyAlignment="1">
      <alignment horizontal="left"/>
    </xf>
    <xf numFmtId="0" fontId="24" fillId="0" borderId="0" xfId="0" applyFont="1" applyAlignment="1"/>
    <xf numFmtId="0" fontId="24" fillId="24" borderId="10" xfId="0" applyFont="1" applyFill="1" applyBorder="1" applyAlignment="1">
      <alignment vertical="top"/>
    </xf>
    <xf numFmtId="0" fontId="24" fillId="24" borderId="10" xfId="0" applyFont="1" applyFill="1" applyBorder="1"/>
    <xf numFmtId="0" fontId="24" fillId="0" borderId="10" xfId="0" applyFont="1" applyFill="1" applyBorder="1" applyAlignment="1">
      <alignment vertical="top"/>
    </xf>
    <xf numFmtId="0" fontId="0" fillId="0" borderId="10" xfId="0" applyFont="1" applyFill="1" applyBorder="1" applyAlignment="1">
      <alignment horizontal="center"/>
    </xf>
    <xf numFmtId="0" fontId="0" fillId="0" borderId="10" xfId="0" applyFont="1" applyFill="1" applyBorder="1"/>
    <xf numFmtId="0" fontId="0" fillId="24" borderId="16" xfId="0" applyFill="1" applyBorder="1" applyAlignment="1"/>
    <xf numFmtId="0" fontId="0" fillId="24" borderId="15" xfId="0" applyFill="1" applyBorder="1" applyAlignment="1"/>
    <xf numFmtId="0" fontId="0" fillId="24" borderId="14" xfId="0" applyFill="1" applyBorder="1" applyAlignment="1"/>
    <xf numFmtId="0" fontId="0" fillId="24" borderId="16" xfId="0" applyFont="1" applyFill="1" applyBorder="1" applyAlignment="1">
      <alignment vertical="top"/>
    </xf>
    <xf numFmtId="0" fontId="0" fillId="24" borderId="15" xfId="0" applyFont="1" applyFill="1" applyBorder="1" applyAlignment="1">
      <alignment vertical="top"/>
    </xf>
    <xf numFmtId="0" fontId="0" fillId="24" borderId="14" xfId="0" applyFont="1" applyFill="1" applyBorder="1" applyAlignment="1">
      <alignment vertical="top"/>
    </xf>
    <xf numFmtId="0" fontId="0" fillId="24" borderId="16" xfId="0" applyFill="1" applyBorder="1" applyAlignment="1">
      <alignment vertical="top"/>
    </xf>
    <xf numFmtId="0" fontId="0" fillId="0" borderId="16" xfId="0" applyBorder="1"/>
    <xf numFmtId="0" fontId="0" fillId="0" borderId="15" xfId="0" applyBorder="1"/>
    <xf numFmtId="0" fontId="0" fillId="0" borderId="14" xfId="0" applyBorder="1"/>
    <xf numFmtId="0" fontId="0" fillId="0" borderId="20" xfId="0" applyBorder="1"/>
    <xf numFmtId="0" fontId="0" fillId="0" borderId="21" xfId="0" applyBorder="1"/>
    <xf numFmtId="0" fontId="0" fillId="0" borderId="19" xfId="0" applyBorder="1"/>
    <xf numFmtId="0" fontId="0" fillId="0" borderId="18" xfId="0" applyBorder="1"/>
    <xf numFmtId="0" fontId="0" fillId="0" borderId="22" xfId="0" applyBorder="1"/>
    <xf numFmtId="0" fontId="0" fillId="0" borderId="17" xfId="0" applyBorder="1"/>
    <xf numFmtId="0" fontId="29" fillId="0" borderId="0" xfId="54" applyBorder="1" applyAlignment="1" applyProtection="1"/>
    <xf numFmtId="0" fontId="0" fillId="0" borderId="0" xfId="0" applyBorder="1"/>
    <xf numFmtId="0" fontId="0" fillId="0" borderId="23" xfId="0" applyBorder="1"/>
    <xf numFmtId="0" fontId="29" fillId="0" borderId="22" xfId="54" applyBorder="1" applyAlignment="1" applyProtection="1"/>
    <xf numFmtId="49" fontId="0" fillId="0" borderId="16" xfId="0" quotePrefix="1" applyNumberFormat="1" applyBorder="1" applyAlignment="1"/>
    <xf numFmtId="0" fontId="25" fillId="25" borderId="16" xfId="0" applyFont="1" applyFill="1" applyBorder="1"/>
    <xf numFmtId="0" fontId="25" fillId="25" borderId="15" xfId="0" applyFont="1" applyFill="1" applyBorder="1"/>
    <xf numFmtId="0" fontId="25" fillId="25" borderId="14" xfId="0" applyFont="1" applyFill="1" applyBorder="1"/>
    <xf numFmtId="0" fontId="25" fillId="25" borderId="16" xfId="0" applyFont="1" applyFill="1" applyBorder="1" applyAlignment="1"/>
    <xf numFmtId="0" fontId="25" fillId="25" borderId="15" xfId="0" applyFont="1" applyFill="1" applyBorder="1" applyAlignment="1"/>
    <xf numFmtId="0" fontId="28" fillId="0" borderId="0" xfId="0" applyFont="1" applyFill="1" applyBorder="1" applyAlignment="1">
      <alignment vertical="center"/>
    </xf>
    <xf numFmtId="0" fontId="30" fillId="0" borderId="0" xfId="0" applyFont="1" applyFill="1" applyBorder="1" applyAlignment="1">
      <alignment horizontal="center" vertical="center"/>
    </xf>
    <xf numFmtId="0" fontId="31" fillId="0" borderId="0" xfId="0" applyFont="1" applyFill="1" applyBorder="1" applyAlignment="1">
      <alignment horizontal="center" vertical="center"/>
    </xf>
    <xf numFmtId="0" fontId="25" fillId="25" borderId="10" xfId="0" applyFont="1" applyFill="1" applyBorder="1" applyAlignment="1">
      <alignment horizontal="center" vertical="center"/>
    </xf>
    <xf numFmtId="0" fontId="0" fillId="0" borderId="10" xfId="0" applyFill="1" applyBorder="1" applyAlignment="1">
      <alignment vertical="center"/>
    </xf>
    <xf numFmtId="0" fontId="0" fillId="0" borderId="10" xfId="0" applyFill="1" applyBorder="1" applyAlignment="1">
      <alignment vertical="center" wrapText="1"/>
    </xf>
    <xf numFmtId="0" fontId="0" fillId="0" borderId="0" xfId="0" applyFill="1" applyBorder="1" applyAlignment="1">
      <alignment vertical="center"/>
    </xf>
    <xf numFmtId="0" fontId="0" fillId="0" borderId="0" xfId="0" applyFill="1" applyBorder="1" applyAlignment="1">
      <alignment vertical="center" wrapText="1"/>
    </xf>
    <xf numFmtId="14" fontId="0" fillId="0" borderId="10" xfId="0" applyNumberFormat="1" applyFill="1" applyBorder="1" applyAlignment="1">
      <alignment vertical="center"/>
    </xf>
    <xf numFmtId="0" fontId="0" fillId="0" borderId="10" xfId="0" applyBorder="1" applyAlignment="1">
      <alignment horizontal="center"/>
    </xf>
    <xf numFmtId="0" fontId="25" fillId="25" borderId="10" xfId="0" applyFont="1" applyFill="1" applyBorder="1" applyAlignment="1">
      <alignment horizontal="left" vertical="center"/>
    </xf>
    <xf numFmtId="0" fontId="0" fillId="0" borderId="10" xfId="0" applyFill="1" applyBorder="1" applyAlignment="1">
      <alignment horizontal="left" vertical="center"/>
    </xf>
    <xf numFmtId="0" fontId="0" fillId="0" borderId="0" xfId="0" applyFill="1" applyBorder="1" applyAlignment="1">
      <alignment horizontal="left" vertical="center"/>
    </xf>
    <xf numFmtId="14" fontId="0" fillId="0" borderId="16" xfId="0" quotePrefix="1" applyNumberFormat="1" applyBorder="1"/>
    <xf numFmtId="0" fontId="0" fillId="0" borderId="0" xfId="0" applyAlignment="1">
      <alignment horizontal="center"/>
    </xf>
    <xf numFmtId="0" fontId="24" fillId="24" borderId="10" xfId="0" applyFont="1" applyFill="1" applyBorder="1" applyAlignment="1">
      <alignment horizontal="left"/>
    </xf>
    <xf numFmtId="0" fontId="24" fillId="24" borderId="11" xfId="0" applyFont="1" applyFill="1" applyBorder="1" applyAlignment="1">
      <alignment horizontal="center" vertical="center"/>
    </xf>
    <xf numFmtId="0" fontId="24" fillId="24" borderId="13" xfId="0" applyFont="1" applyFill="1" applyBorder="1" applyAlignment="1">
      <alignment horizontal="center" vertical="center"/>
    </xf>
    <xf numFmtId="0" fontId="24" fillId="24" borderId="12" xfId="0" applyFont="1" applyFill="1" applyBorder="1" applyAlignment="1">
      <alignment horizontal="center" vertical="center"/>
    </xf>
    <xf numFmtId="0" fontId="24" fillId="24" borderId="16" xfId="0" applyFont="1" applyFill="1" applyBorder="1" applyAlignment="1">
      <alignment horizontal="left"/>
    </xf>
    <xf numFmtId="0" fontId="24" fillId="24" borderId="15" xfId="0" applyFont="1" applyFill="1" applyBorder="1" applyAlignment="1">
      <alignment horizontal="left"/>
    </xf>
    <xf numFmtId="0" fontId="24" fillId="24" borderId="14" xfId="0" applyFont="1" applyFill="1" applyBorder="1" applyAlignment="1">
      <alignment horizontal="left"/>
    </xf>
    <xf numFmtId="0" fontId="0" fillId="24" borderId="10" xfId="0" applyFill="1" applyBorder="1" applyAlignment="1">
      <alignment horizontal="center" vertical="center"/>
    </xf>
    <xf numFmtId="0" fontId="27" fillId="25" borderId="10" xfId="0" applyFont="1" applyFill="1" applyBorder="1" applyAlignment="1">
      <alignment horizontal="left" vertical="center"/>
    </xf>
    <xf numFmtId="0" fontId="27" fillId="25" borderId="10" xfId="0" applyFont="1" applyFill="1" applyBorder="1" applyAlignment="1">
      <alignment horizontal="center" vertical="center"/>
    </xf>
    <xf numFmtId="0" fontId="25" fillId="25" borderId="10" xfId="0" applyFont="1" applyFill="1" applyBorder="1" applyAlignment="1">
      <alignment horizontal="left" vertical="center"/>
    </xf>
    <xf numFmtId="0" fontId="25" fillId="25" borderId="10" xfId="0" applyFont="1" applyFill="1" applyBorder="1" applyAlignment="1">
      <alignment horizontal="center" vertical="center" wrapText="1"/>
    </xf>
    <xf numFmtId="0" fontId="25" fillId="25" borderId="10" xfId="0" applyFont="1" applyFill="1" applyBorder="1" applyAlignment="1">
      <alignment horizontal="center" vertical="center"/>
    </xf>
    <xf numFmtId="0" fontId="0" fillId="0" borderId="16" xfId="0" quotePrefix="1" applyBorder="1"/>
  </cellXfs>
  <cellStyles count="5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54" builtinId="8"/>
    <cellStyle name="Input" xfId="34" builtinId="20" customBuiltin="1"/>
    <cellStyle name="Linked Cell" xfId="35" builtinId="24" customBuiltin="1"/>
    <cellStyle name="Neutral" xfId="36" builtinId="28" customBuiltin="1"/>
    <cellStyle name="Normal" xfId="0" builtinId="0"/>
    <cellStyle name="Normal 2" xfId="42"/>
    <cellStyle name="Normal 2 2" xfId="45"/>
    <cellStyle name="Normal 2 2 2" xfId="47"/>
    <cellStyle name="Normal 2 2 2 2" xfId="53"/>
    <cellStyle name="Normal 2 2 3" xfId="51"/>
    <cellStyle name="Normal 2 3" xfId="48"/>
    <cellStyle name="Normal 3" xfId="43"/>
    <cellStyle name="Normal 3 2" xfId="44"/>
    <cellStyle name="Normal 3 2 2" xfId="46"/>
    <cellStyle name="Normal 3 2 2 2" xfId="52"/>
    <cellStyle name="Normal 3 2 3" xfId="50"/>
    <cellStyle name="Normal 3 3" xfId="49"/>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5">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2" defaultPivotStyle="PivotStyleLight16"/>
  <colors>
    <mruColors>
      <color rgb="FFFFCCCC"/>
      <color rgb="FFFFF24F"/>
      <color rgb="FFFFE885"/>
      <color rgb="FFFFD54F"/>
      <color rgb="FFCC9900"/>
      <color rgb="FFFFFF99"/>
      <color rgb="FF996633"/>
      <color rgb="FFE20000"/>
      <color rgb="FFEEB500"/>
      <color rgb="FFC4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x>
            <c:strRef>
              <c:f>Summary!$B$61</c:f>
              <c:strCache>
                <c:ptCount val="1"/>
                <c:pt idx="0">
                  <c:v>High</c:v>
                </c:pt>
              </c:strCache>
            </c:strRef>
          </c:tx>
          <c:spPr>
            <a:solidFill>
              <a:srgbClr val="FF0000"/>
            </a:solidFill>
          </c:spPr>
          <c:cat>
            <c:strRef>
              <c:f>Summary!$A$62:$A$72</c:f>
              <c:strCache>
                <c:ptCount val="11"/>
                <c:pt idx="0">
                  <c:v>Auth</c:v>
                </c:pt>
                <c:pt idx="1">
                  <c:v>UserGroup</c:v>
                </c:pt>
                <c:pt idx="2">
                  <c:v>Contract</c:v>
                </c:pt>
                <c:pt idx="3">
                  <c:v>Asset</c:v>
                </c:pt>
                <c:pt idx="4">
                  <c:v>Staff</c:v>
                </c:pt>
                <c:pt idx="5">
                  <c:v>Settings</c:v>
                </c:pt>
                <c:pt idx="6">
                  <c:v>Notification</c:v>
                </c:pt>
                <c:pt idx="7">
                  <c:v>Dashboard</c:v>
                </c:pt>
                <c:pt idx="8">
                  <c:v>Performance</c:v>
                </c:pt>
                <c:pt idx="9">
                  <c:v>General</c:v>
                </c:pt>
                <c:pt idx="10">
                  <c:v>Others</c:v>
                </c:pt>
              </c:strCache>
            </c:strRef>
          </c:cat>
          <c:val>
            <c:numRef>
              <c:f>Summary!$B$62:$B$72</c:f>
              <c:numCache>
                <c:formatCode>General</c:formatCode>
                <c:ptCount val="11"/>
                <c:pt idx="0">
                  <c:v>2</c:v>
                </c:pt>
                <c:pt idx="1">
                  <c:v>0</c:v>
                </c:pt>
                <c:pt idx="2">
                  <c:v>4</c:v>
                </c:pt>
                <c:pt idx="3">
                  <c:v>0</c:v>
                </c:pt>
                <c:pt idx="4">
                  <c:v>0</c:v>
                </c:pt>
                <c:pt idx="5">
                  <c:v>0</c:v>
                </c:pt>
                <c:pt idx="6">
                  <c:v>0</c:v>
                </c:pt>
                <c:pt idx="7">
                  <c:v>0</c:v>
                </c:pt>
                <c:pt idx="8">
                  <c:v>0</c:v>
                </c:pt>
                <c:pt idx="9">
                  <c:v>1</c:v>
                </c:pt>
                <c:pt idx="10">
                  <c:v>0</c:v>
                </c:pt>
              </c:numCache>
            </c:numRef>
          </c:val>
        </c:ser>
        <c:ser>
          <c:idx val="1"/>
          <c:order val="1"/>
          <c:tx>
            <c:strRef>
              <c:f>Summary!$C$61</c:f>
              <c:strCache>
                <c:ptCount val="1"/>
                <c:pt idx="0">
                  <c:v>Medium</c:v>
                </c:pt>
              </c:strCache>
            </c:strRef>
          </c:tx>
          <c:spPr>
            <a:solidFill>
              <a:srgbClr val="FFC000"/>
            </a:solidFill>
          </c:spPr>
          <c:cat>
            <c:strRef>
              <c:f>Summary!$A$62:$A$72</c:f>
              <c:strCache>
                <c:ptCount val="11"/>
                <c:pt idx="0">
                  <c:v>Auth</c:v>
                </c:pt>
                <c:pt idx="1">
                  <c:v>UserGroup</c:v>
                </c:pt>
                <c:pt idx="2">
                  <c:v>Contract</c:v>
                </c:pt>
                <c:pt idx="3">
                  <c:v>Asset</c:v>
                </c:pt>
                <c:pt idx="4">
                  <c:v>Staff</c:v>
                </c:pt>
                <c:pt idx="5">
                  <c:v>Settings</c:v>
                </c:pt>
                <c:pt idx="6">
                  <c:v>Notification</c:v>
                </c:pt>
                <c:pt idx="7">
                  <c:v>Dashboard</c:v>
                </c:pt>
                <c:pt idx="8">
                  <c:v>Performance</c:v>
                </c:pt>
                <c:pt idx="9">
                  <c:v>General</c:v>
                </c:pt>
                <c:pt idx="10">
                  <c:v>Others</c:v>
                </c:pt>
              </c:strCache>
            </c:strRef>
          </c:cat>
          <c:val>
            <c:numRef>
              <c:f>Summary!$C$62:$C$72</c:f>
              <c:numCache>
                <c:formatCode>General</c:formatCode>
                <c:ptCount val="11"/>
                <c:pt idx="0">
                  <c:v>0</c:v>
                </c:pt>
                <c:pt idx="1">
                  <c:v>0</c:v>
                </c:pt>
                <c:pt idx="2">
                  <c:v>8</c:v>
                </c:pt>
                <c:pt idx="3">
                  <c:v>0</c:v>
                </c:pt>
                <c:pt idx="4">
                  <c:v>0</c:v>
                </c:pt>
                <c:pt idx="5">
                  <c:v>0</c:v>
                </c:pt>
                <c:pt idx="6">
                  <c:v>0</c:v>
                </c:pt>
                <c:pt idx="7">
                  <c:v>0</c:v>
                </c:pt>
                <c:pt idx="8">
                  <c:v>0</c:v>
                </c:pt>
                <c:pt idx="9">
                  <c:v>0</c:v>
                </c:pt>
                <c:pt idx="10">
                  <c:v>0</c:v>
                </c:pt>
              </c:numCache>
            </c:numRef>
          </c:val>
        </c:ser>
        <c:ser>
          <c:idx val="2"/>
          <c:order val="2"/>
          <c:tx>
            <c:strRef>
              <c:f>Summary!$D$61</c:f>
              <c:strCache>
                <c:ptCount val="1"/>
                <c:pt idx="0">
                  <c:v>Low</c:v>
                </c:pt>
              </c:strCache>
            </c:strRef>
          </c:tx>
          <c:spPr>
            <a:solidFill>
              <a:srgbClr val="FFCCCC"/>
            </a:solidFill>
          </c:spPr>
          <c:cat>
            <c:strRef>
              <c:f>Summary!$A$62:$A$72</c:f>
              <c:strCache>
                <c:ptCount val="11"/>
                <c:pt idx="0">
                  <c:v>Auth</c:v>
                </c:pt>
                <c:pt idx="1">
                  <c:v>UserGroup</c:v>
                </c:pt>
                <c:pt idx="2">
                  <c:v>Contract</c:v>
                </c:pt>
                <c:pt idx="3">
                  <c:v>Asset</c:v>
                </c:pt>
                <c:pt idx="4">
                  <c:v>Staff</c:v>
                </c:pt>
                <c:pt idx="5">
                  <c:v>Settings</c:v>
                </c:pt>
                <c:pt idx="6">
                  <c:v>Notification</c:v>
                </c:pt>
                <c:pt idx="7">
                  <c:v>Dashboard</c:v>
                </c:pt>
                <c:pt idx="8">
                  <c:v>Performance</c:v>
                </c:pt>
                <c:pt idx="9">
                  <c:v>General</c:v>
                </c:pt>
                <c:pt idx="10">
                  <c:v>Others</c:v>
                </c:pt>
              </c:strCache>
            </c:strRef>
          </c:cat>
          <c:val>
            <c:numRef>
              <c:f>Summary!$D$62:$D$72</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er>
        <c:axId val="49947008"/>
        <c:axId val="49948544"/>
      </c:barChart>
      <c:catAx>
        <c:axId val="49947008"/>
        <c:scaling>
          <c:orientation val="minMax"/>
        </c:scaling>
        <c:axPos val="b"/>
        <c:tickLblPos val="nextTo"/>
        <c:crossAx val="49948544"/>
        <c:crosses val="autoZero"/>
        <c:auto val="1"/>
        <c:lblAlgn val="ctr"/>
        <c:lblOffset val="100"/>
      </c:catAx>
      <c:valAx>
        <c:axId val="49948544"/>
        <c:scaling>
          <c:orientation val="minMax"/>
          <c:max val="15"/>
          <c:min val="0"/>
        </c:scaling>
        <c:axPos val="l"/>
        <c:majorGridlines/>
        <c:numFmt formatCode="General" sourceLinked="1"/>
        <c:tickLblPos val="nextTo"/>
        <c:crossAx val="49947008"/>
        <c:crosses val="autoZero"/>
        <c:crossBetween val="between"/>
        <c:majorUnit val="5"/>
        <c:minorUnit val="1"/>
      </c:valAx>
    </c:plotArea>
    <c:legend>
      <c:legendPos val="r"/>
      <c:layout/>
      <c:spPr>
        <a:noFill/>
      </c:spPr>
    </c:legend>
    <c:plotVisOnly val="1"/>
  </c:chart>
  <c:printSettings>
    <c:headerFooter/>
    <c:pageMargins b="0.75000000000000033" l="0.70000000000000029" r="0.70000000000000029" t="0.75000000000000033" header="0.30000000000000016" footer="0.3000000000000001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x>
            <c:strRef>
              <c:f>Summary!$I$61</c:f>
              <c:strCache>
                <c:ptCount val="1"/>
                <c:pt idx="0">
                  <c:v>High</c:v>
                </c:pt>
              </c:strCache>
            </c:strRef>
          </c:tx>
          <c:spPr>
            <a:solidFill>
              <a:srgbClr val="FF0000"/>
            </a:solidFill>
          </c:spPr>
          <c:cat>
            <c:strRef>
              <c:f>Summary!$A$62:$A$72</c:f>
              <c:strCache>
                <c:ptCount val="11"/>
                <c:pt idx="0">
                  <c:v>Auth</c:v>
                </c:pt>
                <c:pt idx="1">
                  <c:v>UserGroup</c:v>
                </c:pt>
                <c:pt idx="2">
                  <c:v>Contract</c:v>
                </c:pt>
                <c:pt idx="3">
                  <c:v>Asset</c:v>
                </c:pt>
                <c:pt idx="4">
                  <c:v>Staff</c:v>
                </c:pt>
                <c:pt idx="5">
                  <c:v>Settings</c:v>
                </c:pt>
                <c:pt idx="6">
                  <c:v>Notification</c:v>
                </c:pt>
                <c:pt idx="7">
                  <c:v>Dashboard</c:v>
                </c:pt>
                <c:pt idx="8">
                  <c:v>Performance</c:v>
                </c:pt>
                <c:pt idx="9">
                  <c:v>General</c:v>
                </c:pt>
                <c:pt idx="10">
                  <c:v>Others</c:v>
                </c:pt>
              </c:strCache>
            </c:strRef>
          </c:cat>
          <c:val>
            <c:numRef>
              <c:f>Summary!$I$62:$I$72</c:f>
              <c:numCache>
                <c:formatCode>General</c:formatCode>
                <c:ptCount val="11"/>
                <c:pt idx="0">
                  <c:v>0</c:v>
                </c:pt>
                <c:pt idx="1">
                  <c:v>0</c:v>
                </c:pt>
                <c:pt idx="2">
                  <c:v>6</c:v>
                </c:pt>
                <c:pt idx="3">
                  <c:v>0</c:v>
                </c:pt>
                <c:pt idx="4">
                  <c:v>0</c:v>
                </c:pt>
                <c:pt idx="5">
                  <c:v>0</c:v>
                </c:pt>
                <c:pt idx="6">
                  <c:v>0</c:v>
                </c:pt>
                <c:pt idx="7">
                  <c:v>0</c:v>
                </c:pt>
                <c:pt idx="8">
                  <c:v>0</c:v>
                </c:pt>
                <c:pt idx="9">
                  <c:v>1</c:v>
                </c:pt>
                <c:pt idx="10">
                  <c:v>0</c:v>
                </c:pt>
              </c:numCache>
            </c:numRef>
          </c:val>
        </c:ser>
        <c:ser>
          <c:idx val="1"/>
          <c:order val="1"/>
          <c:tx>
            <c:strRef>
              <c:f>Summary!$J$61</c:f>
              <c:strCache>
                <c:ptCount val="1"/>
                <c:pt idx="0">
                  <c:v>Medium</c:v>
                </c:pt>
              </c:strCache>
            </c:strRef>
          </c:tx>
          <c:spPr>
            <a:solidFill>
              <a:srgbClr val="FFC000"/>
            </a:solidFill>
          </c:spPr>
          <c:cat>
            <c:strRef>
              <c:f>Summary!$A$62:$A$72</c:f>
              <c:strCache>
                <c:ptCount val="11"/>
                <c:pt idx="0">
                  <c:v>Auth</c:v>
                </c:pt>
                <c:pt idx="1">
                  <c:v>UserGroup</c:v>
                </c:pt>
                <c:pt idx="2">
                  <c:v>Contract</c:v>
                </c:pt>
                <c:pt idx="3">
                  <c:v>Asset</c:v>
                </c:pt>
                <c:pt idx="4">
                  <c:v>Staff</c:v>
                </c:pt>
                <c:pt idx="5">
                  <c:v>Settings</c:v>
                </c:pt>
                <c:pt idx="6">
                  <c:v>Notification</c:v>
                </c:pt>
                <c:pt idx="7">
                  <c:v>Dashboard</c:v>
                </c:pt>
                <c:pt idx="8">
                  <c:v>Performance</c:v>
                </c:pt>
                <c:pt idx="9">
                  <c:v>General</c:v>
                </c:pt>
                <c:pt idx="10">
                  <c:v>Others</c:v>
                </c:pt>
              </c:strCache>
            </c:strRef>
          </c:cat>
          <c:val>
            <c:numRef>
              <c:f>Summary!$J$62:$J$72</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er>
        <c:ser>
          <c:idx val="2"/>
          <c:order val="2"/>
          <c:tx>
            <c:strRef>
              <c:f>Summary!$K$61</c:f>
              <c:strCache>
                <c:ptCount val="1"/>
                <c:pt idx="0">
                  <c:v>Low</c:v>
                </c:pt>
              </c:strCache>
            </c:strRef>
          </c:tx>
          <c:spPr>
            <a:solidFill>
              <a:srgbClr val="FFCCCC"/>
            </a:solidFill>
          </c:spPr>
          <c:cat>
            <c:strRef>
              <c:f>Summary!$A$62:$A$72</c:f>
              <c:strCache>
                <c:ptCount val="11"/>
                <c:pt idx="0">
                  <c:v>Auth</c:v>
                </c:pt>
                <c:pt idx="1">
                  <c:v>UserGroup</c:v>
                </c:pt>
                <c:pt idx="2">
                  <c:v>Contract</c:v>
                </c:pt>
                <c:pt idx="3">
                  <c:v>Asset</c:v>
                </c:pt>
                <c:pt idx="4">
                  <c:v>Staff</c:v>
                </c:pt>
                <c:pt idx="5">
                  <c:v>Settings</c:v>
                </c:pt>
                <c:pt idx="6">
                  <c:v>Notification</c:v>
                </c:pt>
                <c:pt idx="7">
                  <c:v>Dashboard</c:v>
                </c:pt>
                <c:pt idx="8">
                  <c:v>Performance</c:v>
                </c:pt>
                <c:pt idx="9">
                  <c:v>General</c:v>
                </c:pt>
                <c:pt idx="10">
                  <c:v>Others</c:v>
                </c:pt>
              </c:strCache>
            </c:strRef>
          </c:cat>
          <c:val>
            <c:numRef>
              <c:f>Summary!$K$62:$K$72</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er>
        <c:axId val="49977984"/>
        <c:axId val="49996160"/>
      </c:barChart>
      <c:catAx>
        <c:axId val="49977984"/>
        <c:scaling>
          <c:orientation val="minMax"/>
        </c:scaling>
        <c:axPos val="b"/>
        <c:tickLblPos val="nextTo"/>
        <c:crossAx val="49996160"/>
        <c:crosses val="autoZero"/>
        <c:auto val="1"/>
        <c:lblAlgn val="ctr"/>
        <c:lblOffset val="100"/>
      </c:catAx>
      <c:valAx>
        <c:axId val="49996160"/>
        <c:scaling>
          <c:orientation val="minMax"/>
          <c:max val="15"/>
          <c:min val="0"/>
        </c:scaling>
        <c:axPos val="l"/>
        <c:majorGridlines/>
        <c:numFmt formatCode="General" sourceLinked="1"/>
        <c:tickLblPos val="nextTo"/>
        <c:crossAx val="49977984"/>
        <c:crosses val="autoZero"/>
        <c:crossBetween val="between"/>
        <c:majorUnit val="5"/>
        <c:minorUnit val="1"/>
      </c:valAx>
    </c:plotArea>
    <c:legend>
      <c:legendPos val="r"/>
      <c:layout/>
    </c:legend>
    <c:plotVisOnly val="1"/>
  </c:chart>
  <c:printSettings>
    <c:headerFooter/>
    <c:pageMargins b="0.75000000000000033" l="0.70000000000000029" r="0.70000000000000029" t="0.75000000000000033" header="0.30000000000000016" footer="0.30000000000000016"/>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x>
            <c:strRef>
              <c:f>Summary!$P$61</c:f>
              <c:strCache>
                <c:ptCount val="1"/>
                <c:pt idx="0">
                  <c:v>High</c:v>
                </c:pt>
              </c:strCache>
            </c:strRef>
          </c:tx>
          <c:spPr>
            <a:solidFill>
              <a:srgbClr val="FF0000"/>
            </a:solidFill>
          </c:spPr>
          <c:cat>
            <c:strRef>
              <c:f>Summary!$A$62:$A$72</c:f>
              <c:strCache>
                <c:ptCount val="11"/>
                <c:pt idx="0">
                  <c:v>Auth</c:v>
                </c:pt>
                <c:pt idx="1">
                  <c:v>UserGroup</c:v>
                </c:pt>
                <c:pt idx="2">
                  <c:v>Contract</c:v>
                </c:pt>
                <c:pt idx="3">
                  <c:v>Asset</c:v>
                </c:pt>
                <c:pt idx="4">
                  <c:v>Staff</c:v>
                </c:pt>
                <c:pt idx="5">
                  <c:v>Settings</c:v>
                </c:pt>
                <c:pt idx="6">
                  <c:v>Notification</c:v>
                </c:pt>
                <c:pt idx="7">
                  <c:v>Dashboard</c:v>
                </c:pt>
                <c:pt idx="8">
                  <c:v>Performance</c:v>
                </c:pt>
                <c:pt idx="9">
                  <c:v>General</c:v>
                </c:pt>
                <c:pt idx="10">
                  <c:v>Others</c:v>
                </c:pt>
              </c:strCache>
            </c:strRef>
          </c:cat>
          <c:val>
            <c:numRef>
              <c:f>Summary!$P$62:$P$72</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er>
        <c:ser>
          <c:idx val="1"/>
          <c:order val="1"/>
          <c:tx>
            <c:strRef>
              <c:f>Summary!$Q$61</c:f>
              <c:strCache>
                <c:ptCount val="1"/>
                <c:pt idx="0">
                  <c:v>Medium</c:v>
                </c:pt>
              </c:strCache>
            </c:strRef>
          </c:tx>
          <c:spPr>
            <a:solidFill>
              <a:srgbClr val="FFC000"/>
            </a:solidFill>
          </c:spPr>
          <c:cat>
            <c:strRef>
              <c:f>Summary!$A$62:$A$72</c:f>
              <c:strCache>
                <c:ptCount val="11"/>
                <c:pt idx="0">
                  <c:v>Auth</c:v>
                </c:pt>
                <c:pt idx="1">
                  <c:v>UserGroup</c:v>
                </c:pt>
                <c:pt idx="2">
                  <c:v>Contract</c:v>
                </c:pt>
                <c:pt idx="3">
                  <c:v>Asset</c:v>
                </c:pt>
                <c:pt idx="4">
                  <c:v>Staff</c:v>
                </c:pt>
                <c:pt idx="5">
                  <c:v>Settings</c:v>
                </c:pt>
                <c:pt idx="6">
                  <c:v>Notification</c:v>
                </c:pt>
                <c:pt idx="7">
                  <c:v>Dashboard</c:v>
                </c:pt>
                <c:pt idx="8">
                  <c:v>Performance</c:v>
                </c:pt>
                <c:pt idx="9">
                  <c:v>General</c:v>
                </c:pt>
                <c:pt idx="10">
                  <c:v>Others</c:v>
                </c:pt>
              </c:strCache>
            </c:strRef>
          </c:cat>
          <c:val>
            <c:numRef>
              <c:f>Summary!$Q$62:$Q$72</c:f>
              <c:numCache>
                <c:formatCode>General</c:formatCode>
                <c:ptCount val="11"/>
                <c:pt idx="0">
                  <c:v>3</c:v>
                </c:pt>
                <c:pt idx="1">
                  <c:v>0</c:v>
                </c:pt>
                <c:pt idx="2">
                  <c:v>3</c:v>
                </c:pt>
                <c:pt idx="3">
                  <c:v>0</c:v>
                </c:pt>
                <c:pt idx="4">
                  <c:v>0</c:v>
                </c:pt>
                <c:pt idx="5">
                  <c:v>0</c:v>
                </c:pt>
                <c:pt idx="6">
                  <c:v>0</c:v>
                </c:pt>
                <c:pt idx="7">
                  <c:v>0</c:v>
                </c:pt>
                <c:pt idx="8">
                  <c:v>0</c:v>
                </c:pt>
                <c:pt idx="9">
                  <c:v>0</c:v>
                </c:pt>
                <c:pt idx="10">
                  <c:v>0</c:v>
                </c:pt>
              </c:numCache>
            </c:numRef>
          </c:val>
        </c:ser>
        <c:ser>
          <c:idx val="2"/>
          <c:order val="2"/>
          <c:tx>
            <c:strRef>
              <c:f>Summary!$R$61</c:f>
              <c:strCache>
                <c:ptCount val="1"/>
                <c:pt idx="0">
                  <c:v>Low</c:v>
                </c:pt>
              </c:strCache>
            </c:strRef>
          </c:tx>
          <c:spPr>
            <a:solidFill>
              <a:srgbClr val="FFCCCC"/>
            </a:solidFill>
          </c:spPr>
          <c:cat>
            <c:strRef>
              <c:f>Summary!$A$62:$A$72</c:f>
              <c:strCache>
                <c:ptCount val="11"/>
                <c:pt idx="0">
                  <c:v>Auth</c:v>
                </c:pt>
                <c:pt idx="1">
                  <c:v>UserGroup</c:v>
                </c:pt>
                <c:pt idx="2">
                  <c:v>Contract</c:v>
                </c:pt>
                <c:pt idx="3">
                  <c:v>Asset</c:v>
                </c:pt>
                <c:pt idx="4">
                  <c:v>Staff</c:v>
                </c:pt>
                <c:pt idx="5">
                  <c:v>Settings</c:v>
                </c:pt>
                <c:pt idx="6">
                  <c:v>Notification</c:v>
                </c:pt>
                <c:pt idx="7">
                  <c:v>Dashboard</c:v>
                </c:pt>
                <c:pt idx="8">
                  <c:v>Performance</c:v>
                </c:pt>
                <c:pt idx="9">
                  <c:v>General</c:v>
                </c:pt>
                <c:pt idx="10">
                  <c:v>Others</c:v>
                </c:pt>
              </c:strCache>
            </c:strRef>
          </c:cat>
          <c:val>
            <c:numRef>
              <c:f>Summary!$R$62:$R$72</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er>
        <c:axId val="75703424"/>
        <c:axId val="75704960"/>
      </c:barChart>
      <c:catAx>
        <c:axId val="75703424"/>
        <c:scaling>
          <c:orientation val="minMax"/>
        </c:scaling>
        <c:axPos val="b"/>
        <c:tickLblPos val="nextTo"/>
        <c:crossAx val="75704960"/>
        <c:crosses val="autoZero"/>
        <c:auto val="1"/>
        <c:lblAlgn val="ctr"/>
        <c:lblOffset val="100"/>
      </c:catAx>
      <c:valAx>
        <c:axId val="75704960"/>
        <c:scaling>
          <c:orientation val="minMax"/>
          <c:max val="15"/>
          <c:min val="0"/>
        </c:scaling>
        <c:axPos val="l"/>
        <c:majorGridlines/>
        <c:numFmt formatCode="General" sourceLinked="1"/>
        <c:tickLblPos val="nextTo"/>
        <c:crossAx val="75703424"/>
        <c:crosses val="autoZero"/>
        <c:crossBetween val="between"/>
        <c:majorUnit val="5"/>
        <c:minorUnit val="1"/>
      </c:valAx>
    </c:plotArea>
    <c:legend>
      <c:legendPos val="r"/>
      <c:layout/>
    </c:legend>
    <c:plotVisOnly val="1"/>
  </c:chart>
  <c:printSettings>
    <c:headerFooter/>
    <c:pageMargins b="0.75000000000000033" l="0.70000000000000029" r="0.70000000000000029" t="0.75000000000000033" header="0.30000000000000016" footer="0.30000000000000016"/>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x>
            <c:strRef>
              <c:f>Summary!$W$61</c:f>
              <c:strCache>
                <c:ptCount val="1"/>
                <c:pt idx="0">
                  <c:v>High</c:v>
                </c:pt>
              </c:strCache>
            </c:strRef>
          </c:tx>
          <c:spPr>
            <a:solidFill>
              <a:srgbClr val="FF0000"/>
            </a:solidFill>
          </c:spPr>
          <c:cat>
            <c:strRef>
              <c:f>Summary!$A$62:$A$72</c:f>
              <c:strCache>
                <c:ptCount val="11"/>
                <c:pt idx="0">
                  <c:v>Auth</c:v>
                </c:pt>
                <c:pt idx="1">
                  <c:v>UserGroup</c:v>
                </c:pt>
                <c:pt idx="2">
                  <c:v>Contract</c:v>
                </c:pt>
                <c:pt idx="3">
                  <c:v>Asset</c:v>
                </c:pt>
                <c:pt idx="4">
                  <c:v>Staff</c:v>
                </c:pt>
                <c:pt idx="5">
                  <c:v>Settings</c:v>
                </c:pt>
                <c:pt idx="6">
                  <c:v>Notification</c:v>
                </c:pt>
                <c:pt idx="7">
                  <c:v>Dashboard</c:v>
                </c:pt>
                <c:pt idx="8">
                  <c:v>Performance</c:v>
                </c:pt>
                <c:pt idx="9">
                  <c:v>General</c:v>
                </c:pt>
                <c:pt idx="10">
                  <c:v>Others</c:v>
                </c:pt>
              </c:strCache>
            </c:strRef>
          </c:cat>
          <c:val>
            <c:numRef>
              <c:f>Summary!$W$62:$W$72</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er>
        <c:ser>
          <c:idx val="1"/>
          <c:order val="1"/>
          <c:tx>
            <c:strRef>
              <c:f>Summary!$X$61</c:f>
              <c:strCache>
                <c:ptCount val="1"/>
                <c:pt idx="0">
                  <c:v>Medium</c:v>
                </c:pt>
              </c:strCache>
            </c:strRef>
          </c:tx>
          <c:spPr>
            <a:solidFill>
              <a:srgbClr val="FFC000"/>
            </a:solidFill>
          </c:spPr>
          <c:cat>
            <c:strRef>
              <c:f>Summary!$A$62:$A$72</c:f>
              <c:strCache>
                <c:ptCount val="11"/>
                <c:pt idx="0">
                  <c:v>Auth</c:v>
                </c:pt>
                <c:pt idx="1">
                  <c:v>UserGroup</c:v>
                </c:pt>
                <c:pt idx="2">
                  <c:v>Contract</c:v>
                </c:pt>
                <c:pt idx="3">
                  <c:v>Asset</c:v>
                </c:pt>
                <c:pt idx="4">
                  <c:v>Staff</c:v>
                </c:pt>
                <c:pt idx="5">
                  <c:v>Settings</c:v>
                </c:pt>
                <c:pt idx="6">
                  <c:v>Notification</c:v>
                </c:pt>
                <c:pt idx="7">
                  <c:v>Dashboard</c:v>
                </c:pt>
                <c:pt idx="8">
                  <c:v>Performance</c:v>
                </c:pt>
                <c:pt idx="9">
                  <c:v>General</c:v>
                </c:pt>
                <c:pt idx="10">
                  <c:v>Others</c:v>
                </c:pt>
              </c:strCache>
            </c:strRef>
          </c:cat>
          <c:val>
            <c:numRef>
              <c:f>Summary!$X$62:$X$72</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er>
        <c:ser>
          <c:idx val="2"/>
          <c:order val="2"/>
          <c:tx>
            <c:strRef>
              <c:f>Summary!$Y$61</c:f>
              <c:strCache>
                <c:ptCount val="1"/>
                <c:pt idx="0">
                  <c:v>Low</c:v>
                </c:pt>
              </c:strCache>
            </c:strRef>
          </c:tx>
          <c:spPr>
            <a:solidFill>
              <a:srgbClr val="FFCCCC"/>
            </a:solidFill>
          </c:spPr>
          <c:cat>
            <c:strRef>
              <c:f>Summary!$A$62:$A$72</c:f>
              <c:strCache>
                <c:ptCount val="11"/>
                <c:pt idx="0">
                  <c:v>Auth</c:v>
                </c:pt>
                <c:pt idx="1">
                  <c:v>UserGroup</c:v>
                </c:pt>
                <c:pt idx="2">
                  <c:v>Contract</c:v>
                </c:pt>
                <c:pt idx="3">
                  <c:v>Asset</c:v>
                </c:pt>
                <c:pt idx="4">
                  <c:v>Staff</c:v>
                </c:pt>
                <c:pt idx="5">
                  <c:v>Settings</c:v>
                </c:pt>
                <c:pt idx="6">
                  <c:v>Notification</c:v>
                </c:pt>
                <c:pt idx="7">
                  <c:v>Dashboard</c:v>
                </c:pt>
                <c:pt idx="8">
                  <c:v>Performance</c:v>
                </c:pt>
                <c:pt idx="9">
                  <c:v>General</c:v>
                </c:pt>
                <c:pt idx="10">
                  <c:v>Others</c:v>
                </c:pt>
              </c:strCache>
            </c:strRef>
          </c:cat>
          <c:val>
            <c:numRef>
              <c:f>Summary!$Y$62:$Y$72</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er>
        <c:axId val="75738496"/>
        <c:axId val="75748480"/>
      </c:barChart>
      <c:catAx>
        <c:axId val="75738496"/>
        <c:scaling>
          <c:orientation val="minMax"/>
        </c:scaling>
        <c:axPos val="b"/>
        <c:tickLblPos val="nextTo"/>
        <c:crossAx val="75748480"/>
        <c:crosses val="autoZero"/>
        <c:auto val="1"/>
        <c:lblAlgn val="ctr"/>
        <c:lblOffset val="100"/>
      </c:catAx>
      <c:valAx>
        <c:axId val="75748480"/>
        <c:scaling>
          <c:orientation val="minMax"/>
          <c:max val="15"/>
          <c:min val="0"/>
        </c:scaling>
        <c:axPos val="l"/>
        <c:majorGridlines/>
        <c:numFmt formatCode="General" sourceLinked="1"/>
        <c:tickLblPos val="nextTo"/>
        <c:crossAx val="75738496"/>
        <c:crosses val="autoZero"/>
        <c:crossBetween val="between"/>
        <c:majorUnit val="5"/>
        <c:minorUnit val="1"/>
      </c:valAx>
    </c:plotArea>
    <c:legend>
      <c:legendPos val="r"/>
      <c:layout/>
    </c:legend>
    <c:plotVisOnly val="1"/>
  </c:chart>
  <c:printSettings>
    <c:headerFooter/>
    <c:pageMargins b="0.75000000000000033" l="0.70000000000000029" r="0.70000000000000029" t="0.75000000000000033" header="0.30000000000000016" footer="0.30000000000000016"/>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x>
            <c:strRef>
              <c:f>Summary!$AC$61</c:f>
              <c:strCache>
                <c:ptCount val="1"/>
                <c:pt idx="0">
                  <c:v>High</c:v>
                </c:pt>
              </c:strCache>
            </c:strRef>
          </c:tx>
          <c:spPr>
            <a:solidFill>
              <a:srgbClr val="FF0000"/>
            </a:solidFill>
          </c:spPr>
          <c:cat>
            <c:strRef>
              <c:f>Summary!$A$62:$A$72</c:f>
              <c:strCache>
                <c:ptCount val="11"/>
                <c:pt idx="0">
                  <c:v>Auth</c:v>
                </c:pt>
                <c:pt idx="1">
                  <c:v>UserGroup</c:v>
                </c:pt>
                <c:pt idx="2">
                  <c:v>Contract</c:v>
                </c:pt>
                <c:pt idx="3">
                  <c:v>Asset</c:v>
                </c:pt>
                <c:pt idx="4">
                  <c:v>Staff</c:v>
                </c:pt>
                <c:pt idx="5">
                  <c:v>Settings</c:v>
                </c:pt>
                <c:pt idx="6">
                  <c:v>Notification</c:v>
                </c:pt>
                <c:pt idx="7">
                  <c:v>Dashboard</c:v>
                </c:pt>
                <c:pt idx="8">
                  <c:v>Performance</c:v>
                </c:pt>
                <c:pt idx="9">
                  <c:v>General</c:v>
                </c:pt>
                <c:pt idx="10">
                  <c:v>Others</c:v>
                </c:pt>
              </c:strCache>
            </c:strRef>
          </c:cat>
          <c:val>
            <c:numRef>
              <c:f>Summary!$AC$62:$AC$72</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er>
        <c:ser>
          <c:idx val="1"/>
          <c:order val="1"/>
          <c:tx>
            <c:strRef>
              <c:f>Summary!$AD$61</c:f>
              <c:strCache>
                <c:ptCount val="1"/>
                <c:pt idx="0">
                  <c:v>Medium</c:v>
                </c:pt>
              </c:strCache>
            </c:strRef>
          </c:tx>
          <c:spPr>
            <a:solidFill>
              <a:srgbClr val="FFC000"/>
            </a:solidFill>
          </c:spPr>
          <c:cat>
            <c:strRef>
              <c:f>Summary!$A$62:$A$72</c:f>
              <c:strCache>
                <c:ptCount val="11"/>
                <c:pt idx="0">
                  <c:v>Auth</c:v>
                </c:pt>
                <c:pt idx="1">
                  <c:v>UserGroup</c:v>
                </c:pt>
                <c:pt idx="2">
                  <c:v>Contract</c:v>
                </c:pt>
                <c:pt idx="3">
                  <c:v>Asset</c:v>
                </c:pt>
                <c:pt idx="4">
                  <c:v>Staff</c:v>
                </c:pt>
                <c:pt idx="5">
                  <c:v>Settings</c:v>
                </c:pt>
                <c:pt idx="6">
                  <c:v>Notification</c:v>
                </c:pt>
                <c:pt idx="7">
                  <c:v>Dashboard</c:v>
                </c:pt>
                <c:pt idx="8">
                  <c:v>Performance</c:v>
                </c:pt>
                <c:pt idx="9">
                  <c:v>General</c:v>
                </c:pt>
                <c:pt idx="10">
                  <c:v>Others</c:v>
                </c:pt>
              </c:strCache>
            </c:strRef>
          </c:cat>
          <c:val>
            <c:numRef>
              <c:f>Summary!$AD$62:$AD$72</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er>
        <c:ser>
          <c:idx val="2"/>
          <c:order val="2"/>
          <c:tx>
            <c:strRef>
              <c:f>Summary!$AE$61</c:f>
              <c:strCache>
                <c:ptCount val="1"/>
                <c:pt idx="0">
                  <c:v>Low</c:v>
                </c:pt>
              </c:strCache>
            </c:strRef>
          </c:tx>
          <c:spPr>
            <a:solidFill>
              <a:srgbClr val="FFCCCC"/>
            </a:solidFill>
          </c:spPr>
          <c:cat>
            <c:strRef>
              <c:f>Summary!$A$62:$A$72</c:f>
              <c:strCache>
                <c:ptCount val="11"/>
                <c:pt idx="0">
                  <c:v>Auth</c:v>
                </c:pt>
                <c:pt idx="1">
                  <c:v>UserGroup</c:v>
                </c:pt>
                <c:pt idx="2">
                  <c:v>Contract</c:v>
                </c:pt>
                <c:pt idx="3">
                  <c:v>Asset</c:v>
                </c:pt>
                <c:pt idx="4">
                  <c:v>Staff</c:v>
                </c:pt>
                <c:pt idx="5">
                  <c:v>Settings</c:v>
                </c:pt>
                <c:pt idx="6">
                  <c:v>Notification</c:v>
                </c:pt>
                <c:pt idx="7">
                  <c:v>Dashboard</c:v>
                </c:pt>
                <c:pt idx="8">
                  <c:v>Performance</c:v>
                </c:pt>
                <c:pt idx="9">
                  <c:v>General</c:v>
                </c:pt>
                <c:pt idx="10">
                  <c:v>Others</c:v>
                </c:pt>
              </c:strCache>
            </c:strRef>
          </c:cat>
          <c:val>
            <c:numRef>
              <c:f>Summary!$AE$62:$AE$72</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er>
        <c:axId val="76502912"/>
        <c:axId val="76504448"/>
      </c:barChart>
      <c:catAx>
        <c:axId val="76502912"/>
        <c:scaling>
          <c:orientation val="minMax"/>
        </c:scaling>
        <c:axPos val="b"/>
        <c:tickLblPos val="nextTo"/>
        <c:crossAx val="76504448"/>
        <c:crosses val="autoZero"/>
        <c:auto val="1"/>
        <c:lblAlgn val="ctr"/>
        <c:lblOffset val="100"/>
      </c:catAx>
      <c:valAx>
        <c:axId val="76504448"/>
        <c:scaling>
          <c:orientation val="minMax"/>
          <c:max val="15"/>
          <c:min val="0"/>
        </c:scaling>
        <c:axPos val="l"/>
        <c:majorGridlines/>
        <c:numFmt formatCode="General" sourceLinked="1"/>
        <c:tickLblPos val="nextTo"/>
        <c:crossAx val="76502912"/>
        <c:crosses val="autoZero"/>
        <c:crossBetween val="between"/>
        <c:majorUnit val="5"/>
        <c:minorUnit val="1"/>
      </c:valAx>
    </c:plotArea>
    <c:legend>
      <c:legendPos val="r"/>
      <c:layout/>
    </c:legend>
    <c:plotVisOnly val="1"/>
  </c:chart>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9524</xdr:colOff>
      <xdr:row>1</xdr:row>
      <xdr:rowOff>0</xdr:rowOff>
    </xdr:from>
    <xdr:to>
      <xdr:col>12</xdr:col>
      <xdr:colOff>419099</xdr:colOff>
      <xdr:row>17</xdr:row>
      <xdr:rowOff>152400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419099</xdr:colOff>
      <xdr:row>0</xdr:row>
      <xdr:rowOff>152400</xdr:rowOff>
    </xdr:from>
    <xdr:to>
      <xdr:col>32</xdr:col>
      <xdr:colOff>85724</xdr:colOff>
      <xdr:row>17</xdr:row>
      <xdr:rowOff>142875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28575</xdr:colOff>
      <xdr:row>20</xdr:row>
      <xdr:rowOff>9525</xdr:rowOff>
    </xdr:from>
    <xdr:to>
      <xdr:col>13</xdr:col>
      <xdr:colOff>0</xdr:colOff>
      <xdr:row>37</xdr:row>
      <xdr:rowOff>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20</xdr:row>
      <xdr:rowOff>9525</xdr:rowOff>
    </xdr:from>
    <xdr:to>
      <xdr:col>32</xdr:col>
      <xdr:colOff>76200</xdr:colOff>
      <xdr:row>37</xdr:row>
      <xdr:rowOff>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9524</xdr:colOff>
      <xdr:row>39</xdr:row>
      <xdr:rowOff>0</xdr:rowOff>
    </xdr:from>
    <xdr:to>
      <xdr:col>12</xdr:col>
      <xdr:colOff>419099</xdr:colOff>
      <xdr:row>55</xdr:row>
      <xdr:rowOff>152400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10.114.72.44:8080/Reminder365/" TargetMode="External"/><Relationship Id="rId1" Type="http://schemas.openxmlformats.org/officeDocument/2006/relationships/hyperlink" Target="http://rs365-test.marine.psa:8080/Reminder36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5" Type="http://schemas.openxmlformats.org/officeDocument/2006/relationships/printerSettings" Target="../printerSettings/printerSettings7.bin"/><Relationship Id="rId4"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W23"/>
  <sheetViews>
    <sheetView showGridLines="0" tabSelected="1" workbookViewId="0">
      <selection activeCell="AC33" sqref="AC33"/>
    </sheetView>
  </sheetViews>
  <sheetFormatPr defaultRowHeight="12.75"/>
  <cols>
    <col min="1" max="42" width="2.28515625" customWidth="1"/>
  </cols>
  <sheetData>
    <row r="1" spans="1:23">
      <c r="A1" s="41" t="s">
        <v>100</v>
      </c>
      <c r="B1" s="42"/>
      <c r="C1" s="42"/>
      <c r="D1" s="42"/>
      <c r="E1" s="43"/>
      <c r="F1" s="41" t="s">
        <v>90</v>
      </c>
      <c r="G1" s="42"/>
      <c r="H1" s="42"/>
      <c r="I1" s="42"/>
      <c r="J1" s="42"/>
      <c r="K1" s="42"/>
      <c r="L1" s="42"/>
      <c r="M1" s="42"/>
      <c r="N1" s="42"/>
      <c r="O1" s="42"/>
      <c r="P1" s="42"/>
      <c r="Q1" s="42"/>
      <c r="R1" s="42"/>
      <c r="S1" s="42"/>
      <c r="T1" s="42"/>
      <c r="U1" s="42"/>
      <c r="V1" s="42"/>
      <c r="W1" s="43"/>
    </row>
    <row r="2" spans="1:23">
      <c r="A2" s="30" t="s">
        <v>101</v>
      </c>
      <c r="B2" s="31"/>
      <c r="C2" s="31"/>
      <c r="D2" s="31"/>
      <c r="E2" s="32"/>
      <c r="F2" s="36" t="s">
        <v>91</v>
      </c>
      <c r="G2" s="37"/>
      <c r="H2" s="37"/>
      <c r="I2" s="37"/>
      <c r="J2" s="37"/>
      <c r="K2" s="37"/>
      <c r="L2" s="37"/>
      <c r="M2" s="37"/>
      <c r="N2" s="37"/>
      <c r="O2" s="37"/>
      <c r="P2" s="37"/>
      <c r="Q2" s="37"/>
      <c r="R2" s="37"/>
      <c r="S2" s="37"/>
      <c r="T2" s="37"/>
      <c r="U2" s="37"/>
      <c r="V2" s="37"/>
      <c r="W2" s="38"/>
    </row>
    <row r="3" spans="1:23">
      <c r="A3" s="33"/>
      <c r="B3" s="34"/>
      <c r="C3" s="34"/>
      <c r="D3" s="34"/>
      <c r="E3" s="35"/>
      <c r="F3" s="39" t="s">
        <v>92</v>
      </c>
      <c r="G3" s="34"/>
      <c r="H3" s="34"/>
      <c r="I3" s="34"/>
      <c r="J3" s="34"/>
      <c r="K3" s="34"/>
      <c r="L3" s="34"/>
      <c r="M3" s="34"/>
      <c r="N3" s="34"/>
      <c r="O3" s="34"/>
      <c r="P3" s="34"/>
      <c r="Q3" s="34"/>
      <c r="R3" s="34"/>
      <c r="S3" s="34"/>
      <c r="T3" s="34"/>
      <c r="U3" s="34"/>
      <c r="V3" s="34"/>
      <c r="W3" s="35"/>
    </row>
    <row r="5" spans="1:23">
      <c r="A5" s="44" t="s">
        <v>96</v>
      </c>
      <c r="B5" s="45"/>
      <c r="C5" s="45"/>
      <c r="D5" s="45"/>
      <c r="E5" s="42"/>
      <c r="F5" s="42"/>
      <c r="G5" s="42"/>
      <c r="H5" s="42"/>
      <c r="I5" s="42"/>
      <c r="J5" s="42"/>
      <c r="K5" s="42"/>
      <c r="L5" s="42"/>
      <c r="M5" s="42"/>
      <c r="N5" s="42"/>
      <c r="O5" s="42"/>
      <c r="P5" s="42"/>
      <c r="Q5" s="42"/>
      <c r="R5" s="42"/>
      <c r="S5" s="42"/>
      <c r="T5" s="42"/>
      <c r="U5" s="42"/>
      <c r="V5" s="42"/>
      <c r="W5" s="43"/>
    </row>
    <row r="6" spans="1:23">
      <c r="A6" s="27" t="s">
        <v>102</v>
      </c>
      <c r="B6" s="28"/>
      <c r="C6" s="28"/>
      <c r="D6" s="28"/>
      <c r="E6" s="29"/>
      <c r="F6" s="27" t="s">
        <v>97</v>
      </c>
      <c r="G6" s="28"/>
      <c r="H6" s="28"/>
      <c r="I6" s="28"/>
      <c r="J6" s="28"/>
      <c r="K6" s="29"/>
      <c r="L6" s="27" t="s">
        <v>98</v>
      </c>
      <c r="M6" s="28"/>
      <c r="N6" s="28"/>
      <c r="O6" s="28"/>
      <c r="P6" s="28"/>
      <c r="Q6" s="28"/>
      <c r="R6" s="28"/>
      <c r="S6" s="28"/>
      <c r="T6" s="28"/>
      <c r="U6" s="28"/>
      <c r="V6" s="28"/>
      <c r="W6" s="29"/>
    </row>
    <row r="7" spans="1:23">
      <c r="A7" s="40" t="s">
        <v>103</v>
      </c>
      <c r="B7" s="28"/>
      <c r="C7" s="28"/>
      <c r="D7" s="28"/>
      <c r="E7" s="29"/>
      <c r="F7" s="27" t="s">
        <v>99</v>
      </c>
      <c r="G7" s="28"/>
      <c r="H7" s="28"/>
      <c r="I7" s="28"/>
      <c r="J7" s="28"/>
      <c r="K7" s="29"/>
      <c r="L7" s="40" t="s">
        <v>103</v>
      </c>
      <c r="M7" s="28"/>
      <c r="N7" s="28"/>
      <c r="O7" s="28"/>
      <c r="P7" s="28"/>
      <c r="Q7" s="28"/>
      <c r="R7" s="28"/>
      <c r="S7" s="28"/>
      <c r="T7" s="28"/>
      <c r="U7" s="28"/>
      <c r="V7" s="28"/>
      <c r="W7" s="29"/>
    </row>
    <row r="8" spans="1:23">
      <c r="A8" s="27"/>
      <c r="B8" s="28"/>
      <c r="C8" s="28"/>
      <c r="D8" s="28"/>
      <c r="E8" s="29"/>
      <c r="F8" s="27"/>
      <c r="G8" s="28"/>
      <c r="H8" s="28"/>
      <c r="I8" s="28"/>
      <c r="J8" s="28"/>
      <c r="K8" s="29"/>
      <c r="L8" s="27"/>
      <c r="M8" s="28"/>
      <c r="N8" s="28"/>
      <c r="O8" s="28"/>
      <c r="P8" s="28"/>
      <c r="Q8" s="28"/>
      <c r="R8" s="28"/>
      <c r="S8" s="28"/>
      <c r="T8" s="28"/>
      <c r="U8" s="28"/>
      <c r="V8" s="28"/>
      <c r="W8" s="29"/>
    </row>
    <row r="9" spans="1:23">
      <c r="A9" s="27"/>
      <c r="B9" s="28"/>
      <c r="C9" s="28"/>
      <c r="D9" s="28"/>
      <c r="E9" s="29"/>
      <c r="F9" s="27"/>
      <c r="G9" s="28"/>
      <c r="H9" s="28"/>
      <c r="I9" s="28"/>
      <c r="J9" s="28"/>
      <c r="K9" s="29"/>
      <c r="L9" s="27"/>
      <c r="M9" s="28"/>
      <c r="N9" s="28"/>
      <c r="O9" s="28"/>
      <c r="P9" s="28"/>
      <c r="Q9" s="28"/>
      <c r="R9" s="28"/>
      <c r="S9" s="28"/>
      <c r="T9" s="28"/>
      <c r="U9" s="28"/>
      <c r="V9" s="28"/>
      <c r="W9" s="29"/>
    </row>
    <row r="10" spans="1:23">
      <c r="A10" s="27"/>
      <c r="B10" s="28"/>
      <c r="C10" s="28"/>
      <c r="D10" s="28"/>
      <c r="E10" s="29"/>
      <c r="F10" s="27"/>
      <c r="G10" s="28"/>
      <c r="H10" s="28"/>
      <c r="I10" s="28"/>
      <c r="J10" s="28"/>
      <c r="K10" s="29"/>
      <c r="L10" s="27"/>
      <c r="M10" s="28"/>
      <c r="N10" s="28"/>
      <c r="O10" s="28"/>
      <c r="P10" s="28"/>
      <c r="Q10" s="28"/>
      <c r="R10" s="28"/>
      <c r="S10" s="28"/>
      <c r="T10" s="28"/>
      <c r="U10" s="28"/>
      <c r="V10" s="28"/>
      <c r="W10" s="29"/>
    </row>
    <row r="13" spans="1:23">
      <c r="A13" s="41" t="s">
        <v>93</v>
      </c>
      <c r="B13" s="42"/>
      <c r="C13" s="42"/>
      <c r="D13" s="42"/>
      <c r="E13" s="42"/>
      <c r="F13" s="42"/>
      <c r="G13" s="42"/>
      <c r="H13" s="42"/>
      <c r="I13" s="42"/>
      <c r="J13" s="42"/>
      <c r="K13" s="42"/>
      <c r="L13" s="42"/>
      <c r="M13" s="42"/>
      <c r="N13" s="42"/>
      <c r="O13" s="42"/>
      <c r="P13" s="42"/>
      <c r="Q13" s="42"/>
      <c r="R13" s="42"/>
      <c r="S13" s="42"/>
      <c r="T13" s="42"/>
      <c r="U13" s="42"/>
      <c r="V13" s="42"/>
      <c r="W13" s="43"/>
    </row>
    <row r="14" spans="1:23">
      <c r="A14" s="27" t="s">
        <v>102</v>
      </c>
      <c r="B14" s="28"/>
      <c r="C14" s="28"/>
      <c r="D14" s="28"/>
      <c r="E14" s="29"/>
      <c r="F14" s="27" t="s">
        <v>104</v>
      </c>
      <c r="G14" s="28"/>
      <c r="H14" s="28"/>
      <c r="I14" s="28"/>
      <c r="J14" s="28"/>
      <c r="K14" s="29"/>
      <c r="L14" s="27" t="s">
        <v>94</v>
      </c>
      <c r="M14" s="28"/>
      <c r="N14" s="28"/>
      <c r="O14" s="28"/>
      <c r="P14" s="28"/>
      <c r="Q14" s="28"/>
      <c r="R14" s="28"/>
      <c r="S14" s="28"/>
      <c r="T14" s="28"/>
      <c r="U14" s="28"/>
      <c r="V14" s="28"/>
      <c r="W14" s="29"/>
    </row>
    <row r="15" spans="1:23">
      <c r="A15" s="74" t="s">
        <v>147</v>
      </c>
      <c r="B15" s="28"/>
      <c r="C15" s="28"/>
      <c r="D15" s="28"/>
      <c r="E15" s="29"/>
      <c r="F15" s="27" t="s">
        <v>145</v>
      </c>
      <c r="G15" s="28"/>
      <c r="H15" s="28"/>
      <c r="I15" s="28"/>
      <c r="J15" s="28"/>
      <c r="K15" s="29"/>
      <c r="L15" s="59" t="s">
        <v>146</v>
      </c>
      <c r="M15" s="28"/>
      <c r="N15" s="28"/>
      <c r="O15" s="28"/>
      <c r="P15" s="28"/>
      <c r="Q15" s="28"/>
      <c r="R15" s="28"/>
      <c r="S15" s="28"/>
      <c r="T15" s="28"/>
      <c r="U15" s="28"/>
      <c r="V15" s="28"/>
      <c r="W15" s="29"/>
    </row>
    <row r="23" spans="1:4">
      <c r="A23" s="60"/>
      <c r="B23" s="60"/>
      <c r="C23" s="60"/>
      <c r="D23" s="60"/>
    </row>
  </sheetData>
  <mergeCells count="1">
    <mergeCell ref="A23:D23"/>
  </mergeCells>
  <hyperlinks>
    <hyperlink ref="F2" r:id="rId1"/>
    <hyperlink ref="F3" r:id="rId2"/>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sheetPr codeName="Sheet1"/>
  <dimension ref="A1:AG105"/>
  <sheetViews>
    <sheetView topLeftCell="A13" workbookViewId="0">
      <selection activeCell="W44" sqref="W44"/>
    </sheetView>
  </sheetViews>
  <sheetFormatPr defaultRowHeight="12.75"/>
  <cols>
    <col min="1" max="1" width="20" style="3" bestFit="1" customWidth="1"/>
    <col min="2" max="33" width="6.28515625" style="3" customWidth="1"/>
    <col min="34" max="34" width="4.7109375" style="3" bestFit="1" customWidth="1"/>
    <col min="35" max="35" width="7.5703125" style="3" bestFit="1" customWidth="1"/>
    <col min="36" max="36" width="4.28515625" style="3" bestFit="1" customWidth="1"/>
    <col min="37" max="37" width="6" style="3" customWidth="1"/>
    <col min="38" max="38" width="5" style="3" bestFit="1" customWidth="1"/>
    <col min="39" max="16384" width="9.140625" style="3"/>
  </cols>
  <sheetData>
    <row r="1" spans="1:21">
      <c r="A1" s="14" t="s">
        <v>65</v>
      </c>
      <c r="B1" s="14"/>
      <c r="C1" s="14"/>
      <c r="D1" s="14"/>
      <c r="E1" s="14"/>
      <c r="F1" s="14"/>
      <c r="G1" s="14"/>
      <c r="H1" s="14"/>
      <c r="I1" s="14"/>
      <c r="L1" s="14"/>
      <c r="M1" s="14"/>
      <c r="N1" s="14"/>
      <c r="O1" s="14" t="s">
        <v>66</v>
      </c>
      <c r="P1" s="14"/>
      <c r="Q1" s="14"/>
      <c r="R1" s="14"/>
      <c r="S1" s="14"/>
      <c r="T1" s="14"/>
      <c r="U1" s="14"/>
    </row>
    <row r="20" spans="1:19">
      <c r="A20" s="14" t="s">
        <v>67</v>
      </c>
      <c r="B20" s="14"/>
      <c r="C20" s="14"/>
      <c r="D20" s="14"/>
      <c r="E20" s="14"/>
      <c r="F20" s="14"/>
      <c r="G20" s="14"/>
      <c r="H20" s="14"/>
      <c r="I20" s="14"/>
      <c r="J20" s="14"/>
      <c r="L20" s="14"/>
      <c r="M20" s="14"/>
      <c r="N20" s="14"/>
      <c r="O20" s="14" t="s">
        <v>68</v>
      </c>
      <c r="P20" s="14"/>
      <c r="Q20" s="14"/>
      <c r="R20" s="14"/>
      <c r="S20" s="14"/>
    </row>
    <row r="39" spans="1:11">
      <c r="A39" s="14" t="s">
        <v>69</v>
      </c>
      <c r="B39" s="14"/>
      <c r="C39" s="14"/>
      <c r="D39" s="14"/>
      <c r="E39" s="14"/>
      <c r="F39" s="14"/>
      <c r="G39" s="14"/>
      <c r="H39" s="14"/>
      <c r="I39" s="14"/>
      <c r="J39" s="14"/>
      <c r="K39" s="14"/>
    </row>
    <row r="58" spans="1:33">
      <c r="A58" s="13" t="s">
        <v>25</v>
      </c>
    </row>
    <row r="59" spans="1:33">
      <c r="A59" s="8" t="s">
        <v>23</v>
      </c>
      <c r="B59" s="26" t="s">
        <v>2</v>
      </c>
      <c r="C59" s="24"/>
      <c r="D59" s="24"/>
      <c r="E59" s="24"/>
      <c r="F59" s="24"/>
      <c r="G59" s="24"/>
      <c r="H59" s="25"/>
      <c r="I59" s="23" t="s">
        <v>3</v>
      </c>
      <c r="J59" s="24"/>
      <c r="K59" s="24"/>
      <c r="L59" s="24"/>
      <c r="M59" s="24"/>
      <c r="N59" s="24"/>
      <c r="O59" s="25"/>
      <c r="P59" s="23" t="s">
        <v>55</v>
      </c>
      <c r="Q59" s="24"/>
      <c r="R59" s="24"/>
      <c r="S59" s="24"/>
      <c r="T59" s="24"/>
      <c r="U59" s="24"/>
      <c r="V59" s="25"/>
      <c r="W59" s="23" t="s">
        <v>18</v>
      </c>
      <c r="X59" s="24"/>
      <c r="Y59" s="24"/>
      <c r="Z59" s="24"/>
      <c r="AA59" s="24"/>
      <c r="AB59" s="25"/>
      <c r="AC59" s="23" t="s">
        <v>7</v>
      </c>
      <c r="AD59" s="24"/>
      <c r="AE59" s="24"/>
      <c r="AF59" s="24"/>
      <c r="AG59" s="25"/>
    </row>
    <row r="60" spans="1:33">
      <c r="A60" s="8" t="s">
        <v>62</v>
      </c>
      <c r="B60" s="20" t="s">
        <v>1</v>
      </c>
      <c r="C60" s="21"/>
      <c r="D60" s="22"/>
      <c r="E60" s="68" t="s">
        <v>9</v>
      </c>
      <c r="F60" s="68" t="s">
        <v>10</v>
      </c>
      <c r="G60" s="68" t="s">
        <v>12</v>
      </c>
      <c r="H60" s="68" t="s">
        <v>63</v>
      </c>
      <c r="I60" s="20" t="s">
        <v>1</v>
      </c>
      <c r="J60" s="21"/>
      <c r="K60" s="22"/>
      <c r="L60" s="68" t="s">
        <v>9</v>
      </c>
      <c r="M60" s="68" t="s">
        <v>10</v>
      </c>
      <c r="N60" s="68" t="s">
        <v>12</v>
      </c>
      <c r="O60" s="68" t="s">
        <v>63</v>
      </c>
      <c r="P60" s="20" t="s">
        <v>1</v>
      </c>
      <c r="Q60" s="21"/>
      <c r="R60" s="22"/>
      <c r="S60" s="68" t="s">
        <v>64</v>
      </c>
      <c r="T60" s="68" t="s">
        <v>10</v>
      </c>
      <c r="U60" s="68" t="s">
        <v>12</v>
      </c>
      <c r="V60" s="68" t="s">
        <v>63</v>
      </c>
      <c r="W60" s="20" t="s">
        <v>1</v>
      </c>
      <c r="X60" s="21"/>
      <c r="Y60" s="22"/>
      <c r="Z60" s="68" t="s">
        <v>61</v>
      </c>
      <c r="AA60" s="68" t="s">
        <v>12</v>
      </c>
      <c r="AB60" s="68" t="s">
        <v>63</v>
      </c>
      <c r="AC60" s="20" t="s">
        <v>1</v>
      </c>
      <c r="AD60" s="21"/>
      <c r="AE60" s="22"/>
      <c r="AF60" s="68" t="s">
        <v>12</v>
      </c>
      <c r="AG60" s="68" t="s">
        <v>63</v>
      </c>
    </row>
    <row r="61" spans="1:33">
      <c r="A61" s="10" t="s">
        <v>24</v>
      </c>
      <c r="B61" s="12" t="s">
        <v>56</v>
      </c>
      <c r="C61" s="12" t="s">
        <v>58</v>
      </c>
      <c r="D61" s="12" t="s">
        <v>57</v>
      </c>
      <c r="E61" s="68"/>
      <c r="F61" s="68"/>
      <c r="G61" s="68"/>
      <c r="H61" s="68"/>
      <c r="I61" s="12" t="s">
        <v>56</v>
      </c>
      <c r="J61" s="12" t="s">
        <v>58</v>
      </c>
      <c r="K61" s="12" t="s">
        <v>57</v>
      </c>
      <c r="L61" s="68"/>
      <c r="M61" s="68"/>
      <c r="N61" s="68"/>
      <c r="O61" s="68"/>
      <c r="P61" s="12" t="s">
        <v>56</v>
      </c>
      <c r="Q61" s="12" t="s">
        <v>58</v>
      </c>
      <c r="R61" s="12" t="s">
        <v>57</v>
      </c>
      <c r="S61" s="68"/>
      <c r="T61" s="68"/>
      <c r="U61" s="68"/>
      <c r="V61" s="68"/>
      <c r="W61" s="12" t="s">
        <v>56</v>
      </c>
      <c r="X61" s="12" t="s">
        <v>58</v>
      </c>
      <c r="Y61" s="12" t="s">
        <v>57</v>
      </c>
      <c r="Z61" s="68"/>
      <c r="AA61" s="68"/>
      <c r="AB61" s="68"/>
      <c r="AC61" s="12" t="s">
        <v>56</v>
      </c>
      <c r="AD61" s="12" t="s">
        <v>58</v>
      </c>
      <c r="AE61" s="12" t="s">
        <v>57</v>
      </c>
      <c r="AF61" s="68"/>
      <c r="AG61" s="68"/>
    </row>
    <row r="62" spans="1:33">
      <c r="A62" s="9" t="s">
        <v>32</v>
      </c>
      <c r="B62" s="7">
        <f>COUNTIFS('R365'!$B:$B,"Auth",'R365'!$E:$E,"Issue",'R365'!$G:$G,"Open",'R365'!$F:$F,"High")</f>
        <v>2</v>
      </c>
      <c r="C62" s="7">
        <f>COUNTIFS('R365'!$B:$B,"Auth",'R365'!$E:$E,"Issue",'R365'!$G:$G,"Open",'R365'!$F:$F,"Medium")</f>
        <v>0</v>
      </c>
      <c r="D62" s="7">
        <f>COUNTIFS('R365'!$B:$B,"Auth",'R365'!$E:$E,"Issue",'R365'!$G:$G,"Open",'R365'!$F:$F,"Low")</f>
        <v>0</v>
      </c>
      <c r="E62" s="7">
        <f>COUNTIFS('R365'!$B:$B,"Auth",'R365'!$E:$E,"Issue",'R365'!$G:$G,"Fixed")</f>
        <v>0</v>
      </c>
      <c r="F62" s="7">
        <f>COUNTIFS('R365'!$B:$B,"Auth",'R365'!$E:$E,"Issue",'R365'!$G:$G,"Closed")</f>
        <v>0</v>
      </c>
      <c r="G62" s="7">
        <f>COUNTIFS('R365'!$B:$B,"Auth",'R365'!$E:$E,"Issue",'R365'!$G:$G,"Invalid")</f>
        <v>0</v>
      </c>
      <c r="H62" s="11">
        <f>SUM(B62:G62)</f>
        <v>2</v>
      </c>
      <c r="I62" s="7">
        <f>COUNTIFS('R365'!$B:$B,"Auth",'R365'!$E:$E,"Bug",'R365'!$G:$G,"Open",'R365'!$F:$F,"High")</f>
        <v>0</v>
      </c>
      <c r="J62" s="7">
        <f>COUNTIFS('R365'!$B:$B,"Auth",'R365'!$E:$E,"Bug",'R365'!$G:$G,"Open",'R365'!$F:$F,"Medium")</f>
        <v>0</v>
      </c>
      <c r="K62" s="7">
        <f>COUNTIFS('R365'!$B:$B,"Auth",'R365'!$E:$E,"Bug",'R365'!$G:$G,"Open",'R365'!$F:$F,"Low")</f>
        <v>0</v>
      </c>
      <c r="L62" s="7">
        <f>COUNTIFS('R365'!$B:$B,"Auth",'R365'!$E:$E,"Bug",'R365'!$G:$G,"Fixed")</f>
        <v>0</v>
      </c>
      <c r="M62" s="7">
        <f>COUNTIFS('R365'!$B:$B,"Auth",'R365'!$E:$E,"Bug",'R365'!$G:$G,"Closed")</f>
        <v>0</v>
      </c>
      <c r="N62" s="7">
        <f>COUNTIFS('R365'!$B:$B,"Auth",'R365'!$E:$E,"Bug",'R365'!$G:$G,"Invalid")</f>
        <v>0</v>
      </c>
      <c r="O62" s="11">
        <f>SUM(I62:N62)</f>
        <v>0</v>
      </c>
      <c r="P62" s="7">
        <f>COUNTIFS('R365'!$B:$B,"Auth",'R365'!$E:$E,"Enhancement",'R365'!$G:$G,"Open",'R365'!$F:$F,"High")</f>
        <v>0</v>
      </c>
      <c r="Q62" s="7">
        <f>COUNTIFS('R365'!$B:$B,"Auth",'R365'!$E:$E,"Enhancement",'R365'!$G:$G,"Open",'R365'!$F:$F,"Medium")</f>
        <v>3</v>
      </c>
      <c r="R62" s="7">
        <f>COUNTIFS('R365'!$B:$B,"Auth",'R365'!$E:$E,"Enhancement",'R365'!$G:$G,"Open",'R365'!$F:$F,"Low")</f>
        <v>0</v>
      </c>
      <c r="S62" s="7">
        <f>COUNTIFS('R365'!$B:$B,"Auth",'R365'!$E:$E,"Enhancement",'R365'!$G:$G,"Enhanced")</f>
        <v>0</v>
      </c>
      <c r="T62" s="7">
        <f>COUNTIFS('R365'!$B:$B,"Auth",'R365'!$E:$E,"Enhancement",'R365'!$G:$G,"Closed")</f>
        <v>0</v>
      </c>
      <c r="U62" s="7">
        <f>COUNTIFS('R365'!$B:$B,"Auth",'R365'!$E:$E,"Enhancement",'R365'!$G:$G,"Invalid")</f>
        <v>0</v>
      </c>
      <c r="V62" s="11">
        <f>SUM(P62:U62)</f>
        <v>3</v>
      </c>
      <c r="W62" s="7">
        <f>COUNTIFS('R365'!$B:$B,"Auth",'R365'!$E:$E,"Clarification",'R365'!$G:$G,"Open",'R365'!$F:$F,"High")</f>
        <v>0</v>
      </c>
      <c r="X62" s="7">
        <f>COUNTIFS('R365'!$B:$B,"Auth",'R365'!$E:$E,"Clarification",'R365'!$G:$G,"Open",'R365'!$F:$F,"Medium")</f>
        <v>0</v>
      </c>
      <c r="Y62" s="7">
        <f>COUNTIFS('R365'!$B:$B,"Auth",'R365'!$E:$E,"Clarification",'R365'!$G:$G,"Open",'R365'!$F:$F,"Low")</f>
        <v>0</v>
      </c>
      <c r="Z62" s="7">
        <f>COUNTIFS('R365'!$B:$B,"Auth",'R365'!$E:$E,"Clarification",'R365'!$G:$G,"Clarified")</f>
        <v>0</v>
      </c>
      <c r="AA62" s="7">
        <f>COUNTIFS('R365'!$B:$B,"Auth",'R365'!$E:$E,"Clarification",'R365'!$G:$G,"Invalid")</f>
        <v>0</v>
      </c>
      <c r="AB62" s="11">
        <f>SUM(W62:AA62)</f>
        <v>0</v>
      </c>
      <c r="AC62" s="7">
        <f>COUNTIFS('R365'!$B:$B,"Auth",'R365'!$E:$E,"CR",'R365'!$G:$G,"Open",'R365'!$F:$F,"High")</f>
        <v>0</v>
      </c>
      <c r="AD62" s="7">
        <f>COUNTIFS('R365'!$B:$B,"Auth",'R365'!$E:$E,"CR",'R365'!$G:$G,"Open",'R365'!$F:$F,"Medium")</f>
        <v>0</v>
      </c>
      <c r="AE62" s="7">
        <f>COUNTIFS('R365'!$B:$B,"Auth",'R365'!$E:$E,"CR",'R365'!$G:$G,"Open",'R365'!$F:$F,"Low")</f>
        <v>0</v>
      </c>
      <c r="AF62" s="7">
        <f>COUNTIFS('R365'!$B:$B,"Auth",'R365'!$E:$E,"CR",'R365'!$G:$G,"Invalid")</f>
        <v>0</v>
      </c>
      <c r="AG62" s="11">
        <f>SUM(AC62:AF62)</f>
        <v>0</v>
      </c>
    </row>
    <row r="63" spans="1:33">
      <c r="A63" s="9" t="s">
        <v>54</v>
      </c>
      <c r="B63" s="7">
        <f>COUNTIFS('R365'!$B:$B,"UserGroup",'R365'!$E:$E,"Issue",'R365'!$G:$G,"Open",'R365'!$F:$F,"High")</f>
        <v>0</v>
      </c>
      <c r="C63" s="7">
        <f>COUNTIFS('R365'!$B:$B,"UserGroup",'R365'!$E:$E,"Issue",'R365'!$G:$G,"Open",'R365'!$F:$F,"Medium")</f>
        <v>0</v>
      </c>
      <c r="D63" s="7">
        <f>COUNTIFS('R365'!$B:$B,"UserGroup",'R365'!$E:$E,"Issue",'R365'!$G:$G,"Open",'R365'!$F:$F,"Low")</f>
        <v>0</v>
      </c>
      <c r="E63" s="7">
        <f>COUNTIFS('R365'!$B:$B,"UserGroup",'R365'!$E:$E,"Issue",'R365'!$G:$G,"Fixed")</f>
        <v>0</v>
      </c>
      <c r="F63" s="7">
        <f>COUNTIFS('R365'!$B:$B,"UserGroup",'R365'!$E:$E,"Issue",'R365'!$G:$G,"Closed")</f>
        <v>0</v>
      </c>
      <c r="G63" s="7">
        <f>COUNTIFS('R365'!$B:$B,"UserGroup",'R365'!$E:$E,"Issue",'R365'!$G:$G,"Invalid")</f>
        <v>0</v>
      </c>
      <c r="H63" s="11">
        <f t="shared" ref="H63:H72" si="0">SUM(B63:G63)</f>
        <v>0</v>
      </c>
      <c r="I63" s="7">
        <f>COUNTIFS('R365'!$B:$B,"UserGroup",'R365'!$E:$E,"Bug",'R365'!$G:$G,"Open",'R365'!$F:$F,"High")</f>
        <v>0</v>
      </c>
      <c r="J63" s="7">
        <f>COUNTIFS('R365'!$B:$B,"UserGroup",'R365'!$E:$E,"Bug",'R365'!$G:$G,"Open",'R365'!$F:$F,"Medium")</f>
        <v>0</v>
      </c>
      <c r="K63" s="7">
        <f>COUNTIFS('R365'!$B:$B,"UserGroup",'R365'!$E:$E,"Bug",'R365'!$G:$G,"Open",'R365'!$F:$F,"Low")</f>
        <v>0</v>
      </c>
      <c r="L63" s="7">
        <f>COUNTIFS('R365'!$B:$B,"UserGroup",'R365'!$E:$E,"Bug",'R365'!$G:$G,"Fixed")</f>
        <v>0</v>
      </c>
      <c r="M63" s="7">
        <f>COUNTIFS('R365'!$B:$B,"UserGroup",'R365'!$E:$E,"Bug",'R365'!$G:$G,"Closed")</f>
        <v>0</v>
      </c>
      <c r="N63" s="7">
        <f>COUNTIFS('R365'!$B:$B,"UserGroup",'R365'!$E:$E,"Bug",'R365'!$G:$G,"Invalid")</f>
        <v>0</v>
      </c>
      <c r="O63" s="11">
        <f t="shared" ref="O63:O72" si="1">SUM(I63:N63)</f>
        <v>0</v>
      </c>
      <c r="P63" s="7">
        <f>COUNTIFS('R365'!$B:$B,"UserGroup",'R365'!$E:$E,"Enhancement",'R365'!$G:$G,"Open",'R365'!$F:$F,"High")</f>
        <v>0</v>
      </c>
      <c r="Q63" s="7">
        <f>COUNTIFS('R365'!$B:$B,"UserGroup",'R365'!$E:$E,"Enhancement",'R365'!$G:$G,"Open",'R365'!$F:$F,"Medium")</f>
        <v>0</v>
      </c>
      <c r="R63" s="7">
        <f>COUNTIFS('R365'!$B:$B,"UserGroup",'R365'!$E:$E,"Enhancement",'R365'!$G:$G,"Open",'R365'!$F:$F,"Low")</f>
        <v>0</v>
      </c>
      <c r="S63" s="7">
        <f>COUNTIFS('R365'!$B:$B,"UserGroup",'R365'!$E:$E,"Enhancement",'R365'!$G:$G,"Enhanced")</f>
        <v>0</v>
      </c>
      <c r="T63" s="7">
        <f>COUNTIFS('R365'!$B:$B,"UserGroup",'R365'!$E:$E,"Enhancement",'R365'!$G:$G,"Closed")</f>
        <v>0</v>
      </c>
      <c r="U63" s="7">
        <f>COUNTIFS('R365'!$B:$B,"UserGroup",'R365'!$E:$E,"Enhancement",'R365'!$G:$G,"Invalid")</f>
        <v>0</v>
      </c>
      <c r="V63" s="11">
        <f t="shared" ref="V63:V72" si="2">SUM(P63:U63)</f>
        <v>0</v>
      </c>
      <c r="W63" s="7">
        <f>COUNTIFS('R365'!$B:$B,"UserGroup",'R365'!$E:$E,"Clarification",'R365'!$G:$G,"Open",'R365'!$F:$F,"High")</f>
        <v>0</v>
      </c>
      <c r="X63" s="7">
        <f>COUNTIFS('R365'!$B:$B,"UserGroup",'R365'!$E:$E,"Clarification",'R365'!$G:$G,"Open",'R365'!$F:$F,"Medium")</f>
        <v>0</v>
      </c>
      <c r="Y63" s="7">
        <f>COUNTIFS('R365'!$B:$B,"UserGroup",'R365'!$E:$E,"Clarification",'R365'!$G:$G,"Open",'R365'!$F:$F,"Low")</f>
        <v>0</v>
      </c>
      <c r="Z63" s="7">
        <f>COUNTIFS('R365'!$B:$B,"UserGroup",'R365'!$E:$E,"Clarification",'R365'!$G:$G,"Clarified")</f>
        <v>0</v>
      </c>
      <c r="AA63" s="7">
        <f>COUNTIFS('R365'!$B:$B,"UserGroup",'R365'!$E:$E,"Clarification",'R365'!$G:$G,"Invalid")</f>
        <v>0</v>
      </c>
      <c r="AB63" s="11">
        <f t="shared" ref="AB63:AB72" si="3">SUM(W63:AA63)</f>
        <v>0</v>
      </c>
      <c r="AC63" s="7">
        <f>COUNTIFS('R365'!$B:$B,"UserGroup",'R365'!$E:$E,"CR",'R365'!$G:$G,"Open",'R365'!$F:$F,"High")</f>
        <v>0</v>
      </c>
      <c r="AD63" s="7">
        <f>COUNTIFS('R365'!$B:$B,"UserGroup",'R365'!$E:$E,"CR",'R365'!$G:$G,"Open",'R365'!$F:$F,"Medium")</f>
        <v>0</v>
      </c>
      <c r="AE63" s="7">
        <f>COUNTIFS('R365'!$B:$B,"UserGroup",'R365'!$E:$E,"CR",'R365'!$G:$G,"Open",'R365'!$F:$F,"Low")</f>
        <v>0</v>
      </c>
      <c r="AF63" s="7">
        <f>COUNTIFS('R365'!$B:$B,"UserGroup",'R365'!$E:$E,"CR",'R365'!$G:$G,"Invalid")</f>
        <v>0</v>
      </c>
      <c r="AG63" s="11">
        <f t="shared" ref="AG63:AG72" si="4">SUM(AC63:AF63)</f>
        <v>0</v>
      </c>
    </row>
    <row r="64" spans="1:33">
      <c r="A64" s="9" t="s">
        <v>26</v>
      </c>
      <c r="B64" s="7">
        <f>COUNTIFS('R365'!$B:$B,"Contract",'R365'!$E:$E,"Issue",'R365'!$G:$G,"Open",'R365'!$F:$F,"High")</f>
        <v>4</v>
      </c>
      <c r="C64" s="7">
        <f>COUNTIFS('R365'!$B:$B,"Contract",'R365'!$E:$E,"Issue",'R365'!$G:$G,"Open",'R365'!$F:$F,"Medium")</f>
        <v>8</v>
      </c>
      <c r="D64" s="7">
        <f>COUNTIFS('R365'!$B:$B,"Contract",'R365'!$E:$E,"Issue",'R365'!$G:$G,"Open",'R365'!$F:$F,"Low")</f>
        <v>0</v>
      </c>
      <c r="E64" s="7">
        <f>COUNTIFS('R365'!$B:$B,"Contract",'R365'!$E:$E,"Issue",'R365'!$G:$G,"Fixed")</f>
        <v>0</v>
      </c>
      <c r="F64" s="7">
        <f>COUNTIFS('R365'!$B:$B,"Contract",'R365'!$E:$E,"Issue",'R365'!$G:$G,"Closed")</f>
        <v>0</v>
      </c>
      <c r="G64" s="7">
        <f>COUNTIFS('R365'!$B:$B,"Contract",'R365'!$E:$E,"Issue",'R365'!$G:$G,"Invalid")</f>
        <v>0</v>
      </c>
      <c r="H64" s="11">
        <f t="shared" si="0"/>
        <v>12</v>
      </c>
      <c r="I64" s="7">
        <f>COUNTIFS('R365'!$B:$B,"Contract",'R365'!$E:$E,"Bug",'R365'!$G:$G,"Open",'R365'!$F:$F,"High")</f>
        <v>6</v>
      </c>
      <c r="J64" s="7">
        <f>COUNTIFS('R365'!$B:$B,"Contract",'R365'!$E:$E,"Bug",'R365'!$G:$G,"Open",'R365'!$F:$F,"Medium")</f>
        <v>0</v>
      </c>
      <c r="K64" s="7">
        <f>COUNTIFS('R365'!$B:$B,"Contract",'R365'!$E:$E,"Bug",'R365'!$G:$G,"Open",'R365'!$F:$F,"Low")</f>
        <v>0</v>
      </c>
      <c r="L64" s="7">
        <f>COUNTIFS('R365'!$B:$B,"Contract",'R365'!$E:$E,"Bug",'R365'!$G:$G,"Fixed")</f>
        <v>0</v>
      </c>
      <c r="M64" s="7">
        <f>COUNTIFS('R365'!$B:$B,"Contract",'R365'!$E:$E,"Bug",'R365'!$G:$G,"Closed")</f>
        <v>0</v>
      </c>
      <c r="N64" s="7">
        <f>COUNTIFS('R365'!$B:$B,"Contract",'R365'!$E:$E,"Bug",'R365'!$G:$G,"Invalid")</f>
        <v>0</v>
      </c>
      <c r="O64" s="11">
        <f t="shared" si="1"/>
        <v>6</v>
      </c>
      <c r="P64" s="7">
        <f>COUNTIFS('R365'!$B:$B,"Contract",'R365'!$E:$E,"Enhancement",'R365'!$G:$G,"Open",'R365'!$F:$F,"High")</f>
        <v>0</v>
      </c>
      <c r="Q64" s="7">
        <f>COUNTIFS('R365'!$B:$B,"Contract",'R365'!$E:$E,"Enhancement",'R365'!$G:$G,"Open",'R365'!$F:$F,"Medium")</f>
        <v>3</v>
      </c>
      <c r="R64" s="7">
        <f>COUNTIFS('R365'!$B:$B,"Contract",'R365'!$E:$E,"Enhancement",'R365'!$G:$G,"Open",'R365'!$F:$F,"Low")</f>
        <v>0</v>
      </c>
      <c r="S64" s="7">
        <f>COUNTIFS('R365'!$B:$B,"Contract",'R365'!$E:$E,"Enhancement",'R365'!$G:$G,"Enhanced")</f>
        <v>0</v>
      </c>
      <c r="T64" s="7">
        <f>COUNTIFS('R365'!$B:$B,"Contract",'R365'!$E:$E,"Enhancement",'R365'!$G:$G,"Closed")</f>
        <v>0</v>
      </c>
      <c r="U64" s="7">
        <f>COUNTIFS('R365'!$B:$B,"Contract",'R365'!$E:$E,"Enhancement",'R365'!$G:$G,"Invalid")</f>
        <v>0</v>
      </c>
      <c r="V64" s="11">
        <f t="shared" si="2"/>
        <v>3</v>
      </c>
      <c r="W64" s="7">
        <f>COUNTIFS('R365'!$B:$B,"Contract",'R365'!$E:$E,"Clarification",'R365'!$G:$G,"Open",'R365'!$F:$F,"High")</f>
        <v>0</v>
      </c>
      <c r="X64" s="7">
        <f>COUNTIFS('R365'!$B:$B,"Contract",'R365'!$E:$E,"Clarification",'R365'!$G:$G,"Open",'R365'!$F:$F,"Medium")</f>
        <v>0</v>
      </c>
      <c r="Y64" s="7">
        <f>COUNTIFS('R365'!$B:$B,"Contract",'R365'!$E:$E,"Clarification",'R365'!$G:$G,"Open",'R365'!$F:$F,"Low")</f>
        <v>0</v>
      </c>
      <c r="Z64" s="7">
        <f>COUNTIFS('R365'!$B:$B,"Contract",'R365'!$E:$E,"Clarification",'R365'!$G:$G,"Clarified")</f>
        <v>0</v>
      </c>
      <c r="AA64" s="7">
        <f>COUNTIFS('R365'!$B:$B,"Contract",'R365'!$E:$E,"Clarification",'R365'!$G:$G,"Invalid")</f>
        <v>0</v>
      </c>
      <c r="AB64" s="11">
        <f t="shared" si="3"/>
        <v>0</v>
      </c>
      <c r="AC64" s="7">
        <f>COUNTIFS('R365'!$B:$B,"Contract",'R365'!$E:$E,"CR",'R365'!$G:$G,"Open",'R365'!$F:$F,"High")</f>
        <v>0</v>
      </c>
      <c r="AD64" s="7">
        <f>COUNTIFS('R365'!$B:$B,"Contract",'R365'!$E:$E,"CR",'R365'!$G:$G,"Open",'R365'!$F:$F,"Medium")</f>
        <v>0</v>
      </c>
      <c r="AE64" s="7">
        <f>COUNTIFS('R365'!$B:$B,"Contract",'R365'!$E:$E,"CR",'R365'!$G:$G,"Open",'R365'!$F:$F,"Low")</f>
        <v>0</v>
      </c>
      <c r="AF64" s="7">
        <f>COUNTIFS('R365'!$B:$B,"Contract",'R365'!$E:$E,"CR",'R365'!$G:$G,"Invalid")</f>
        <v>0</v>
      </c>
      <c r="AG64" s="11">
        <f t="shared" si="4"/>
        <v>0</v>
      </c>
    </row>
    <row r="65" spans="1:33">
      <c r="A65" s="9" t="s">
        <v>27</v>
      </c>
      <c r="B65" s="7">
        <f>COUNTIFS('R365'!$B:$B,"Asset",'R365'!$E:$E,"Issue",'R365'!$G:$G,"Open",'R365'!$F:$F,"High")</f>
        <v>0</v>
      </c>
      <c r="C65" s="7">
        <f>COUNTIFS('R365'!$B:$B,"Asset",'R365'!$E:$E,"Issue",'R365'!$G:$G,"Open",'R365'!$F:$F,"Medium")</f>
        <v>0</v>
      </c>
      <c r="D65" s="7">
        <f>COUNTIFS('R365'!$B:$B,"Asset",'R365'!$E:$E,"Issue",'R365'!$G:$G,"Open",'R365'!$F:$F,"Low")</f>
        <v>0</v>
      </c>
      <c r="E65" s="7">
        <f>COUNTIFS('R365'!$B:$B,"Asset",'R365'!$E:$E,"Issue",'R365'!$G:$G,"Fixed")</f>
        <v>0</v>
      </c>
      <c r="F65" s="7">
        <f>COUNTIFS('R365'!$B:$B,"Asset",'R365'!$E:$E,"Issue",'R365'!$G:$G,"Closed")</f>
        <v>0</v>
      </c>
      <c r="G65" s="7">
        <f>COUNTIFS('R365'!$B:$B,"Asset",'R365'!$E:$E,"Issue",'R365'!$G:$G,"Invalid")</f>
        <v>0</v>
      </c>
      <c r="H65" s="11">
        <f t="shared" si="0"/>
        <v>0</v>
      </c>
      <c r="I65" s="7">
        <f>COUNTIFS('R365'!$B:$B,"Asset",'R365'!$E:$E,"Bug",'R365'!$G:$G,"Open",'R365'!$F:$F,"High")</f>
        <v>0</v>
      </c>
      <c r="J65" s="7">
        <f>COUNTIFS('R365'!$B:$B,"Asset",'R365'!$E:$E,"Bug",'R365'!$G:$G,"Open",'R365'!$F:$F,"Medium")</f>
        <v>0</v>
      </c>
      <c r="K65" s="7">
        <f>COUNTIFS('R365'!$B:$B,"Asset",'R365'!$E:$E,"Bug",'R365'!$G:$G,"Open",'R365'!$F:$F,"Low")</f>
        <v>0</v>
      </c>
      <c r="L65" s="7">
        <f>COUNTIFS('R365'!$B:$B,"Asset",'R365'!$E:$E,"Bug",'R365'!$G:$G,"Fixed")</f>
        <v>0</v>
      </c>
      <c r="M65" s="7">
        <f>COUNTIFS('R365'!$B:$B,"Asset",'R365'!$E:$E,"Bug",'R365'!$G:$G,"Closed")</f>
        <v>0</v>
      </c>
      <c r="N65" s="7">
        <f>COUNTIFS('R365'!$B:$B,"Asset",'R365'!$E:$E,"Bug",'R365'!$G:$G,"Invalid")</f>
        <v>0</v>
      </c>
      <c r="O65" s="11">
        <f t="shared" si="1"/>
        <v>0</v>
      </c>
      <c r="P65" s="7">
        <f>COUNTIFS('R365'!$B:$B,"Asset",'R365'!$E:$E,"Enhancement",'R365'!$G:$G,"Open",'R365'!$F:$F,"High")</f>
        <v>0</v>
      </c>
      <c r="Q65" s="7">
        <f>COUNTIFS('R365'!$B:$B,"Asset",'R365'!$E:$E,"Enhancement",'R365'!$G:$G,"Open",'R365'!$F:$F,"Medium")</f>
        <v>0</v>
      </c>
      <c r="R65" s="7">
        <f>COUNTIFS('R365'!$B:$B,"Asset",'R365'!$E:$E,"Enhancement",'R365'!$G:$G,"Open",'R365'!$F:$F,"Low")</f>
        <v>0</v>
      </c>
      <c r="S65" s="7">
        <f>COUNTIFS('R365'!$B:$B,"Asset",'R365'!$E:$E,"Enhancement",'R365'!$G:$G,"Enhanced")</f>
        <v>0</v>
      </c>
      <c r="T65" s="7">
        <f>COUNTIFS('R365'!$B:$B,"Asset",'R365'!$E:$E,"Enhancement",'R365'!$G:$G,"Closed")</f>
        <v>0</v>
      </c>
      <c r="U65" s="7">
        <f>COUNTIFS('R365'!$B:$B,"Asset",'R365'!$E:$E,"Enhancement",'R365'!$G:$G,"Invalid")</f>
        <v>0</v>
      </c>
      <c r="V65" s="11">
        <f t="shared" si="2"/>
        <v>0</v>
      </c>
      <c r="W65" s="7">
        <f>COUNTIFS('R365'!$B:$B,"Asset",'R365'!$E:$E,"Clarification",'R365'!$G:$G,"Open",'R365'!$F:$F,"High")</f>
        <v>0</v>
      </c>
      <c r="X65" s="7">
        <f>COUNTIFS('R365'!$B:$B,"Asset",'R365'!$E:$E,"Clarification",'R365'!$G:$G,"Open",'R365'!$F:$F,"Medium")</f>
        <v>0</v>
      </c>
      <c r="Y65" s="7">
        <f>COUNTIFS('R365'!$B:$B,"Asset",'R365'!$E:$E,"Clarification",'R365'!$G:$G,"Open",'R365'!$F:$F,"Low")</f>
        <v>0</v>
      </c>
      <c r="Z65" s="7">
        <f>COUNTIFS('R365'!$B:$B,"Asset",'R365'!$E:$E,"Clarification",'R365'!$G:$G,"Clarified")</f>
        <v>0</v>
      </c>
      <c r="AA65" s="7">
        <f>COUNTIFS('R365'!$B:$B,"Asset",'R365'!$E:$E,"Clarification",'R365'!$G:$G,"Invalid")</f>
        <v>0</v>
      </c>
      <c r="AB65" s="11">
        <f t="shared" si="3"/>
        <v>0</v>
      </c>
      <c r="AC65" s="7">
        <f>COUNTIFS('R365'!$B:$B,"Asset",'R365'!$E:$E,"CR",'R365'!$G:$G,"Open",'R365'!$F:$F,"High")</f>
        <v>0</v>
      </c>
      <c r="AD65" s="7">
        <f>COUNTIFS('R365'!$B:$B,"Asset",'R365'!$E:$E,"CR",'R365'!$G:$G,"Open",'R365'!$F:$F,"Medium")</f>
        <v>0</v>
      </c>
      <c r="AE65" s="7">
        <f>COUNTIFS('R365'!$B:$B,"Asset",'R365'!$E:$E,"CR",'R365'!$G:$G,"Open",'R365'!$F:$F,"Low")</f>
        <v>0</v>
      </c>
      <c r="AF65" s="7">
        <f>COUNTIFS('R365'!$B:$B,"Asset",'R365'!$E:$E,"CR",'R365'!$G:$G,"Invalid")</f>
        <v>0</v>
      </c>
      <c r="AG65" s="11">
        <f t="shared" si="4"/>
        <v>0</v>
      </c>
    </row>
    <row r="66" spans="1:33">
      <c r="A66" s="9" t="s">
        <v>28</v>
      </c>
      <c r="B66" s="7">
        <f>COUNTIFS('R365'!$B:$B,"Staff",'R365'!$E:$E,"Issue",'R365'!$G:$G,"Open",'R365'!$F:$F,"High")</f>
        <v>0</v>
      </c>
      <c r="C66" s="7">
        <f>COUNTIFS('R365'!$B:$B,"Staff",'R365'!$E:$E,"Issue",'R365'!$G:$G,"Open",'R365'!$F:$F,"Medium")</f>
        <v>0</v>
      </c>
      <c r="D66" s="7">
        <f>COUNTIFS('R365'!$B:$B,"Staff",'R365'!$E:$E,"Issue",'R365'!$G:$G,"Open",'R365'!$F:$F,"Low")</f>
        <v>0</v>
      </c>
      <c r="E66" s="7">
        <f>COUNTIFS('R365'!$B:$B,"Staff",'R365'!$E:$E,"Issue",'R365'!$G:$G,"Fixed")</f>
        <v>0</v>
      </c>
      <c r="F66" s="7">
        <f>COUNTIFS('R365'!$B:$B,"Staff",'R365'!$E:$E,"Issue",'R365'!$G:$G,"Closed")</f>
        <v>0</v>
      </c>
      <c r="G66" s="7">
        <f>COUNTIFS('R365'!$B:$B,"Staff",'R365'!$E:$E,"Issue",'R365'!$G:$G,"Invalid")</f>
        <v>0</v>
      </c>
      <c r="H66" s="11">
        <f t="shared" si="0"/>
        <v>0</v>
      </c>
      <c r="I66" s="7">
        <f>COUNTIFS('R365'!$B:$B,"Staff",'R365'!$E:$E,"Bug",'R365'!$G:$G,"Open",'R365'!$F:$F,"High")</f>
        <v>0</v>
      </c>
      <c r="J66" s="7">
        <f>COUNTIFS('R365'!$B:$B,"Staff",'R365'!$E:$E,"Bug",'R365'!$G:$G,"Open",'R365'!$F:$F,"Medium")</f>
        <v>0</v>
      </c>
      <c r="K66" s="7">
        <f>COUNTIFS('R365'!$B:$B,"Staff",'R365'!$E:$E,"Bug",'R365'!$G:$G,"Open",'R365'!$F:$F,"Low")</f>
        <v>0</v>
      </c>
      <c r="L66" s="7">
        <f>COUNTIFS('R365'!$B:$B,"Staff",'R365'!$E:$E,"Bug",'R365'!$G:$G,"Fixed")</f>
        <v>0</v>
      </c>
      <c r="M66" s="7">
        <f>COUNTIFS('R365'!$B:$B,"Staff",'R365'!$E:$E,"Bug",'R365'!$G:$G,"Closed")</f>
        <v>0</v>
      </c>
      <c r="N66" s="7">
        <f>COUNTIFS('R365'!$B:$B,"Staff",'R365'!$E:$E,"Bug",'R365'!$G:$G,"Invalid")</f>
        <v>0</v>
      </c>
      <c r="O66" s="11">
        <f t="shared" si="1"/>
        <v>0</v>
      </c>
      <c r="P66" s="7">
        <f>COUNTIFS('R365'!$B:$B,"Staff",'R365'!$E:$E,"Enhancement",'R365'!$G:$G,"Open",'R365'!$F:$F,"High")</f>
        <v>0</v>
      </c>
      <c r="Q66" s="7">
        <f>COUNTIFS('R365'!$B:$B,"Staff",'R365'!$E:$E,"Enhancement",'R365'!$G:$G,"Open",'R365'!$F:$F,"Medium")</f>
        <v>0</v>
      </c>
      <c r="R66" s="7">
        <f>COUNTIFS('R365'!$B:$B,"Staff",'R365'!$E:$E,"Enhancement",'R365'!$G:$G,"Open",'R365'!$F:$F,"Low")</f>
        <v>0</v>
      </c>
      <c r="S66" s="7">
        <f>COUNTIFS('R365'!$B:$B,"Staff",'R365'!$E:$E,"Enhancement",'R365'!$G:$G,"Enhanced")</f>
        <v>0</v>
      </c>
      <c r="T66" s="7">
        <f>COUNTIFS('R365'!$B:$B,"Staff",'R365'!$E:$E,"Enhancement",'R365'!$G:$G,"Closed")</f>
        <v>0</v>
      </c>
      <c r="U66" s="7">
        <f>COUNTIFS('R365'!$B:$B,"Staff",'R365'!$E:$E,"Enhancement",'R365'!$G:$G,"Invalid")</f>
        <v>0</v>
      </c>
      <c r="V66" s="11">
        <f t="shared" si="2"/>
        <v>0</v>
      </c>
      <c r="W66" s="7">
        <f>COUNTIFS('R365'!$B:$B,"Staff",'R365'!$E:$E,"Clarification",'R365'!$G:$G,"Open",'R365'!$F:$F,"High")</f>
        <v>0</v>
      </c>
      <c r="X66" s="7">
        <f>COUNTIFS('R365'!$B:$B,"Staff",'R365'!$E:$E,"Clarification",'R365'!$G:$G,"Open",'R365'!$F:$F,"Medium")</f>
        <v>0</v>
      </c>
      <c r="Y66" s="7">
        <f>COUNTIFS('R365'!$B:$B,"Staff",'R365'!$E:$E,"Clarification",'R365'!$G:$G,"Open",'R365'!$F:$F,"Low")</f>
        <v>0</v>
      </c>
      <c r="Z66" s="7">
        <f>COUNTIFS('R365'!$B:$B,"Staff",'R365'!$E:$E,"Clarification",'R365'!$G:$G,"Clarified")</f>
        <v>0</v>
      </c>
      <c r="AA66" s="7">
        <f>COUNTIFS('R365'!$B:$B,"Staff",'R365'!$E:$E,"Clarification",'R365'!$G:$G,"Invalid")</f>
        <v>0</v>
      </c>
      <c r="AB66" s="11">
        <f t="shared" si="3"/>
        <v>0</v>
      </c>
      <c r="AC66" s="7">
        <f>COUNTIFS('R365'!$B:$B,"Staff",'R365'!$E:$E,"CR",'R365'!$G:$G,"Open",'R365'!$F:$F,"High")</f>
        <v>0</v>
      </c>
      <c r="AD66" s="7">
        <f>COUNTIFS('R365'!$B:$B,"Staff",'R365'!$E:$E,"CR",'R365'!$G:$G,"Open",'R365'!$F:$F,"Medium")</f>
        <v>0</v>
      </c>
      <c r="AE66" s="7">
        <f>COUNTIFS('R365'!$B:$B,"Staff",'R365'!$E:$E,"CR",'R365'!$G:$G,"Open",'R365'!$F:$F,"Low")</f>
        <v>0</v>
      </c>
      <c r="AF66" s="7">
        <f>COUNTIFS('R365'!$B:$B,"Staff",'R365'!$E:$E,"CR",'R365'!$G:$G,"Invalid")</f>
        <v>0</v>
      </c>
      <c r="AG66" s="11">
        <f t="shared" si="4"/>
        <v>0</v>
      </c>
    </row>
    <row r="67" spans="1:33">
      <c r="A67" s="9" t="s">
        <v>29</v>
      </c>
      <c r="B67" s="7">
        <f>COUNTIFS('R365'!$B:$B,"Settings",'R365'!$E:$E,"Issue",'R365'!$G:$G,"Open",'R365'!$F:$F,"High")</f>
        <v>0</v>
      </c>
      <c r="C67" s="7">
        <f>COUNTIFS('R365'!$B:$B,"Settings",'R365'!$E:$E,"Issue",'R365'!$G:$G,"Open",'R365'!$F:$F,"Medium")</f>
        <v>0</v>
      </c>
      <c r="D67" s="7">
        <f>COUNTIFS('R365'!$B:$B,"Settings",'R365'!$E:$E,"Issue",'R365'!$G:$G,"Open",'R365'!$F:$F,"Low")</f>
        <v>0</v>
      </c>
      <c r="E67" s="7">
        <f>COUNTIFS('R365'!$B:$B,"Settings",'R365'!$E:$E,"Issue",'R365'!$G:$G,"Fixed")</f>
        <v>0</v>
      </c>
      <c r="F67" s="7">
        <f>COUNTIFS('R365'!$B:$B,"Settings",'R365'!$E:$E,"Issue",'R365'!$G:$G,"Closed")</f>
        <v>0</v>
      </c>
      <c r="G67" s="7">
        <f>COUNTIFS('R365'!$B:$B,"Settings",'R365'!$E:$E,"Issue",'R365'!$G:$G,"Invalid")</f>
        <v>0</v>
      </c>
      <c r="H67" s="11">
        <f t="shared" si="0"/>
        <v>0</v>
      </c>
      <c r="I67" s="7">
        <f>COUNTIFS('R365'!$B:$B,"Settings",'R365'!$E:$E,"Bug",'R365'!$G:$G,"Open",'R365'!$F:$F,"High")</f>
        <v>0</v>
      </c>
      <c r="J67" s="7">
        <f>COUNTIFS('R365'!$B:$B,"Settings",'R365'!$E:$E,"Bug",'R365'!$G:$G,"Open",'R365'!$F:$F,"Medium")</f>
        <v>0</v>
      </c>
      <c r="K67" s="7">
        <f>COUNTIFS('R365'!$B:$B,"Settings",'R365'!$E:$E,"Bug",'R365'!$G:$G,"Open",'R365'!$F:$F,"Low")</f>
        <v>0</v>
      </c>
      <c r="L67" s="7">
        <f>COUNTIFS('R365'!$B:$B,"Settings",'R365'!$E:$E,"Bug",'R365'!$G:$G,"Fixed")</f>
        <v>0</v>
      </c>
      <c r="M67" s="7">
        <f>COUNTIFS('R365'!$B:$B,"Settings",'R365'!$E:$E,"Bug",'R365'!$G:$G,"Closed")</f>
        <v>0</v>
      </c>
      <c r="N67" s="7">
        <f>COUNTIFS('R365'!$B:$B,"Settings",'R365'!$E:$E,"Bug",'R365'!$G:$G,"Invalid")</f>
        <v>0</v>
      </c>
      <c r="O67" s="11">
        <f t="shared" si="1"/>
        <v>0</v>
      </c>
      <c r="P67" s="7">
        <f>COUNTIFS('R365'!$B:$B,"Settings",'R365'!$E:$E,"Enhancement",'R365'!$G:$G,"Open",'R365'!$F:$F,"High")</f>
        <v>0</v>
      </c>
      <c r="Q67" s="7">
        <f>COUNTIFS('R365'!$B:$B,"Settings",'R365'!$E:$E,"Enhancement",'R365'!$G:$G,"Open",'R365'!$F:$F,"Medium")</f>
        <v>0</v>
      </c>
      <c r="R67" s="7">
        <f>COUNTIFS('R365'!$B:$B,"Settings",'R365'!$E:$E,"Enhancement",'R365'!$G:$G,"Open",'R365'!$F:$F,"Low")</f>
        <v>0</v>
      </c>
      <c r="S67" s="7">
        <f>COUNTIFS('R365'!$B:$B,"Settings",'R365'!$E:$E,"Enhancement",'R365'!$G:$G,"Enhanced")</f>
        <v>0</v>
      </c>
      <c r="T67" s="7">
        <f>COUNTIFS('R365'!$B:$B,"Settings",'R365'!$E:$E,"Enhancement",'R365'!$G:$G,"Closed")</f>
        <v>0</v>
      </c>
      <c r="U67" s="7">
        <f>COUNTIFS('R365'!$B:$B,"Settings",'R365'!$E:$E,"Enhancement",'R365'!$G:$G,"Invalid")</f>
        <v>0</v>
      </c>
      <c r="V67" s="11">
        <f t="shared" si="2"/>
        <v>0</v>
      </c>
      <c r="W67" s="7">
        <f>COUNTIFS('R365'!$B:$B,"Settings",'R365'!$E:$E,"Clarification",'R365'!$G:$G,"Open",'R365'!$F:$F,"High")</f>
        <v>0</v>
      </c>
      <c r="X67" s="7">
        <f>COUNTIFS('R365'!$B:$B,"Settings",'R365'!$E:$E,"Clarification",'R365'!$G:$G,"Open",'R365'!$F:$F,"Medium")</f>
        <v>0</v>
      </c>
      <c r="Y67" s="7">
        <f>COUNTIFS('R365'!$B:$B,"Settings",'R365'!$E:$E,"Clarification",'R365'!$G:$G,"Open",'R365'!$F:$F,"Low")</f>
        <v>0</v>
      </c>
      <c r="Z67" s="7">
        <f>COUNTIFS('R365'!$B:$B,"Settings",'R365'!$E:$E,"Clarification",'R365'!$G:$G,"Clarified")</f>
        <v>0</v>
      </c>
      <c r="AA67" s="7">
        <f>COUNTIFS('R365'!$B:$B,"Settings",'R365'!$E:$E,"Clarification",'R365'!$G:$G,"Invalid")</f>
        <v>0</v>
      </c>
      <c r="AB67" s="11">
        <f t="shared" si="3"/>
        <v>0</v>
      </c>
      <c r="AC67" s="7">
        <f>COUNTIFS('R365'!$B:$B,"Settings",'R365'!$E:$E,"CR",'R365'!$G:$G,"Open",'R365'!$F:$F,"High")</f>
        <v>0</v>
      </c>
      <c r="AD67" s="7">
        <f>COUNTIFS('R365'!$B:$B,"Settings",'R365'!$E:$E,"CR",'R365'!$G:$G,"Open",'R365'!$F:$F,"Medium")</f>
        <v>0</v>
      </c>
      <c r="AE67" s="7">
        <f>COUNTIFS('R365'!$B:$B,"Settings",'R365'!$E:$E,"CR",'R365'!$G:$G,"Open",'R365'!$F:$F,"Low")</f>
        <v>0</v>
      </c>
      <c r="AF67" s="7">
        <f>COUNTIFS('R365'!$B:$B,"Settings",'R365'!$E:$E,"CR",'R365'!$G:$G,"Invalid")</f>
        <v>0</v>
      </c>
      <c r="AG67" s="11">
        <f t="shared" si="4"/>
        <v>0</v>
      </c>
    </row>
    <row r="68" spans="1:33">
      <c r="A68" s="9" t="s">
        <v>22</v>
      </c>
      <c r="B68" s="7">
        <f>COUNTIFS('R365'!$B:$B,"Notification",'R365'!$E:$E,"Issue",'R365'!$G:$G,"Open",'R365'!$F:$F,"High")</f>
        <v>0</v>
      </c>
      <c r="C68" s="7">
        <f>COUNTIFS('R365'!$B:$B,"Notification",'R365'!$E:$E,"Issue",'R365'!$G:$G,"Open",'R365'!$F:$F,"Medium")</f>
        <v>0</v>
      </c>
      <c r="D68" s="7">
        <f>COUNTIFS('R365'!$B:$B,"Notification",'R365'!$E:$E,"Issue",'R365'!$G:$G,"Open",'R365'!$F:$F,"Low")</f>
        <v>0</v>
      </c>
      <c r="E68" s="7">
        <f>COUNTIFS('R365'!$B:$B,"Notification",'R365'!$E:$E,"Issue",'R365'!$G:$G,"Fixed")</f>
        <v>0</v>
      </c>
      <c r="F68" s="7">
        <f>COUNTIFS('R365'!$B:$B,"Notification",'R365'!$E:$E,"Issue",'R365'!$G:$G,"Closed")</f>
        <v>0</v>
      </c>
      <c r="G68" s="7">
        <f>COUNTIFS('R365'!$B:$B,"Notification",'R365'!$E:$E,"Issue",'R365'!$G:$G,"Invalid")</f>
        <v>0</v>
      </c>
      <c r="H68" s="11">
        <f t="shared" si="0"/>
        <v>0</v>
      </c>
      <c r="I68" s="7">
        <f>COUNTIFS('R365'!$B:$B,"Notification",'R365'!$E:$E,"Bug",'R365'!$G:$G,"Open",'R365'!$F:$F,"High")</f>
        <v>0</v>
      </c>
      <c r="J68" s="7">
        <f>COUNTIFS('R365'!$B:$B,"Notification",'R365'!$E:$E,"Bug",'R365'!$G:$G,"Open",'R365'!$F:$F,"Medium")</f>
        <v>0</v>
      </c>
      <c r="K68" s="7">
        <f>COUNTIFS('R365'!$B:$B,"Notification",'R365'!$E:$E,"Bug",'R365'!$G:$G,"Open",'R365'!$F:$F,"Low")</f>
        <v>0</v>
      </c>
      <c r="L68" s="7">
        <f>COUNTIFS('R365'!$B:$B,"Notification",'R365'!$E:$E,"Bug",'R365'!$G:$G,"Fixed")</f>
        <v>0</v>
      </c>
      <c r="M68" s="7">
        <f>COUNTIFS('R365'!$B:$B,"Notification",'R365'!$E:$E,"Bug",'R365'!$G:$G,"Closed")</f>
        <v>0</v>
      </c>
      <c r="N68" s="7">
        <f>COUNTIFS('R365'!$B:$B,"Notification",'R365'!$E:$E,"Bug",'R365'!$G:$G,"Invalid")</f>
        <v>0</v>
      </c>
      <c r="O68" s="11">
        <f t="shared" si="1"/>
        <v>0</v>
      </c>
      <c r="P68" s="7">
        <f>COUNTIFS('R365'!$B:$B,"Notification",'R365'!$E:$E,"Enhancement",'R365'!$G:$G,"Open",'R365'!$F:$F,"High")</f>
        <v>0</v>
      </c>
      <c r="Q68" s="7">
        <f>COUNTIFS('R365'!$B:$B,"Notification",'R365'!$E:$E,"Enhancement",'R365'!$G:$G,"Open",'R365'!$F:$F,"Medium")</f>
        <v>0</v>
      </c>
      <c r="R68" s="7">
        <f>COUNTIFS('R365'!$B:$B,"Notification",'R365'!$E:$E,"Enhancement",'R365'!$G:$G,"Open",'R365'!$F:$F,"Low")</f>
        <v>0</v>
      </c>
      <c r="S68" s="7">
        <f>COUNTIFS('R365'!$B:$B,"Notification",'R365'!$E:$E,"Enhancement",'R365'!$G:$G,"Enhanced")</f>
        <v>0</v>
      </c>
      <c r="T68" s="7">
        <f>COUNTIFS('R365'!$B:$B,"Notification",'R365'!$E:$E,"Enhancement",'R365'!$G:$G,"Closed")</f>
        <v>0</v>
      </c>
      <c r="U68" s="7">
        <f>COUNTIFS('R365'!$B:$B,"Notification",'R365'!$E:$E,"Enhancement",'R365'!$G:$G,"Invalid")</f>
        <v>0</v>
      </c>
      <c r="V68" s="11">
        <f t="shared" si="2"/>
        <v>0</v>
      </c>
      <c r="W68" s="7">
        <f>COUNTIFS('R365'!$B:$B,"Notification",'R365'!$E:$E,"Clarification",'R365'!$G:$G,"Open",'R365'!$F:$F,"High")</f>
        <v>0</v>
      </c>
      <c r="X68" s="7">
        <f>COUNTIFS('R365'!$B:$B,"Notification",'R365'!$E:$E,"Clarification",'R365'!$G:$G,"Open",'R365'!$F:$F,"Medium")</f>
        <v>0</v>
      </c>
      <c r="Y68" s="7">
        <f>COUNTIFS('R365'!$B:$B,"Notification",'R365'!$E:$E,"Clarification",'R365'!$G:$G,"Open",'R365'!$F:$F,"Low")</f>
        <v>0</v>
      </c>
      <c r="Z68" s="7">
        <f>COUNTIFS('R365'!$B:$B,"Notification",'R365'!$E:$E,"Clarification",'R365'!$G:$G,"Clarified")</f>
        <v>0</v>
      </c>
      <c r="AA68" s="7">
        <f>COUNTIFS('R365'!$B:$B,"Notification",'R365'!$E:$E,"Clarification",'R365'!$G:$G,"Invalid")</f>
        <v>0</v>
      </c>
      <c r="AB68" s="11">
        <f t="shared" si="3"/>
        <v>0</v>
      </c>
      <c r="AC68" s="7">
        <f>COUNTIFS('R365'!$B:$B,"Notification",'R365'!$E:$E,"CR",'R365'!$G:$G,"Open",'R365'!$F:$F,"High")</f>
        <v>0</v>
      </c>
      <c r="AD68" s="7">
        <f>COUNTIFS('R365'!$B:$B,"Notification",'R365'!$E:$E,"CR",'R365'!$G:$G,"Open",'R365'!$F:$F,"Medium")</f>
        <v>0</v>
      </c>
      <c r="AE68" s="7">
        <f>COUNTIFS('R365'!$B:$B,"Notification",'R365'!$E:$E,"CR",'R365'!$G:$G,"Open",'R365'!$F:$F,"Low")</f>
        <v>0</v>
      </c>
      <c r="AF68" s="7">
        <f>COUNTIFS('R365'!$B:$B,"Notification",'R365'!$E:$E,"CR",'R365'!$G:$G,"Invalid")</f>
        <v>0</v>
      </c>
      <c r="AG68" s="11">
        <f t="shared" si="4"/>
        <v>0</v>
      </c>
    </row>
    <row r="69" spans="1:33">
      <c r="A69" s="9" t="s">
        <v>30</v>
      </c>
      <c r="B69" s="7">
        <f>COUNTIFS('R365'!$B:$B,"Dashboard",'R365'!$E:$E,"Issue",'R365'!$G:$G,"Open",'R365'!$F:$F,"High")</f>
        <v>0</v>
      </c>
      <c r="C69" s="7">
        <f>COUNTIFS('R365'!$B:$B,"Dashboard",'R365'!$E:$E,"Issue",'R365'!$G:$G,"Open",'R365'!$F:$F,"Medium")</f>
        <v>0</v>
      </c>
      <c r="D69" s="7">
        <f>COUNTIFS('R365'!$B:$B,"Dashboard",'R365'!$E:$E,"Issue",'R365'!$G:$G,"Open",'R365'!$F:$F,"Low")</f>
        <v>0</v>
      </c>
      <c r="E69" s="7">
        <f>COUNTIFS('R365'!$B:$B,"Dashboard",'R365'!$E:$E,"Issue",'R365'!$G:$G,"Fixed")</f>
        <v>0</v>
      </c>
      <c r="F69" s="7">
        <f>COUNTIFS('R365'!$B:$B,"Dashboard",'R365'!$E:$E,"Issue",'R365'!$G:$G,"Closed")</f>
        <v>0</v>
      </c>
      <c r="G69" s="7">
        <f>COUNTIFS('R365'!$B:$B,"Dashboard",'R365'!$E:$E,"Issue",'R365'!$G:$G,"Invalid")</f>
        <v>0</v>
      </c>
      <c r="H69" s="11">
        <f t="shared" si="0"/>
        <v>0</v>
      </c>
      <c r="I69" s="7">
        <f>COUNTIFS('R365'!$B:$B,"Dashboard",'R365'!$E:$E,"Bug",'R365'!$G:$G,"Open",'R365'!$F:$F,"High")</f>
        <v>0</v>
      </c>
      <c r="J69" s="7">
        <f>COUNTIFS('R365'!$B:$B,"Dashboard",'R365'!$E:$E,"Bug",'R365'!$G:$G,"Open",'R365'!$F:$F,"Medium")</f>
        <v>0</v>
      </c>
      <c r="K69" s="7">
        <f>COUNTIFS('R365'!$B:$B,"Dashboard",'R365'!$E:$E,"Bug",'R365'!$G:$G,"Open",'R365'!$F:$F,"Low")</f>
        <v>0</v>
      </c>
      <c r="L69" s="7">
        <f>COUNTIFS('R365'!$B:$B,"Dashboard",'R365'!$E:$E,"Bug",'R365'!$G:$G,"Fixed")</f>
        <v>0</v>
      </c>
      <c r="M69" s="7">
        <f>COUNTIFS('R365'!$B:$B,"Dashboard",'R365'!$E:$E,"Bug",'R365'!$G:$G,"Closed")</f>
        <v>0</v>
      </c>
      <c r="N69" s="7">
        <f>COUNTIFS('R365'!$B:$B,"Dashboard",'R365'!$E:$E,"Bug",'R365'!$G:$G,"Invalid")</f>
        <v>0</v>
      </c>
      <c r="O69" s="11">
        <f t="shared" si="1"/>
        <v>0</v>
      </c>
      <c r="P69" s="7">
        <f>COUNTIFS('R365'!$B:$B,"Dashboard",'R365'!$E:$E,"Enhancement",'R365'!$G:$G,"Open",'R365'!$F:$F,"High")</f>
        <v>0</v>
      </c>
      <c r="Q69" s="7">
        <f>COUNTIFS('R365'!$B:$B,"Dashboard",'R365'!$E:$E,"Enhancement",'R365'!$G:$G,"Open",'R365'!$F:$F,"Medium")</f>
        <v>0</v>
      </c>
      <c r="R69" s="7">
        <f>COUNTIFS('R365'!$B:$B,"Dashboard",'R365'!$E:$E,"Enhancement",'R365'!$G:$G,"Open",'R365'!$F:$F,"Low")</f>
        <v>0</v>
      </c>
      <c r="S69" s="7">
        <f>COUNTIFS('R365'!$B:$B,"Dashboard",'R365'!$E:$E,"Enhancement",'R365'!$G:$G,"Enhanced")</f>
        <v>0</v>
      </c>
      <c r="T69" s="7">
        <f>COUNTIFS('R365'!$B:$B,"Dashboard",'R365'!$E:$E,"Enhancement",'R365'!$G:$G,"Closed")</f>
        <v>0</v>
      </c>
      <c r="U69" s="7">
        <f>COUNTIFS('R365'!$B:$B,"Dashboard",'R365'!$E:$E,"Enhancement",'R365'!$G:$G,"Invalid")</f>
        <v>0</v>
      </c>
      <c r="V69" s="11">
        <f t="shared" si="2"/>
        <v>0</v>
      </c>
      <c r="W69" s="7">
        <f>COUNTIFS('R365'!$B:$B,"Dashboard",'R365'!$E:$E,"Clarification",'R365'!$G:$G,"Open",'R365'!$F:$F,"High")</f>
        <v>0</v>
      </c>
      <c r="X69" s="7">
        <f>COUNTIFS('R365'!$B:$B,"Dashboard",'R365'!$E:$E,"Clarification",'R365'!$G:$G,"Open",'R365'!$F:$F,"Medium")</f>
        <v>0</v>
      </c>
      <c r="Y69" s="7">
        <f>COUNTIFS('R365'!$B:$B,"Dashboard",'R365'!$E:$E,"Clarification",'R365'!$G:$G,"Open",'R365'!$F:$F,"Low")</f>
        <v>0</v>
      </c>
      <c r="Z69" s="7">
        <f>COUNTIFS('R365'!$B:$B,"Dashboard",'R365'!$E:$E,"Clarification",'R365'!$G:$G,"Clarified")</f>
        <v>0</v>
      </c>
      <c r="AA69" s="7">
        <f>COUNTIFS('R365'!$B:$B,"Dashboard",'R365'!$E:$E,"Clarification",'R365'!$G:$G,"Invalid")</f>
        <v>0</v>
      </c>
      <c r="AB69" s="11">
        <f t="shared" si="3"/>
        <v>0</v>
      </c>
      <c r="AC69" s="7">
        <f>COUNTIFS('R365'!$B:$B,"Dashboard",'R365'!$E:$E,"CR",'R365'!$G:$G,"Open",'R365'!$F:$F,"High")</f>
        <v>0</v>
      </c>
      <c r="AD69" s="7">
        <f>COUNTIFS('R365'!$B:$B,"Dashboard",'R365'!$E:$E,"CR",'R365'!$G:$G,"Open",'R365'!$F:$F,"Medium")</f>
        <v>0</v>
      </c>
      <c r="AE69" s="7">
        <f>COUNTIFS('R365'!$B:$B,"Dashboard",'R365'!$E:$E,"CR",'R365'!$G:$G,"Open",'R365'!$F:$F,"Low")</f>
        <v>0</v>
      </c>
      <c r="AF69" s="7">
        <f>COUNTIFS('R365'!$B:$B,"Dashboard",'R365'!$E:$E,"CR",'R365'!$G:$G,"Invalid")</f>
        <v>0</v>
      </c>
      <c r="AG69" s="11">
        <f t="shared" si="4"/>
        <v>0</v>
      </c>
    </row>
    <row r="70" spans="1:33">
      <c r="A70" s="9" t="s">
        <v>15</v>
      </c>
      <c r="B70" s="7">
        <f>COUNTIFS('R365'!$B:$B,"Performance",'R365'!$E:$E,"Issue",'R365'!$G:$G,"Open",'R365'!$F:$F,"High")</f>
        <v>0</v>
      </c>
      <c r="C70" s="7">
        <f>COUNTIFS('R365'!$B:$B,"Performance",'R365'!$E:$E,"Issue",'R365'!$G:$G,"Open",'R365'!$F:$F,"Medium")</f>
        <v>0</v>
      </c>
      <c r="D70" s="7">
        <f>COUNTIFS('R365'!$B:$B,"Performance",'R365'!$E:$E,"Issue",'R365'!$G:$G,"Open",'R365'!$F:$F,"Low")</f>
        <v>0</v>
      </c>
      <c r="E70" s="7">
        <f>COUNTIFS('R365'!$B:$B,"Performance",'R365'!$E:$E,"Issue",'R365'!$G:$G,"Fixed")</f>
        <v>0</v>
      </c>
      <c r="F70" s="7">
        <f>COUNTIFS('R365'!$B:$B,"Performance",'R365'!$E:$E,"Issue",'R365'!$G:$G,"Closed")</f>
        <v>0</v>
      </c>
      <c r="G70" s="7">
        <f>COUNTIFS('R365'!$B:$B,"Performance",'R365'!$E:$E,"Issue",'R365'!$G:$G,"Invalid")</f>
        <v>0</v>
      </c>
      <c r="H70" s="11">
        <f t="shared" si="0"/>
        <v>0</v>
      </c>
      <c r="I70" s="7">
        <f>COUNTIFS('R365'!$B:$B,"Performance",'R365'!$E:$E,"Bug",'R365'!$G:$G,"Open",'R365'!$F:$F,"High")</f>
        <v>0</v>
      </c>
      <c r="J70" s="7">
        <f>COUNTIFS('R365'!$B:$B,"Performance",'R365'!$E:$E,"Bug",'R365'!$G:$G,"Open",'R365'!$F:$F,"Medium")</f>
        <v>0</v>
      </c>
      <c r="K70" s="7">
        <f>COUNTIFS('R365'!$B:$B,"Performance",'R365'!$E:$E,"Bug",'R365'!$G:$G,"Open",'R365'!$F:$F,"Low")</f>
        <v>0</v>
      </c>
      <c r="L70" s="7">
        <f>COUNTIFS('R365'!$B:$B,"Performance",'R365'!$E:$E,"Bug",'R365'!$G:$G,"Fixed")</f>
        <v>0</v>
      </c>
      <c r="M70" s="7">
        <f>COUNTIFS('R365'!$B:$B,"Performance",'R365'!$E:$E,"Bug",'R365'!$G:$G,"Closed")</f>
        <v>0</v>
      </c>
      <c r="N70" s="7">
        <f>COUNTIFS('R365'!$B:$B,"Performance",'R365'!$E:$E,"Bug",'R365'!$G:$G,"Invalid")</f>
        <v>0</v>
      </c>
      <c r="O70" s="11">
        <f t="shared" si="1"/>
        <v>0</v>
      </c>
      <c r="P70" s="7">
        <f>COUNTIFS('R365'!$B:$B,"Performance",'R365'!$E:$E,"Enhancement",'R365'!$G:$G,"Open",'R365'!$F:$F,"High")</f>
        <v>0</v>
      </c>
      <c r="Q70" s="7">
        <f>COUNTIFS('R365'!$B:$B,"Performance",'R365'!$E:$E,"Enhancement",'R365'!$G:$G,"Open",'R365'!$F:$F,"Medium")</f>
        <v>0</v>
      </c>
      <c r="R70" s="7">
        <f>COUNTIFS('R365'!$B:$B,"Performance",'R365'!$E:$E,"Enhancement",'R365'!$G:$G,"Open",'R365'!$F:$F,"Low")</f>
        <v>0</v>
      </c>
      <c r="S70" s="7">
        <f>COUNTIFS('R365'!$B:$B,"Performance",'R365'!$E:$E,"Enhancement",'R365'!$G:$G,"Enhanced")</f>
        <v>0</v>
      </c>
      <c r="T70" s="7">
        <f>COUNTIFS('R365'!$B:$B,"Performance",'R365'!$E:$E,"Enhancement",'R365'!$G:$G,"Closed")</f>
        <v>0</v>
      </c>
      <c r="U70" s="7">
        <f>COUNTIFS('R365'!$B:$B,"Performance",'R365'!$E:$E,"Enhancement",'R365'!$G:$G,"Invalid")</f>
        <v>0</v>
      </c>
      <c r="V70" s="11">
        <f t="shared" si="2"/>
        <v>0</v>
      </c>
      <c r="W70" s="7">
        <f>COUNTIFS('R365'!$B:$B,"Performance",'R365'!$E:$E,"Clarification",'R365'!$G:$G,"Open",'R365'!$F:$F,"High")</f>
        <v>0</v>
      </c>
      <c r="X70" s="7">
        <f>COUNTIFS('R365'!$B:$B,"Performance",'R365'!$E:$E,"Clarification",'R365'!$G:$G,"Open",'R365'!$F:$F,"Medium")</f>
        <v>0</v>
      </c>
      <c r="Y70" s="7">
        <f>COUNTIFS('R365'!$B:$B,"Performance",'R365'!$E:$E,"Clarification",'R365'!$G:$G,"Open",'R365'!$F:$F,"Low")</f>
        <v>0</v>
      </c>
      <c r="Z70" s="7">
        <f>COUNTIFS('R365'!$B:$B,"Performance",'R365'!$E:$E,"Clarification",'R365'!$G:$G,"Clarified")</f>
        <v>0</v>
      </c>
      <c r="AA70" s="7">
        <f>COUNTIFS('R365'!$B:$B,"Performance",'R365'!$E:$E,"Clarification",'R365'!$G:$G,"Invalid")</f>
        <v>0</v>
      </c>
      <c r="AB70" s="11">
        <f t="shared" si="3"/>
        <v>0</v>
      </c>
      <c r="AC70" s="7">
        <f>COUNTIFS('R365'!$B:$B,"Performance",'R365'!$E:$E,"CR",'R365'!$G:$G,"Open",'R365'!$F:$F,"High")</f>
        <v>0</v>
      </c>
      <c r="AD70" s="7">
        <f>COUNTIFS('R365'!$B:$B,"Performance",'R365'!$E:$E,"CR",'R365'!$G:$G,"Open",'R365'!$F:$F,"Medium")</f>
        <v>0</v>
      </c>
      <c r="AE70" s="7">
        <f>COUNTIFS('R365'!$B:$B,"Performance",'R365'!$E:$E,"CR",'R365'!$G:$G,"Open",'R365'!$F:$F,"Low")</f>
        <v>0</v>
      </c>
      <c r="AF70" s="7">
        <f>COUNTIFS('R365'!$B:$B,"Performance",'R365'!$E:$E,"CR",'R365'!$G:$G,"Invalid")</f>
        <v>0</v>
      </c>
      <c r="AG70" s="11">
        <f t="shared" si="4"/>
        <v>0</v>
      </c>
    </row>
    <row r="71" spans="1:33">
      <c r="A71" s="9" t="s">
        <v>6</v>
      </c>
      <c r="B71" s="7">
        <f>COUNTIFS('R365'!$B:$B,"General",'R365'!$E:$E,"Issue",'R365'!$G:$G,"Open",'R365'!$F:$F,"High")</f>
        <v>1</v>
      </c>
      <c r="C71" s="7">
        <f>COUNTIFS('R365'!$B:$B,"General",'R365'!$E:$E,"Issue",'R365'!$G:$G,"Open",'R365'!$F:$F,"Medium")</f>
        <v>0</v>
      </c>
      <c r="D71" s="7">
        <f>COUNTIFS('R365'!$B:$B,"General",'R365'!$E:$E,"Issue",'R365'!$G:$G,"Open",'R365'!$F:$F,"Low")</f>
        <v>0</v>
      </c>
      <c r="E71" s="7">
        <f>COUNTIFS('R365'!$B:$B,"General",'R365'!$E:$E,"Issue",'R365'!$G:$G,"Fixed")</f>
        <v>0</v>
      </c>
      <c r="F71" s="7">
        <f>COUNTIFS('R365'!$B:$B,"General",'R365'!$E:$E,"Issue",'R365'!$G:$G,"Closed")</f>
        <v>0</v>
      </c>
      <c r="G71" s="7">
        <f>COUNTIFS('R365'!$B:$B,"General",'R365'!$E:$E,"Issue",'R365'!$G:$G,"Invalid")</f>
        <v>0</v>
      </c>
      <c r="H71" s="11">
        <f t="shared" si="0"/>
        <v>1</v>
      </c>
      <c r="I71" s="7">
        <f>COUNTIFS('R365'!$B:$B,"General",'R365'!$E:$E,"Bug",'R365'!$G:$G,"Open",'R365'!$F:$F,"High")</f>
        <v>1</v>
      </c>
      <c r="J71" s="7">
        <f>COUNTIFS('R365'!$B:$B,"General",'R365'!$E:$E,"Bug",'R365'!$G:$G,"Open",'R365'!$F:$F,"Medium")</f>
        <v>0</v>
      </c>
      <c r="K71" s="7">
        <f>COUNTIFS('R365'!$B:$B,"General",'R365'!$E:$E,"Bug",'R365'!$G:$G,"Open",'R365'!$F:$F,"Low")</f>
        <v>0</v>
      </c>
      <c r="L71" s="7">
        <f>COUNTIFS('R365'!$B:$B,"General",'R365'!$E:$E,"Bug",'R365'!$G:$G,"Fixed")</f>
        <v>0</v>
      </c>
      <c r="M71" s="7">
        <f>COUNTIFS('R365'!$B:$B,"General",'R365'!$E:$E,"Bug",'R365'!$G:$G,"Closed")</f>
        <v>0</v>
      </c>
      <c r="N71" s="7">
        <f>COUNTIFS('R365'!$B:$B,"General",'R365'!$E:$E,"Bug",'R365'!$G:$G,"Invalid")</f>
        <v>0</v>
      </c>
      <c r="O71" s="11">
        <f t="shared" si="1"/>
        <v>1</v>
      </c>
      <c r="P71" s="7">
        <f>COUNTIFS('R365'!$B:$B,"General",'R365'!$E:$E,"Enhancement",'R365'!$G:$G,"Open",'R365'!$F:$F,"High")</f>
        <v>0</v>
      </c>
      <c r="Q71" s="7">
        <f>COUNTIFS('R365'!$B:$B,"General",'R365'!$E:$E,"Enhancement",'R365'!$G:$G,"Open",'R365'!$F:$F,"Medium")</f>
        <v>0</v>
      </c>
      <c r="R71" s="7">
        <f>COUNTIFS('R365'!$B:$B,"General",'R365'!$E:$E,"Enhancement",'R365'!$G:$G,"Open",'R365'!$F:$F,"Low")</f>
        <v>0</v>
      </c>
      <c r="S71" s="7">
        <f>COUNTIFS('R365'!$B:$B,"General",'R365'!$E:$E,"Enhancement",'R365'!$G:$G,"Enhanced")</f>
        <v>0</v>
      </c>
      <c r="T71" s="7">
        <f>COUNTIFS('R365'!$B:$B,"General",'R365'!$E:$E,"Enhancement",'R365'!$G:$G,"Closed")</f>
        <v>0</v>
      </c>
      <c r="U71" s="7">
        <f>COUNTIFS('R365'!$B:$B,"General",'R365'!$E:$E,"Enhancement",'R365'!$G:$G,"Invalid")</f>
        <v>0</v>
      </c>
      <c r="V71" s="11">
        <f t="shared" si="2"/>
        <v>0</v>
      </c>
      <c r="W71" s="7">
        <f>COUNTIFS('R365'!$B:$B,"General",'R365'!$E:$E,"Clarification",'R365'!$G:$G,"Open",'R365'!$F:$F,"High")</f>
        <v>0</v>
      </c>
      <c r="X71" s="7">
        <f>COUNTIFS('R365'!$B:$B,"General",'R365'!$E:$E,"Clarification",'R365'!$G:$G,"Open",'R365'!$F:$F,"Medium")</f>
        <v>0</v>
      </c>
      <c r="Y71" s="7">
        <f>COUNTIFS('R365'!$B:$B,"General",'R365'!$E:$E,"Clarification",'R365'!$G:$G,"Open",'R365'!$F:$F,"Low")</f>
        <v>0</v>
      </c>
      <c r="Z71" s="7">
        <f>COUNTIFS('R365'!$B:$B,"General",'R365'!$E:$E,"Clarification",'R365'!$G:$G,"Clarified")</f>
        <v>0</v>
      </c>
      <c r="AA71" s="7">
        <f>COUNTIFS('R365'!$B:$B,"General",'R365'!$E:$E,"Clarification",'R365'!$G:$G,"Invalid")</f>
        <v>0</v>
      </c>
      <c r="AB71" s="11">
        <f t="shared" si="3"/>
        <v>0</v>
      </c>
      <c r="AC71" s="7">
        <f>COUNTIFS('R365'!$B:$B,"General",'R365'!$E:$E,"CR",'R365'!$G:$G,"Open",'R365'!$F:$F,"High")</f>
        <v>0</v>
      </c>
      <c r="AD71" s="7">
        <f>COUNTIFS('R365'!$B:$B,"General",'R365'!$E:$E,"CR",'R365'!$G:$G,"Open",'R365'!$F:$F,"Medium")</f>
        <v>0</v>
      </c>
      <c r="AE71" s="7">
        <f>COUNTIFS('R365'!$B:$B,"General",'R365'!$E:$E,"CR",'R365'!$G:$G,"Open",'R365'!$F:$F,"Low")</f>
        <v>0</v>
      </c>
      <c r="AF71" s="7">
        <f>COUNTIFS('R365'!$B:$B,"General",'R365'!$E:$E,"CR",'R365'!$G:$G,"Invalid")</f>
        <v>0</v>
      </c>
      <c r="AG71" s="11">
        <f t="shared" si="4"/>
        <v>0</v>
      </c>
    </row>
    <row r="72" spans="1:33">
      <c r="A72" s="9" t="s">
        <v>31</v>
      </c>
      <c r="B72" s="7">
        <f>COUNTIFS('R365'!$B:$B,"Others",'R365'!$E:$E,"Issue",'R365'!$G:$G,"Open",'R365'!$F:$F,"High")</f>
        <v>0</v>
      </c>
      <c r="C72" s="7">
        <f>COUNTIFS('R365'!$B:$B,"Others",'R365'!$E:$E,"Issue",'R365'!$G:$G,"Open",'R365'!$F:$F,"Medium")</f>
        <v>0</v>
      </c>
      <c r="D72" s="7">
        <f>COUNTIFS('R365'!$B:$B,"Others",'R365'!$E:$E,"Issue",'R365'!$G:$G,"Open",'R365'!$F:$F,"Low")</f>
        <v>0</v>
      </c>
      <c r="E72" s="7">
        <f>COUNTIFS('R365'!$B:$B,"Others",'R365'!$E:$E,"Issue",'R365'!$G:$G,"Fixed")</f>
        <v>0</v>
      </c>
      <c r="F72" s="7">
        <f>COUNTIFS('R365'!$B:$B,"Others",'R365'!$E:$E,"Issue",'R365'!$G:$G,"Closed")</f>
        <v>0</v>
      </c>
      <c r="G72" s="7">
        <f>COUNTIFS('R365'!$B:$B,"Others",'R365'!$E:$E,"Issue",'R365'!$G:$G,"Invalid")</f>
        <v>0</v>
      </c>
      <c r="H72" s="11">
        <f t="shared" si="0"/>
        <v>0</v>
      </c>
      <c r="I72" s="7">
        <f>COUNTIFS('R365'!$B:$B,"Others",'R365'!$E:$E,"Bug",'R365'!$G:$G,"Open",'R365'!$F:$F,"High")</f>
        <v>0</v>
      </c>
      <c r="J72" s="7">
        <f>COUNTIFS('R365'!$B:$B,"Others",'R365'!$E:$E,"Bug",'R365'!$G:$G,"Open",'R365'!$F:$F,"Medium")</f>
        <v>0</v>
      </c>
      <c r="K72" s="7">
        <f>COUNTIFS('R365'!$B:$B,"Others",'R365'!$E:$E,"Bug",'R365'!$G:$G,"Open",'R365'!$F:$F,"Low")</f>
        <v>0</v>
      </c>
      <c r="L72" s="7">
        <f>COUNTIFS('R365'!$B:$B,"Others",'R365'!$E:$E,"Bug",'R365'!$G:$G,"Fixed")</f>
        <v>0</v>
      </c>
      <c r="M72" s="7">
        <f>COUNTIFS('R365'!$B:$B,"Others",'R365'!$E:$E,"Bug",'R365'!$G:$G,"Closed")</f>
        <v>0</v>
      </c>
      <c r="N72" s="7">
        <f>COUNTIFS('R365'!$B:$B,"Others",'R365'!$E:$E,"Bug",'R365'!$G:$G,"Invalid")</f>
        <v>0</v>
      </c>
      <c r="O72" s="11">
        <f t="shared" si="1"/>
        <v>0</v>
      </c>
      <c r="P72" s="7">
        <f>COUNTIFS('R365'!$B:$B,"Others",'R365'!$E:$E,"Enhancement",'R365'!$G:$G,"Open",'R365'!$F:$F,"High")</f>
        <v>0</v>
      </c>
      <c r="Q72" s="7">
        <f>COUNTIFS('R365'!$B:$B,"Others",'R365'!$E:$E,"Enhancement",'R365'!$G:$G,"Open",'R365'!$F:$F,"Medium")</f>
        <v>0</v>
      </c>
      <c r="R72" s="7">
        <f>COUNTIFS('R365'!$B:$B,"Others",'R365'!$E:$E,"Enhancement",'R365'!$G:$G,"Open",'R365'!$F:$F,"Low")</f>
        <v>0</v>
      </c>
      <c r="S72" s="7">
        <f>COUNTIFS('R365'!$B:$B,"Others",'R365'!$E:$E,"Enhancement",'R365'!$G:$G,"Enhanced")</f>
        <v>0</v>
      </c>
      <c r="T72" s="7">
        <f>COUNTIFS('R365'!$B:$B,"Others",'R365'!$E:$E,"Enhancement",'R365'!$G:$G,"Closed")</f>
        <v>0</v>
      </c>
      <c r="U72" s="7">
        <f>COUNTIFS('R365'!$B:$B,"Others",'R365'!$E:$E,"Enhancement",'R365'!$G:$G,"Invalid")</f>
        <v>0</v>
      </c>
      <c r="V72" s="11">
        <f t="shared" si="2"/>
        <v>0</v>
      </c>
      <c r="W72" s="7">
        <f>COUNTIFS('R365'!$B:$B,"Others",'R365'!$E:$E,"Clarification",'R365'!$G:$G,"Open",'R365'!$F:$F,"High")</f>
        <v>0</v>
      </c>
      <c r="X72" s="7">
        <f>COUNTIFS('R365'!$B:$B,"Others",'R365'!$E:$E,"Clarification",'R365'!$G:$G,"Open",'R365'!$F:$F,"Medium")</f>
        <v>0</v>
      </c>
      <c r="Y72" s="7">
        <f>COUNTIFS('R365'!$B:$B,"Others",'R365'!$E:$E,"Clarification",'R365'!$G:$G,"Open",'R365'!$F:$F,"Low")</f>
        <v>0</v>
      </c>
      <c r="Z72" s="7">
        <f>COUNTIFS('R365'!$B:$B,"Others",'R365'!$E:$E,"Clarification",'R365'!$G:$G,"Clarified")</f>
        <v>0</v>
      </c>
      <c r="AA72" s="7">
        <f>COUNTIFS('R365'!$B:$B,"Others",'R365'!$E:$E,"Clarification",'R365'!$G:$G,"Invalid")</f>
        <v>0</v>
      </c>
      <c r="AB72" s="11">
        <f t="shared" si="3"/>
        <v>0</v>
      </c>
      <c r="AC72" s="7">
        <f>COUNTIFS('R365'!$B:$B,"Others",'R365'!$E:$E,"CR",'R365'!$G:$G,"Open",'R365'!$F:$F,"High")</f>
        <v>0</v>
      </c>
      <c r="AD72" s="7">
        <f>COUNTIFS('R365'!$B:$B,"Others",'R365'!$E:$E,"CR",'R365'!$G:$G,"Open",'R365'!$F:$F,"Medium")</f>
        <v>0</v>
      </c>
      <c r="AE72" s="7">
        <f>COUNTIFS('R365'!$B:$B,"Others",'R365'!$E:$E,"CR",'R365'!$G:$G,"Open",'R365'!$F:$F,"Low")</f>
        <v>0</v>
      </c>
      <c r="AF72" s="7">
        <f>COUNTIFS('R365'!$B:$B,"Others",'R365'!$E:$E,"CR",'R365'!$G:$G,"Invalid")</f>
        <v>0</v>
      </c>
      <c r="AG72" s="11">
        <f t="shared" si="4"/>
        <v>0</v>
      </c>
    </row>
    <row r="73" spans="1:33">
      <c r="A73" s="9" t="s">
        <v>63</v>
      </c>
      <c r="B73" s="10">
        <f t="shared" ref="B73:AG73" si="5">SUM(B62:B72)</f>
        <v>7</v>
      </c>
      <c r="C73" s="10">
        <f t="shared" si="5"/>
        <v>8</v>
      </c>
      <c r="D73" s="10">
        <f t="shared" si="5"/>
        <v>0</v>
      </c>
      <c r="E73" s="10">
        <f t="shared" si="5"/>
        <v>0</v>
      </c>
      <c r="F73" s="10">
        <f t="shared" si="5"/>
        <v>0</v>
      </c>
      <c r="G73" s="10">
        <f t="shared" si="5"/>
        <v>0</v>
      </c>
      <c r="H73" s="10">
        <f t="shared" si="5"/>
        <v>15</v>
      </c>
      <c r="I73" s="10">
        <f t="shared" si="5"/>
        <v>7</v>
      </c>
      <c r="J73" s="10">
        <f t="shared" si="5"/>
        <v>0</v>
      </c>
      <c r="K73" s="10">
        <f t="shared" si="5"/>
        <v>0</v>
      </c>
      <c r="L73" s="10">
        <f t="shared" si="5"/>
        <v>0</v>
      </c>
      <c r="M73" s="10">
        <f t="shared" si="5"/>
        <v>0</v>
      </c>
      <c r="N73" s="10">
        <f t="shared" si="5"/>
        <v>0</v>
      </c>
      <c r="O73" s="10">
        <f t="shared" si="5"/>
        <v>7</v>
      </c>
      <c r="P73" s="10">
        <f t="shared" si="5"/>
        <v>0</v>
      </c>
      <c r="Q73" s="10">
        <f t="shared" si="5"/>
        <v>6</v>
      </c>
      <c r="R73" s="10">
        <f t="shared" si="5"/>
        <v>0</v>
      </c>
      <c r="S73" s="10">
        <f t="shared" si="5"/>
        <v>0</v>
      </c>
      <c r="T73" s="10">
        <f t="shared" si="5"/>
        <v>0</v>
      </c>
      <c r="U73" s="10">
        <f t="shared" si="5"/>
        <v>0</v>
      </c>
      <c r="V73" s="10">
        <f t="shared" si="5"/>
        <v>6</v>
      </c>
      <c r="W73" s="10">
        <f t="shared" si="5"/>
        <v>0</v>
      </c>
      <c r="X73" s="10">
        <f t="shared" si="5"/>
        <v>0</v>
      </c>
      <c r="Y73" s="10">
        <f t="shared" si="5"/>
        <v>0</v>
      </c>
      <c r="Z73" s="10">
        <f t="shared" si="5"/>
        <v>0</v>
      </c>
      <c r="AA73" s="10">
        <f t="shared" si="5"/>
        <v>0</v>
      </c>
      <c r="AB73" s="10">
        <f t="shared" si="5"/>
        <v>0</v>
      </c>
      <c r="AC73" s="10">
        <f t="shared" si="5"/>
        <v>0</v>
      </c>
      <c r="AD73" s="10">
        <f t="shared" si="5"/>
        <v>0</v>
      </c>
      <c r="AE73" s="10">
        <f t="shared" si="5"/>
        <v>0</v>
      </c>
      <c r="AF73" s="10">
        <f t="shared" si="5"/>
        <v>0</v>
      </c>
      <c r="AG73" s="10">
        <f t="shared" si="5"/>
        <v>0</v>
      </c>
    </row>
    <row r="76" spans="1:33" customFormat="1" hidden="1">
      <c r="A76" s="62" t="s">
        <v>59</v>
      </c>
      <c r="B76" s="65" t="s">
        <v>60</v>
      </c>
      <c r="C76" s="66"/>
      <c r="D76" s="66"/>
      <c r="E76" s="66"/>
      <c r="F76" s="66"/>
      <c r="G76" s="66"/>
      <c r="H76" s="66"/>
      <c r="I76" s="66"/>
      <c r="J76" s="66"/>
      <c r="K76" s="66"/>
      <c r="L76" s="67"/>
    </row>
    <row r="77" spans="1:33" customFormat="1" hidden="1">
      <c r="A77" s="63"/>
      <c r="B77" s="15" t="s">
        <v>32</v>
      </c>
      <c r="C77" s="15" t="s">
        <v>54</v>
      </c>
      <c r="D77" s="15" t="s">
        <v>26</v>
      </c>
      <c r="E77" s="15" t="s">
        <v>27</v>
      </c>
      <c r="F77" s="15" t="s">
        <v>28</v>
      </c>
      <c r="G77" s="15" t="s">
        <v>29</v>
      </c>
      <c r="H77" s="15" t="s">
        <v>22</v>
      </c>
      <c r="I77" s="15" t="s">
        <v>30</v>
      </c>
      <c r="J77" s="15" t="s">
        <v>15</v>
      </c>
      <c r="K77" s="15" t="s">
        <v>6</v>
      </c>
      <c r="L77" s="15" t="s">
        <v>31</v>
      </c>
    </row>
    <row r="78" spans="1:33" customFormat="1" hidden="1">
      <c r="A78" s="63"/>
      <c r="B78" s="2" t="s">
        <v>6</v>
      </c>
      <c r="C78" s="4" t="s">
        <v>6</v>
      </c>
      <c r="D78" s="4" t="s">
        <v>6</v>
      </c>
      <c r="E78" s="4" t="s">
        <v>6</v>
      </c>
      <c r="F78" s="4" t="s">
        <v>6</v>
      </c>
      <c r="G78" s="4" t="s">
        <v>6</v>
      </c>
      <c r="H78" s="4" t="s">
        <v>6</v>
      </c>
      <c r="I78" s="4" t="s">
        <v>6</v>
      </c>
      <c r="J78" s="4" t="s">
        <v>6</v>
      </c>
      <c r="K78" s="4" t="s">
        <v>6</v>
      </c>
      <c r="L78" s="4" t="s">
        <v>6</v>
      </c>
    </row>
    <row r="79" spans="1:33" customFormat="1" hidden="1">
      <c r="A79" s="63"/>
      <c r="B79" s="4" t="s">
        <v>16</v>
      </c>
      <c r="C79" s="4" t="s">
        <v>13</v>
      </c>
      <c r="D79" s="4" t="s">
        <v>8</v>
      </c>
      <c r="E79" s="4" t="s">
        <v>8</v>
      </c>
      <c r="F79" s="4" t="s">
        <v>8</v>
      </c>
      <c r="G79" s="4" t="s">
        <v>45</v>
      </c>
      <c r="H79" s="4" t="s">
        <v>50</v>
      </c>
      <c r="I79" s="4" t="s">
        <v>53</v>
      </c>
      <c r="J79" s="2"/>
      <c r="K79" s="2" t="s">
        <v>72</v>
      </c>
      <c r="L79" s="2"/>
    </row>
    <row r="80" spans="1:33" customFormat="1" hidden="1">
      <c r="A80" s="63"/>
      <c r="B80" s="4" t="s">
        <v>20</v>
      </c>
      <c r="C80" s="4" t="s">
        <v>33</v>
      </c>
      <c r="D80" s="4" t="s">
        <v>21</v>
      </c>
      <c r="E80" s="4" t="s">
        <v>21</v>
      </c>
      <c r="F80" s="4" t="s">
        <v>21</v>
      </c>
      <c r="G80" s="4" t="s">
        <v>43</v>
      </c>
      <c r="H80" s="4" t="s">
        <v>51</v>
      </c>
      <c r="I80" s="4" t="s">
        <v>52</v>
      </c>
      <c r="J80" s="2"/>
      <c r="K80" s="2" t="s">
        <v>127</v>
      </c>
      <c r="L80" s="2"/>
    </row>
    <row r="81" spans="1:12" customFormat="1" hidden="1">
      <c r="A81" s="63"/>
      <c r="B81" s="4" t="s">
        <v>17</v>
      </c>
      <c r="C81" s="4" t="s">
        <v>35</v>
      </c>
      <c r="D81" s="4" t="s">
        <v>36</v>
      </c>
      <c r="E81" s="4" t="s">
        <v>36</v>
      </c>
      <c r="F81" s="4" t="s">
        <v>36</v>
      </c>
      <c r="G81" s="4" t="s">
        <v>46</v>
      </c>
      <c r="H81" s="4" t="s">
        <v>39</v>
      </c>
      <c r="I81" s="4" t="s">
        <v>40</v>
      </c>
      <c r="J81" s="2"/>
      <c r="K81" s="2" t="s">
        <v>128</v>
      </c>
      <c r="L81" s="2"/>
    </row>
    <row r="82" spans="1:12" customFormat="1" hidden="1">
      <c r="A82" s="63"/>
      <c r="B82" s="2"/>
      <c r="C82" s="4" t="s">
        <v>34</v>
      </c>
      <c r="D82" s="4" t="s">
        <v>37</v>
      </c>
      <c r="E82" s="4" t="s">
        <v>37</v>
      </c>
      <c r="F82" s="4" t="s">
        <v>37</v>
      </c>
      <c r="G82" s="4" t="s">
        <v>47</v>
      </c>
      <c r="H82" s="2"/>
      <c r="I82" s="2"/>
      <c r="J82" s="2"/>
      <c r="K82" s="2"/>
      <c r="L82" s="2"/>
    </row>
    <row r="83" spans="1:12" customFormat="1" hidden="1">
      <c r="A83" s="63"/>
      <c r="B83" s="2"/>
      <c r="C83" s="2"/>
      <c r="D83" s="4" t="s">
        <v>38</v>
      </c>
      <c r="E83" s="4" t="s">
        <v>38</v>
      </c>
      <c r="F83" s="4" t="s">
        <v>38</v>
      </c>
      <c r="G83" s="4" t="s">
        <v>44</v>
      </c>
      <c r="H83" s="2"/>
      <c r="I83" s="2"/>
      <c r="J83" s="2"/>
      <c r="K83" s="2"/>
      <c r="L83" s="2"/>
    </row>
    <row r="84" spans="1:12" customFormat="1" hidden="1">
      <c r="A84" s="63"/>
      <c r="B84" s="2"/>
      <c r="C84" s="2"/>
      <c r="D84" s="4" t="s">
        <v>138</v>
      </c>
      <c r="E84" s="4" t="s">
        <v>40</v>
      </c>
      <c r="F84" s="4" t="s">
        <v>40</v>
      </c>
      <c r="G84" s="4" t="s">
        <v>48</v>
      </c>
      <c r="H84" s="2"/>
      <c r="I84" s="2"/>
      <c r="J84" s="2"/>
      <c r="K84" s="2"/>
      <c r="L84" s="2"/>
    </row>
    <row r="85" spans="1:12" customFormat="1" hidden="1">
      <c r="A85" s="63"/>
      <c r="B85" s="2"/>
      <c r="C85" s="2"/>
      <c r="D85" s="4" t="s">
        <v>141</v>
      </c>
      <c r="E85" s="4" t="s">
        <v>42</v>
      </c>
      <c r="F85" s="4" t="s">
        <v>42</v>
      </c>
      <c r="G85" s="4" t="s">
        <v>49</v>
      </c>
      <c r="H85" s="2"/>
      <c r="I85" s="2"/>
      <c r="J85" s="2"/>
      <c r="K85" s="2"/>
      <c r="L85" s="2"/>
    </row>
    <row r="86" spans="1:12" customFormat="1" hidden="1">
      <c r="A86" s="63"/>
      <c r="B86" s="2"/>
      <c r="C86" s="2"/>
      <c r="D86" s="4" t="s">
        <v>139</v>
      </c>
      <c r="E86" s="4" t="s">
        <v>41</v>
      </c>
      <c r="F86" s="4" t="s">
        <v>41</v>
      </c>
      <c r="G86" s="2"/>
      <c r="H86" s="2"/>
      <c r="I86" s="2"/>
      <c r="J86" s="2"/>
      <c r="K86" s="2"/>
      <c r="L86" s="2"/>
    </row>
    <row r="87" spans="1:12" customFormat="1" hidden="1">
      <c r="A87" s="63"/>
      <c r="B87" s="2"/>
      <c r="C87" s="2"/>
      <c r="D87" s="4" t="s">
        <v>140</v>
      </c>
      <c r="E87" s="4" t="s">
        <v>11</v>
      </c>
      <c r="F87" s="4" t="s">
        <v>11</v>
      </c>
      <c r="G87" s="2"/>
      <c r="H87" s="2"/>
      <c r="I87" s="2"/>
      <c r="J87" s="2"/>
      <c r="K87" s="2"/>
      <c r="L87" s="2"/>
    </row>
    <row r="88" spans="1:12" customFormat="1" hidden="1">
      <c r="A88" s="63"/>
      <c r="B88" s="2"/>
      <c r="C88" s="2"/>
      <c r="D88" s="4" t="s">
        <v>40</v>
      </c>
      <c r="E88" s="55"/>
      <c r="F88" s="55"/>
      <c r="G88" s="55"/>
      <c r="H88" s="2"/>
      <c r="I88" s="2"/>
      <c r="J88" s="2"/>
      <c r="K88" s="2"/>
      <c r="L88" s="2"/>
    </row>
    <row r="89" spans="1:12" customFormat="1" hidden="1">
      <c r="A89" s="63"/>
      <c r="B89" s="2"/>
      <c r="C89" s="2"/>
      <c r="D89" s="4" t="s">
        <v>42</v>
      </c>
      <c r="E89" s="55"/>
      <c r="F89" s="55"/>
      <c r="G89" s="55"/>
      <c r="H89" s="2"/>
      <c r="I89" s="2"/>
      <c r="J89" s="2"/>
      <c r="K89" s="2"/>
      <c r="L89" s="2"/>
    </row>
    <row r="90" spans="1:12" customFormat="1" hidden="1">
      <c r="A90" s="63"/>
      <c r="B90" s="2"/>
      <c r="C90" s="2"/>
      <c r="D90" s="4" t="s">
        <v>41</v>
      </c>
      <c r="E90" s="55"/>
      <c r="F90" s="55"/>
      <c r="G90" s="55"/>
      <c r="H90" s="2"/>
      <c r="I90" s="2"/>
      <c r="J90" s="2"/>
      <c r="K90" s="2"/>
      <c r="L90" s="2"/>
    </row>
    <row r="91" spans="1:12" customFormat="1" hidden="1">
      <c r="A91" s="64"/>
      <c r="B91" s="2"/>
      <c r="C91" s="2"/>
      <c r="D91" s="4" t="s">
        <v>11</v>
      </c>
      <c r="E91" s="2"/>
      <c r="F91" s="2"/>
      <c r="G91" s="2"/>
      <c r="H91" s="2"/>
      <c r="I91" s="2"/>
      <c r="J91" s="2"/>
      <c r="K91" s="2"/>
      <c r="L91" s="2"/>
    </row>
    <row r="92" spans="1:12" customFormat="1" hidden="1"/>
    <row r="93" spans="1:12" customFormat="1" hidden="1">
      <c r="A93" s="62" t="s">
        <v>0</v>
      </c>
      <c r="B93" s="61" t="s">
        <v>23</v>
      </c>
      <c r="C93" s="61"/>
      <c r="D93" s="61"/>
      <c r="E93" s="61"/>
      <c r="F93" s="61"/>
    </row>
    <row r="94" spans="1:12" customFormat="1" hidden="1">
      <c r="A94" s="63"/>
      <c r="B94" s="17" t="s">
        <v>2</v>
      </c>
      <c r="C94" s="17" t="s">
        <v>3</v>
      </c>
      <c r="D94" s="17" t="s">
        <v>55</v>
      </c>
      <c r="E94" s="17" t="s">
        <v>18</v>
      </c>
      <c r="F94" s="17" t="s">
        <v>7</v>
      </c>
      <c r="G94" s="1"/>
    </row>
    <row r="95" spans="1:12" customFormat="1" hidden="1">
      <c r="A95" s="63"/>
      <c r="B95" s="18" t="s">
        <v>1</v>
      </c>
      <c r="C95" s="18" t="s">
        <v>1</v>
      </c>
      <c r="D95" s="18" t="s">
        <v>1</v>
      </c>
      <c r="E95" s="18" t="s">
        <v>1</v>
      </c>
      <c r="F95" s="18" t="s">
        <v>1</v>
      </c>
      <c r="G95" s="1"/>
    </row>
    <row r="96" spans="1:12" customFormat="1" hidden="1">
      <c r="A96" s="63"/>
      <c r="B96" s="18" t="s">
        <v>9</v>
      </c>
      <c r="C96" s="18" t="s">
        <v>9</v>
      </c>
      <c r="D96" s="18" t="s">
        <v>64</v>
      </c>
      <c r="E96" s="18" t="s">
        <v>61</v>
      </c>
      <c r="F96" s="18" t="s">
        <v>12</v>
      </c>
      <c r="G96" s="1"/>
    </row>
    <row r="97" spans="1:7" customFormat="1" hidden="1">
      <c r="A97" s="63"/>
      <c r="B97" s="18" t="s">
        <v>10</v>
      </c>
      <c r="C97" s="18" t="s">
        <v>10</v>
      </c>
      <c r="D97" s="18" t="s">
        <v>10</v>
      </c>
      <c r="E97" s="18" t="s">
        <v>12</v>
      </c>
      <c r="F97" s="19"/>
      <c r="G97" s="1"/>
    </row>
    <row r="98" spans="1:7" customFormat="1" hidden="1">
      <c r="A98" s="64"/>
      <c r="B98" s="18" t="s">
        <v>12</v>
      </c>
      <c r="C98" s="18" t="s">
        <v>12</v>
      </c>
      <c r="D98" s="18" t="s">
        <v>12</v>
      </c>
      <c r="E98" s="19"/>
      <c r="F98" s="19"/>
      <c r="G98" s="1"/>
    </row>
    <row r="99" spans="1:7" customFormat="1" hidden="1">
      <c r="A99" s="1"/>
      <c r="B99" s="1"/>
      <c r="C99" s="1"/>
      <c r="D99" s="1"/>
      <c r="E99" s="1"/>
      <c r="F99" s="1"/>
      <c r="G99" s="1"/>
    </row>
    <row r="100" spans="1:7" customFormat="1" hidden="1">
      <c r="A100" s="1"/>
      <c r="B100" s="1"/>
      <c r="C100" s="1"/>
      <c r="D100" s="1"/>
      <c r="E100" s="1"/>
      <c r="F100" s="1"/>
      <c r="G100" s="1"/>
    </row>
    <row r="101" spans="1:7" customFormat="1" hidden="1">
      <c r="A101" s="16" t="s">
        <v>24</v>
      </c>
      <c r="B101" s="5"/>
      <c r="D101" s="5"/>
    </row>
    <row r="102" spans="1:7" customFormat="1" hidden="1">
      <c r="A102" s="4" t="s">
        <v>56</v>
      </c>
      <c r="B102" s="6"/>
      <c r="D102" s="1"/>
    </row>
    <row r="103" spans="1:7" customFormat="1" hidden="1">
      <c r="A103" s="4" t="s">
        <v>58</v>
      </c>
      <c r="B103" s="6"/>
      <c r="D103" s="1"/>
    </row>
    <row r="104" spans="1:7" customFormat="1" hidden="1">
      <c r="A104" s="4" t="s">
        <v>57</v>
      </c>
      <c r="B104" s="1"/>
      <c r="C104" s="1"/>
      <c r="D104" s="1"/>
      <c r="E104" s="1"/>
      <c r="F104" s="1"/>
      <c r="G104" s="1"/>
    </row>
    <row r="105" spans="1:7" customFormat="1" hidden="1">
      <c r="A105" s="1"/>
      <c r="B105" s="1"/>
      <c r="C105" s="1"/>
      <c r="D105" s="1"/>
      <c r="E105" s="1"/>
      <c r="F105" s="1"/>
      <c r="G105" s="1"/>
    </row>
  </sheetData>
  <mergeCells count="21">
    <mergeCell ref="N60:N61"/>
    <mergeCell ref="S60:S61"/>
    <mergeCell ref="T60:T61"/>
    <mergeCell ref="U60:U61"/>
    <mergeCell ref="Z60:Z61"/>
    <mergeCell ref="B93:F93"/>
    <mergeCell ref="A93:A98"/>
    <mergeCell ref="A76:A91"/>
    <mergeCell ref="B76:L76"/>
    <mergeCell ref="AG60:AG61"/>
    <mergeCell ref="AB60:AB61"/>
    <mergeCell ref="V60:V61"/>
    <mergeCell ref="O60:O61"/>
    <mergeCell ref="H60:H61"/>
    <mergeCell ref="AA60:AA61"/>
    <mergeCell ref="E60:E61"/>
    <mergeCell ref="F60:F61"/>
    <mergeCell ref="G60:G61"/>
    <mergeCell ref="AF60:AF61"/>
    <mergeCell ref="L60:L61"/>
    <mergeCell ref="M60:M61"/>
  </mergeCells>
  <conditionalFormatting sqref="AC62:AE73 W62:Y73 P62:R73 I62:K73 B62:D73 C73:AG73">
    <cfRule type="cellIs" dxfId="4" priority="11" operator="greaterThan">
      <formula>0</formula>
    </cfRule>
  </conditionalFormatting>
  <conditionalFormatting sqref="S62:S73 E62:E73">
    <cfRule type="cellIs" dxfId="3" priority="5" operator="greaterThan">
      <formula>0</formula>
    </cfRule>
    <cfRule type="cellIs" dxfId="2" priority="10" operator="greaterThan">
      <formula>0</formula>
    </cfRule>
  </conditionalFormatting>
  <conditionalFormatting sqref="L62:L73">
    <cfRule type="cellIs" dxfId="1" priority="4" operator="greaterThan">
      <formula>0.5</formula>
    </cfRule>
  </conditionalFormatting>
  <conditionalFormatting sqref="Z62:Z73">
    <cfRule type="cellIs" dxfId="0" priority="2" operator="greaterThan">
      <formula>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N134"/>
  <sheetViews>
    <sheetView workbookViewId="0">
      <selection activeCell="B3" sqref="B3"/>
    </sheetView>
  </sheetViews>
  <sheetFormatPr defaultRowHeight="12.75"/>
  <cols>
    <col min="1" max="1" width="4" style="58" bestFit="1" customWidth="1"/>
    <col min="2" max="3" width="9.140625" style="58"/>
    <col min="4" max="4" width="79.28515625" style="53" customWidth="1"/>
    <col min="5" max="7" width="9.140625" style="58"/>
    <col min="8" max="8" width="17.85546875" style="52" customWidth="1"/>
    <col min="9" max="9" width="9" style="52" bestFit="1" customWidth="1"/>
    <col min="10" max="11" width="9.140625" style="52"/>
    <col min="12" max="12" width="12.5703125" style="52" bestFit="1" customWidth="1"/>
    <col min="13" max="14" width="9.140625" style="52"/>
    <col min="15" max="16384" width="9.140625" style="6"/>
  </cols>
  <sheetData>
    <row r="1" spans="1:14" s="47" customFormat="1" ht="15">
      <c r="A1" s="71" t="s">
        <v>14</v>
      </c>
      <c r="B1" s="69" t="s">
        <v>111</v>
      </c>
      <c r="C1" s="69"/>
      <c r="D1" s="72" t="s">
        <v>19</v>
      </c>
      <c r="E1" s="71" t="s">
        <v>23</v>
      </c>
      <c r="F1" s="71" t="s">
        <v>24</v>
      </c>
      <c r="G1" s="71" t="s">
        <v>0</v>
      </c>
      <c r="H1" s="70" t="s">
        <v>105</v>
      </c>
      <c r="I1" s="70"/>
      <c r="J1" s="70" t="s">
        <v>107</v>
      </c>
      <c r="K1" s="70"/>
      <c r="L1" s="73" t="s">
        <v>70</v>
      </c>
      <c r="M1" s="70" t="s">
        <v>95</v>
      </c>
      <c r="N1" s="70"/>
    </row>
    <row r="2" spans="1:14" s="48" customFormat="1" ht="15">
      <c r="A2" s="71"/>
      <c r="B2" s="56" t="s">
        <v>112</v>
      </c>
      <c r="C2" s="56" t="s">
        <v>113</v>
      </c>
      <c r="D2" s="72"/>
      <c r="E2" s="71"/>
      <c r="F2" s="71"/>
      <c r="G2" s="71"/>
      <c r="H2" s="49" t="s">
        <v>106</v>
      </c>
      <c r="I2" s="49" t="s">
        <v>108</v>
      </c>
      <c r="J2" s="49" t="s">
        <v>106</v>
      </c>
      <c r="K2" s="49" t="s">
        <v>108</v>
      </c>
      <c r="L2" s="73"/>
      <c r="M2" s="49" t="s">
        <v>109</v>
      </c>
      <c r="N2" s="49" t="s">
        <v>110</v>
      </c>
    </row>
    <row r="3" spans="1:14" s="46" customFormat="1" ht="63.75">
      <c r="A3" s="57">
        <v>1</v>
      </c>
      <c r="B3" s="57" t="s">
        <v>32</v>
      </c>
      <c r="C3" s="57" t="s">
        <v>16</v>
      </c>
      <c r="D3" s="51" t="s">
        <v>73</v>
      </c>
      <c r="E3" s="57" t="s">
        <v>2</v>
      </c>
      <c r="F3" s="57" t="s">
        <v>56</v>
      </c>
      <c r="G3" s="57" t="s">
        <v>1</v>
      </c>
      <c r="H3" s="50" t="s">
        <v>76</v>
      </c>
      <c r="I3" s="50" t="s">
        <v>103</v>
      </c>
      <c r="J3" s="50"/>
      <c r="K3" s="50"/>
      <c r="L3" s="50" t="s">
        <v>71</v>
      </c>
      <c r="M3" s="50"/>
      <c r="N3" s="50"/>
    </row>
    <row r="4" spans="1:14" s="46" customFormat="1" ht="102">
      <c r="A4" s="57">
        <v>2</v>
      </c>
      <c r="B4" s="57" t="s">
        <v>32</v>
      </c>
      <c r="C4" s="57" t="s">
        <v>16</v>
      </c>
      <c r="D4" s="51" t="s">
        <v>74</v>
      </c>
      <c r="E4" s="57" t="s">
        <v>55</v>
      </c>
      <c r="F4" s="57" t="s">
        <v>58</v>
      </c>
      <c r="G4" s="57" t="s">
        <v>1</v>
      </c>
      <c r="H4" s="50" t="s">
        <v>76</v>
      </c>
      <c r="I4" s="50" t="s">
        <v>103</v>
      </c>
      <c r="J4" s="50"/>
      <c r="K4" s="50"/>
      <c r="L4" s="50" t="s">
        <v>77</v>
      </c>
      <c r="M4" s="50"/>
      <c r="N4" s="50"/>
    </row>
    <row r="5" spans="1:14" s="46" customFormat="1" ht="63.75">
      <c r="A5" s="57">
        <v>3</v>
      </c>
      <c r="B5" s="57" t="s">
        <v>32</v>
      </c>
      <c r="C5" s="57" t="s">
        <v>6</v>
      </c>
      <c r="D5" s="51" t="s">
        <v>114</v>
      </c>
      <c r="E5" s="57" t="s">
        <v>55</v>
      </c>
      <c r="F5" s="57" t="s">
        <v>58</v>
      </c>
      <c r="G5" s="57" t="s">
        <v>1</v>
      </c>
      <c r="H5" s="50" t="s">
        <v>76</v>
      </c>
      <c r="I5" s="50" t="s">
        <v>103</v>
      </c>
      <c r="J5" s="50"/>
      <c r="K5" s="50"/>
      <c r="L5" s="50"/>
      <c r="M5" s="50"/>
      <c r="N5" s="50"/>
    </row>
    <row r="6" spans="1:14" s="46" customFormat="1" ht="89.25">
      <c r="A6" s="57">
        <v>4</v>
      </c>
      <c r="B6" s="57" t="s">
        <v>32</v>
      </c>
      <c r="C6" s="57" t="s">
        <v>6</v>
      </c>
      <c r="D6" s="51" t="s">
        <v>75</v>
      </c>
      <c r="E6" s="57" t="s">
        <v>55</v>
      </c>
      <c r="F6" s="57" t="s">
        <v>58</v>
      </c>
      <c r="G6" s="57" t="s">
        <v>1</v>
      </c>
      <c r="H6" s="50" t="s">
        <v>76</v>
      </c>
      <c r="I6" s="50" t="s">
        <v>103</v>
      </c>
      <c r="J6" s="50"/>
      <c r="K6" s="50"/>
      <c r="L6" s="50" t="s">
        <v>78</v>
      </c>
      <c r="M6" s="50"/>
      <c r="N6" s="50"/>
    </row>
    <row r="7" spans="1:14" s="46" customFormat="1" ht="102">
      <c r="A7" s="57">
        <v>5</v>
      </c>
      <c r="B7" s="57" t="s">
        <v>32</v>
      </c>
      <c r="C7" s="57" t="s">
        <v>16</v>
      </c>
      <c r="D7" s="51" t="s">
        <v>80</v>
      </c>
      <c r="E7" s="57" t="s">
        <v>2</v>
      </c>
      <c r="F7" s="57" t="s">
        <v>56</v>
      </c>
      <c r="G7" s="57" t="s">
        <v>1</v>
      </c>
      <c r="H7" s="50" t="s">
        <v>81</v>
      </c>
      <c r="I7" s="50" t="s">
        <v>103</v>
      </c>
      <c r="J7" s="50"/>
      <c r="K7" s="50"/>
      <c r="L7" s="50" t="s">
        <v>79</v>
      </c>
      <c r="M7" s="50"/>
      <c r="N7" s="50"/>
    </row>
    <row r="8" spans="1:14" s="46" customFormat="1" ht="51">
      <c r="A8" s="57">
        <v>6</v>
      </c>
      <c r="B8" s="57" t="s">
        <v>6</v>
      </c>
      <c r="C8" s="57" t="s">
        <v>42</v>
      </c>
      <c r="D8" s="51" t="s">
        <v>82</v>
      </c>
      <c r="E8" s="57" t="s">
        <v>3</v>
      </c>
      <c r="F8" s="57" t="s">
        <v>56</v>
      </c>
      <c r="G8" s="57" t="s">
        <v>1</v>
      </c>
      <c r="H8" s="50" t="s">
        <v>81</v>
      </c>
      <c r="I8" s="50" t="s">
        <v>103</v>
      </c>
      <c r="J8" s="50"/>
      <c r="K8" s="50"/>
      <c r="L8" s="50"/>
      <c r="M8" s="50"/>
      <c r="N8" s="50"/>
    </row>
    <row r="9" spans="1:14" s="46" customFormat="1" ht="76.5">
      <c r="A9" s="57">
        <v>7</v>
      </c>
      <c r="B9" s="57" t="s">
        <v>6</v>
      </c>
      <c r="C9" s="57" t="s">
        <v>6</v>
      </c>
      <c r="D9" s="51" t="s">
        <v>83</v>
      </c>
      <c r="E9" s="57" t="s">
        <v>2</v>
      </c>
      <c r="F9" s="57" t="s">
        <v>56</v>
      </c>
      <c r="G9" s="57" t="s">
        <v>1</v>
      </c>
      <c r="H9" s="50" t="s">
        <v>81</v>
      </c>
      <c r="I9" s="50" t="s">
        <v>103</v>
      </c>
      <c r="J9" s="50"/>
      <c r="K9" s="50"/>
      <c r="L9" s="50" t="s">
        <v>84</v>
      </c>
      <c r="M9" s="50"/>
      <c r="N9" s="50"/>
    </row>
    <row r="10" spans="1:14" s="46" customFormat="1" ht="76.5">
      <c r="A10" s="57">
        <v>8</v>
      </c>
      <c r="B10" s="57" t="s">
        <v>26</v>
      </c>
      <c r="C10" s="57" t="s">
        <v>6</v>
      </c>
      <c r="D10" s="51" t="s">
        <v>87</v>
      </c>
      <c r="E10" s="57" t="s">
        <v>55</v>
      </c>
      <c r="F10" s="57" t="s">
        <v>58</v>
      </c>
      <c r="G10" s="57" t="s">
        <v>1</v>
      </c>
      <c r="H10" s="50" t="s">
        <v>81</v>
      </c>
      <c r="I10" s="50" t="s">
        <v>103</v>
      </c>
      <c r="J10" s="50"/>
      <c r="K10" s="50"/>
      <c r="L10" s="50" t="s">
        <v>85</v>
      </c>
      <c r="M10" s="50"/>
      <c r="N10" s="50"/>
    </row>
    <row r="11" spans="1:14" s="46" customFormat="1" ht="89.25">
      <c r="A11" s="57">
        <v>9</v>
      </c>
      <c r="B11" s="57" t="s">
        <v>26</v>
      </c>
      <c r="C11" s="57" t="s">
        <v>6</v>
      </c>
      <c r="D11" s="51" t="s">
        <v>88</v>
      </c>
      <c r="E11" s="57" t="s">
        <v>3</v>
      </c>
      <c r="F11" s="57" t="s">
        <v>56</v>
      </c>
      <c r="G11" s="57" t="s">
        <v>1</v>
      </c>
      <c r="H11" s="50" t="s">
        <v>81</v>
      </c>
      <c r="I11" s="50" t="s">
        <v>103</v>
      </c>
      <c r="J11" s="50"/>
      <c r="K11" s="50"/>
      <c r="L11" s="50" t="s">
        <v>86</v>
      </c>
      <c r="M11" s="50"/>
      <c r="N11" s="50"/>
    </row>
    <row r="12" spans="1:14" s="46" customFormat="1" ht="267.75">
      <c r="A12" s="57">
        <v>10</v>
      </c>
      <c r="B12" s="57" t="s">
        <v>26</v>
      </c>
      <c r="C12" s="57" t="s">
        <v>6</v>
      </c>
      <c r="D12" s="51" t="s">
        <v>135</v>
      </c>
      <c r="E12" s="57" t="s">
        <v>2</v>
      </c>
      <c r="F12" s="57" t="s">
        <v>58</v>
      </c>
      <c r="G12" s="57" t="s">
        <v>1</v>
      </c>
      <c r="H12" s="50" t="s">
        <v>81</v>
      </c>
      <c r="I12" s="50" t="s">
        <v>103</v>
      </c>
      <c r="J12" s="50"/>
      <c r="K12" s="50"/>
      <c r="L12" s="50" t="s">
        <v>89</v>
      </c>
      <c r="M12" s="50"/>
      <c r="N12" s="50"/>
    </row>
    <row r="13" spans="1:14" s="46" customFormat="1" ht="89.25">
      <c r="A13" s="57">
        <v>11</v>
      </c>
      <c r="B13" s="57" t="s">
        <v>26</v>
      </c>
      <c r="C13" s="57" t="s">
        <v>6</v>
      </c>
      <c r="D13" s="51" t="s">
        <v>144</v>
      </c>
      <c r="E13" s="57" t="s">
        <v>2</v>
      </c>
      <c r="F13" s="57" t="s">
        <v>58</v>
      </c>
      <c r="G13" s="57" t="s">
        <v>1</v>
      </c>
      <c r="H13" s="50" t="s">
        <v>81</v>
      </c>
      <c r="I13" s="50" t="s">
        <v>103</v>
      </c>
      <c r="J13" s="50"/>
      <c r="K13" s="50"/>
      <c r="L13" s="50"/>
      <c r="M13" s="50"/>
      <c r="N13" s="50"/>
    </row>
    <row r="14" spans="1:14" s="46" customFormat="1" ht="76.5">
      <c r="A14" s="57">
        <v>12</v>
      </c>
      <c r="B14" s="57" t="s">
        <v>26</v>
      </c>
      <c r="C14" s="57" t="s">
        <v>40</v>
      </c>
      <c r="D14" s="51" t="s">
        <v>118</v>
      </c>
      <c r="E14" s="57" t="s">
        <v>2</v>
      </c>
      <c r="F14" s="57" t="s">
        <v>56</v>
      </c>
      <c r="G14" s="57" t="s">
        <v>1</v>
      </c>
      <c r="H14" s="54" t="s">
        <v>81</v>
      </c>
      <c r="I14" s="50" t="s">
        <v>103</v>
      </c>
      <c r="J14" s="50"/>
      <c r="K14" s="50"/>
      <c r="L14" s="50" t="s">
        <v>115</v>
      </c>
      <c r="M14" s="50"/>
      <c r="N14" s="50"/>
    </row>
    <row r="15" spans="1:14" s="46" customFormat="1" ht="76.5">
      <c r="A15" s="57">
        <v>13</v>
      </c>
      <c r="B15" s="57" t="s">
        <v>26</v>
      </c>
      <c r="C15" s="57" t="s">
        <v>40</v>
      </c>
      <c r="D15" s="51" t="s">
        <v>116</v>
      </c>
      <c r="E15" s="57" t="s">
        <v>2</v>
      </c>
      <c r="F15" s="57" t="s">
        <v>58</v>
      </c>
      <c r="G15" s="57" t="s">
        <v>1</v>
      </c>
      <c r="H15" s="54" t="s">
        <v>81</v>
      </c>
      <c r="I15" s="50" t="s">
        <v>103</v>
      </c>
      <c r="J15" s="50"/>
      <c r="K15" s="50"/>
      <c r="L15" s="50" t="s">
        <v>117</v>
      </c>
      <c r="M15" s="50"/>
      <c r="N15" s="50"/>
    </row>
    <row r="16" spans="1:14" s="46" customFormat="1" ht="178.5">
      <c r="A16" s="57">
        <v>14</v>
      </c>
      <c r="B16" s="57" t="s">
        <v>26</v>
      </c>
      <c r="C16" s="57" t="s">
        <v>6</v>
      </c>
      <c r="D16" s="51" t="s">
        <v>134</v>
      </c>
      <c r="E16" s="57" t="s">
        <v>55</v>
      </c>
      <c r="F16" s="57" t="s">
        <v>58</v>
      </c>
      <c r="G16" s="57" t="s">
        <v>1</v>
      </c>
      <c r="H16" s="54" t="s">
        <v>81</v>
      </c>
      <c r="I16" s="50" t="s">
        <v>103</v>
      </c>
      <c r="J16" s="50"/>
      <c r="K16" s="50"/>
      <c r="L16" s="50"/>
      <c r="M16" s="50"/>
      <c r="N16" s="50"/>
    </row>
    <row r="17" spans="1:14" s="46" customFormat="1" ht="89.25">
      <c r="A17" s="57">
        <v>15</v>
      </c>
      <c r="B17" s="57" t="s">
        <v>26</v>
      </c>
      <c r="C17" s="57" t="s">
        <v>6</v>
      </c>
      <c r="D17" s="51" t="s">
        <v>120</v>
      </c>
      <c r="E17" s="57" t="s">
        <v>2</v>
      </c>
      <c r="F17" s="57" t="s">
        <v>58</v>
      </c>
      <c r="G17" s="57" t="s">
        <v>1</v>
      </c>
      <c r="H17" s="54" t="s">
        <v>81</v>
      </c>
      <c r="I17" s="50" t="s">
        <v>103</v>
      </c>
      <c r="J17" s="50"/>
      <c r="K17" s="50"/>
      <c r="L17" s="50" t="s">
        <v>119</v>
      </c>
      <c r="M17" s="50"/>
      <c r="N17" s="50"/>
    </row>
    <row r="18" spans="1:14" s="46" customFormat="1" ht="102">
      <c r="A18" s="57">
        <v>16</v>
      </c>
      <c r="B18" s="57" t="s">
        <v>26</v>
      </c>
      <c r="C18" s="57" t="s">
        <v>6</v>
      </c>
      <c r="D18" s="51" t="s">
        <v>121</v>
      </c>
      <c r="E18" s="57" t="s">
        <v>55</v>
      </c>
      <c r="F18" s="57" t="s">
        <v>58</v>
      </c>
      <c r="G18" s="57" t="s">
        <v>1</v>
      </c>
      <c r="H18" s="54" t="s">
        <v>81</v>
      </c>
      <c r="I18" s="50" t="s">
        <v>103</v>
      </c>
      <c r="J18" s="50"/>
      <c r="K18" s="50"/>
      <c r="L18" s="50"/>
      <c r="M18" s="50"/>
      <c r="N18" s="50"/>
    </row>
    <row r="19" spans="1:14" s="46" customFormat="1" ht="63.75">
      <c r="A19" s="57">
        <v>17</v>
      </c>
      <c r="B19" s="57" t="s">
        <v>26</v>
      </c>
      <c r="C19" s="57" t="s">
        <v>8</v>
      </c>
      <c r="D19" s="51" t="s">
        <v>122</v>
      </c>
      <c r="E19" s="57" t="s">
        <v>2</v>
      </c>
      <c r="F19" s="57" t="s">
        <v>58</v>
      </c>
      <c r="G19" s="57" t="s">
        <v>1</v>
      </c>
      <c r="H19" s="54" t="s">
        <v>81</v>
      </c>
      <c r="I19" s="50" t="s">
        <v>103</v>
      </c>
      <c r="J19" s="50"/>
      <c r="K19" s="50"/>
      <c r="L19" s="50"/>
      <c r="M19" s="50"/>
      <c r="N19" s="50"/>
    </row>
    <row r="20" spans="1:14" s="46" customFormat="1" ht="76.5">
      <c r="A20" s="57">
        <v>18</v>
      </c>
      <c r="B20" s="57" t="s">
        <v>26</v>
      </c>
      <c r="C20" s="57" t="s">
        <v>138</v>
      </c>
      <c r="D20" s="51" t="s">
        <v>123</v>
      </c>
      <c r="E20" s="57" t="s">
        <v>2</v>
      </c>
      <c r="F20" s="57" t="s">
        <v>56</v>
      </c>
      <c r="G20" s="57" t="s">
        <v>1</v>
      </c>
      <c r="H20" s="54" t="s">
        <v>81</v>
      </c>
      <c r="I20" s="50" t="s">
        <v>103</v>
      </c>
      <c r="J20" s="50"/>
      <c r="K20" s="50"/>
      <c r="L20" s="50"/>
      <c r="M20" s="50"/>
      <c r="N20" s="50"/>
    </row>
    <row r="21" spans="1:14" s="46" customFormat="1" ht="89.25">
      <c r="A21" s="57">
        <v>19</v>
      </c>
      <c r="B21" s="57" t="s">
        <v>26</v>
      </c>
      <c r="C21" s="57" t="s">
        <v>6</v>
      </c>
      <c r="D21" s="51" t="s">
        <v>124</v>
      </c>
      <c r="E21" s="57" t="s">
        <v>2</v>
      </c>
      <c r="F21" s="57" t="s">
        <v>56</v>
      </c>
      <c r="G21" s="57" t="s">
        <v>1</v>
      </c>
      <c r="H21" s="54" t="s">
        <v>81</v>
      </c>
      <c r="I21" s="50" t="s">
        <v>103</v>
      </c>
      <c r="J21" s="50"/>
      <c r="K21" s="50"/>
      <c r="L21" s="50"/>
      <c r="M21" s="50"/>
      <c r="N21" s="50"/>
    </row>
    <row r="22" spans="1:14" s="46" customFormat="1" ht="76.5">
      <c r="A22" s="57">
        <v>20</v>
      </c>
      <c r="B22" s="57" t="s">
        <v>26</v>
      </c>
      <c r="C22" s="57" t="s">
        <v>6</v>
      </c>
      <c r="D22" s="51" t="s">
        <v>125</v>
      </c>
      <c r="E22" s="57" t="s">
        <v>2</v>
      </c>
      <c r="F22" s="57" t="s">
        <v>58</v>
      </c>
      <c r="G22" s="57" t="s">
        <v>1</v>
      </c>
      <c r="H22" s="54" t="s">
        <v>81</v>
      </c>
      <c r="I22" s="50" t="s">
        <v>103</v>
      </c>
      <c r="J22" s="50"/>
      <c r="K22" s="50"/>
      <c r="L22" s="50" t="s">
        <v>126</v>
      </c>
      <c r="M22" s="50"/>
      <c r="N22" s="50"/>
    </row>
    <row r="23" spans="1:14" s="46" customFormat="1" ht="382.5">
      <c r="A23" s="57">
        <v>21</v>
      </c>
      <c r="B23" s="57" t="s">
        <v>26</v>
      </c>
      <c r="C23" s="57" t="s">
        <v>138</v>
      </c>
      <c r="D23" s="51" t="s">
        <v>129</v>
      </c>
      <c r="E23" s="57" t="s">
        <v>2</v>
      </c>
      <c r="F23" s="57" t="s">
        <v>58</v>
      </c>
      <c r="G23" s="57" t="s">
        <v>1</v>
      </c>
      <c r="H23" s="54" t="s">
        <v>81</v>
      </c>
      <c r="I23" s="50" t="s">
        <v>103</v>
      </c>
      <c r="J23" s="50"/>
      <c r="K23" s="50"/>
      <c r="L23" s="50"/>
      <c r="M23" s="50"/>
      <c r="N23" s="50"/>
    </row>
    <row r="24" spans="1:14" s="46" customFormat="1" ht="114.75">
      <c r="A24" s="57">
        <v>22</v>
      </c>
      <c r="B24" s="57" t="s">
        <v>26</v>
      </c>
      <c r="C24" s="57" t="s">
        <v>138</v>
      </c>
      <c r="D24" s="51" t="s">
        <v>130</v>
      </c>
      <c r="E24" s="57" t="s">
        <v>2</v>
      </c>
      <c r="F24" s="57" t="s">
        <v>58</v>
      </c>
      <c r="G24" s="57" t="s">
        <v>1</v>
      </c>
      <c r="H24" s="54" t="s">
        <v>81</v>
      </c>
      <c r="I24" s="50" t="s">
        <v>103</v>
      </c>
      <c r="J24" s="50"/>
      <c r="K24" s="50"/>
      <c r="L24" s="50"/>
      <c r="M24" s="50"/>
      <c r="N24" s="50"/>
    </row>
    <row r="25" spans="1:14" s="46" customFormat="1" ht="229.5">
      <c r="A25" s="57">
        <v>23</v>
      </c>
      <c r="B25" s="57" t="s">
        <v>26</v>
      </c>
      <c r="C25" s="57" t="s">
        <v>141</v>
      </c>
      <c r="D25" s="51" t="s">
        <v>131</v>
      </c>
      <c r="E25" s="57" t="s">
        <v>2</v>
      </c>
      <c r="F25" s="57" t="s">
        <v>56</v>
      </c>
      <c r="G25" s="57" t="s">
        <v>1</v>
      </c>
      <c r="H25" s="50" t="s">
        <v>81</v>
      </c>
      <c r="I25" s="50" t="s">
        <v>103</v>
      </c>
      <c r="J25" s="50"/>
      <c r="K25" s="50"/>
      <c r="L25" s="50" t="s">
        <v>132</v>
      </c>
      <c r="M25" s="50"/>
      <c r="N25" s="50"/>
    </row>
    <row r="26" spans="1:14" s="46" customFormat="1" ht="102">
      <c r="A26" s="57">
        <v>24</v>
      </c>
      <c r="B26" s="57" t="s">
        <v>26</v>
      </c>
      <c r="C26" s="57" t="s">
        <v>141</v>
      </c>
      <c r="D26" s="51" t="s">
        <v>133</v>
      </c>
      <c r="E26" s="57" t="s">
        <v>3</v>
      </c>
      <c r="F26" s="57" t="s">
        <v>56</v>
      </c>
      <c r="G26" s="57" t="s">
        <v>1</v>
      </c>
      <c r="H26" s="50" t="s">
        <v>81</v>
      </c>
      <c r="I26" s="50" t="s">
        <v>103</v>
      </c>
      <c r="J26" s="50"/>
      <c r="K26" s="50"/>
      <c r="L26" s="50"/>
      <c r="M26" s="50"/>
      <c r="N26" s="50"/>
    </row>
    <row r="27" spans="1:14" s="46" customFormat="1" ht="140.25">
      <c r="A27" s="57">
        <v>25</v>
      </c>
      <c r="B27" s="57" t="s">
        <v>26</v>
      </c>
      <c r="C27" s="57" t="s">
        <v>139</v>
      </c>
      <c r="D27" s="51" t="s">
        <v>136</v>
      </c>
      <c r="E27" s="57" t="s">
        <v>3</v>
      </c>
      <c r="F27" s="57" t="s">
        <v>56</v>
      </c>
      <c r="G27" s="57" t="s">
        <v>1</v>
      </c>
      <c r="H27" s="50" t="s">
        <v>81</v>
      </c>
      <c r="I27" s="50" t="s">
        <v>103</v>
      </c>
      <c r="J27" s="50"/>
      <c r="K27" s="50"/>
      <c r="L27" s="50"/>
      <c r="M27" s="50"/>
      <c r="N27" s="50"/>
    </row>
    <row r="28" spans="1:14" s="46" customFormat="1" ht="140.25">
      <c r="A28" s="57">
        <v>26</v>
      </c>
      <c r="B28" s="57" t="s">
        <v>26</v>
      </c>
      <c r="C28" s="57" t="s">
        <v>139</v>
      </c>
      <c r="D28" s="51" t="s">
        <v>137</v>
      </c>
      <c r="E28" s="57" t="s">
        <v>3</v>
      </c>
      <c r="F28" s="57" t="s">
        <v>56</v>
      </c>
      <c r="G28" s="57" t="s">
        <v>1</v>
      </c>
      <c r="H28" s="50" t="s">
        <v>81</v>
      </c>
      <c r="I28" s="50" t="s">
        <v>103</v>
      </c>
      <c r="J28" s="50"/>
      <c r="K28" s="50"/>
      <c r="L28" s="50"/>
      <c r="M28" s="50"/>
      <c r="N28" s="50"/>
    </row>
    <row r="29" spans="1:14" s="46" customFormat="1" ht="140.25">
      <c r="A29" s="57">
        <v>27</v>
      </c>
      <c r="B29" s="57" t="s">
        <v>26</v>
      </c>
      <c r="C29" s="57" t="s">
        <v>140</v>
      </c>
      <c r="D29" s="51" t="s">
        <v>142</v>
      </c>
      <c r="E29" s="57" t="s">
        <v>3</v>
      </c>
      <c r="F29" s="57" t="s">
        <v>56</v>
      </c>
      <c r="G29" s="57" t="s">
        <v>1</v>
      </c>
      <c r="H29" s="50" t="s">
        <v>81</v>
      </c>
      <c r="I29" s="50" t="s">
        <v>103</v>
      </c>
      <c r="J29" s="50"/>
      <c r="K29" s="50"/>
      <c r="L29" s="50"/>
      <c r="M29" s="50"/>
      <c r="N29" s="50"/>
    </row>
    <row r="30" spans="1:14" s="46" customFormat="1" ht="127.5">
      <c r="A30" s="57">
        <v>28</v>
      </c>
      <c r="B30" s="57" t="s">
        <v>26</v>
      </c>
      <c r="C30" s="57" t="s">
        <v>140</v>
      </c>
      <c r="D30" s="51" t="s">
        <v>143</v>
      </c>
      <c r="E30" s="57" t="s">
        <v>3</v>
      </c>
      <c r="F30" s="57" t="s">
        <v>56</v>
      </c>
      <c r="G30" s="57" t="s">
        <v>1</v>
      </c>
      <c r="H30" s="50" t="s">
        <v>81</v>
      </c>
      <c r="I30" s="50" t="s">
        <v>103</v>
      </c>
      <c r="J30" s="50"/>
      <c r="K30" s="50"/>
      <c r="L30" s="50"/>
      <c r="M30" s="50"/>
      <c r="N30" s="50"/>
    </row>
    <row r="31" spans="1:14" s="46" customFormat="1" ht="15">
      <c r="A31" s="58"/>
      <c r="B31" s="58"/>
      <c r="C31" s="58"/>
      <c r="D31" s="53"/>
      <c r="E31" s="58"/>
      <c r="F31" s="58"/>
      <c r="G31" s="58"/>
      <c r="H31" s="52"/>
      <c r="I31" s="52"/>
      <c r="J31" s="52"/>
      <c r="K31" s="52"/>
      <c r="L31" s="52"/>
      <c r="M31" s="52"/>
      <c r="N31" s="52"/>
    </row>
    <row r="32" spans="1:14" s="46" customFormat="1" ht="15">
      <c r="A32" s="58"/>
      <c r="B32" s="58"/>
      <c r="C32" s="58"/>
      <c r="D32" s="53"/>
      <c r="E32" s="58"/>
      <c r="F32" s="58"/>
      <c r="G32" s="58"/>
      <c r="H32" s="52"/>
      <c r="I32" s="52"/>
      <c r="J32" s="52"/>
      <c r="K32" s="52"/>
      <c r="L32" s="52"/>
      <c r="M32" s="52"/>
      <c r="N32" s="52"/>
    </row>
    <row r="33" spans="1:14" s="46" customFormat="1" ht="15">
      <c r="A33" s="58"/>
      <c r="B33" s="58"/>
      <c r="C33" s="58"/>
      <c r="D33" s="53"/>
      <c r="E33" s="58"/>
      <c r="F33" s="58"/>
      <c r="G33" s="58"/>
      <c r="H33" s="52"/>
      <c r="I33" s="52"/>
      <c r="J33" s="52"/>
      <c r="K33" s="52"/>
      <c r="L33" s="52"/>
      <c r="M33" s="52"/>
      <c r="N33" s="52"/>
    </row>
    <row r="34" spans="1:14" s="46" customFormat="1" ht="15">
      <c r="A34" s="58"/>
      <c r="B34" s="58"/>
      <c r="C34" s="58"/>
      <c r="D34" s="53"/>
      <c r="E34" s="58"/>
      <c r="F34" s="58"/>
      <c r="G34" s="58"/>
      <c r="H34" s="52"/>
      <c r="I34" s="52"/>
      <c r="J34" s="52"/>
      <c r="K34" s="52"/>
      <c r="L34" s="52"/>
      <c r="M34" s="52"/>
      <c r="N34" s="52"/>
    </row>
    <row r="35" spans="1:14" s="46" customFormat="1" ht="15">
      <c r="A35" s="58"/>
      <c r="B35" s="58"/>
      <c r="C35" s="58"/>
      <c r="D35" s="53"/>
      <c r="E35" s="58"/>
      <c r="F35" s="58"/>
      <c r="G35" s="58"/>
      <c r="H35" s="52"/>
      <c r="I35" s="52"/>
      <c r="J35" s="52"/>
      <c r="K35" s="52"/>
      <c r="L35" s="52"/>
      <c r="M35" s="52"/>
      <c r="N35" s="52"/>
    </row>
    <row r="36" spans="1:14" s="46" customFormat="1" ht="15">
      <c r="A36" s="58"/>
      <c r="B36" s="58"/>
      <c r="C36" s="58"/>
      <c r="D36" s="53"/>
      <c r="E36" s="58"/>
      <c r="F36" s="58"/>
      <c r="G36" s="58"/>
      <c r="H36" s="52"/>
      <c r="I36" s="52"/>
      <c r="J36" s="52"/>
      <c r="K36" s="52"/>
      <c r="L36" s="52"/>
      <c r="M36" s="52"/>
      <c r="N36" s="52"/>
    </row>
    <row r="37" spans="1:14" s="46" customFormat="1" ht="15">
      <c r="A37" s="58"/>
      <c r="B37" s="58"/>
      <c r="C37" s="58"/>
      <c r="D37" s="53"/>
      <c r="E37" s="58"/>
      <c r="F37" s="58"/>
      <c r="G37" s="58"/>
      <c r="H37" s="52"/>
      <c r="I37" s="52"/>
      <c r="J37" s="52"/>
      <c r="K37" s="52"/>
      <c r="L37" s="52"/>
      <c r="M37" s="52"/>
      <c r="N37" s="52"/>
    </row>
    <row r="38" spans="1:14" s="46" customFormat="1" ht="15">
      <c r="A38" s="58"/>
      <c r="B38" s="58"/>
      <c r="C38" s="58"/>
      <c r="D38" s="53"/>
      <c r="E38" s="58"/>
      <c r="F38" s="58"/>
      <c r="G38" s="58"/>
      <c r="H38" s="52"/>
      <c r="I38" s="52"/>
      <c r="J38" s="52"/>
      <c r="K38" s="52"/>
      <c r="L38" s="52"/>
      <c r="M38" s="52"/>
      <c r="N38" s="52"/>
    </row>
    <row r="39" spans="1:14" s="46" customFormat="1" ht="15">
      <c r="A39" s="58"/>
      <c r="B39" s="58"/>
      <c r="C39" s="58"/>
      <c r="D39" s="53"/>
      <c r="E39" s="58"/>
      <c r="F39" s="58"/>
      <c r="G39" s="58"/>
      <c r="H39" s="52"/>
      <c r="I39" s="52"/>
      <c r="J39" s="52"/>
      <c r="K39" s="52"/>
      <c r="L39" s="52"/>
      <c r="M39" s="52"/>
      <c r="N39" s="52"/>
    </row>
    <row r="40" spans="1:14" s="46" customFormat="1" ht="15">
      <c r="A40" s="58"/>
      <c r="B40" s="58"/>
      <c r="C40" s="58"/>
      <c r="D40" s="53"/>
      <c r="E40" s="58"/>
      <c r="F40" s="58"/>
      <c r="G40" s="58"/>
      <c r="H40" s="52"/>
      <c r="I40" s="52"/>
      <c r="J40" s="52"/>
      <c r="K40" s="52"/>
      <c r="L40" s="52"/>
      <c r="M40" s="52"/>
      <c r="N40" s="52"/>
    </row>
    <row r="41" spans="1:14" s="46" customFormat="1" ht="15">
      <c r="A41" s="58"/>
      <c r="B41" s="58"/>
      <c r="C41" s="58"/>
      <c r="D41" s="53"/>
      <c r="E41" s="58"/>
      <c r="F41" s="58"/>
      <c r="G41" s="58"/>
      <c r="H41" s="52"/>
      <c r="I41" s="52"/>
      <c r="J41" s="52"/>
      <c r="K41" s="52"/>
      <c r="L41" s="52"/>
      <c r="M41" s="52"/>
      <c r="N41" s="52"/>
    </row>
    <row r="42" spans="1:14" s="46" customFormat="1" ht="15">
      <c r="A42" s="58"/>
      <c r="B42" s="58"/>
      <c r="C42" s="58"/>
      <c r="D42" s="53"/>
      <c r="E42" s="58"/>
      <c r="F42" s="58"/>
      <c r="G42" s="58"/>
      <c r="H42" s="52"/>
      <c r="I42" s="52"/>
      <c r="J42" s="52"/>
      <c r="K42" s="52"/>
      <c r="L42" s="52"/>
      <c r="M42" s="52"/>
      <c r="N42" s="52"/>
    </row>
    <row r="43" spans="1:14" s="46" customFormat="1" ht="15">
      <c r="A43" s="58"/>
      <c r="B43" s="58"/>
      <c r="C43" s="58"/>
      <c r="D43" s="53"/>
      <c r="E43" s="58"/>
      <c r="F43" s="58"/>
      <c r="G43" s="58"/>
      <c r="H43" s="52"/>
      <c r="I43" s="52"/>
      <c r="J43" s="52"/>
      <c r="K43" s="52"/>
      <c r="L43" s="52"/>
      <c r="M43" s="52"/>
      <c r="N43" s="52"/>
    </row>
    <row r="44" spans="1:14" s="46" customFormat="1" ht="15">
      <c r="A44" s="58"/>
      <c r="B44" s="58"/>
      <c r="C44" s="58"/>
      <c r="D44" s="53"/>
      <c r="E44" s="58"/>
      <c r="F44" s="58"/>
      <c r="G44" s="58"/>
      <c r="H44" s="52"/>
      <c r="I44" s="52"/>
      <c r="J44" s="52"/>
      <c r="K44" s="52"/>
      <c r="L44" s="52"/>
      <c r="M44" s="52"/>
      <c r="N44" s="52"/>
    </row>
    <row r="45" spans="1:14" s="46" customFormat="1" ht="15">
      <c r="A45" s="58"/>
      <c r="B45" s="58"/>
      <c r="C45" s="58"/>
      <c r="D45" s="53"/>
      <c r="E45" s="58"/>
      <c r="F45" s="58"/>
      <c r="G45" s="58"/>
      <c r="H45" s="52"/>
      <c r="I45" s="52"/>
      <c r="J45" s="52"/>
      <c r="K45" s="52"/>
      <c r="L45" s="52"/>
      <c r="M45" s="52"/>
      <c r="N45" s="52"/>
    </row>
    <row r="46" spans="1:14" s="46" customFormat="1" ht="15">
      <c r="A46" s="58"/>
      <c r="B46" s="58"/>
      <c r="C46" s="58"/>
      <c r="D46" s="53"/>
      <c r="E46" s="58"/>
      <c r="F46" s="58"/>
      <c r="G46" s="58"/>
      <c r="H46" s="52"/>
      <c r="I46" s="52"/>
      <c r="J46" s="52"/>
      <c r="K46" s="52"/>
      <c r="L46" s="52"/>
      <c r="M46" s="52"/>
      <c r="N46" s="52"/>
    </row>
    <row r="47" spans="1:14" s="46" customFormat="1" ht="15">
      <c r="A47" s="58"/>
      <c r="B47" s="58"/>
      <c r="C47" s="58"/>
      <c r="D47" s="53"/>
      <c r="E47" s="58"/>
      <c r="F47" s="58"/>
      <c r="G47" s="58"/>
      <c r="H47" s="52"/>
      <c r="I47" s="52"/>
      <c r="J47" s="52"/>
      <c r="K47" s="52"/>
      <c r="L47" s="52"/>
      <c r="M47" s="52"/>
      <c r="N47" s="52"/>
    </row>
    <row r="48" spans="1:14" s="46" customFormat="1" ht="15">
      <c r="A48" s="58"/>
      <c r="B48" s="58"/>
      <c r="C48" s="58"/>
      <c r="D48" s="53"/>
      <c r="E48" s="58"/>
      <c r="F48" s="58"/>
      <c r="G48" s="58"/>
      <c r="H48" s="52"/>
      <c r="I48" s="52"/>
      <c r="J48" s="52"/>
      <c r="K48" s="52"/>
      <c r="L48" s="52"/>
      <c r="M48" s="52"/>
      <c r="N48" s="52"/>
    </row>
    <row r="49" spans="1:14" s="46" customFormat="1" ht="15">
      <c r="A49" s="58"/>
      <c r="B49" s="58"/>
      <c r="C49" s="58"/>
      <c r="D49" s="53"/>
      <c r="E49" s="58"/>
      <c r="F49" s="58"/>
      <c r="G49" s="58"/>
      <c r="H49" s="52"/>
      <c r="I49" s="52"/>
      <c r="J49" s="52"/>
      <c r="K49" s="52"/>
      <c r="L49" s="52"/>
      <c r="M49" s="52"/>
      <c r="N49" s="52"/>
    </row>
    <row r="50" spans="1:14" s="46" customFormat="1" ht="15">
      <c r="A50" s="58"/>
      <c r="B50" s="58"/>
      <c r="C50" s="58"/>
      <c r="D50" s="53"/>
      <c r="E50" s="58"/>
      <c r="F50" s="58"/>
      <c r="G50" s="58"/>
      <c r="H50" s="52"/>
      <c r="I50" s="52"/>
      <c r="J50" s="52"/>
      <c r="K50" s="52"/>
      <c r="L50" s="52"/>
      <c r="M50" s="52"/>
      <c r="N50" s="52"/>
    </row>
    <row r="51" spans="1:14" s="46" customFormat="1" ht="15">
      <c r="A51" s="58"/>
      <c r="B51" s="58"/>
      <c r="C51" s="58"/>
      <c r="D51" s="53"/>
      <c r="E51" s="58"/>
      <c r="F51" s="58"/>
      <c r="G51" s="58"/>
      <c r="H51" s="52"/>
      <c r="I51" s="52"/>
      <c r="J51" s="52"/>
      <c r="K51" s="52"/>
      <c r="L51" s="52"/>
      <c r="M51" s="52"/>
      <c r="N51" s="52"/>
    </row>
    <row r="52" spans="1:14" s="46" customFormat="1" ht="15">
      <c r="A52" s="58"/>
      <c r="B52" s="58"/>
      <c r="C52" s="58"/>
      <c r="D52" s="53"/>
      <c r="E52" s="58"/>
      <c r="F52" s="58"/>
      <c r="G52" s="58"/>
      <c r="H52" s="52"/>
      <c r="I52" s="52"/>
      <c r="J52" s="52"/>
      <c r="K52" s="52"/>
      <c r="L52" s="52"/>
      <c r="M52" s="52"/>
      <c r="N52" s="52"/>
    </row>
    <row r="53" spans="1:14" s="46" customFormat="1" ht="15">
      <c r="A53" s="58"/>
      <c r="B53" s="58"/>
      <c r="C53" s="58"/>
      <c r="D53" s="53"/>
      <c r="E53" s="58"/>
      <c r="F53" s="58"/>
      <c r="G53" s="58"/>
      <c r="H53" s="52"/>
      <c r="I53" s="52"/>
      <c r="J53" s="52"/>
      <c r="K53" s="52"/>
      <c r="L53" s="52"/>
      <c r="M53" s="52"/>
      <c r="N53" s="52"/>
    </row>
    <row r="54" spans="1:14" s="46" customFormat="1" ht="15">
      <c r="A54" s="58"/>
      <c r="B54" s="58"/>
      <c r="C54" s="58"/>
      <c r="D54" s="53"/>
      <c r="E54" s="58"/>
      <c r="F54" s="58"/>
      <c r="G54" s="58"/>
      <c r="H54" s="52"/>
      <c r="I54" s="52"/>
      <c r="J54" s="52"/>
      <c r="K54" s="52"/>
      <c r="L54" s="52"/>
      <c r="M54" s="52"/>
      <c r="N54" s="52"/>
    </row>
    <row r="55" spans="1:14" s="46" customFormat="1" ht="15">
      <c r="A55" s="58"/>
      <c r="B55" s="58"/>
      <c r="C55" s="58"/>
      <c r="D55" s="53"/>
      <c r="E55" s="58"/>
      <c r="F55" s="58"/>
      <c r="G55" s="58"/>
      <c r="H55" s="52"/>
      <c r="I55" s="52"/>
      <c r="J55" s="52"/>
      <c r="K55" s="52"/>
      <c r="L55" s="52"/>
      <c r="M55" s="52"/>
      <c r="N55" s="52"/>
    </row>
    <row r="56" spans="1:14" s="46" customFormat="1" ht="15">
      <c r="A56" s="58"/>
      <c r="B56" s="58"/>
      <c r="C56" s="58"/>
      <c r="D56" s="53"/>
      <c r="E56" s="58"/>
      <c r="F56" s="58"/>
      <c r="G56" s="58"/>
      <c r="H56" s="52"/>
      <c r="I56" s="52"/>
      <c r="J56" s="52"/>
      <c r="K56" s="52"/>
      <c r="L56" s="52"/>
      <c r="M56" s="52"/>
      <c r="N56" s="52"/>
    </row>
    <row r="57" spans="1:14" s="46" customFormat="1" ht="15">
      <c r="A57" s="58"/>
      <c r="B57" s="58"/>
      <c r="C57" s="58"/>
      <c r="D57" s="53"/>
      <c r="E57" s="58"/>
      <c r="F57" s="58"/>
      <c r="G57" s="58"/>
      <c r="H57" s="52"/>
      <c r="I57" s="52"/>
      <c r="J57" s="52"/>
      <c r="K57" s="52"/>
      <c r="L57" s="52"/>
      <c r="M57" s="52"/>
      <c r="N57" s="52"/>
    </row>
    <row r="58" spans="1:14" s="46" customFormat="1" ht="15">
      <c r="A58" s="58"/>
      <c r="B58" s="58"/>
      <c r="C58" s="58"/>
      <c r="D58" s="53"/>
      <c r="E58" s="58"/>
      <c r="F58" s="58"/>
      <c r="G58" s="58"/>
      <c r="H58" s="52"/>
      <c r="I58" s="52"/>
      <c r="J58" s="52"/>
      <c r="K58" s="52"/>
      <c r="L58" s="52"/>
      <c r="M58" s="52"/>
      <c r="N58" s="52"/>
    </row>
    <row r="59" spans="1:14" s="46" customFormat="1" ht="15">
      <c r="A59" s="58"/>
      <c r="B59" s="58"/>
      <c r="C59" s="58"/>
      <c r="D59" s="53"/>
      <c r="E59" s="58"/>
      <c r="F59" s="58"/>
      <c r="G59" s="58"/>
      <c r="H59" s="52"/>
      <c r="I59" s="52"/>
      <c r="J59" s="52"/>
      <c r="K59" s="52"/>
      <c r="L59" s="52"/>
      <c r="M59" s="52"/>
      <c r="N59" s="52"/>
    </row>
    <row r="60" spans="1:14" s="46" customFormat="1" ht="15">
      <c r="A60" s="58"/>
      <c r="B60" s="58"/>
      <c r="C60" s="58"/>
      <c r="D60" s="53"/>
      <c r="E60" s="58"/>
      <c r="F60" s="58"/>
      <c r="G60" s="58"/>
      <c r="H60" s="52"/>
      <c r="I60" s="52"/>
      <c r="J60" s="52"/>
      <c r="K60" s="52"/>
      <c r="L60" s="52"/>
      <c r="M60" s="52"/>
      <c r="N60" s="52"/>
    </row>
    <row r="61" spans="1:14" s="46" customFormat="1" ht="15">
      <c r="A61" s="58"/>
      <c r="B61" s="58"/>
      <c r="C61" s="58"/>
      <c r="D61" s="53"/>
      <c r="E61" s="58"/>
      <c r="F61" s="58"/>
      <c r="G61" s="58"/>
      <c r="H61" s="52"/>
      <c r="I61" s="52"/>
      <c r="J61" s="52"/>
      <c r="K61" s="52"/>
      <c r="L61" s="52"/>
      <c r="M61" s="52"/>
      <c r="N61" s="52"/>
    </row>
    <row r="62" spans="1:14" s="46" customFormat="1" ht="15">
      <c r="A62" s="58"/>
      <c r="B62" s="58"/>
      <c r="C62" s="58"/>
      <c r="D62" s="53"/>
      <c r="E62" s="58"/>
      <c r="F62" s="58"/>
      <c r="G62" s="58"/>
      <c r="H62" s="52"/>
      <c r="I62" s="52"/>
      <c r="J62" s="52"/>
      <c r="K62" s="52"/>
      <c r="L62" s="52"/>
      <c r="M62" s="52"/>
      <c r="N62" s="52"/>
    </row>
    <row r="63" spans="1:14" s="46" customFormat="1" ht="15">
      <c r="A63" s="58"/>
      <c r="B63" s="58"/>
      <c r="C63" s="58"/>
      <c r="D63" s="53"/>
      <c r="E63" s="58"/>
      <c r="F63" s="58"/>
      <c r="G63" s="58"/>
      <c r="H63" s="52"/>
      <c r="I63" s="52"/>
      <c r="J63" s="52"/>
      <c r="K63" s="52"/>
      <c r="L63" s="52"/>
      <c r="M63" s="52"/>
      <c r="N63" s="52"/>
    </row>
    <row r="64" spans="1:14" s="46" customFormat="1" ht="15">
      <c r="A64" s="58"/>
      <c r="B64" s="58"/>
      <c r="C64" s="58"/>
      <c r="D64" s="53"/>
      <c r="E64" s="58"/>
      <c r="F64" s="58"/>
      <c r="G64" s="58"/>
      <c r="H64" s="52"/>
      <c r="I64" s="52"/>
      <c r="J64" s="52"/>
      <c r="K64" s="52"/>
      <c r="L64" s="52"/>
      <c r="M64" s="52"/>
      <c r="N64" s="52"/>
    </row>
    <row r="65" spans="1:14" s="46" customFormat="1" ht="15">
      <c r="A65" s="58"/>
      <c r="B65" s="58"/>
      <c r="C65" s="58"/>
      <c r="D65" s="53"/>
      <c r="E65" s="58"/>
      <c r="F65" s="58"/>
      <c r="G65" s="58"/>
      <c r="H65" s="52"/>
      <c r="I65" s="52"/>
      <c r="J65" s="52"/>
      <c r="K65" s="52"/>
      <c r="L65" s="52"/>
      <c r="M65" s="52"/>
      <c r="N65" s="52"/>
    </row>
    <row r="66" spans="1:14" s="46" customFormat="1" ht="15">
      <c r="A66" s="58"/>
      <c r="B66" s="58"/>
      <c r="C66" s="58"/>
      <c r="D66" s="53"/>
      <c r="E66" s="58"/>
      <c r="F66" s="58"/>
      <c r="G66" s="58"/>
      <c r="H66" s="52"/>
      <c r="I66" s="52"/>
      <c r="J66" s="52"/>
      <c r="K66" s="52"/>
      <c r="L66" s="52"/>
      <c r="M66" s="52"/>
      <c r="N66" s="52"/>
    </row>
    <row r="67" spans="1:14" s="46" customFormat="1" ht="15">
      <c r="A67" s="58"/>
      <c r="B67" s="58"/>
      <c r="C67" s="58"/>
      <c r="D67" s="53"/>
      <c r="E67" s="58"/>
      <c r="F67" s="58"/>
      <c r="G67" s="58"/>
      <c r="H67" s="52"/>
      <c r="I67" s="52"/>
      <c r="J67" s="52"/>
      <c r="K67" s="52"/>
      <c r="L67" s="52"/>
      <c r="M67" s="52"/>
      <c r="N67" s="52"/>
    </row>
    <row r="68" spans="1:14" s="46" customFormat="1" ht="15">
      <c r="A68" s="58"/>
      <c r="B68" s="58"/>
      <c r="C68" s="58"/>
      <c r="D68" s="53"/>
      <c r="E68" s="58"/>
      <c r="F68" s="58"/>
      <c r="G68" s="58"/>
      <c r="H68" s="52"/>
      <c r="I68" s="52"/>
      <c r="J68" s="52"/>
      <c r="K68" s="52"/>
      <c r="L68" s="52"/>
      <c r="M68" s="52"/>
      <c r="N68" s="52"/>
    </row>
    <row r="69" spans="1:14" s="46" customFormat="1" ht="15">
      <c r="A69" s="58"/>
      <c r="B69" s="58"/>
      <c r="C69" s="58"/>
      <c r="D69" s="53"/>
      <c r="E69" s="58"/>
      <c r="F69" s="58"/>
      <c r="G69" s="58"/>
      <c r="H69" s="52"/>
      <c r="I69" s="52"/>
      <c r="J69" s="52"/>
      <c r="K69" s="52"/>
      <c r="L69" s="52"/>
      <c r="M69" s="52"/>
      <c r="N69" s="52"/>
    </row>
    <row r="70" spans="1:14" s="46" customFormat="1" ht="15">
      <c r="A70" s="58"/>
      <c r="B70" s="58"/>
      <c r="C70" s="58"/>
      <c r="D70" s="53"/>
      <c r="E70" s="58"/>
      <c r="F70" s="58"/>
      <c r="G70" s="58"/>
      <c r="H70" s="52"/>
      <c r="I70" s="52"/>
      <c r="J70" s="52"/>
      <c r="K70" s="52"/>
      <c r="L70" s="52"/>
      <c r="M70" s="52"/>
      <c r="N70" s="52"/>
    </row>
    <row r="71" spans="1:14" s="46" customFormat="1" ht="15">
      <c r="A71" s="58"/>
      <c r="B71" s="58"/>
      <c r="C71" s="58"/>
      <c r="D71" s="53"/>
      <c r="E71" s="58"/>
      <c r="F71" s="58"/>
      <c r="G71" s="58"/>
      <c r="H71" s="52"/>
      <c r="I71" s="52"/>
      <c r="J71" s="52"/>
      <c r="K71" s="52"/>
      <c r="L71" s="52"/>
      <c r="M71" s="52"/>
      <c r="N71" s="52"/>
    </row>
    <row r="72" spans="1:14" s="46" customFormat="1" ht="15">
      <c r="A72" s="58"/>
      <c r="B72" s="58"/>
      <c r="C72" s="58"/>
      <c r="D72" s="53"/>
      <c r="E72" s="58"/>
      <c r="F72" s="58"/>
      <c r="G72" s="58"/>
      <c r="H72" s="52"/>
      <c r="I72" s="52"/>
      <c r="J72" s="52"/>
      <c r="K72" s="52"/>
      <c r="L72" s="52"/>
      <c r="M72" s="52"/>
      <c r="N72" s="52"/>
    </row>
    <row r="73" spans="1:14" s="46" customFormat="1" ht="15">
      <c r="A73" s="58"/>
      <c r="B73" s="58"/>
      <c r="C73" s="58"/>
      <c r="D73" s="53"/>
      <c r="E73" s="58"/>
      <c r="F73" s="58"/>
      <c r="G73" s="58"/>
      <c r="H73" s="52"/>
      <c r="I73" s="52"/>
      <c r="J73" s="52"/>
      <c r="K73" s="52"/>
      <c r="L73" s="52"/>
      <c r="M73" s="52"/>
      <c r="N73" s="52"/>
    </row>
    <row r="74" spans="1:14" s="46" customFormat="1" ht="15">
      <c r="A74" s="58"/>
      <c r="B74" s="58"/>
      <c r="C74" s="58"/>
      <c r="D74" s="53"/>
      <c r="E74" s="58"/>
      <c r="F74" s="58"/>
      <c r="G74" s="58"/>
      <c r="H74" s="52"/>
      <c r="I74" s="52"/>
      <c r="J74" s="52"/>
      <c r="K74" s="52"/>
      <c r="L74" s="52"/>
      <c r="M74" s="52"/>
      <c r="N74" s="52"/>
    </row>
    <row r="75" spans="1:14" s="46" customFormat="1" ht="15">
      <c r="A75" s="58"/>
      <c r="B75" s="58"/>
      <c r="C75" s="58"/>
      <c r="D75" s="53"/>
      <c r="E75" s="58"/>
      <c r="F75" s="58"/>
      <c r="G75" s="58"/>
      <c r="H75" s="52"/>
      <c r="I75" s="52"/>
      <c r="J75" s="52"/>
      <c r="K75" s="52"/>
      <c r="L75" s="52"/>
      <c r="M75" s="52"/>
      <c r="N75" s="52"/>
    </row>
    <row r="76" spans="1:14" s="46" customFormat="1" ht="15">
      <c r="A76" s="58"/>
      <c r="B76" s="58"/>
      <c r="C76" s="58"/>
      <c r="D76" s="53"/>
      <c r="E76" s="58"/>
      <c r="F76" s="58"/>
      <c r="G76" s="58"/>
      <c r="H76" s="52"/>
      <c r="I76" s="52"/>
      <c r="J76" s="52"/>
      <c r="K76" s="52"/>
      <c r="L76" s="52"/>
      <c r="M76" s="52"/>
      <c r="N76" s="52"/>
    </row>
    <row r="77" spans="1:14" s="46" customFormat="1" ht="15">
      <c r="A77" s="58"/>
      <c r="B77" s="58"/>
      <c r="C77" s="58"/>
      <c r="D77" s="53"/>
      <c r="E77" s="58"/>
      <c r="F77" s="58"/>
      <c r="G77" s="58"/>
      <c r="H77" s="52"/>
      <c r="I77" s="52"/>
      <c r="J77" s="52"/>
      <c r="K77" s="52"/>
      <c r="L77" s="52"/>
      <c r="M77" s="52"/>
      <c r="N77" s="52"/>
    </row>
    <row r="78" spans="1:14" s="46" customFormat="1" ht="15">
      <c r="A78" s="58"/>
      <c r="B78" s="58"/>
      <c r="C78" s="58"/>
      <c r="D78" s="53"/>
      <c r="E78" s="58"/>
      <c r="F78" s="58"/>
      <c r="G78" s="58"/>
      <c r="H78" s="52"/>
      <c r="I78" s="52"/>
      <c r="J78" s="52"/>
      <c r="K78" s="52"/>
      <c r="L78" s="52"/>
      <c r="M78" s="52"/>
      <c r="N78" s="52"/>
    </row>
    <row r="79" spans="1:14" s="46" customFormat="1" ht="15">
      <c r="A79" s="58"/>
      <c r="B79" s="58"/>
      <c r="C79" s="58"/>
      <c r="D79" s="53"/>
      <c r="E79" s="58"/>
      <c r="F79" s="58"/>
      <c r="G79" s="58"/>
      <c r="H79" s="52"/>
      <c r="I79" s="52"/>
      <c r="J79" s="52"/>
      <c r="K79" s="52"/>
      <c r="L79" s="52"/>
      <c r="M79" s="52"/>
      <c r="N79" s="52"/>
    </row>
    <row r="80" spans="1:14" s="46" customFormat="1" ht="15">
      <c r="A80" s="58"/>
      <c r="B80" s="58"/>
      <c r="C80" s="58"/>
      <c r="D80" s="53"/>
      <c r="E80" s="58"/>
      <c r="F80" s="58"/>
      <c r="G80" s="58"/>
      <c r="H80" s="52"/>
      <c r="I80" s="52"/>
      <c r="J80" s="52"/>
      <c r="K80" s="52"/>
      <c r="L80" s="52"/>
      <c r="M80" s="52"/>
      <c r="N80" s="52"/>
    </row>
    <row r="81" spans="1:14" s="46" customFormat="1" ht="15">
      <c r="A81" s="58"/>
      <c r="B81" s="58"/>
      <c r="C81" s="58"/>
      <c r="D81" s="53"/>
      <c r="E81" s="58"/>
      <c r="F81" s="58"/>
      <c r="G81" s="58"/>
      <c r="H81" s="52"/>
      <c r="I81" s="52"/>
      <c r="J81" s="52"/>
      <c r="K81" s="52"/>
      <c r="L81" s="52"/>
      <c r="M81" s="52"/>
      <c r="N81" s="52"/>
    </row>
    <row r="82" spans="1:14" s="46" customFormat="1" ht="15">
      <c r="A82" s="58"/>
      <c r="B82" s="58"/>
      <c r="C82" s="58"/>
      <c r="D82" s="53"/>
      <c r="E82" s="58"/>
      <c r="F82" s="58"/>
      <c r="G82" s="58"/>
      <c r="H82" s="52"/>
      <c r="I82" s="52"/>
      <c r="J82" s="52"/>
      <c r="K82" s="52"/>
      <c r="L82" s="52"/>
      <c r="M82" s="52"/>
      <c r="N82" s="52"/>
    </row>
    <row r="83" spans="1:14" s="46" customFormat="1" ht="15">
      <c r="A83" s="58"/>
      <c r="B83" s="58"/>
      <c r="C83" s="58"/>
      <c r="D83" s="53"/>
      <c r="E83" s="58"/>
      <c r="F83" s="58"/>
      <c r="G83" s="58"/>
      <c r="H83" s="52"/>
      <c r="I83" s="52"/>
      <c r="J83" s="52"/>
      <c r="K83" s="52"/>
      <c r="L83" s="52"/>
      <c r="M83" s="52"/>
      <c r="N83" s="52"/>
    </row>
    <row r="84" spans="1:14" s="46" customFormat="1" ht="15">
      <c r="A84" s="58"/>
      <c r="B84" s="58"/>
      <c r="C84" s="58"/>
      <c r="D84" s="53"/>
      <c r="E84" s="58"/>
      <c r="F84" s="58"/>
      <c r="G84" s="58"/>
      <c r="H84" s="52"/>
      <c r="I84" s="52"/>
      <c r="J84" s="52"/>
      <c r="K84" s="52"/>
      <c r="L84" s="52"/>
      <c r="M84" s="52"/>
      <c r="N84" s="52"/>
    </row>
    <row r="85" spans="1:14" s="46" customFormat="1" ht="15">
      <c r="A85" s="58"/>
      <c r="B85" s="58"/>
      <c r="C85" s="58"/>
      <c r="D85" s="53"/>
      <c r="E85" s="58"/>
      <c r="F85" s="58"/>
      <c r="G85" s="58"/>
      <c r="H85" s="52"/>
      <c r="I85" s="52"/>
      <c r="J85" s="52"/>
      <c r="K85" s="52"/>
      <c r="L85" s="52"/>
      <c r="M85" s="52"/>
      <c r="N85" s="52"/>
    </row>
    <row r="86" spans="1:14" s="46" customFormat="1" ht="15">
      <c r="A86" s="58"/>
      <c r="B86" s="58"/>
      <c r="C86" s="58"/>
      <c r="D86" s="53"/>
      <c r="E86" s="58"/>
      <c r="F86" s="58"/>
      <c r="G86" s="58"/>
      <c r="H86" s="52"/>
      <c r="I86" s="52"/>
      <c r="J86" s="52"/>
      <c r="K86" s="52"/>
      <c r="L86" s="52"/>
      <c r="M86" s="52"/>
      <c r="N86" s="52"/>
    </row>
    <row r="87" spans="1:14" s="46" customFormat="1" ht="15">
      <c r="A87" s="58"/>
      <c r="B87" s="58"/>
      <c r="C87" s="58"/>
      <c r="D87" s="53"/>
      <c r="E87" s="58"/>
      <c r="F87" s="58"/>
      <c r="G87" s="58"/>
      <c r="H87" s="52"/>
      <c r="I87" s="52"/>
      <c r="J87" s="52"/>
      <c r="K87" s="52"/>
      <c r="L87" s="52"/>
      <c r="M87" s="52"/>
      <c r="N87" s="52"/>
    </row>
    <row r="88" spans="1:14" s="46" customFormat="1" ht="15">
      <c r="A88" s="58"/>
      <c r="B88" s="58"/>
      <c r="C88" s="58"/>
      <c r="D88" s="53"/>
      <c r="E88" s="58"/>
      <c r="F88" s="58"/>
      <c r="G88" s="58"/>
      <c r="H88" s="52"/>
      <c r="I88" s="52"/>
      <c r="J88" s="52"/>
      <c r="K88" s="52"/>
      <c r="L88" s="52"/>
      <c r="M88" s="52"/>
      <c r="N88" s="52"/>
    </row>
    <row r="89" spans="1:14" s="46" customFormat="1" ht="15">
      <c r="A89" s="58"/>
      <c r="B89" s="58"/>
      <c r="C89" s="58"/>
      <c r="D89" s="53"/>
      <c r="E89" s="58"/>
      <c r="F89" s="58"/>
      <c r="G89" s="58"/>
      <c r="H89" s="52"/>
      <c r="I89" s="52"/>
      <c r="J89" s="52"/>
      <c r="K89" s="52"/>
      <c r="L89" s="52"/>
      <c r="M89" s="52"/>
      <c r="N89" s="52"/>
    </row>
    <row r="90" spans="1:14" s="46" customFormat="1" ht="15">
      <c r="A90" s="58"/>
      <c r="B90" s="58"/>
      <c r="C90" s="58"/>
      <c r="D90" s="53"/>
      <c r="E90" s="58"/>
      <c r="F90" s="58"/>
      <c r="G90" s="58"/>
      <c r="H90" s="52"/>
      <c r="I90" s="52"/>
      <c r="J90" s="52"/>
      <c r="K90" s="52"/>
      <c r="L90" s="52"/>
      <c r="M90" s="52"/>
      <c r="N90" s="52"/>
    </row>
    <row r="91" spans="1:14" s="46" customFormat="1" ht="15">
      <c r="A91" s="58"/>
      <c r="B91" s="58"/>
      <c r="C91" s="58"/>
      <c r="D91" s="53"/>
      <c r="E91" s="58"/>
      <c r="F91" s="58"/>
      <c r="G91" s="58"/>
      <c r="H91" s="52"/>
      <c r="I91" s="52"/>
      <c r="J91" s="52"/>
      <c r="K91" s="52"/>
      <c r="L91" s="52"/>
      <c r="M91" s="52"/>
      <c r="N91" s="52"/>
    </row>
    <row r="92" spans="1:14" s="46" customFormat="1" ht="15">
      <c r="A92" s="58"/>
      <c r="B92" s="58"/>
      <c r="C92" s="58"/>
      <c r="D92" s="53"/>
      <c r="E92" s="58"/>
      <c r="F92" s="58"/>
      <c r="G92" s="58"/>
      <c r="H92" s="52"/>
      <c r="I92" s="52"/>
      <c r="J92" s="52"/>
      <c r="K92" s="52"/>
      <c r="L92" s="52"/>
      <c r="M92" s="52"/>
      <c r="N92" s="52"/>
    </row>
    <row r="93" spans="1:14" s="46" customFormat="1" ht="15">
      <c r="A93" s="58"/>
      <c r="B93" s="58"/>
      <c r="C93" s="58"/>
      <c r="D93" s="53"/>
      <c r="E93" s="58"/>
      <c r="F93" s="58"/>
      <c r="G93" s="58"/>
      <c r="H93" s="52"/>
      <c r="I93" s="52"/>
      <c r="J93" s="52"/>
      <c r="K93" s="52"/>
      <c r="L93" s="52"/>
      <c r="M93" s="52"/>
      <c r="N93" s="52"/>
    </row>
    <row r="94" spans="1:14" s="46" customFormat="1" ht="15">
      <c r="A94" s="58"/>
      <c r="B94" s="58"/>
      <c r="C94" s="58"/>
      <c r="D94" s="53"/>
      <c r="E94" s="58"/>
      <c r="F94" s="58"/>
      <c r="G94" s="58"/>
      <c r="H94" s="52"/>
      <c r="I94" s="52"/>
      <c r="J94" s="52"/>
      <c r="K94" s="52"/>
      <c r="L94" s="52"/>
      <c r="M94" s="52"/>
      <c r="N94" s="52"/>
    </row>
    <row r="95" spans="1:14" s="46" customFormat="1" ht="15">
      <c r="A95" s="58"/>
      <c r="B95" s="58"/>
      <c r="C95" s="58"/>
      <c r="D95" s="53"/>
      <c r="E95" s="58"/>
      <c r="F95" s="58"/>
      <c r="G95" s="58"/>
      <c r="H95" s="52"/>
      <c r="I95" s="52"/>
      <c r="J95" s="52"/>
      <c r="K95" s="52"/>
      <c r="L95" s="52"/>
      <c r="M95" s="52"/>
      <c r="N95" s="52"/>
    </row>
    <row r="96" spans="1:14" s="46" customFormat="1" ht="15">
      <c r="A96" s="58"/>
      <c r="B96" s="58"/>
      <c r="C96" s="58"/>
      <c r="D96" s="53"/>
      <c r="E96" s="58"/>
      <c r="F96" s="58"/>
      <c r="G96" s="58"/>
      <c r="H96" s="52"/>
      <c r="I96" s="52"/>
      <c r="J96" s="52"/>
      <c r="K96" s="52"/>
      <c r="L96" s="52"/>
      <c r="M96" s="52"/>
      <c r="N96" s="52"/>
    </row>
    <row r="97" spans="1:14" s="46" customFormat="1" ht="15">
      <c r="A97" s="58"/>
      <c r="B97" s="58"/>
      <c r="C97" s="58"/>
      <c r="D97" s="53"/>
      <c r="E97" s="58"/>
      <c r="F97" s="58"/>
      <c r="G97" s="58"/>
      <c r="H97" s="52"/>
      <c r="I97" s="52"/>
      <c r="J97" s="52"/>
      <c r="K97" s="52"/>
      <c r="L97" s="52"/>
      <c r="M97" s="52"/>
      <c r="N97" s="52"/>
    </row>
    <row r="98" spans="1:14" s="46" customFormat="1" ht="15">
      <c r="A98" s="58"/>
      <c r="B98" s="58"/>
      <c r="C98" s="58"/>
      <c r="D98" s="53"/>
      <c r="E98" s="58"/>
      <c r="F98" s="58"/>
      <c r="G98" s="58"/>
      <c r="H98" s="52"/>
      <c r="I98" s="52"/>
      <c r="J98" s="52"/>
      <c r="K98" s="52"/>
      <c r="L98" s="52"/>
      <c r="M98" s="52"/>
      <c r="N98" s="52"/>
    </row>
    <row r="99" spans="1:14" s="46" customFormat="1" ht="15">
      <c r="A99" s="58"/>
      <c r="B99" s="58"/>
      <c r="C99" s="58"/>
      <c r="D99" s="53"/>
      <c r="E99" s="58"/>
      <c r="F99" s="58"/>
      <c r="G99" s="58"/>
      <c r="H99" s="52"/>
      <c r="I99" s="52"/>
      <c r="J99" s="52"/>
      <c r="K99" s="52"/>
      <c r="L99" s="52"/>
      <c r="M99" s="52"/>
      <c r="N99" s="52"/>
    </row>
    <row r="100" spans="1:14" s="46" customFormat="1" ht="15">
      <c r="A100" s="58"/>
      <c r="B100" s="58"/>
      <c r="C100" s="58"/>
      <c r="D100" s="53"/>
      <c r="E100" s="58"/>
      <c r="F100" s="58"/>
      <c r="G100" s="58"/>
      <c r="H100" s="52"/>
      <c r="I100" s="52"/>
      <c r="J100" s="52"/>
      <c r="K100" s="52"/>
      <c r="L100" s="52"/>
      <c r="M100" s="52"/>
      <c r="N100" s="52"/>
    </row>
    <row r="101" spans="1:14" s="46" customFormat="1" ht="15">
      <c r="A101" s="58"/>
      <c r="B101" s="58"/>
      <c r="C101" s="58"/>
      <c r="D101" s="53"/>
      <c r="E101" s="58"/>
      <c r="F101" s="58"/>
      <c r="G101" s="58"/>
      <c r="H101" s="52"/>
      <c r="I101" s="52"/>
      <c r="J101" s="52"/>
      <c r="K101" s="52"/>
      <c r="L101" s="52"/>
      <c r="M101" s="52"/>
      <c r="N101" s="52"/>
    </row>
    <row r="102" spans="1:14" s="46" customFormat="1" ht="15">
      <c r="A102" s="58"/>
      <c r="B102" s="58"/>
      <c r="C102" s="58"/>
      <c r="D102" s="53"/>
      <c r="E102" s="58"/>
      <c r="F102" s="58"/>
      <c r="G102" s="58"/>
      <c r="H102" s="52"/>
      <c r="I102" s="52"/>
      <c r="J102" s="52"/>
      <c r="K102" s="52"/>
      <c r="L102" s="52"/>
      <c r="M102" s="52"/>
      <c r="N102" s="52"/>
    </row>
    <row r="103" spans="1:14" s="46" customFormat="1" ht="15">
      <c r="A103" s="58"/>
      <c r="B103" s="58"/>
      <c r="C103" s="58"/>
      <c r="D103" s="53"/>
      <c r="E103" s="58"/>
      <c r="F103" s="58"/>
      <c r="G103" s="58"/>
      <c r="H103" s="52"/>
      <c r="I103" s="52"/>
      <c r="J103" s="52"/>
      <c r="K103" s="52"/>
      <c r="L103" s="52"/>
      <c r="M103" s="52"/>
      <c r="N103" s="52"/>
    </row>
    <row r="104" spans="1:14" s="46" customFormat="1" ht="15">
      <c r="A104" s="58"/>
      <c r="B104" s="58"/>
      <c r="C104" s="58"/>
      <c r="D104" s="53"/>
      <c r="E104" s="58"/>
      <c r="F104" s="58"/>
      <c r="G104" s="58"/>
      <c r="H104" s="52"/>
      <c r="I104" s="52"/>
      <c r="J104" s="52"/>
      <c r="K104" s="52"/>
      <c r="L104" s="52"/>
      <c r="M104" s="52"/>
      <c r="N104" s="52"/>
    </row>
    <row r="105" spans="1:14" s="46" customFormat="1" ht="15">
      <c r="A105" s="58"/>
      <c r="B105" s="58"/>
      <c r="C105" s="58"/>
      <c r="D105" s="53"/>
      <c r="E105" s="58"/>
      <c r="F105" s="58"/>
      <c r="G105" s="58"/>
      <c r="H105" s="52"/>
      <c r="I105" s="52"/>
      <c r="J105" s="52"/>
      <c r="K105" s="52"/>
      <c r="L105" s="52"/>
      <c r="M105" s="52"/>
      <c r="N105" s="52"/>
    </row>
    <row r="106" spans="1:14" s="46" customFormat="1" ht="15">
      <c r="A106" s="58"/>
      <c r="B106" s="58"/>
      <c r="C106" s="58"/>
      <c r="D106" s="53"/>
      <c r="E106" s="58"/>
      <c r="F106" s="58"/>
      <c r="G106" s="58"/>
      <c r="H106" s="52"/>
      <c r="I106" s="52"/>
      <c r="J106" s="52"/>
      <c r="K106" s="52"/>
      <c r="L106" s="52"/>
      <c r="M106" s="52"/>
      <c r="N106" s="52"/>
    </row>
    <row r="107" spans="1:14" s="46" customFormat="1" ht="15">
      <c r="A107" s="58"/>
      <c r="B107" s="58"/>
      <c r="C107" s="58"/>
      <c r="D107" s="53"/>
      <c r="E107" s="58"/>
      <c r="F107" s="58"/>
      <c r="G107" s="58"/>
      <c r="H107" s="52"/>
      <c r="I107" s="52"/>
      <c r="J107" s="52"/>
      <c r="K107" s="52"/>
      <c r="L107" s="52"/>
      <c r="M107" s="52"/>
      <c r="N107" s="52"/>
    </row>
    <row r="108" spans="1:14" s="46" customFormat="1" ht="15">
      <c r="A108" s="58"/>
      <c r="B108" s="58"/>
      <c r="C108" s="58"/>
      <c r="D108" s="53"/>
      <c r="E108" s="58"/>
      <c r="F108" s="58"/>
      <c r="G108" s="58"/>
      <c r="H108" s="52"/>
      <c r="I108" s="52"/>
      <c r="J108" s="52"/>
      <c r="K108" s="52"/>
      <c r="L108" s="52"/>
      <c r="M108" s="52"/>
      <c r="N108" s="52"/>
    </row>
    <row r="109" spans="1:14" s="46" customFormat="1" ht="15">
      <c r="A109" s="58"/>
      <c r="B109" s="58"/>
      <c r="C109" s="58"/>
      <c r="D109" s="53"/>
      <c r="E109" s="58"/>
      <c r="F109" s="58"/>
      <c r="G109" s="58"/>
      <c r="H109" s="52"/>
      <c r="I109" s="52"/>
      <c r="J109" s="52"/>
      <c r="K109" s="52"/>
      <c r="L109" s="52"/>
      <c r="M109" s="52"/>
      <c r="N109" s="52"/>
    </row>
    <row r="110" spans="1:14" s="46" customFormat="1" ht="15">
      <c r="A110" s="58"/>
      <c r="B110" s="58"/>
      <c r="C110" s="58"/>
      <c r="D110" s="53"/>
      <c r="E110" s="58"/>
      <c r="F110" s="58"/>
      <c r="G110" s="58"/>
      <c r="H110" s="52"/>
      <c r="I110" s="52"/>
      <c r="J110" s="52"/>
      <c r="K110" s="52"/>
      <c r="L110" s="52"/>
      <c r="M110" s="52"/>
      <c r="N110" s="52"/>
    </row>
    <row r="111" spans="1:14" s="46" customFormat="1" ht="15">
      <c r="A111" s="58"/>
      <c r="B111" s="58"/>
      <c r="C111" s="58"/>
      <c r="D111" s="53"/>
      <c r="E111" s="58"/>
      <c r="F111" s="58"/>
      <c r="G111" s="58"/>
      <c r="H111" s="52"/>
      <c r="I111" s="52"/>
      <c r="J111" s="52"/>
      <c r="K111" s="52"/>
      <c r="L111" s="52"/>
      <c r="M111" s="52"/>
      <c r="N111" s="52"/>
    </row>
    <row r="112" spans="1:14" s="46" customFormat="1" ht="15">
      <c r="A112" s="58"/>
      <c r="B112" s="58"/>
      <c r="C112" s="58"/>
      <c r="D112" s="53"/>
      <c r="E112" s="58"/>
      <c r="F112" s="58"/>
      <c r="G112" s="58"/>
      <c r="H112" s="52"/>
      <c r="I112" s="52"/>
      <c r="J112" s="52"/>
      <c r="K112" s="52"/>
      <c r="L112" s="52"/>
      <c r="M112" s="52"/>
      <c r="N112" s="52"/>
    </row>
    <row r="113" spans="1:14" s="46" customFormat="1" ht="15">
      <c r="A113" s="58"/>
      <c r="B113" s="58"/>
      <c r="C113" s="58"/>
      <c r="D113" s="53"/>
      <c r="E113" s="58"/>
      <c r="F113" s="58"/>
      <c r="G113" s="58"/>
      <c r="H113" s="52"/>
      <c r="I113" s="52"/>
      <c r="J113" s="52"/>
      <c r="K113" s="52"/>
      <c r="L113" s="52"/>
      <c r="M113" s="52"/>
      <c r="N113" s="52"/>
    </row>
    <row r="114" spans="1:14" s="46" customFormat="1" ht="15">
      <c r="A114" s="58"/>
      <c r="B114" s="58"/>
      <c r="C114" s="58"/>
      <c r="D114" s="53"/>
      <c r="E114" s="58"/>
      <c r="F114" s="58"/>
      <c r="G114" s="58"/>
      <c r="H114" s="52"/>
      <c r="I114" s="52"/>
      <c r="J114" s="52"/>
      <c r="K114" s="52"/>
      <c r="L114" s="52"/>
      <c r="M114" s="52"/>
      <c r="N114" s="52"/>
    </row>
    <row r="115" spans="1:14" s="46" customFormat="1" ht="15">
      <c r="A115" s="58"/>
      <c r="B115" s="58"/>
      <c r="C115" s="58"/>
      <c r="D115" s="53"/>
      <c r="E115" s="58"/>
      <c r="F115" s="58"/>
      <c r="G115" s="58"/>
      <c r="H115" s="52"/>
      <c r="I115" s="52"/>
      <c r="J115" s="52"/>
      <c r="K115" s="52"/>
      <c r="L115" s="52"/>
      <c r="M115" s="52"/>
      <c r="N115" s="52"/>
    </row>
    <row r="116" spans="1:14" s="46" customFormat="1" ht="15">
      <c r="A116" s="58"/>
      <c r="B116" s="58"/>
      <c r="C116" s="58"/>
      <c r="D116" s="53"/>
      <c r="E116" s="58"/>
      <c r="F116" s="58"/>
      <c r="G116" s="58"/>
      <c r="H116" s="52"/>
      <c r="I116" s="52"/>
      <c r="J116" s="52"/>
      <c r="K116" s="52"/>
      <c r="L116" s="52"/>
      <c r="M116" s="52"/>
      <c r="N116" s="52"/>
    </row>
    <row r="117" spans="1:14" s="46" customFormat="1" ht="15">
      <c r="A117" s="58"/>
      <c r="B117" s="58"/>
      <c r="C117" s="58"/>
      <c r="D117" s="53"/>
      <c r="E117" s="58"/>
      <c r="F117" s="58"/>
      <c r="G117" s="58"/>
      <c r="H117" s="52"/>
      <c r="I117" s="52"/>
      <c r="J117" s="52"/>
      <c r="K117" s="52"/>
      <c r="L117" s="52"/>
      <c r="M117" s="52"/>
      <c r="N117" s="52"/>
    </row>
    <row r="118" spans="1:14" s="46" customFormat="1" ht="15">
      <c r="A118" s="58"/>
      <c r="B118" s="58"/>
      <c r="C118" s="58"/>
      <c r="D118" s="53"/>
      <c r="E118" s="58"/>
      <c r="F118" s="58"/>
      <c r="G118" s="58"/>
      <c r="H118" s="52"/>
      <c r="I118" s="52"/>
      <c r="J118" s="52"/>
      <c r="K118" s="52"/>
      <c r="L118" s="52"/>
      <c r="M118" s="52"/>
      <c r="N118" s="52"/>
    </row>
    <row r="119" spans="1:14" s="46" customFormat="1" ht="15">
      <c r="A119" s="58"/>
      <c r="B119" s="58"/>
      <c r="C119" s="58"/>
      <c r="D119" s="53"/>
      <c r="E119" s="58"/>
      <c r="F119" s="58"/>
      <c r="G119" s="58"/>
      <c r="H119" s="52"/>
      <c r="I119" s="52"/>
      <c r="J119" s="52"/>
      <c r="K119" s="52"/>
      <c r="L119" s="52"/>
      <c r="M119" s="52"/>
      <c r="N119" s="52"/>
    </row>
    <row r="120" spans="1:14" s="46" customFormat="1" ht="15">
      <c r="A120" s="58"/>
      <c r="B120" s="58"/>
      <c r="C120" s="58"/>
      <c r="D120" s="53"/>
      <c r="E120" s="58"/>
      <c r="F120" s="58"/>
      <c r="G120" s="58"/>
      <c r="H120" s="52"/>
      <c r="I120" s="52"/>
      <c r="J120" s="52"/>
      <c r="K120" s="52"/>
      <c r="L120" s="52"/>
      <c r="M120" s="52"/>
      <c r="N120" s="52"/>
    </row>
    <row r="121" spans="1:14" s="46" customFormat="1" ht="15">
      <c r="A121" s="58"/>
      <c r="B121" s="58"/>
      <c r="C121" s="58"/>
      <c r="D121" s="53"/>
      <c r="E121" s="58"/>
      <c r="F121" s="58"/>
      <c r="G121" s="58"/>
      <c r="H121" s="52"/>
      <c r="I121" s="52"/>
      <c r="J121" s="52"/>
      <c r="K121" s="52"/>
      <c r="L121" s="52"/>
      <c r="M121" s="52"/>
      <c r="N121" s="52"/>
    </row>
    <row r="122" spans="1:14" s="46" customFormat="1" ht="15">
      <c r="A122" s="58"/>
      <c r="B122" s="58"/>
      <c r="C122" s="58"/>
      <c r="D122" s="53"/>
      <c r="E122" s="58"/>
      <c r="F122" s="58"/>
      <c r="G122" s="58"/>
      <c r="H122" s="52"/>
      <c r="I122" s="52"/>
      <c r="J122" s="52"/>
      <c r="K122" s="52"/>
      <c r="L122" s="52"/>
      <c r="M122" s="52"/>
      <c r="N122" s="52"/>
    </row>
    <row r="123" spans="1:14" s="46" customFormat="1" ht="15">
      <c r="A123" s="58"/>
      <c r="B123" s="58"/>
      <c r="C123" s="58"/>
      <c r="D123" s="53"/>
      <c r="E123" s="58"/>
      <c r="F123" s="58"/>
      <c r="G123" s="58"/>
      <c r="H123" s="52"/>
      <c r="I123" s="52"/>
      <c r="J123" s="52"/>
      <c r="K123" s="52"/>
      <c r="L123" s="52"/>
      <c r="M123" s="52"/>
      <c r="N123" s="52"/>
    </row>
    <row r="124" spans="1:14" s="46" customFormat="1" ht="15">
      <c r="A124" s="58"/>
      <c r="B124" s="58"/>
      <c r="C124" s="58"/>
      <c r="D124" s="53"/>
      <c r="E124" s="58"/>
      <c r="F124" s="58"/>
      <c r="G124" s="58"/>
      <c r="H124" s="52"/>
      <c r="I124" s="52"/>
      <c r="J124" s="52"/>
      <c r="K124" s="52"/>
      <c r="L124" s="52"/>
      <c r="M124" s="52"/>
      <c r="N124" s="52"/>
    </row>
    <row r="125" spans="1:14" s="46" customFormat="1" ht="15">
      <c r="A125" s="58"/>
      <c r="B125" s="58"/>
      <c r="C125" s="58"/>
      <c r="D125" s="53"/>
      <c r="E125" s="58"/>
      <c r="F125" s="58"/>
      <c r="G125" s="58"/>
      <c r="H125" s="52"/>
      <c r="I125" s="52"/>
      <c r="J125" s="52"/>
      <c r="K125" s="52"/>
      <c r="L125" s="52"/>
      <c r="M125" s="52"/>
      <c r="N125" s="52"/>
    </row>
    <row r="126" spans="1:14" s="46" customFormat="1" ht="15">
      <c r="A126" s="58"/>
      <c r="B126" s="58"/>
      <c r="C126" s="58"/>
      <c r="D126" s="53"/>
      <c r="E126" s="58"/>
      <c r="F126" s="58"/>
      <c r="G126" s="58"/>
      <c r="H126" s="52"/>
      <c r="I126" s="52"/>
      <c r="J126" s="52"/>
      <c r="K126" s="52"/>
      <c r="L126" s="52"/>
      <c r="M126" s="52"/>
      <c r="N126" s="52"/>
    </row>
    <row r="127" spans="1:14" s="46" customFormat="1" ht="15">
      <c r="A127" s="58"/>
      <c r="B127" s="58"/>
      <c r="C127" s="58"/>
      <c r="D127" s="53"/>
      <c r="E127" s="58"/>
      <c r="F127" s="58"/>
      <c r="G127" s="58"/>
      <c r="H127" s="52"/>
      <c r="I127" s="52"/>
      <c r="J127" s="52"/>
      <c r="K127" s="52"/>
      <c r="L127" s="52"/>
      <c r="M127" s="52"/>
      <c r="N127" s="52"/>
    </row>
    <row r="128" spans="1:14" s="46" customFormat="1" ht="15">
      <c r="A128" s="58"/>
      <c r="B128" s="58"/>
      <c r="C128" s="58"/>
      <c r="D128" s="53"/>
      <c r="E128" s="58"/>
      <c r="F128" s="58"/>
      <c r="G128" s="58"/>
      <c r="H128" s="52"/>
      <c r="I128" s="52"/>
      <c r="J128" s="52"/>
      <c r="K128" s="52"/>
      <c r="L128" s="52"/>
      <c r="M128" s="52"/>
      <c r="N128" s="52"/>
    </row>
    <row r="129" spans="1:14" s="46" customFormat="1" ht="15">
      <c r="A129" s="58"/>
      <c r="B129" s="58"/>
      <c r="C129" s="58"/>
      <c r="D129" s="53"/>
      <c r="E129" s="58"/>
      <c r="F129" s="58"/>
      <c r="G129" s="58"/>
      <c r="H129" s="52"/>
      <c r="I129" s="52"/>
      <c r="J129" s="52"/>
      <c r="K129" s="52"/>
      <c r="L129" s="52"/>
      <c r="M129" s="52"/>
      <c r="N129" s="52"/>
    </row>
    <row r="130" spans="1:14" s="46" customFormat="1" ht="15">
      <c r="A130" s="58"/>
      <c r="B130" s="58"/>
      <c r="C130" s="58"/>
      <c r="D130" s="53"/>
      <c r="E130" s="58"/>
      <c r="F130" s="58"/>
      <c r="G130" s="58"/>
      <c r="H130" s="52"/>
      <c r="I130" s="52"/>
      <c r="J130" s="52"/>
      <c r="K130" s="52"/>
      <c r="L130" s="52"/>
      <c r="M130" s="52"/>
      <c r="N130" s="52"/>
    </row>
    <row r="131" spans="1:14" s="46" customFormat="1" ht="15">
      <c r="A131" s="58"/>
      <c r="B131" s="58"/>
      <c r="C131" s="58"/>
      <c r="D131" s="53"/>
      <c r="E131" s="58"/>
      <c r="F131" s="58"/>
      <c r="G131" s="58"/>
      <c r="H131" s="52"/>
      <c r="I131" s="52"/>
      <c r="J131" s="52"/>
      <c r="K131" s="52"/>
      <c r="L131" s="52"/>
      <c r="M131" s="52"/>
      <c r="N131" s="52"/>
    </row>
    <row r="132" spans="1:14" s="46" customFormat="1" ht="15">
      <c r="A132" s="58"/>
      <c r="B132" s="58"/>
      <c r="C132" s="58"/>
      <c r="D132" s="53"/>
      <c r="E132" s="58"/>
      <c r="F132" s="58"/>
      <c r="G132" s="58"/>
      <c r="H132" s="52"/>
      <c r="I132" s="52"/>
      <c r="J132" s="52"/>
      <c r="K132" s="52"/>
      <c r="L132" s="52"/>
      <c r="M132" s="52"/>
      <c r="N132" s="52"/>
    </row>
    <row r="133" spans="1:14" s="46" customFormat="1" ht="15">
      <c r="A133" s="58"/>
      <c r="B133" s="58"/>
      <c r="C133" s="58"/>
      <c r="D133" s="53"/>
      <c r="E133" s="58"/>
      <c r="F133" s="58"/>
      <c r="G133" s="58"/>
      <c r="H133" s="52"/>
      <c r="I133" s="52"/>
      <c r="J133" s="52"/>
      <c r="K133" s="52"/>
      <c r="L133" s="52"/>
      <c r="M133" s="52"/>
      <c r="N133" s="52"/>
    </row>
    <row r="134" spans="1:14" s="46" customFormat="1" ht="15">
      <c r="A134" s="58"/>
      <c r="B134" s="58"/>
      <c r="C134" s="58"/>
      <c r="D134" s="53"/>
      <c r="E134" s="58"/>
      <c r="F134" s="58"/>
      <c r="G134" s="58"/>
      <c r="H134" s="52"/>
      <c r="I134" s="52"/>
      <c r="J134" s="52"/>
      <c r="K134" s="52"/>
      <c r="L134" s="52"/>
      <c r="M134" s="52"/>
      <c r="N134" s="52"/>
    </row>
  </sheetData>
  <autoFilter ref="A2:N134">
    <filterColumn colId="4"/>
  </autoFilter>
  <mergeCells count="10">
    <mergeCell ref="B1:C1"/>
    <mergeCell ref="H1:I1"/>
    <mergeCell ref="J1:K1"/>
    <mergeCell ref="M1:N1"/>
    <mergeCell ref="A1:A2"/>
    <mergeCell ref="E1:E2"/>
    <mergeCell ref="D1:D2"/>
    <mergeCell ref="F1:F2"/>
    <mergeCell ref="G1:G2"/>
    <mergeCell ref="L1:L2"/>
  </mergeCells>
  <dataValidations count="7">
    <dataValidation type="list" allowBlank="1" showInputMessage="1" showErrorMessage="1" sqref="G3:G21">
      <formula1>INDIRECT(E3)</formula1>
    </dataValidation>
    <dataValidation type="list" allowBlank="1" showInputMessage="1" showErrorMessage="1" sqref="C3:C134">
      <formula1>INDIRECT(B3)</formula1>
    </dataValidation>
    <dataValidation type="list" allowBlank="1" showInputMessage="1" showErrorMessage="1" sqref="K3:K134 I3:I134">
      <formula1>release_ver</formula1>
    </dataValidation>
    <dataValidation type="list" allowBlank="1" showInputMessage="1" showErrorMessage="1" sqref="F3:F134">
      <formula1>Severity</formula1>
    </dataValidation>
    <dataValidation type="list" allowBlank="1" showInputMessage="1" showErrorMessage="1" sqref="E3:E134">
      <formula1>Category</formula1>
    </dataValidation>
    <dataValidation type="list" allowBlank="1" showInputMessage="1" showErrorMessage="1" sqref="B3:B134">
      <formula1>MainMod</formula1>
    </dataValidation>
    <dataValidation type="list" allowBlank="1" showInputMessage="1" showErrorMessage="1" sqref="G22:G134">
      <formula1>INDIRECT(E20)</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sheetPr codeName="Sheet9"/>
  <dimension ref="A1:A2"/>
  <sheetViews>
    <sheetView workbookViewId="0">
      <selection activeCell="E8" sqref="E8"/>
    </sheetView>
  </sheetViews>
  <sheetFormatPr defaultRowHeight="12.75"/>
  <sheetData>
    <row r="1" spans="1:1">
      <c r="A1" t="s">
        <v>4</v>
      </c>
    </row>
    <row r="2" spans="1:1">
      <c r="A2" t="s">
        <v>5</v>
      </c>
    </row>
  </sheetData>
  <customSheetViews>
    <customSheetView guid="{F8382029-E2D2-4E19-B477-032FDBE4EF46}" state="hidden">
      <selection activeCell="E8" sqref="E8"/>
      <pageMargins left="0.7" right="0.7" top="0.75" bottom="0.75" header="0.3" footer="0.3"/>
      <pageSetup paperSize="9" orientation="portrait" r:id="rId1"/>
    </customSheetView>
    <customSheetView guid="{B5A6DE04-3DB0-4879-A3DC-44C888992079}" state="hidden">
      <selection activeCell="E8" sqref="E8"/>
      <pageMargins left="0.7" right="0.7" top="0.75" bottom="0.75" header="0.3" footer="0.3"/>
    </customSheetView>
    <customSheetView guid="{2743C748-22A7-495D-AAEF-C34950B74F4C}" state="hidden">
      <selection activeCell="E8" sqref="E8"/>
      <pageMargins left="0.7" right="0.7" top="0.75" bottom="0.75" header="0.3" footer="0.3"/>
    </customSheetView>
    <customSheetView guid="{00722E94-9584-4433-BC1C-7643378CA673}" state="hidden">
      <selection activeCell="E8" sqref="E8"/>
      <pageMargins left="0.7" right="0.7" top="0.75" bottom="0.75" header="0.3" footer="0.3"/>
      <pageSetup paperSize="9" orientation="portrait" r:id="rId2"/>
    </customSheetView>
    <customSheetView guid="{D4735876-F675-486E-8C32-16A96CF2A8EA}" state="hidden">
      <selection activeCell="E8" sqref="E8"/>
      <pageMargins left="0.7" right="0.7" top="0.75" bottom="0.75" header="0.3" footer="0.3"/>
      <pageSetup paperSize="9" orientation="portrait" r:id="rId3"/>
    </customSheetView>
    <customSheetView guid="{55387EE4-C7E9-442D-82F7-5E9AA4E8DE76}" showPageBreaks="1" state="hidden">
      <selection activeCell="E8" sqref="E8"/>
      <pageMargins left="0.7" right="0.7" top="0.75" bottom="0.75" header="0.3" footer="0.3"/>
      <pageSetup paperSize="9" orientation="portrait" r:id="rId4"/>
    </customSheetView>
  </customSheetViews>
  <phoneticPr fontId="26" type="noConversion"/>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sheetPr codeName="Sheet4"/>
  <dimension ref="A1"/>
  <sheetViews>
    <sheetView workbookViewId="0">
      <selection activeCell="L57" sqref="L57"/>
    </sheetView>
  </sheetViews>
  <sheetFormatPr defaultRowHeight="12.75"/>
  <sheetData/>
  <customSheetViews>
    <customSheetView guid="{F8382029-E2D2-4E19-B477-032FDBE4EF46}" state="hidden">
      <selection activeCell="L57" sqref="L57"/>
      <pageMargins left="0.7" right="0.7" top="0.75" bottom="0.75" header="0.3" footer="0.3"/>
    </customSheetView>
    <customSheetView guid="{D4735876-F675-486E-8C32-16A96CF2A8EA}" state="hidden">
      <selection activeCell="L57" sqref="L57"/>
      <pageMargins left="0.7" right="0.7" top="0.75" bottom="0.75" header="0.3" footer="0.3"/>
    </customSheetView>
    <customSheetView guid="{55387EE4-C7E9-442D-82F7-5E9AA4E8DE76}" showPageBreaks="1" state="hidden">
      <selection activeCell="L57" sqref="L57"/>
      <pageMargins left="0.7" right="0.7" top="0.75" bottom="0.75" header="0.3" footer="0.3"/>
      <pageSetup paperSize="9" orientation="portrait" r:id="rId1"/>
    </customSheetView>
  </customSheetView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22</vt:i4>
      </vt:variant>
    </vt:vector>
  </HeadingPairs>
  <TitlesOfParts>
    <vt:vector size="27" baseType="lpstr">
      <vt:lpstr>Info</vt:lpstr>
      <vt:lpstr>Summary</vt:lpstr>
      <vt:lpstr>R365</vt:lpstr>
      <vt:lpstr>Sheet1</vt:lpstr>
      <vt:lpstr>Sheet2</vt:lpstr>
      <vt:lpstr>Asset</vt:lpstr>
      <vt:lpstr>Auth</vt:lpstr>
      <vt:lpstr>Bug</vt:lpstr>
      <vt:lpstr>Category</vt:lpstr>
      <vt:lpstr>Clarification</vt:lpstr>
      <vt:lpstr>Contract</vt:lpstr>
      <vt:lpstr>CR</vt:lpstr>
      <vt:lpstr>Dashboard</vt:lpstr>
      <vt:lpstr>Enhancement</vt:lpstr>
      <vt:lpstr>General</vt:lpstr>
      <vt:lpstr>Issue</vt:lpstr>
      <vt:lpstr>MainMod</vt:lpstr>
      <vt:lpstr>Notification</vt:lpstr>
      <vt:lpstr>Others</vt:lpstr>
      <vt:lpstr>Performance</vt:lpstr>
      <vt:lpstr>release_ver</vt:lpstr>
      <vt:lpstr>relver</vt:lpstr>
      <vt:lpstr>Settings</vt:lpstr>
      <vt:lpstr>Severity</vt:lpstr>
      <vt:lpstr>Staff</vt:lpstr>
      <vt:lpstr>Status</vt:lpstr>
      <vt:lpstr>UserGroup</vt:lpstr>
    </vt:vector>
  </TitlesOfParts>
  <Company>Bank Of Tokyo Mitsubishi</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FAPL</dc:creator>
  <cp:lastModifiedBy>PSA</cp:lastModifiedBy>
  <cp:lastPrinted>2017-09-19T04:20:20Z</cp:lastPrinted>
  <dcterms:created xsi:type="dcterms:W3CDTF">2007-01-16T11:06:09Z</dcterms:created>
  <dcterms:modified xsi:type="dcterms:W3CDTF">2018-02-07T10:10:00Z</dcterms:modified>
</cp:coreProperties>
</file>