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ornuta/Documents/git/mi-visual-reasoning-pubs/Transfer_Learning/results/"/>
    </mc:Choice>
  </mc:AlternateContent>
  <xr:revisionPtr revIDLastSave="0" documentId="13_ncr:1_{C70286CF-967E-2F4D-A44C-B02DD643130A}" xr6:coauthVersionLast="45" xr6:coauthVersionMax="45" xr10:uidLastSave="{00000000-0000-0000-0000-000000000000}"/>
  <bookViews>
    <workbookView xWindow="3360" yWindow="460" windowWidth="21820" windowHeight="14460" activeTab="1" xr2:uid="{D08C4B1C-069C-E84C-A7EF-726E0385693A}"/>
  </bookViews>
  <sheets>
    <sheet name="results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B11" i="2"/>
  <c r="M5" i="1"/>
  <c r="L5" i="1"/>
  <c r="K5" i="1"/>
  <c r="J5" i="1"/>
  <c r="I5" i="1"/>
  <c r="Y5" i="1"/>
  <c r="X5" i="1"/>
  <c r="W5" i="1"/>
  <c r="V5" i="1"/>
  <c r="U5" i="1"/>
  <c r="S5" i="1"/>
  <c r="R5" i="1"/>
  <c r="Q5" i="1"/>
  <c r="P5" i="1"/>
  <c r="O5" i="1"/>
  <c r="Y4" i="1"/>
  <c r="X4" i="1"/>
  <c r="W4" i="1"/>
  <c r="V4" i="1"/>
  <c r="U4" i="1"/>
  <c r="S4" i="1"/>
  <c r="R4" i="1"/>
  <c r="Q4" i="1"/>
  <c r="P4" i="1"/>
  <c r="O4" i="1"/>
  <c r="M4" i="1"/>
  <c r="L4" i="1"/>
  <c r="K4" i="1"/>
  <c r="J4" i="1"/>
  <c r="I4" i="1"/>
  <c r="C10" i="2"/>
  <c r="B10" i="2"/>
  <c r="S29" i="1" l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Y3" i="1" l="1"/>
  <c r="X3" i="1"/>
  <c r="W3" i="1"/>
  <c r="V3" i="1"/>
  <c r="U3" i="1"/>
  <c r="S17" i="1" l="1"/>
  <c r="F3" i="2" s="1"/>
  <c r="R17" i="1"/>
  <c r="Q17" i="1"/>
  <c r="P17" i="1"/>
  <c r="O17" i="1"/>
  <c r="M17" i="1"/>
  <c r="G17" i="1"/>
  <c r="S16" i="1"/>
  <c r="R16" i="1"/>
  <c r="E3" i="2" s="1"/>
  <c r="Q16" i="1"/>
  <c r="P16" i="1"/>
  <c r="O16" i="1"/>
  <c r="L16" i="1"/>
  <c r="F16" i="1"/>
  <c r="S15" i="1"/>
  <c r="R15" i="1"/>
  <c r="Q15" i="1"/>
  <c r="D3" i="2" s="1"/>
  <c r="P14" i="1"/>
  <c r="C3" i="2" s="1"/>
  <c r="P15" i="1"/>
  <c r="O15" i="1"/>
  <c r="K15" i="1"/>
  <c r="E15" i="1"/>
  <c r="S14" i="1"/>
  <c r="R14" i="1"/>
  <c r="Q14" i="1"/>
  <c r="O14" i="1"/>
  <c r="J14" i="1"/>
  <c r="D14" i="1"/>
  <c r="S13" i="1"/>
  <c r="R13" i="1"/>
  <c r="Q13" i="1"/>
  <c r="P13" i="1"/>
  <c r="O13" i="1"/>
  <c r="B3" i="2" s="1"/>
  <c r="I13" i="1"/>
  <c r="C13" i="1"/>
  <c r="S11" i="1" l="1"/>
  <c r="F5" i="2" s="1"/>
  <c r="R11" i="1"/>
  <c r="Q11" i="1"/>
  <c r="P11" i="1"/>
  <c r="O11" i="1"/>
  <c r="L11" i="1"/>
  <c r="K11" i="1"/>
  <c r="J11" i="1"/>
  <c r="I11" i="1"/>
  <c r="F11" i="1"/>
  <c r="E11" i="1"/>
  <c r="D11" i="1"/>
  <c r="C11" i="1"/>
  <c r="S10" i="1"/>
  <c r="R10" i="1"/>
  <c r="E5" i="2" s="1"/>
  <c r="Q10" i="1"/>
  <c r="P10" i="1"/>
  <c r="O10" i="1"/>
  <c r="M10" i="1"/>
  <c r="K10" i="1"/>
  <c r="J10" i="1"/>
  <c r="I10" i="1"/>
  <c r="G10" i="1"/>
  <c r="E10" i="1"/>
  <c r="D10" i="1"/>
  <c r="C10" i="1"/>
  <c r="S9" i="1"/>
  <c r="R9" i="1"/>
  <c r="Q9" i="1"/>
  <c r="D5" i="2" s="1"/>
  <c r="P9" i="1"/>
  <c r="O9" i="1"/>
  <c r="M9" i="1"/>
  <c r="L9" i="1"/>
  <c r="J9" i="1"/>
  <c r="I9" i="1"/>
  <c r="G9" i="1"/>
  <c r="F9" i="1"/>
  <c r="D9" i="1"/>
  <c r="C9" i="1"/>
  <c r="O7" i="1"/>
  <c r="B5" i="2" s="1"/>
  <c r="S8" i="1"/>
  <c r="R8" i="1"/>
  <c r="Q8" i="1"/>
  <c r="P8" i="1"/>
  <c r="C5" i="2" s="1"/>
  <c r="O8" i="1"/>
  <c r="M8" i="1"/>
  <c r="L8" i="1"/>
  <c r="K8" i="1"/>
  <c r="I8" i="1"/>
  <c r="G8" i="1"/>
  <c r="F8" i="1"/>
  <c r="E8" i="1"/>
  <c r="C8" i="1"/>
  <c r="S7" i="1"/>
  <c r="R7" i="1"/>
  <c r="Q7" i="1"/>
  <c r="P7" i="1"/>
  <c r="M7" i="1"/>
  <c r="L7" i="1"/>
  <c r="K7" i="1"/>
  <c r="J7" i="1"/>
  <c r="G7" i="1"/>
  <c r="F7" i="1"/>
  <c r="E7" i="1"/>
  <c r="D7" i="1"/>
  <c r="S3" i="1"/>
  <c r="F4" i="2" s="1"/>
  <c r="R3" i="1"/>
  <c r="E4" i="2" s="1"/>
  <c r="Q3" i="1"/>
  <c r="D4" i="2" s="1"/>
  <c r="P3" i="1"/>
  <c r="C4" i="2" s="1"/>
  <c r="O3" i="1"/>
  <c r="B4" i="2" s="1"/>
  <c r="M3" i="1"/>
  <c r="L3" i="1"/>
  <c r="K3" i="1"/>
  <c r="J3" i="1"/>
  <c r="I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<sst xmlns="http://schemas.openxmlformats.org/spreadsheetml/2006/main" count="165" uniqueCount="58">
  <si>
    <t>Experiment</t>
  </si>
  <si>
    <t xml:space="preserve">Overall Accuracy </t>
  </si>
  <si>
    <t>Exist</t>
  </si>
  <si>
    <t>Count</t>
  </si>
  <si>
    <t>CompareInteger</t>
  </si>
  <si>
    <t>CompareAttribute</t>
  </si>
  <si>
    <t>QueryAttribute</t>
  </si>
  <si>
    <t>Control experiment: Train on all tasks</t>
  </si>
  <si>
    <t>-</t>
  </si>
  <si>
    <r>
      <t xml:space="preserve">Train on </t>
    </r>
    <r>
      <rPr>
        <b/>
        <sz val="14"/>
        <color theme="1"/>
        <rFont val="Calibri"/>
        <family val="2"/>
        <scheme val="minor"/>
      </rPr>
      <t>all but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</si>
  <si>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</si>
  <si>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</si>
  <si>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</si>
  <si>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QueryAttribute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</si>
  <si>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QueryAttribute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</si>
  <si>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CompareAttribute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</si>
  <si>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CompareInteger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</si>
  <si>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Exist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</si>
  <si>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Count only</t>
    </r>
  </si>
  <si>
    <r>
      <t>Training statistics (</t>
    </r>
    <r>
      <rPr>
        <sz val="14"/>
        <color rgb="FFFF0000"/>
        <rFont val="Calibri (Body)"/>
      </rPr>
      <t>last epoch</t>
    </r>
    <r>
      <rPr>
        <sz val="14"/>
        <color theme="1"/>
        <rFont val="Calibri"/>
        <family val="2"/>
        <scheme val="minor"/>
      </rPr>
      <t xml:space="preserve">) (on 90% of </t>
    </r>
    <r>
      <rPr>
        <sz val="14"/>
        <color theme="1"/>
        <rFont val="Courier"/>
        <family val="1"/>
      </rPr>
      <t>trainA</t>
    </r>
    <r>
      <rPr>
        <sz val="14"/>
        <color theme="1"/>
        <rFont val="Calibri"/>
        <family val="2"/>
        <scheme val="minor"/>
      </rPr>
      <t>)</t>
    </r>
  </si>
  <si>
    <r>
      <t>Validation statistics (</t>
    </r>
    <r>
      <rPr>
        <sz val="14"/>
        <color rgb="FFFF0000"/>
        <rFont val="Calibri (Body)"/>
      </rPr>
      <t>last epoch</t>
    </r>
    <r>
      <rPr>
        <sz val="14"/>
        <color theme="1"/>
        <rFont val="Calibri"/>
        <family val="2"/>
        <scheme val="minor"/>
      </rPr>
      <t xml:space="preserve">) (on 10% of </t>
    </r>
    <r>
      <rPr>
        <sz val="14"/>
        <color theme="1"/>
        <rFont val="Courier"/>
        <family val="1"/>
      </rPr>
      <t>trainA</t>
    </r>
    <r>
      <rPr>
        <sz val="14"/>
        <color theme="1"/>
        <rFont val="Calibri"/>
        <family val="2"/>
        <scheme val="minor"/>
      </rPr>
      <t>)</t>
    </r>
  </si>
  <si>
    <r>
      <t xml:space="preserve">Test statistics (on </t>
    </r>
    <r>
      <rPr>
        <sz val="14"/>
        <color theme="1"/>
        <rFont val="Courier"/>
        <family val="1"/>
      </rPr>
      <t>valA</t>
    </r>
    <r>
      <rPr>
        <sz val="14"/>
        <color theme="1"/>
        <rFont val="Calibri"/>
        <family val="2"/>
        <scheme val="minor"/>
      </rPr>
      <t xml:space="preserve"> - 150,000 samples)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</si>
  <si>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Exist &amp; finetune on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</si>
  <si>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Count &amp; finetune on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</si>
  <si>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CompareInteger &amp; finetune on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</si>
  <si>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CompareAttribute &amp; finetune on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</si>
  <si>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QueryAttribute &amp; finetune on QueryAttribute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</si>
  <si>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</si>
  <si>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</si>
  <si>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</si>
  <si>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</si>
  <si>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QueryAttribute</t>
    </r>
  </si>
  <si>
    <t>Train on All</t>
  </si>
  <si>
    <t>Test Accuracy</t>
  </si>
  <si>
    <r>
      <t xml:space="preserve">Train on All but </t>
    </r>
    <r>
      <rPr>
        <b/>
        <i/>
        <sz val="14"/>
        <color theme="1"/>
        <rFont val="Math"/>
      </rPr>
      <t>t</t>
    </r>
  </si>
  <si>
    <t>Train on CoGenT-A</t>
  </si>
  <si>
    <t>Finetune on CoGenT-B</t>
  </si>
  <si>
    <t>Finetuning on CoGenT-B (30k samples) for 1 epoch</t>
  </si>
  <si>
    <t>Finetuning on CoGenT-B (30k samples) with early stopping</t>
  </si>
  <si>
    <r>
      <t xml:space="preserve">Test statistics (on </t>
    </r>
    <r>
      <rPr>
        <sz val="14"/>
        <color theme="1"/>
        <rFont val="Courier"/>
        <family val="1"/>
      </rPr>
      <t>valB</t>
    </r>
    <r>
      <rPr>
        <sz val="14"/>
        <color theme="1"/>
        <rFont val="Calibri"/>
        <family val="2"/>
        <scheme val="minor"/>
      </rPr>
      <t xml:space="preserve"> - 149,991 samples or heldout samples during finetuning - 119,961 samples)</t>
    </r>
  </si>
  <si>
    <t>Test on CoGenT-A</t>
  </si>
  <si>
    <t>Test on CoGenT-B</t>
  </si>
  <si>
    <t>SAMNet</t>
  </si>
  <si>
    <t>TbD (Paper)</t>
  </si>
  <si>
    <t>PG + EE (Paper)</t>
  </si>
  <si>
    <t>FiLM (Paper)</t>
  </si>
  <si>
    <t>Zero-shot on CoGenT-B</t>
  </si>
  <si>
    <t>Control on CoGenT-A</t>
  </si>
  <si>
    <t>Accuracy on CLEVR</t>
  </si>
  <si>
    <t>CoGenT-A =&gt; CoGenT-A</t>
  </si>
  <si>
    <t>CoGenT-A =&gt; CoGenT-B</t>
  </si>
  <si>
    <t>(Zero-shot)</t>
  </si>
  <si>
    <t>(Fine-tuning on B)</t>
  </si>
  <si>
    <t xml:space="preserve">  </t>
  </si>
  <si>
    <t>Compare
Integer</t>
  </si>
  <si>
    <t>Compare
Attribute</t>
  </si>
  <si>
    <t>Query
Attribute</t>
  </si>
  <si>
    <r>
      <t xml:space="preserve">Train on </t>
    </r>
    <r>
      <rPr>
        <b/>
        <i/>
        <sz val="14"/>
        <color theme="1"/>
        <rFont val="Math"/>
      </rPr>
      <t>t</t>
    </r>
    <r>
      <rPr>
        <b/>
        <sz val="14"/>
        <color theme="1"/>
        <rFont val="Calibri"/>
        <family val="2"/>
        <scheme val="minor"/>
      </rPr>
      <t xml:space="preserve"> only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</si>
</sst>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 (Body)"/>
    </font>
    <font>
      <sz val="14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4"/>
      <color theme="1"/>
      <name val="Courier"/>
      <family val="1"/>
    </font>
    <font>
      <sz val="14"/>
      <color rgb="FF000000"/>
      <name val="Calibri"/>
      <family val="2"/>
      <scheme val="minor"/>
    </font>
    <font>
      <b/>
      <i/>
      <sz val="14"/>
      <color theme="1"/>
      <name val="Math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2" xfId="0" applyFont="1" applyBorder="1"/>
    <xf numFmtId="0" fontId="1" fillId="0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0" fontId="3" fillId="0" borderId="0" xfId="0" applyNumberFormat="1" applyFont="1"/>
    <xf numFmtId="10" fontId="1" fillId="0" borderId="0" xfId="0" applyNumberFormat="1" applyFont="1"/>
    <xf numFmtId="10" fontId="1" fillId="0" borderId="2" xfId="0" applyNumberFormat="1" applyFont="1" applyBorder="1"/>
    <xf numFmtId="10" fontId="1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0" fontId="5" fillId="0" borderId="0" xfId="0" applyNumberFormat="1" applyFont="1"/>
    <xf numFmtId="10" fontId="1" fillId="0" borderId="2" xfId="0" applyNumberFormat="1" applyFont="1" applyBorder="1" applyAlignment="1">
      <alignment horizontal="center"/>
    </xf>
    <xf numFmtId="10" fontId="5" fillId="0" borderId="2" xfId="0" applyNumberFormat="1" applyFont="1" applyBorder="1"/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0" fontId="7" fillId="0" borderId="2" xfId="0" applyNumberFormat="1" applyFont="1" applyBorder="1"/>
    <xf numFmtId="0" fontId="1" fillId="0" borderId="0" xfId="0" applyFont="1"/>
    <xf numFmtId="0" fontId="4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9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/>
    <xf numFmtId="164" fontId="1" fillId="0" borderId="7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7" xfId="0" applyFont="1" applyBorder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ECAC"/>
      <color rgb="FF9DCDCF"/>
      <color rgb="FFB790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charts!$A$4</c:f>
              <c:strCache>
                <c:ptCount val="1"/>
                <c:pt idx="0">
                  <c:v>Train on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
Integer</c:v>
                </c:pt>
                <c:pt idx="3">
                  <c:v>Compare
Attribute</c:v>
                </c:pt>
                <c:pt idx="4">
                  <c:v>Query
Attribute</c:v>
                </c:pt>
              </c:strCache>
            </c:strRef>
          </c:cat>
          <c:val>
            <c:numRef>
              <c:f>charts!$B$4:$F$4</c:f>
              <c:numCache>
                <c:formatCode>0.0%</c:formatCode>
                <c:ptCount val="5"/>
                <c:pt idx="0">
                  <c:v>0.98403133473937932</c:v>
                </c:pt>
                <c:pt idx="1">
                  <c:v>0.86747800668933917</c:v>
                </c:pt>
                <c:pt idx="2">
                  <c:v>0.95997476517594282</c:v>
                </c:pt>
                <c:pt idx="3">
                  <c:v>0.98648345065149023</c:v>
                </c:pt>
                <c:pt idx="4">
                  <c:v>0.98016176937589894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5-CD4C-9297-8078B7AEC91C}"/>
            </c:ext>
          </c:extLst>
        </c:ser>
        <c:ser>
          <c:idx val="0"/>
          <c:order val="1"/>
          <c:tx>
            <c:strRef>
              <c:f>charts!$A$3</c:f>
              <c:strCache>
                <c:ptCount val="1"/>
                <c:pt idx="0">
                  <c:v>Train on t only</c:v>
                </c:pt>
              </c:strCache>
            </c:strRef>
          </c:tx>
          <c:spPr>
            <a:pattFill prst="pct75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
Integer</c:v>
                </c:pt>
                <c:pt idx="3">
                  <c:v>Compare
Attribute</c:v>
                </c:pt>
                <c:pt idx="4">
                  <c:v>Query
Attribute</c:v>
                </c:pt>
              </c:strCache>
            </c:strRef>
          </c:cat>
          <c:val>
            <c:numRef>
              <c:f>charts!$B$3:$F$3</c:f>
              <c:numCache>
                <c:formatCode>0.0%</c:formatCode>
                <c:ptCount val="5"/>
                <c:pt idx="0">
                  <c:v>0.74199055940544345</c:v>
                </c:pt>
                <c:pt idx="1">
                  <c:v>0.62781416003822477</c:v>
                </c:pt>
                <c:pt idx="2">
                  <c:v>0.77975606336744707</c:v>
                </c:pt>
                <c:pt idx="3">
                  <c:v>0.61730567620188703</c:v>
                </c:pt>
                <c:pt idx="4">
                  <c:v>0.97076569592587747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5-CD4C-9297-8078B7AEC91C}"/>
            </c:ext>
          </c:extLst>
        </c:ser>
        <c:ser>
          <c:idx val="2"/>
          <c:order val="2"/>
          <c:tx>
            <c:strRef>
              <c:f>charts!$A$5</c:f>
              <c:strCache>
                <c:ptCount val="1"/>
                <c:pt idx="0">
                  <c:v>Train on All but t</c:v>
                </c:pt>
              </c:strCache>
            </c:strRef>
          </c:tx>
          <c:spPr>
            <a:pattFill prst="ltDnDiag">
              <a:fgClr>
                <a:schemeClr val="bg1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2.3696233688898119E-3"/>
                  <c:y val="-4.37218765464394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F1-A74F-95ED-9E56E4AF56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
Integer</c:v>
                </c:pt>
                <c:pt idx="3">
                  <c:v>Compare
Attribute</c:v>
                </c:pt>
                <c:pt idx="4">
                  <c:v>Query
Attribute</c:v>
                </c:pt>
              </c:strCache>
            </c:strRef>
          </c:cat>
          <c:val>
            <c:numRef>
              <c:f>charts!$B$5:$F$5</c:f>
              <c:numCache>
                <c:formatCode>0.0%</c:formatCode>
                <c:ptCount val="5"/>
                <c:pt idx="0">
                  <c:v>0.60424826755046701</c:v>
                </c:pt>
                <c:pt idx="1">
                  <c:v>0</c:v>
                </c:pt>
                <c:pt idx="2">
                  <c:v>0.56350764054395064</c:v>
                </c:pt>
                <c:pt idx="3">
                  <c:v>0.2318406469971544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5-CD4C-9297-8078B7AEC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556390528"/>
        <c:axId val="556419232"/>
      </c:barChart>
      <c:catAx>
        <c:axId val="55639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19232"/>
        <c:crosses val="autoZero"/>
        <c:auto val="1"/>
        <c:lblAlgn val="ctr"/>
        <c:lblOffset val="50"/>
        <c:noMultiLvlLbl val="0"/>
      </c:catAx>
      <c:valAx>
        <c:axId val="5564192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90528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34038361564181"/>
          <c:y val="5.322904326740234E-2"/>
          <c:w val="0.75178713161147614"/>
          <c:h val="0.574330973007389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charts!$A$10</c:f>
              <c:strCache>
                <c:ptCount val="1"/>
                <c:pt idx="0">
                  <c:v>Train on CoGenT-A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charts!$B$9:$C$9</c:f>
              <c:strCache>
                <c:ptCount val="2"/>
                <c:pt idx="0">
                  <c:v>Test on CoGenT-A</c:v>
                </c:pt>
                <c:pt idx="1">
                  <c:v>Test on CoGenT-B</c:v>
                </c:pt>
              </c:strCache>
            </c:strRef>
          </c:cat>
          <c:val>
            <c:numRef>
              <c:f>charts!$B$10:$C$10</c:f>
              <c:numCache>
                <c:formatCode>0.0%</c:formatCode>
                <c:ptCount val="2"/>
                <c:pt idx="0">
                  <c:v>0.95315611359999997</c:v>
                </c:pt>
                <c:pt idx="1">
                  <c:v>0.78220665450000004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2-3043-A9B0-DFE04D3F1531}"/>
            </c:ext>
          </c:extLst>
        </c:ser>
        <c:ser>
          <c:idx val="1"/>
          <c:order val="1"/>
          <c:tx>
            <c:strRef>
              <c:f>charts!$A$11</c:f>
              <c:strCache>
                <c:ptCount val="1"/>
                <c:pt idx="0">
                  <c:v>Finetune on CoGenT-B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2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charts!$B$9:$C$9</c:f>
              <c:strCache>
                <c:ptCount val="2"/>
                <c:pt idx="0">
                  <c:v>Test on CoGenT-A</c:v>
                </c:pt>
                <c:pt idx="1">
                  <c:v>Test on CoGenT-B</c:v>
                </c:pt>
              </c:strCache>
            </c:strRef>
          </c:cat>
          <c:val>
            <c:numRef>
              <c:f>charts!$B$11:$C$11</c:f>
              <c:numCache>
                <c:formatCode>0.0%</c:formatCode>
                <c:ptCount val="2"/>
                <c:pt idx="0">
                  <c:v>0.90806764360000003</c:v>
                </c:pt>
                <c:pt idx="1">
                  <c:v>0.94026935099999998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2-3043-A9B0-DFE04D3F15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64529376"/>
        <c:axId val="1164531008"/>
      </c:barChart>
      <c:catAx>
        <c:axId val="116452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1008"/>
        <c:crosses val="autoZero"/>
        <c:auto val="1"/>
        <c:lblAlgn val="ctr"/>
        <c:lblOffset val="10"/>
        <c:noMultiLvlLbl val="0"/>
      </c:catAx>
      <c:valAx>
        <c:axId val="1164531008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29376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718503745194477E-2"/>
          <c:y val="7.9196212538971605E-2"/>
          <c:w val="0.76780491488008862"/>
          <c:h val="0.68823529635937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charts!$A$17</c:f>
              <c:strCache>
                <c:ptCount val="1"/>
                <c:pt idx="0">
                  <c:v>Control on CoGenT-A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charts!$B$15:$I$16</c:f>
              <c:multiLvlStrCache>
                <c:ptCount val="8"/>
                <c:lvl>
                  <c:pt idx="0">
                    <c:v>Test on CoGenT-A</c:v>
                  </c:pt>
                  <c:pt idx="1">
                    <c:v>Test on CoGenT-B</c:v>
                  </c:pt>
                  <c:pt idx="2">
                    <c:v>Test on CoGenT-A</c:v>
                  </c:pt>
                  <c:pt idx="3">
                    <c:v>Test on CoGenT-B</c:v>
                  </c:pt>
                  <c:pt idx="4">
                    <c:v>Test on CoGenT-A</c:v>
                  </c:pt>
                  <c:pt idx="5">
                    <c:v>Test on CoGenT-B</c:v>
                  </c:pt>
                  <c:pt idx="6">
                    <c:v>Test on CoGenT-A</c:v>
                  </c:pt>
                  <c:pt idx="7">
                    <c:v>Test on CoGenT-B</c:v>
                  </c:pt>
                </c:lvl>
                <c:lvl>
                  <c:pt idx="0">
                    <c:v>SAMNet</c:v>
                  </c:pt>
                  <c:pt idx="2">
                    <c:v>TbD (Paper)</c:v>
                  </c:pt>
                  <c:pt idx="4">
                    <c:v>FiLM (Paper)</c:v>
                  </c:pt>
                  <c:pt idx="6">
                    <c:v>PG + EE (Paper)</c:v>
                  </c:pt>
                </c:lvl>
              </c:multiLvlStrCache>
            </c:multiLvlStrRef>
          </c:cat>
          <c:val>
            <c:numRef>
              <c:f>charts!$B$17:$I$17</c:f>
              <c:numCache>
                <c:formatCode>General</c:formatCode>
                <c:ptCount val="8"/>
                <c:pt idx="0" formatCode="0.0%">
                  <c:v>0.95315611359999997</c:v>
                </c:pt>
                <c:pt idx="2" formatCode="0.0%">
                  <c:v>0.98799999999999999</c:v>
                </c:pt>
                <c:pt idx="4" formatCode="0.0%">
                  <c:v>0.98299999999999998</c:v>
                </c:pt>
                <c:pt idx="6" formatCode="0.0%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9-8B4F-A3AA-8536F5E70AB7}"/>
            </c:ext>
          </c:extLst>
        </c:ser>
        <c:ser>
          <c:idx val="1"/>
          <c:order val="1"/>
          <c:tx>
            <c:strRef>
              <c:f>charts!$A$18</c:f>
              <c:strCache>
                <c:ptCount val="1"/>
                <c:pt idx="0">
                  <c:v>Zero-shot on CoGenT-B</c:v>
                </c:pt>
              </c:strCache>
            </c:strRef>
          </c:tx>
          <c:spPr>
            <a:pattFill prst="ltDnDiag">
              <a:fgClr>
                <a:schemeClr val="bg2">
                  <a:lumMod val="75000"/>
                </a:schemeClr>
              </a:fgClr>
              <a:bgClr>
                <a:schemeClr val="accent4"/>
              </a:bgClr>
            </a:pattFill>
            <a:ln w="31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charts!$B$15:$I$16</c:f>
              <c:multiLvlStrCache>
                <c:ptCount val="8"/>
                <c:lvl>
                  <c:pt idx="0">
                    <c:v>Test on CoGenT-A</c:v>
                  </c:pt>
                  <c:pt idx="1">
                    <c:v>Test on CoGenT-B</c:v>
                  </c:pt>
                  <c:pt idx="2">
                    <c:v>Test on CoGenT-A</c:v>
                  </c:pt>
                  <c:pt idx="3">
                    <c:v>Test on CoGenT-B</c:v>
                  </c:pt>
                  <c:pt idx="4">
                    <c:v>Test on CoGenT-A</c:v>
                  </c:pt>
                  <c:pt idx="5">
                    <c:v>Test on CoGenT-B</c:v>
                  </c:pt>
                  <c:pt idx="6">
                    <c:v>Test on CoGenT-A</c:v>
                  </c:pt>
                  <c:pt idx="7">
                    <c:v>Test on CoGenT-B</c:v>
                  </c:pt>
                </c:lvl>
                <c:lvl>
                  <c:pt idx="0">
                    <c:v>SAMNet</c:v>
                  </c:pt>
                  <c:pt idx="2">
                    <c:v>TbD (Paper)</c:v>
                  </c:pt>
                  <c:pt idx="4">
                    <c:v>FiLM (Paper)</c:v>
                  </c:pt>
                  <c:pt idx="6">
                    <c:v>PG + EE (Paper)</c:v>
                  </c:pt>
                </c:lvl>
              </c:multiLvlStrCache>
            </c:multiLvlStrRef>
          </c:cat>
          <c:val>
            <c:numRef>
              <c:f>charts!$B$18:$I$18</c:f>
              <c:numCache>
                <c:formatCode>0.0%</c:formatCode>
                <c:ptCount val="8"/>
                <c:pt idx="1">
                  <c:v>0.78220665450000004</c:v>
                </c:pt>
                <c:pt idx="3">
                  <c:v>0.754</c:v>
                </c:pt>
                <c:pt idx="5">
                  <c:v>0.78800000000000003</c:v>
                </c:pt>
                <c:pt idx="7">
                  <c:v>0.73699999999999999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9-8B4F-A3AA-8536F5E70AB7}"/>
            </c:ext>
          </c:extLst>
        </c:ser>
        <c:ser>
          <c:idx val="2"/>
          <c:order val="2"/>
          <c:tx>
            <c:strRef>
              <c:f>charts!$A$19</c:f>
              <c:strCache>
                <c:ptCount val="1"/>
                <c:pt idx="0">
                  <c:v>Finetune on CoGenT-B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1">
                  <a:lumMod val="85000"/>
                </a:schemeClr>
              </a:bgClr>
            </a:pattFill>
            <a:ln>
              <a:noFill/>
              <a:prstDash val="dash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charts!$B$15:$I$16</c:f>
              <c:multiLvlStrCache>
                <c:ptCount val="8"/>
                <c:lvl>
                  <c:pt idx="0">
                    <c:v>Test on CoGenT-A</c:v>
                  </c:pt>
                  <c:pt idx="1">
                    <c:v>Test on CoGenT-B</c:v>
                  </c:pt>
                  <c:pt idx="2">
                    <c:v>Test on CoGenT-A</c:v>
                  </c:pt>
                  <c:pt idx="3">
                    <c:v>Test on CoGenT-B</c:v>
                  </c:pt>
                  <c:pt idx="4">
                    <c:v>Test on CoGenT-A</c:v>
                  </c:pt>
                  <c:pt idx="5">
                    <c:v>Test on CoGenT-B</c:v>
                  </c:pt>
                  <c:pt idx="6">
                    <c:v>Test on CoGenT-A</c:v>
                  </c:pt>
                  <c:pt idx="7">
                    <c:v>Test on CoGenT-B</c:v>
                  </c:pt>
                </c:lvl>
                <c:lvl>
                  <c:pt idx="0">
                    <c:v>SAMNet</c:v>
                  </c:pt>
                  <c:pt idx="2">
                    <c:v>TbD (Paper)</c:v>
                  </c:pt>
                  <c:pt idx="4">
                    <c:v>FiLM (Paper)</c:v>
                  </c:pt>
                  <c:pt idx="6">
                    <c:v>PG + EE (Paper)</c:v>
                  </c:pt>
                </c:lvl>
              </c:multiLvlStrCache>
            </c:multiLvlStrRef>
          </c:cat>
          <c:val>
            <c:numRef>
              <c:f>charts!$B$19:$I$19</c:f>
              <c:numCache>
                <c:formatCode>0.0%</c:formatCode>
                <c:ptCount val="8"/>
                <c:pt idx="0">
                  <c:v>0.90806764360000003</c:v>
                </c:pt>
                <c:pt idx="1">
                  <c:v>0.94026935099999998</c:v>
                </c:pt>
                <c:pt idx="2">
                  <c:v>0.96899999999999997</c:v>
                </c:pt>
                <c:pt idx="3">
                  <c:v>0.96299999999999997</c:v>
                </c:pt>
                <c:pt idx="4">
                  <c:v>0.81100000000000005</c:v>
                </c:pt>
                <c:pt idx="5">
                  <c:v>0.96899999999999997</c:v>
                </c:pt>
                <c:pt idx="6">
                  <c:v>0.76100000000000001</c:v>
                </c:pt>
                <c:pt idx="7">
                  <c:v>0.92700000000000005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9-8B4F-A3AA-8536F5E70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5"/>
        <c:axId val="2064965920"/>
        <c:axId val="2065156208"/>
      </c:barChart>
      <c:catAx>
        <c:axId val="20649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56208"/>
        <c:crosses val="autoZero"/>
        <c:auto val="0"/>
        <c:lblAlgn val="ctr"/>
        <c:lblOffset val="100"/>
        <c:noMultiLvlLbl val="0"/>
      </c:catAx>
      <c:valAx>
        <c:axId val="2065156208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659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44357278305526"/>
          <c:y val="0.2440545213633204"/>
          <c:w val="0.16247658137471688"/>
          <c:h val="0.48462095890719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charts!$A$46</c:f>
              <c:strCache>
                <c:ptCount val="1"/>
                <c:pt idx="0">
                  <c:v>Accuracy on CLEVR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lgGrid">
                <a:fgClr>
                  <a:schemeClr val="bg1">
                    <a:lumMod val="85000"/>
                  </a:schemeClr>
                </a:fgClr>
                <a:bgClr>
                  <a:srgbClr val="BAECAC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47-E249-A2F9-E3F24AF2EB36}"/>
              </c:ext>
            </c:extLst>
          </c:dPt>
          <c:dPt>
            <c:idx val="2"/>
            <c:invertIfNegative val="0"/>
            <c:bubble3D val="0"/>
            <c:spPr>
              <a:pattFill prst="pct5">
                <a:fgClr>
                  <a:schemeClr val="bg2">
                    <a:lumMod val="50000"/>
                  </a:schemeClr>
                </a:fgClr>
                <a:bgClr>
                  <a:srgbClr val="9DCDCF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47-E249-A2F9-E3F24AF2EB3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chemeClr val="bg2">
                    <a:lumMod val="75000"/>
                  </a:schemeClr>
                </a:fgClr>
                <a:bgClr>
                  <a:schemeClr val="accent6">
                    <a:lumMod val="60000"/>
                    <a:lumOff val="40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347-E249-A2F9-E3F24AF2EB3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6576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347-E249-A2F9-E3F24AF2EB3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6576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4347-E249-A2F9-E3F24AF2EB3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6576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4347-E249-A2F9-E3F24AF2EB3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6576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4347-E249-A2F9-E3F24AF2EB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6576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charts!$B$45:$E$45</c:f>
              <c:strCache>
                <c:ptCount val="4"/>
                <c:pt idx="0">
                  <c:v>SAMNet</c:v>
                </c:pt>
                <c:pt idx="1">
                  <c:v>PG + EE (Paper)</c:v>
                </c:pt>
                <c:pt idx="2">
                  <c:v>FiLM (Paper)</c:v>
                </c:pt>
                <c:pt idx="3">
                  <c:v>TbD (Paper)</c:v>
                </c:pt>
              </c:strCache>
            </c:strRef>
          </c:cat>
          <c:val>
            <c:numRef>
              <c:f>charts!$B$46:$E$46</c:f>
              <c:numCache>
                <c:formatCode>0.0%</c:formatCode>
                <c:ptCount val="4"/>
                <c:pt idx="0">
                  <c:v>0.96199999999999997</c:v>
                </c:pt>
                <c:pt idx="1">
                  <c:v>0.96899999999999997</c:v>
                </c:pt>
                <c:pt idx="2">
                  <c:v>0.97699999999999998</c:v>
                </c:pt>
                <c:pt idx="3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5-CB46-BFBF-782568E92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51611119"/>
        <c:axId val="1651612751"/>
      </c:barChart>
      <c:catAx>
        <c:axId val="165161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12751"/>
        <c:crosses val="autoZero"/>
        <c:auto val="1"/>
        <c:lblAlgn val="ctr"/>
        <c:lblOffset val="100"/>
        <c:noMultiLvlLbl val="0"/>
      </c:catAx>
      <c:valAx>
        <c:axId val="1651612751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111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1241714620383"/>
          <c:y val="4.484361994240392E-2"/>
          <c:w val="0.88155381662002996"/>
          <c:h val="0.63113422145001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charts!$A$65</c:f>
              <c:strCache>
                <c:ptCount val="1"/>
                <c:pt idx="0">
                  <c:v>SAMNet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charts!$B$63:$E$64</c:f>
              <c:multiLvlStrCache>
                <c:ptCount val="4"/>
                <c:lvl>
                  <c:pt idx="0">
                    <c:v>CoGenT-A =&gt; CoGenT-A</c:v>
                  </c:pt>
                  <c:pt idx="1">
                    <c:v>CoGenT-A =&gt; CoGenT-B</c:v>
                  </c:pt>
                  <c:pt idx="2">
                    <c:v>CoGenT-A =&gt; CoGenT-B</c:v>
                  </c:pt>
                  <c:pt idx="3">
                    <c:v>CoGenT-A =&gt; CoGenT-A</c:v>
                  </c:pt>
                </c:lvl>
                <c:lvl>
                  <c:pt idx="0">
                    <c:v>  </c:v>
                  </c:pt>
                  <c:pt idx="1">
                    <c:v>(Zero-shot)</c:v>
                  </c:pt>
                  <c:pt idx="2">
                    <c:v>(Fine-tuning on B)</c:v>
                  </c:pt>
                  <c:pt idx="3">
                    <c:v>(Fine-tuning on B)</c:v>
                  </c:pt>
                </c:lvl>
              </c:multiLvlStrCache>
            </c:multiLvlStrRef>
          </c:cat>
          <c:val>
            <c:numRef>
              <c:f>charts!$B$65:$E$65</c:f>
              <c:numCache>
                <c:formatCode>0.0%</c:formatCode>
                <c:ptCount val="4"/>
                <c:pt idx="0">
                  <c:v>0.95315611359999997</c:v>
                </c:pt>
                <c:pt idx="1">
                  <c:v>0.78200000000000003</c:v>
                </c:pt>
                <c:pt idx="2">
                  <c:v>0.90800000000000003</c:v>
                </c:pt>
                <c:pt idx="3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D-A746-B0DC-F6E41F23A4BC}"/>
            </c:ext>
          </c:extLst>
        </c:ser>
        <c:ser>
          <c:idx val="1"/>
          <c:order val="1"/>
          <c:tx>
            <c:strRef>
              <c:f>charts!$A$66</c:f>
              <c:strCache>
                <c:ptCount val="1"/>
                <c:pt idx="0">
                  <c:v>PG + EE (Paper)</c:v>
                </c:pt>
              </c:strCache>
            </c:strRef>
          </c:tx>
          <c:spPr>
            <a:pattFill prst="lgGrid">
              <a:fgClr>
                <a:schemeClr val="bg1">
                  <a:lumMod val="85000"/>
                </a:schemeClr>
              </a:fgClr>
              <a:bgClr>
                <a:srgbClr val="BAECAC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charts!$B$63:$E$64</c:f>
              <c:multiLvlStrCache>
                <c:ptCount val="4"/>
                <c:lvl>
                  <c:pt idx="0">
                    <c:v>CoGenT-A =&gt; CoGenT-A</c:v>
                  </c:pt>
                  <c:pt idx="1">
                    <c:v>CoGenT-A =&gt; CoGenT-B</c:v>
                  </c:pt>
                  <c:pt idx="2">
                    <c:v>CoGenT-A =&gt; CoGenT-B</c:v>
                  </c:pt>
                  <c:pt idx="3">
                    <c:v>CoGenT-A =&gt; CoGenT-A</c:v>
                  </c:pt>
                </c:lvl>
                <c:lvl>
                  <c:pt idx="0">
                    <c:v>  </c:v>
                  </c:pt>
                  <c:pt idx="1">
                    <c:v>(Zero-shot)</c:v>
                  </c:pt>
                  <c:pt idx="2">
                    <c:v>(Fine-tuning on B)</c:v>
                  </c:pt>
                  <c:pt idx="3">
                    <c:v>(Fine-tuning on B)</c:v>
                  </c:pt>
                </c:lvl>
              </c:multiLvlStrCache>
            </c:multiLvlStrRef>
          </c:cat>
          <c:val>
            <c:numRef>
              <c:f>charts!$B$66:$E$66</c:f>
              <c:numCache>
                <c:formatCode>0.0%</c:formatCode>
                <c:ptCount val="4"/>
                <c:pt idx="0">
                  <c:v>0.96599999999999997</c:v>
                </c:pt>
                <c:pt idx="1">
                  <c:v>0.73699999999999999</c:v>
                </c:pt>
                <c:pt idx="2">
                  <c:v>0.76100000000000001</c:v>
                </c:pt>
                <c:pt idx="3">
                  <c:v>0.92700000000000005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D-A746-B0DC-F6E41F23A4BC}"/>
            </c:ext>
          </c:extLst>
        </c:ser>
        <c:ser>
          <c:idx val="2"/>
          <c:order val="2"/>
          <c:tx>
            <c:strRef>
              <c:f>charts!$A$67</c:f>
              <c:strCache>
                <c:ptCount val="1"/>
                <c:pt idx="0">
                  <c:v>FiLM (Paper)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rgbClr val="9DCDCF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charts!$B$63:$E$64</c:f>
              <c:multiLvlStrCache>
                <c:ptCount val="4"/>
                <c:lvl>
                  <c:pt idx="0">
                    <c:v>CoGenT-A =&gt; CoGenT-A</c:v>
                  </c:pt>
                  <c:pt idx="1">
                    <c:v>CoGenT-A =&gt; CoGenT-B</c:v>
                  </c:pt>
                  <c:pt idx="2">
                    <c:v>CoGenT-A =&gt; CoGenT-B</c:v>
                  </c:pt>
                  <c:pt idx="3">
                    <c:v>CoGenT-A =&gt; CoGenT-A</c:v>
                  </c:pt>
                </c:lvl>
                <c:lvl>
                  <c:pt idx="0">
                    <c:v>  </c:v>
                  </c:pt>
                  <c:pt idx="1">
                    <c:v>(Zero-shot)</c:v>
                  </c:pt>
                  <c:pt idx="2">
                    <c:v>(Fine-tuning on B)</c:v>
                  </c:pt>
                  <c:pt idx="3">
                    <c:v>(Fine-tuning on B)</c:v>
                  </c:pt>
                </c:lvl>
              </c:multiLvlStrCache>
            </c:multiLvlStrRef>
          </c:cat>
          <c:val>
            <c:numRef>
              <c:f>charts!$B$67:$E$67</c:f>
              <c:numCache>
                <c:formatCode>0.0%</c:formatCode>
                <c:ptCount val="4"/>
                <c:pt idx="0">
                  <c:v>0.98299999999999998</c:v>
                </c:pt>
                <c:pt idx="1">
                  <c:v>0.78800000000000003</c:v>
                </c:pt>
                <c:pt idx="2">
                  <c:v>0.81100000000000005</c:v>
                </c:pt>
                <c:pt idx="3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2D-A746-B0DC-F6E41F23A4BC}"/>
            </c:ext>
          </c:extLst>
        </c:ser>
        <c:ser>
          <c:idx val="3"/>
          <c:order val="3"/>
          <c:tx>
            <c:strRef>
              <c:f>charts!$A$68</c:f>
              <c:strCache>
                <c:ptCount val="1"/>
                <c:pt idx="0">
                  <c:v>TbD (Paper)</c:v>
                </c:pt>
              </c:strCache>
            </c:strRef>
          </c:tx>
          <c:spPr>
            <a:pattFill prst="ltDnDiag">
              <a:fgClr>
                <a:schemeClr val="bg2">
                  <a:lumMod val="75000"/>
                </a:schemeClr>
              </a:fgClr>
              <a:bgClr>
                <a:schemeClr val="accent6">
                  <a:lumMod val="60000"/>
                  <a:lumOff val="40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charts!$B$63:$E$64</c:f>
              <c:multiLvlStrCache>
                <c:ptCount val="4"/>
                <c:lvl>
                  <c:pt idx="0">
                    <c:v>CoGenT-A =&gt; CoGenT-A</c:v>
                  </c:pt>
                  <c:pt idx="1">
                    <c:v>CoGenT-A =&gt; CoGenT-B</c:v>
                  </c:pt>
                  <c:pt idx="2">
                    <c:v>CoGenT-A =&gt; CoGenT-B</c:v>
                  </c:pt>
                  <c:pt idx="3">
                    <c:v>CoGenT-A =&gt; CoGenT-A</c:v>
                  </c:pt>
                </c:lvl>
                <c:lvl>
                  <c:pt idx="0">
                    <c:v>  </c:v>
                  </c:pt>
                  <c:pt idx="1">
                    <c:v>(Zero-shot)</c:v>
                  </c:pt>
                  <c:pt idx="2">
                    <c:v>(Fine-tuning on B)</c:v>
                  </c:pt>
                  <c:pt idx="3">
                    <c:v>(Fine-tuning on B)</c:v>
                  </c:pt>
                </c:lvl>
              </c:multiLvlStrCache>
            </c:multiLvlStrRef>
          </c:cat>
          <c:val>
            <c:numRef>
              <c:f>charts!$B$68:$E$68</c:f>
              <c:numCache>
                <c:formatCode>0.0%</c:formatCode>
                <c:ptCount val="4"/>
                <c:pt idx="0">
                  <c:v>0.98799999999999999</c:v>
                </c:pt>
                <c:pt idx="1">
                  <c:v>0.754</c:v>
                </c:pt>
                <c:pt idx="2">
                  <c:v>0.96899999999999997</c:v>
                </c:pt>
                <c:pt idx="3">
                  <c:v>0.96299999999999997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2D-A746-B0DC-F6E41F23A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1894605727"/>
        <c:axId val="1894737855"/>
      </c:barChart>
      <c:catAx>
        <c:axId val="189460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37855"/>
        <c:crosses val="autoZero"/>
        <c:auto val="1"/>
        <c:lblAlgn val="ctr"/>
        <c:lblOffset val="100"/>
        <c:noMultiLvlLbl val="0"/>
      </c:catAx>
      <c:valAx>
        <c:axId val="189473785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0572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77753</xdr:colOff>
      <xdr:row>4</xdr:row>
      <xdr:rowOff>147674</xdr:rowOff>
    </xdr:from>
    <xdr:to>
      <xdr:col>21</xdr:col>
      <xdr:colOff>145143</xdr:colOff>
      <xdr:row>24</xdr:row>
      <xdr:rowOff>102420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C828B-17AB-454F-B54E-9BAE66030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1124066</xdr:colOff>
      <xdr:row>30</xdr:row>
      <xdr:rowOff>21449</xdr:rowOff>
    </xdr:from>
    <xdr:to>
      <xdr:col>16</xdr:col>
      <xdr:colOff>363547</xdr:colOff>
      <xdr:row>38</xdr:row>
      <xdr:rowOff>109421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BEB3E1-FD0E-B943-9065-F5ED99806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614177</xdr:colOff>
      <xdr:row>21</xdr:row>
      <xdr:rowOff>29534</xdr:rowOff>
    </xdr:from>
    <xdr:to>
      <xdr:col>7</xdr:col>
      <xdr:colOff>886045</xdr:colOff>
      <xdr:row>39</xdr:row>
      <xdr:rowOff>177207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D40114-8959-4E45-A25F-9810E5332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1303901</xdr:colOff>
      <xdr:row>70</xdr:row>
      <xdr:rowOff>127519</xdr:rowOff>
    </xdr:from>
    <xdr:to>
      <xdr:col>11</xdr:col>
      <xdr:colOff>259183</xdr:colOff>
      <xdr:row>78</xdr:row>
      <xdr:rowOff>173973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6342BA-8547-1B4A-BD62-96BB2461A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1595120</xdr:colOff>
      <xdr:row>70</xdr:row>
      <xdr:rowOff>35560</xdr:rowOff>
    </xdr:from>
    <xdr:to>
      <xdr:col>7</xdr:col>
      <xdr:colOff>508000</xdr:colOff>
      <xdr:row>83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893CD2-F031-C74C-8360-90E5960A2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7588-6C2C-EA47-BB96-ACEF46008446}">
  <dimension ref="A1:Y29"/>
  <sheetViews>
    <sheetView workbookViewId="0">
      <pane xSplit="1" topLeftCell="F1" activePane="topRight" state="frozen"/>
      <selection pane="topRight" activeCell="N16" sqref="N16"/>
    </sheetView>
  </sheetViews>
  <sheetFormatPr baseColWidth="10" defaultRowHeight="16"/>
  <cols>
    <col min="1" max="1" width="68.5" customWidth="1"/>
    <col min="2" max="2" width="17.5" customWidth="1"/>
    <col min="3" max="3" width="10.1640625" customWidth="1"/>
    <col min="4" max="4" width="10.5" customWidth="1"/>
    <col min="5" max="5" width="16.83203125" customWidth="1"/>
    <col min="6" max="6" width="18.33203125" customWidth="1"/>
    <col min="7" max="7" width="15.83203125" customWidth="1"/>
    <col min="8" max="8" width="16.83203125" customWidth="1"/>
    <col min="9" max="9" width="9.33203125" customWidth="1"/>
    <col min="10" max="10" width="10.33203125" customWidth="1"/>
    <col min="11" max="11" width="16.83203125" customWidth="1"/>
    <col min="12" max="12" width="19.1640625" customWidth="1"/>
    <col min="13" max="13" width="16.33203125" customWidth="1"/>
    <col min="14" max="14" width="16.83203125" customWidth="1"/>
    <col min="15" max="15" width="9.33203125" customWidth="1"/>
    <col min="16" max="16" width="9.1640625" customWidth="1"/>
    <col min="17" max="17" width="17" customWidth="1"/>
    <col min="18" max="18" width="18.83203125" customWidth="1"/>
    <col min="19" max="19" width="16.5" customWidth="1"/>
    <col min="20" max="20" width="19.6640625" customWidth="1"/>
    <col min="23" max="23" width="18" customWidth="1"/>
    <col min="24" max="24" width="19.6640625" customWidth="1"/>
    <col min="25" max="25" width="18.1640625" customWidth="1"/>
  </cols>
  <sheetData>
    <row r="1" spans="1:25" ht="19">
      <c r="A1" s="49" t="s">
        <v>0</v>
      </c>
      <c r="B1" s="40" t="s">
        <v>19</v>
      </c>
      <c r="C1" s="41"/>
      <c r="D1" s="41"/>
      <c r="E1" s="41"/>
      <c r="F1" s="41"/>
      <c r="G1" s="42"/>
      <c r="H1" s="43" t="s">
        <v>20</v>
      </c>
      <c r="I1" s="44"/>
      <c r="J1" s="44"/>
      <c r="K1" s="44"/>
      <c r="L1" s="44"/>
      <c r="M1" s="45"/>
      <c r="N1" s="46" t="s">
        <v>21</v>
      </c>
      <c r="O1" s="47"/>
      <c r="P1" s="47"/>
      <c r="Q1" s="47"/>
      <c r="R1" s="47"/>
      <c r="S1" s="48"/>
      <c r="T1" s="51" t="s">
        <v>39</v>
      </c>
      <c r="U1" s="52"/>
      <c r="V1" s="52"/>
      <c r="W1" s="52"/>
      <c r="X1" s="52"/>
      <c r="Y1" s="53"/>
    </row>
    <row r="2" spans="1:25" ht="20" thickBot="1">
      <c r="A2" s="50"/>
      <c r="B2" s="9" t="s">
        <v>1</v>
      </c>
      <c r="C2" s="10" t="s">
        <v>2</v>
      </c>
      <c r="D2" s="10" t="s">
        <v>3</v>
      </c>
      <c r="E2" s="10" t="s">
        <v>4</v>
      </c>
      <c r="F2" s="8" t="s">
        <v>5</v>
      </c>
      <c r="G2" s="3" t="s">
        <v>6</v>
      </c>
      <c r="H2" s="7" t="s">
        <v>1</v>
      </c>
      <c r="I2" s="5" t="s">
        <v>2</v>
      </c>
      <c r="J2" s="6" t="s">
        <v>3</v>
      </c>
      <c r="K2" s="5" t="s">
        <v>4</v>
      </c>
      <c r="L2" s="5" t="s">
        <v>5</v>
      </c>
      <c r="M2" s="4" t="s">
        <v>6</v>
      </c>
      <c r="N2" s="12" t="s">
        <v>1</v>
      </c>
      <c r="O2" s="13" t="s">
        <v>2</v>
      </c>
      <c r="P2" s="13" t="s">
        <v>3</v>
      </c>
      <c r="Q2" s="13" t="s">
        <v>4</v>
      </c>
      <c r="R2" s="13" t="s">
        <v>5</v>
      </c>
      <c r="S2" s="11" t="s">
        <v>6</v>
      </c>
      <c r="T2" s="22" t="s">
        <v>1</v>
      </c>
      <c r="U2" s="23" t="s">
        <v>2</v>
      </c>
      <c r="V2" s="23" t="s">
        <v>3</v>
      </c>
      <c r="W2" s="23" t="s">
        <v>4</v>
      </c>
      <c r="X2" s="23" t="s">
        <v>5</v>
      </c>
      <c r="Y2" s="24" t="s">
        <v>6</v>
      </c>
    </row>
    <row r="3" spans="1:25" ht="20" thickTop="1">
      <c r="A3" s="2" t="s">
        <v>7</v>
      </c>
      <c r="B3" s="14">
        <v>0.96960234639999998</v>
      </c>
      <c r="C3" s="15">
        <f xml:space="preserve"> 82556 / 83211</f>
        <v>0.99212844455660909</v>
      </c>
      <c r="D3" s="15">
        <f>131604 / 146385</f>
        <v>0.89902653960446766</v>
      </c>
      <c r="E3" s="15">
        <f xml:space="preserve"> 61746 / 63273</f>
        <v>0.97586648333412351</v>
      </c>
      <c r="F3" s="15">
        <f xml:space="preserve"> 111329 / 112176</f>
        <v>0.99244936528312655</v>
      </c>
      <c r="G3" s="16">
        <f>223578 / 224919</f>
        <v>0.99403785362730579</v>
      </c>
      <c r="H3" s="14">
        <v>0.95476102829999998</v>
      </c>
      <c r="I3" s="15">
        <f xml:space="preserve"> 9096 / 9230</f>
        <v>0.98548212351029252</v>
      </c>
      <c r="J3" s="15">
        <f>14072 / 16314</f>
        <v>0.8625720240284418</v>
      </c>
      <c r="K3" s="15">
        <f>6772 / 7078</f>
        <v>0.95676744843176043</v>
      </c>
      <c r="L3" s="15">
        <f xml:space="preserve"> 12249 / 12372</f>
        <v>0.99005819592628519</v>
      </c>
      <c r="M3" s="16">
        <f xml:space="preserve"> 24640 / 25002</f>
        <v>0.98552115830733544</v>
      </c>
      <c r="N3" s="14">
        <v>0.95315611359999997</v>
      </c>
      <c r="O3" s="15">
        <f xml:space="preserve"> 19596 / 19914</f>
        <v>0.98403133473937932</v>
      </c>
      <c r="P3" s="15">
        <f xml:space="preserve"> 30864 / 35579</f>
        <v>0.86747800668933917</v>
      </c>
      <c r="Q3" s="15">
        <f xml:space="preserve"> 13695 / 14266</f>
        <v>0.95997476517594282</v>
      </c>
      <c r="R3" s="15">
        <f xml:space="preserve"> 26347 / 26708</f>
        <v>0.98648345065149023</v>
      </c>
      <c r="S3" s="16">
        <f xml:space="preserve"> 52471 / 53533</f>
        <v>0.98016176937589894</v>
      </c>
      <c r="T3" s="14">
        <v>0.78220665450000004</v>
      </c>
      <c r="U3" s="15">
        <f xml:space="preserve"> 16767 / 19275</f>
        <v>0.86988326848249031</v>
      </c>
      <c r="V3" s="15">
        <f xml:space="preserve"> 25128 / 35747</f>
        <v>0.70294010686211428</v>
      </c>
      <c r="W3" s="15">
        <f xml:space="preserve"> 12307 / 14279</f>
        <v>0.86189509069262549</v>
      </c>
      <c r="X3" s="15">
        <f xml:space="preserve"> 23272 / 27156</f>
        <v>0.85697451760200327</v>
      </c>
      <c r="Y3" s="16">
        <f xml:space="preserve"> 39849 / 53174</f>
        <v>0.74940760522059657</v>
      </c>
    </row>
    <row r="4" spans="1:25" ht="19">
      <c r="A4" s="2" t="s">
        <v>37</v>
      </c>
      <c r="B4" s="14"/>
      <c r="C4" s="15"/>
      <c r="D4" s="15"/>
      <c r="E4" s="15"/>
      <c r="F4" s="15"/>
      <c r="G4" s="16"/>
      <c r="H4" s="14">
        <v>0.90976476669999995</v>
      </c>
      <c r="I4" s="15">
        <f xml:space="preserve"> 8769 / 9230</f>
        <v>0.95005417118093172</v>
      </c>
      <c r="J4" s="15">
        <f xml:space="preserve"> 13279 / 16314</f>
        <v>0.8139634669608925</v>
      </c>
      <c r="K4" s="15">
        <f xml:space="preserve"> 6647 / 7078</f>
        <v>0.93910709239898271</v>
      </c>
      <c r="L4" s="15">
        <f xml:space="preserve"> 11725 / 12372</f>
        <v>0.94770449401875201</v>
      </c>
      <c r="M4" s="16">
        <f xml:space="preserve"> 23259 / 25002</f>
        <v>0.93028557715382765</v>
      </c>
      <c r="N4" s="14">
        <v>0.90806764360000003</v>
      </c>
      <c r="O4" s="15">
        <f xml:space="preserve"> 18950 / 19914</f>
        <v>0.9515918449332128</v>
      </c>
      <c r="P4" s="15">
        <f xml:space="preserve"> 28873 / 35579</f>
        <v>0.81151803029877179</v>
      </c>
      <c r="Q4" s="15">
        <f xml:space="preserve"> 13458 / 14266</f>
        <v>0.94336183933828688</v>
      </c>
      <c r="R4" s="15">
        <f xml:space="preserve"> 25218 / 26708</f>
        <v>0.94421147221806201</v>
      </c>
      <c r="S4" s="16">
        <f xml:space="preserve"> 49710 / 53533</f>
        <v>0.92858610576653655</v>
      </c>
      <c r="T4" s="14">
        <v>0.94026935099999998</v>
      </c>
      <c r="U4" s="15">
        <f xml:space="preserve"> 14943 / 15383</f>
        <v>0.97139699668465185</v>
      </c>
      <c r="V4" s="15">
        <f xml:space="preserve"> 23994 / 28565</f>
        <v>0.8399789952739366</v>
      </c>
      <c r="W4" s="15">
        <f xml:space="preserve"> 10909 / 11429</f>
        <v>0.95450170618601804</v>
      </c>
      <c r="X4" s="15">
        <f xml:space="preserve"> 21479 / 22007</f>
        <v>0.97600763393465717</v>
      </c>
      <c r="Y4" s="16">
        <f xml:space="preserve"> 41473 / 42577</f>
        <v>0.9740705075510252</v>
      </c>
    </row>
    <row r="5" spans="1:25" ht="19">
      <c r="A5" s="2" t="s">
        <v>38</v>
      </c>
      <c r="B5" s="14"/>
      <c r="C5" s="15"/>
      <c r="D5" s="15"/>
      <c r="E5" s="15"/>
      <c r="F5" s="15"/>
      <c r="G5" s="16"/>
      <c r="H5" s="14">
        <v>0.90952330830000006</v>
      </c>
      <c r="I5" s="15">
        <f xml:space="preserve"> 8766 / 9230</f>
        <v>0.94972914409534126</v>
      </c>
      <c r="J5" s="15">
        <f xml:space="preserve"> 13266 / 16314</f>
        <v>0.81316660536962115</v>
      </c>
      <c r="K5" s="15">
        <f xml:space="preserve"> 6643 / 7078</f>
        <v>0.9385419610059339</v>
      </c>
      <c r="L5" s="15">
        <f xml:space="preserve"> 11724 / 12372</f>
        <v>0.94762366634335593</v>
      </c>
      <c r="M5" s="16">
        <f xml:space="preserve"> 23264 / 25002</f>
        <v>0.93048556115510761</v>
      </c>
      <c r="N5" s="14">
        <v>0.95197176930000005</v>
      </c>
      <c r="O5" s="15">
        <f xml:space="preserve"> 19591 / 19914</f>
        <v>0.98378025509691669</v>
      </c>
      <c r="P5" s="15">
        <f xml:space="preserve"> 30678 / 35579</f>
        <v>0.86225020377188788</v>
      </c>
      <c r="Q5" s="15">
        <f xml:space="preserve"> 13692 / 14266</f>
        <v>0.95976447497546613</v>
      </c>
      <c r="R5" s="15">
        <f xml:space="preserve"> 26361 / 26708</f>
        <v>0.98700763816085069</v>
      </c>
      <c r="S5" s="16">
        <f xml:space="preserve"> 52474 / 53533</f>
        <v>0.98021780957540205</v>
      </c>
      <c r="T5" s="14">
        <v>0.78660434479999997</v>
      </c>
      <c r="U5" s="15">
        <f xml:space="preserve"> 13482 / 15383</f>
        <v>0.87642202431255278</v>
      </c>
      <c r="V5" s="15">
        <f xml:space="preserve"> 20134 / 28565</f>
        <v>0.70484859093295993</v>
      </c>
      <c r="W5" s="15">
        <f xml:space="preserve"> 9906 / 11429</f>
        <v>0.86674249715635665</v>
      </c>
      <c r="X5" s="15">
        <f xml:space="preserve"> 18720 / 22007</f>
        <v>0.8506384332257918</v>
      </c>
      <c r="Y5" s="16">
        <f xml:space="preserve"> 33124 / 42577</f>
        <v>0.77797872090565323</v>
      </c>
    </row>
    <row r="6" spans="1:25" ht="19">
      <c r="A6" s="1"/>
      <c r="B6" s="15"/>
      <c r="C6" s="15"/>
      <c r="D6" s="15"/>
      <c r="E6" s="15"/>
      <c r="F6" s="15"/>
      <c r="G6" s="16"/>
      <c r="H6" s="14"/>
      <c r="I6" s="15"/>
      <c r="J6" s="15"/>
      <c r="K6" s="15"/>
      <c r="L6" s="15"/>
      <c r="M6" s="16"/>
      <c r="N6" s="14"/>
      <c r="O6" s="15"/>
      <c r="P6" s="15"/>
      <c r="Q6" s="15"/>
      <c r="R6" s="15"/>
      <c r="S6" s="16"/>
      <c r="T6" s="15"/>
      <c r="U6" s="15"/>
      <c r="V6" s="15"/>
      <c r="W6" s="15"/>
      <c r="X6" s="15"/>
      <c r="Y6" s="16"/>
    </row>
    <row r="7" spans="1:25" ht="19">
      <c r="A7" s="1" t="s">
        <v>9</v>
      </c>
      <c r="B7" s="14">
        <v>0.96266937259999996</v>
      </c>
      <c r="C7" s="17" t="s">
        <v>8</v>
      </c>
      <c r="D7" s="15">
        <f xml:space="preserve"> 129735 / 146447</f>
        <v>0.88588363025531425</v>
      </c>
      <c r="E7" s="15">
        <f xml:space="preserve"> 61423 / 63189</f>
        <v>0.97205209767522827</v>
      </c>
      <c r="F7" s="15">
        <f xml:space="preserve"> 111264 / 112041</f>
        <v>0.99306503869119345</v>
      </c>
      <c r="G7" s="16">
        <f xml:space="preserve"> 223932 / 225090</f>
        <v>0.99485539117686261</v>
      </c>
      <c r="H7" s="14">
        <v>0.95200657840000003</v>
      </c>
      <c r="I7" s="17" t="s">
        <v>8</v>
      </c>
      <c r="J7" s="15">
        <f xml:space="preserve"> 14101 / 16252</f>
        <v>0.86764705882352944</v>
      </c>
      <c r="K7" s="15">
        <f xml:space="preserve"> 6881 / 7162</f>
        <v>0.960765149399609</v>
      </c>
      <c r="L7" s="15">
        <f xml:space="preserve"> 12337 / 12507</f>
        <v>0.98640761173742708</v>
      </c>
      <c r="M7" s="16">
        <f xml:space="preserve"> 24518 / 24831</f>
        <v>0.98739478877209941</v>
      </c>
      <c r="N7" s="14">
        <v>0.90327030419999998</v>
      </c>
      <c r="O7" s="18">
        <f xml:space="preserve"> 12033 / 19914</f>
        <v>0.60424826755046701</v>
      </c>
      <c r="P7" s="15">
        <f xml:space="preserve"> 30639 / 35579</f>
        <v>0.86115405154726099</v>
      </c>
      <c r="Q7" s="15">
        <f xml:space="preserve"> 13721 / 14266</f>
        <v>0.96179728024674049</v>
      </c>
      <c r="R7" s="15">
        <f xml:space="preserve"> 26314 / 26708</f>
        <v>0.98524786580799761</v>
      </c>
      <c r="S7" s="16">
        <f xml:space="preserve"> 52783 / 53533</f>
        <v>0.98598995012422241</v>
      </c>
      <c r="T7" s="15"/>
      <c r="U7" s="15"/>
      <c r="V7" s="15"/>
      <c r="W7" s="15"/>
      <c r="X7" s="15"/>
      <c r="Y7" s="16"/>
    </row>
    <row r="8" spans="1:25" ht="19">
      <c r="A8" s="1" t="s">
        <v>10</v>
      </c>
      <c r="B8" s="14">
        <v>0.98755544419999997</v>
      </c>
      <c r="C8" s="15">
        <f xml:space="preserve"> 82070 / 83243</f>
        <v>0.98590872505796279</v>
      </c>
      <c r="D8" s="17" t="s">
        <v>8</v>
      </c>
      <c r="E8" s="15">
        <f xml:space="preserve"> 60914 / 63356</f>
        <v>0.96145589999368652</v>
      </c>
      <c r="F8" s="15">
        <f xml:space="preserve"> 110939 / 112005</f>
        <v>0.99048256774251153</v>
      </c>
      <c r="G8" s="16">
        <f xml:space="preserve"> 223594 / 224931</f>
        <v>0.99405595493729193</v>
      </c>
      <c r="H8" s="14">
        <v>0.97780632970000003</v>
      </c>
      <c r="I8" s="15">
        <f xml:space="preserve"> 8993 / 9198</f>
        <v>0.97771254620569692</v>
      </c>
      <c r="J8" s="17" t="s">
        <v>8</v>
      </c>
      <c r="K8" s="15">
        <f xml:space="preserve"> 6584 / 6995</f>
        <v>0.94124374553252321</v>
      </c>
      <c r="L8" s="15">
        <f xml:space="preserve"> 12334 / 12543</f>
        <v>0.98333731962050541</v>
      </c>
      <c r="M8" s="16">
        <f xml:space="preserve"> 24623 / 24990</f>
        <v>0.98531412565026011</v>
      </c>
      <c r="N8" s="14">
        <v>0.7459004521</v>
      </c>
      <c r="O8" s="15">
        <f xml:space="preserve"> 19419 / 19914</f>
        <v>0.97514311539620369</v>
      </c>
      <c r="P8" s="19">
        <f xml:space="preserve"> 0 / 35579</f>
        <v>0</v>
      </c>
      <c r="Q8" s="15">
        <f xml:space="preserve"> 13463 / 14266</f>
        <v>0.94371232300574792</v>
      </c>
      <c r="R8" s="15">
        <f xml:space="preserve"> 26285 / 26708</f>
        <v>0.98416204882432234</v>
      </c>
      <c r="S8" s="16">
        <f xml:space="preserve"> 52716 / 53533</f>
        <v>0.98473838566865302</v>
      </c>
      <c r="T8" s="15"/>
      <c r="U8" s="15"/>
      <c r="V8" s="15"/>
      <c r="W8" s="15"/>
      <c r="X8" s="15"/>
      <c r="Y8" s="16"/>
    </row>
    <row r="9" spans="1:25" ht="19">
      <c r="A9" s="1" t="s">
        <v>11</v>
      </c>
      <c r="B9" s="14">
        <v>0.9669600129</v>
      </c>
      <c r="C9" s="15">
        <f xml:space="preserve"> 82579 / 83294</f>
        <v>0.9914159483276106</v>
      </c>
      <c r="D9" s="15">
        <f xml:space="preserve"> 130233 / 146319</f>
        <v>0.89006212453611633</v>
      </c>
      <c r="E9" s="17" t="s">
        <v>8</v>
      </c>
      <c r="F9" s="15">
        <f xml:space="preserve"> 111304 / 112013</f>
        <v>0.9936703775454635</v>
      </c>
      <c r="G9" s="16">
        <f xml:space="preserve"> 223810 / 225022</f>
        <v>0.99461385997813545</v>
      </c>
      <c r="H9" s="14">
        <v>0.95341211560000005</v>
      </c>
      <c r="I9" s="15">
        <f xml:space="preserve"> 8991 / 9147</f>
        <v>0.98294522794358807</v>
      </c>
      <c r="J9" s="15">
        <f xml:space="preserve"> 14084 / 16380</f>
        <v>0.85982905982905988</v>
      </c>
      <c r="K9" s="17" t="s">
        <v>8</v>
      </c>
      <c r="L9" s="15">
        <f xml:space="preserve"> 12409 / 12535</f>
        <v>0.98994814519345831</v>
      </c>
      <c r="M9" s="16">
        <f xml:space="preserve"> 24544 / 24899</f>
        <v>0.98574239929314433</v>
      </c>
      <c r="N9" s="14">
        <v>0.91526019569999995</v>
      </c>
      <c r="O9" s="15">
        <f xml:space="preserve"> 19560 / 19914</f>
        <v>0.98222356131364874</v>
      </c>
      <c r="P9" s="15">
        <f xml:space="preserve"> 30629 / 35579</f>
        <v>0.86087298687427982</v>
      </c>
      <c r="Q9" s="19">
        <f xml:space="preserve"> 8039 / 14266</f>
        <v>0.56350764054395064</v>
      </c>
      <c r="R9" s="15">
        <f xml:space="preserve"> 26382 / 26708</f>
        <v>0.98779391942489136</v>
      </c>
      <c r="S9" s="16">
        <f xml:space="preserve"> 52679 / 53533</f>
        <v>0.98404722320811466</v>
      </c>
      <c r="T9" s="15"/>
      <c r="U9" s="15"/>
      <c r="V9" s="15"/>
      <c r="W9" s="15"/>
      <c r="X9" s="15"/>
      <c r="Y9" s="16"/>
    </row>
    <row r="10" spans="1:25" ht="19">
      <c r="A10" s="1" t="s">
        <v>12</v>
      </c>
      <c r="B10" s="14">
        <v>0.96292424200000004</v>
      </c>
      <c r="C10" s="15">
        <f xml:space="preserve"> 82432 / 83214</f>
        <v>0.99060254284134885</v>
      </c>
      <c r="D10" s="15">
        <f xml:space="preserve"> 130846 / 146429</f>
        <v>0.89357982366880873</v>
      </c>
      <c r="E10" s="15">
        <f xml:space="preserve"> 61587 / 63292</f>
        <v>0.9730613663654174</v>
      </c>
      <c r="F10" s="17" t="s">
        <v>8</v>
      </c>
      <c r="G10" s="16">
        <f xml:space="preserve"> 223806 / 224936</f>
        <v>0.99497634882811115</v>
      </c>
      <c r="H10" s="14">
        <v>0.94795137640000005</v>
      </c>
      <c r="I10" s="15">
        <f xml:space="preserve"> 9066 / 9227</f>
        <v>0.9825512084101008</v>
      </c>
      <c r="J10" s="15">
        <f xml:space="preserve"> 14112 / 16270</f>
        <v>0.86736324523663189</v>
      </c>
      <c r="K10" s="15">
        <f xml:space="preserve"> 6744 / 7059</f>
        <v>0.95537611559711011</v>
      </c>
      <c r="L10" s="17" t="s">
        <v>8</v>
      </c>
      <c r="M10" s="16">
        <f xml:space="preserve"> 24621 / 24985</f>
        <v>0.98543125875525317</v>
      </c>
      <c r="N10" s="14">
        <v>0.8191637397</v>
      </c>
      <c r="O10" s="15">
        <f xml:space="preserve"> 19580 / 19914</f>
        <v>0.98322787988349902</v>
      </c>
      <c r="P10" s="15">
        <f xml:space="preserve"> 30727 / 35579</f>
        <v>0.86362742066949605</v>
      </c>
      <c r="Q10" s="15">
        <f xml:space="preserve"> 13676 / 14266</f>
        <v>0.95864292723959066</v>
      </c>
      <c r="R10" s="19">
        <f xml:space="preserve"> 6192 / 26708</f>
        <v>0.2318406469971544</v>
      </c>
      <c r="S10" s="16">
        <f xml:space="preserve"> 52699 / 53533</f>
        <v>0.9844208245381354</v>
      </c>
      <c r="T10" s="15"/>
      <c r="U10" s="15"/>
      <c r="V10" s="15"/>
      <c r="W10" s="15"/>
      <c r="X10" s="15"/>
      <c r="Y10" s="16"/>
    </row>
    <row r="11" spans="1:25" ht="19">
      <c r="A11" s="1" t="s">
        <v>13</v>
      </c>
      <c r="B11" s="14">
        <v>0.80084997420000004</v>
      </c>
      <c r="C11" s="15">
        <f xml:space="preserve"> 73407 / 83256</f>
        <v>0.8817022196598443</v>
      </c>
      <c r="D11" s="15">
        <f xml:space="preserve"> 109195 / 146439</f>
        <v>0.74566884504810882</v>
      </c>
      <c r="E11" s="15">
        <f xml:space="preserve"> 55943 / 63183</f>
        <v>0.8854122153110805</v>
      </c>
      <c r="F11" s="15">
        <f xml:space="preserve"> 85827 / 112157</f>
        <v>0.76523979778346429</v>
      </c>
      <c r="G11" s="20" t="s">
        <v>8</v>
      </c>
      <c r="H11" s="14">
        <v>0.66444724799999999</v>
      </c>
      <c r="I11" s="15">
        <f xml:space="preserve"> 7052 / 9185</f>
        <v>0.76777354382144802</v>
      </c>
      <c r="J11" s="15">
        <f xml:space="preserve"> 9170 / 16260</f>
        <v>0.56396063960639609</v>
      </c>
      <c r="K11" s="15">
        <f xml:space="preserve"> 5709 / 7168</f>
        <v>0.7964564732142857</v>
      </c>
      <c r="L11" s="15">
        <f xml:space="preserve"> 7976 / 12391</f>
        <v>0.64369300298603827</v>
      </c>
      <c r="M11" s="20" t="s">
        <v>8</v>
      </c>
      <c r="N11" s="14">
        <v>0.42168390750000001</v>
      </c>
      <c r="O11" s="15">
        <f xml:space="preserve"> 15291 / 19914</f>
        <v>0.76785176257909005</v>
      </c>
      <c r="P11" s="15">
        <f xml:space="preserve"> 19440 / 35579</f>
        <v>0.54638972427555577</v>
      </c>
      <c r="Q11" s="15">
        <f xml:space="preserve"> 11394 / 14266</f>
        <v>0.7986821814103463</v>
      </c>
      <c r="R11" s="15">
        <f xml:space="preserve"> 17128 / 26708</f>
        <v>0.64130597573760673</v>
      </c>
      <c r="S11" s="21">
        <f xml:space="preserve"> 0 / 53533</f>
        <v>0</v>
      </c>
      <c r="T11" s="15"/>
      <c r="U11" s="15"/>
      <c r="V11" s="15"/>
      <c r="W11" s="15"/>
      <c r="X11" s="15"/>
      <c r="Y11" s="21"/>
    </row>
    <row r="12" spans="1:25" ht="19">
      <c r="A12" s="1"/>
      <c r="B12" s="14"/>
      <c r="C12" s="15"/>
      <c r="D12" s="15"/>
      <c r="E12" s="15"/>
      <c r="F12" s="15"/>
      <c r="G12" s="16"/>
      <c r="H12" s="14"/>
      <c r="I12" s="15"/>
      <c r="J12" s="15"/>
      <c r="K12" s="15"/>
      <c r="L12" s="15"/>
      <c r="M12" s="16"/>
      <c r="N12" s="14"/>
      <c r="O12" s="15"/>
      <c r="P12" s="15"/>
      <c r="Q12" s="15"/>
      <c r="R12" s="15"/>
      <c r="S12" s="16"/>
      <c r="T12" s="15"/>
      <c r="U12" s="15"/>
      <c r="V12" s="15"/>
      <c r="W12" s="15"/>
      <c r="X12" s="15"/>
      <c r="Y12" s="16"/>
    </row>
    <row r="13" spans="1:25" ht="19">
      <c r="A13" s="1" t="s">
        <v>17</v>
      </c>
      <c r="B13" s="14">
        <v>0.83685708049999996</v>
      </c>
      <c r="C13" s="15">
        <f xml:space="preserve"> 69624 / 83197</f>
        <v>0.83685709821267595</v>
      </c>
      <c r="D13" s="17" t="s">
        <v>8</v>
      </c>
      <c r="E13" s="17" t="s">
        <v>8</v>
      </c>
      <c r="F13" s="17" t="s">
        <v>8</v>
      </c>
      <c r="G13" s="20" t="s">
        <v>8</v>
      </c>
      <c r="H13" s="14">
        <v>0.70740455390000001</v>
      </c>
      <c r="I13" s="15">
        <f xml:space="preserve"> 6539 / 9244</f>
        <v>0.70737775854608398</v>
      </c>
      <c r="J13" s="17" t="s">
        <v>8</v>
      </c>
      <c r="K13" s="17" t="s">
        <v>8</v>
      </c>
      <c r="L13" s="17" t="s">
        <v>8</v>
      </c>
      <c r="M13" s="20" t="s">
        <v>8</v>
      </c>
      <c r="N13" s="14">
        <v>0.2606966496</v>
      </c>
      <c r="O13" s="19">
        <f xml:space="preserve"> 14776 / 19914</f>
        <v>0.74199055940544345</v>
      </c>
      <c r="P13" s="15">
        <f xml:space="preserve"> 0 / 35579</f>
        <v>0</v>
      </c>
      <c r="Q13" s="15">
        <f xml:space="preserve"> 8530 / 14266</f>
        <v>0.59792513668863034</v>
      </c>
      <c r="R13" s="15">
        <f xml:space="preserve"> 15799 / 26708</f>
        <v>0.59154560431331438</v>
      </c>
      <c r="S13" s="16">
        <f xml:space="preserve"> 0 / 53533</f>
        <v>0</v>
      </c>
      <c r="T13" s="15"/>
      <c r="U13" s="15"/>
      <c r="V13" s="15"/>
      <c r="W13" s="15"/>
      <c r="X13" s="15"/>
      <c r="Y13" s="16"/>
    </row>
    <row r="14" spans="1:25" ht="19">
      <c r="A14" s="1" t="s">
        <v>18</v>
      </c>
      <c r="B14" s="14">
        <v>0.74501109119999998</v>
      </c>
      <c r="C14" s="17" t="s">
        <v>8</v>
      </c>
      <c r="D14" s="15">
        <f xml:space="preserve"> 109091 / 146429</f>
        <v>0.74500952680138499</v>
      </c>
      <c r="E14" s="17" t="s">
        <v>8</v>
      </c>
      <c r="F14" s="17" t="s">
        <v>8</v>
      </c>
      <c r="G14" s="20" t="s">
        <v>8</v>
      </c>
      <c r="H14" s="14">
        <v>0.65504205230000001</v>
      </c>
      <c r="I14" s="17" t="s">
        <v>8</v>
      </c>
      <c r="J14" s="15">
        <f xml:space="preserve"> 10651 / 16270</f>
        <v>0.65464044253226794</v>
      </c>
      <c r="K14" s="17" t="s">
        <v>8</v>
      </c>
      <c r="L14" s="17" t="s">
        <v>8</v>
      </c>
      <c r="M14" s="20" t="s">
        <v>8</v>
      </c>
      <c r="N14" s="14">
        <v>0.14891745149999999</v>
      </c>
      <c r="O14" s="15">
        <f xml:space="preserve"> 0/ 19914</f>
        <v>0</v>
      </c>
      <c r="P14" s="19">
        <f xml:space="preserve"> 22337 / 35579</f>
        <v>0.62781416003822477</v>
      </c>
      <c r="Q14" s="15">
        <f xml:space="preserve"> 0 / 14266</f>
        <v>0</v>
      </c>
      <c r="R14" s="15">
        <f xml:space="preserve"> 0 / 26708</f>
        <v>0</v>
      </c>
      <c r="S14" s="16">
        <f xml:space="preserve"> 0 / 53533</f>
        <v>0</v>
      </c>
      <c r="T14" s="15"/>
      <c r="U14" s="15"/>
      <c r="V14" s="15"/>
      <c r="W14" s="15"/>
      <c r="X14" s="15"/>
      <c r="Y14" s="16"/>
    </row>
    <row r="15" spans="1:25" ht="19">
      <c r="A15" s="1" t="s">
        <v>16</v>
      </c>
      <c r="B15" s="14">
        <v>0.84649622440000005</v>
      </c>
      <c r="C15" s="17" t="s">
        <v>8</v>
      </c>
      <c r="D15" s="17" t="s">
        <v>8</v>
      </c>
      <c r="E15" s="15">
        <f xml:space="preserve"> 53601 / 63316</f>
        <v>0.84656326994756459</v>
      </c>
      <c r="F15" s="17" t="s">
        <v>8</v>
      </c>
      <c r="G15" s="20" t="s">
        <v>8</v>
      </c>
      <c r="H15" s="14">
        <v>0.73934417959999998</v>
      </c>
      <c r="I15" s="17" t="s">
        <v>8</v>
      </c>
      <c r="J15" s="17" t="s">
        <v>8</v>
      </c>
      <c r="K15" s="15">
        <f xml:space="preserve"> 5201 / 7035</f>
        <v>0.73930348258706469</v>
      </c>
      <c r="L15" s="17" t="s">
        <v>8</v>
      </c>
      <c r="M15" s="20" t="s">
        <v>8</v>
      </c>
      <c r="N15" s="14">
        <v>0.2343683392</v>
      </c>
      <c r="O15" s="15">
        <f xml:space="preserve"> 9588 / 19914</f>
        <v>0.48147032238626092</v>
      </c>
      <c r="P15" s="15">
        <f xml:space="preserve"> 0 / 35579</f>
        <v>0</v>
      </c>
      <c r="Q15" s="19">
        <f xml:space="preserve"> 11124 / 14266</f>
        <v>0.77975606336744707</v>
      </c>
      <c r="R15" s="15">
        <f xml:space="preserve"> 14444 / 26708</f>
        <v>0.54081174180020963</v>
      </c>
      <c r="S15" s="16">
        <f xml:space="preserve"> 0 / 53533</f>
        <v>0</v>
      </c>
      <c r="T15" s="15"/>
      <c r="U15" s="15"/>
      <c r="V15" s="15"/>
      <c r="W15" s="15"/>
      <c r="X15" s="15"/>
      <c r="Y15" s="16"/>
    </row>
    <row r="16" spans="1:25" ht="19">
      <c r="A16" s="1" t="s">
        <v>15</v>
      </c>
      <c r="B16" s="14">
        <v>0.71386396880000003</v>
      </c>
      <c r="C16" s="17" t="s">
        <v>8</v>
      </c>
      <c r="D16" s="17" t="s">
        <v>8</v>
      </c>
      <c r="E16" s="17" t="s">
        <v>8</v>
      </c>
      <c r="F16" s="15">
        <f xml:space="preserve"> 80020 / 112093</f>
        <v>0.71387151740072974</v>
      </c>
      <c r="G16" s="20" t="s">
        <v>8</v>
      </c>
      <c r="H16" s="14">
        <v>0.60470700259999999</v>
      </c>
      <c r="I16" s="17" t="s">
        <v>8</v>
      </c>
      <c r="J16" s="17" t="s">
        <v>8</v>
      </c>
      <c r="K16" s="17" t="s">
        <v>8</v>
      </c>
      <c r="L16" s="15">
        <f xml:space="preserve"> 7532 / 12455</f>
        <v>0.60473705339221195</v>
      </c>
      <c r="M16" s="20" t="s">
        <v>8</v>
      </c>
      <c r="N16" s="14">
        <v>0.2350282669</v>
      </c>
      <c r="O16" s="15">
        <f xml:space="preserve"> 10341 / 19914</f>
        <v>0.51928291654112679</v>
      </c>
      <c r="P16" s="15">
        <f xml:space="preserve"> 0 / 35579</f>
        <v>0</v>
      </c>
      <c r="Q16" s="15">
        <f xml:space="preserve"> 8425 / 14266</f>
        <v>0.59056497967194732</v>
      </c>
      <c r="R16" s="19">
        <f xml:space="preserve"> 16487 / 26708</f>
        <v>0.61730567620188703</v>
      </c>
      <c r="S16" s="16">
        <f xml:space="preserve"> 0 / 53533</f>
        <v>0</v>
      </c>
      <c r="T16" s="15"/>
      <c r="U16" s="15"/>
      <c r="V16" s="15"/>
      <c r="W16" s="15"/>
      <c r="X16" s="15"/>
      <c r="Y16" s="16"/>
    </row>
    <row r="17" spans="1:25" ht="19">
      <c r="A17" s="1" t="s">
        <v>14</v>
      </c>
      <c r="B17" s="14">
        <v>0.98951870200000003</v>
      </c>
      <c r="C17" s="17" t="s">
        <v>8</v>
      </c>
      <c r="D17" s="17" t="s">
        <v>8</v>
      </c>
      <c r="E17" s="17" t="s">
        <v>8</v>
      </c>
      <c r="F17" s="17" t="s">
        <v>8</v>
      </c>
      <c r="G17" s="16">
        <f xml:space="preserve"> 222573 / 224929</f>
        <v>0.98952558362861165</v>
      </c>
      <c r="H17" s="14">
        <v>0.96743124719999996</v>
      </c>
      <c r="I17" s="17" t="s">
        <v>8</v>
      </c>
      <c r="J17" s="17" t="s">
        <v>8</v>
      </c>
      <c r="K17" s="17" t="s">
        <v>8</v>
      </c>
      <c r="L17" s="17" t="s">
        <v>8</v>
      </c>
      <c r="M17" s="16">
        <f xml:space="preserve"> 24177 / 24992</f>
        <v>0.96738956466069137</v>
      </c>
      <c r="N17" s="14">
        <v>0.34644305710000001</v>
      </c>
      <c r="O17" s="15">
        <f xml:space="preserve"> 0 / 19914</f>
        <v>0</v>
      </c>
      <c r="P17" s="15">
        <f xml:space="preserve"> 0 / 35579</f>
        <v>0</v>
      </c>
      <c r="Q17" s="15">
        <f xml:space="preserve"> 0 / 14266</f>
        <v>0</v>
      </c>
      <c r="R17" s="15">
        <f xml:space="preserve"> 0 / 26708</f>
        <v>0</v>
      </c>
      <c r="S17" s="21">
        <f xml:space="preserve"> 51968 / 53533</f>
        <v>0.97076569592587747</v>
      </c>
      <c r="T17" s="15"/>
      <c r="U17" s="15"/>
      <c r="V17" s="15"/>
      <c r="W17" s="15"/>
      <c r="X17" s="15"/>
      <c r="Y17" s="16"/>
    </row>
    <row r="18" spans="1:25" ht="19">
      <c r="A18" s="1"/>
      <c r="B18" s="14"/>
      <c r="C18" s="15"/>
      <c r="D18" s="15"/>
      <c r="E18" s="15"/>
      <c r="F18" s="15"/>
      <c r="G18" s="16"/>
      <c r="H18" s="14"/>
      <c r="I18" s="15"/>
      <c r="J18" s="15"/>
      <c r="K18" s="15"/>
      <c r="L18" s="15"/>
      <c r="M18" s="16"/>
      <c r="N18" s="14"/>
      <c r="O18" s="15"/>
      <c r="P18" s="15"/>
      <c r="Q18" s="15"/>
      <c r="R18" s="15"/>
      <c r="S18" s="16"/>
      <c r="Y18" s="16"/>
    </row>
    <row r="19" spans="1:25" ht="19">
      <c r="A19" s="1" t="s">
        <v>22</v>
      </c>
      <c r="B19" s="14"/>
      <c r="C19" s="15"/>
      <c r="D19" s="15"/>
      <c r="E19" s="15"/>
      <c r="F19" s="15"/>
      <c r="G19" s="16"/>
      <c r="H19" s="14"/>
      <c r="I19" s="15"/>
      <c r="J19" s="15"/>
      <c r="K19" s="15"/>
      <c r="L19" s="15"/>
      <c r="M19" s="16"/>
      <c r="N19" s="14">
        <v>0.86243909600000002</v>
      </c>
      <c r="O19" s="19">
        <f xml:space="preserve"> 19524 / 19914</f>
        <v>0.98041578788791806</v>
      </c>
      <c r="P19" s="15">
        <f xml:space="preserve"> 20135 / 35579</f>
        <v>0.56592371904775285</v>
      </c>
      <c r="Q19" s="15">
        <f xml:space="preserve"> 12553 / 14266</f>
        <v>0.87992429552782836</v>
      </c>
      <c r="R19" s="15">
        <f xml:space="preserve"> 25152 / 26708</f>
        <v>0.94174030253107688</v>
      </c>
      <c r="S19" s="16">
        <f xml:space="preserve"> 52001 / 53533</f>
        <v>0.97138213812041174</v>
      </c>
      <c r="Y19" s="16"/>
    </row>
    <row r="20" spans="1:25" ht="19">
      <c r="A20" s="1" t="s">
        <v>23</v>
      </c>
      <c r="M20" s="16"/>
      <c r="N20" s="14">
        <v>0.46970099209999999</v>
      </c>
      <c r="O20" s="15">
        <f xml:space="preserve"> 557 / 19914</f>
        <v>2.797027217033243E-2</v>
      </c>
      <c r="P20" s="19">
        <f xml:space="preserve"> 28011 / 35579</f>
        <v>0.78729025548778775</v>
      </c>
      <c r="Q20" s="15">
        <f xml:space="preserve"> 2226 / 14266</f>
        <v>0.15603532875368009</v>
      </c>
      <c r="R20" s="15">
        <f xml:space="preserve"> 9364 / 26708</f>
        <v>0.35060655983226002</v>
      </c>
      <c r="S20" s="16">
        <f xml:space="preserve"> 30298 / 53533</f>
        <v>0.5659686548484113</v>
      </c>
    </row>
    <row r="21" spans="1:25" ht="19">
      <c r="A21" s="1" t="s">
        <v>24</v>
      </c>
      <c r="M21" s="16"/>
      <c r="N21" s="14">
        <v>0.73455941680000003</v>
      </c>
      <c r="O21" s="15">
        <f xml:space="preserve"> 14515 / 19914</f>
        <v>0.72888420206889626</v>
      </c>
      <c r="P21" s="15">
        <f xml:space="preserve"> 15092 / 35579</f>
        <v>0.42418280446330703</v>
      </c>
      <c r="Q21" s="19">
        <f xml:space="preserve"> 13135 / 14266</f>
        <v>0.92072059442029996</v>
      </c>
      <c r="R21" s="15">
        <f xml:space="preserve"> 18247 / 26708</f>
        <v>0.68320353452149174</v>
      </c>
      <c r="S21" s="16">
        <f xml:space="preserve"> 49195 / 53533</f>
        <v>0.91896587151850262</v>
      </c>
    </row>
    <row r="22" spans="1:25" ht="19">
      <c r="A22" s="1" t="s">
        <v>25</v>
      </c>
      <c r="M22" s="16"/>
      <c r="N22" s="14">
        <v>0.4815975428</v>
      </c>
      <c r="O22" s="15">
        <f xml:space="preserve"> 17081 / 19914</f>
        <v>0.85773827458069696</v>
      </c>
      <c r="P22" s="15">
        <f xml:space="preserve"> 10973 / 35579</f>
        <v>0.30841226566232888</v>
      </c>
      <c r="Q22" s="15">
        <f xml:space="preserve"> 11014 / 14266</f>
        <v>0.77204542268330301</v>
      </c>
      <c r="R22" s="19">
        <f xml:space="preserve"> 26099 / 26708</f>
        <v>0.97719784334281867</v>
      </c>
      <c r="S22" s="16">
        <f xml:space="preserve"> 7073 / 53533</f>
        <v>0.13212411036183289</v>
      </c>
    </row>
    <row r="23" spans="1:25" ht="19">
      <c r="A23" s="1" t="s">
        <v>26</v>
      </c>
      <c r="M23" s="16"/>
      <c r="N23" s="14">
        <v>0.35261350870000002</v>
      </c>
      <c r="O23" s="15">
        <f xml:space="preserve"> 7697 / 19914</f>
        <v>0.38651200160690974</v>
      </c>
      <c r="P23" s="15">
        <f xml:space="preserve"> 1503 / 35579</f>
        <v>4.2244020349082326E-2</v>
      </c>
      <c r="Q23" s="15">
        <f xml:space="preserve"> 4503 / 14266</f>
        <v>0.31564559091546335</v>
      </c>
      <c r="R23" s="15">
        <f xml:space="preserve"> 1358 / 26708</f>
        <v>5.0846188407967653E-2</v>
      </c>
      <c r="S23" s="21">
        <f xml:space="preserve"> 37831 / 53533</f>
        <v>0.7066855958007211</v>
      </c>
    </row>
    <row r="24" spans="1:25" ht="19">
      <c r="A24" s="1"/>
      <c r="M24" s="16"/>
      <c r="S24" s="16"/>
    </row>
    <row r="25" spans="1:25" ht="19">
      <c r="A25" s="1" t="s">
        <v>27</v>
      </c>
      <c r="M25" s="16"/>
      <c r="N25" s="14">
        <v>0.94164842370000001</v>
      </c>
      <c r="O25" s="19">
        <f xml:space="preserve"> 19523 / 19914</f>
        <v>0.98036557195942553</v>
      </c>
      <c r="P25" s="15">
        <f xml:space="preserve"> 29518 / 35579</f>
        <v>0.82964670170606258</v>
      </c>
      <c r="Q25" s="15">
        <f xml:space="preserve"> 13556 / 14266</f>
        <v>0.95023131922052428</v>
      </c>
      <c r="R25" s="15">
        <f xml:space="preserve"> 26205 / 26708</f>
        <v>0.98116669162797665</v>
      </c>
      <c r="S25" s="16">
        <f xml:space="preserve"> 52445 / 53533</f>
        <v>0.97967608764687197</v>
      </c>
    </row>
    <row r="26" spans="1:25" ht="19">
      <c r="A26" s="1" t="s">
        <v>28</v>
      </c>
      <c r="M26" s="16"/>
      <c r="N26" s="14">
        <v>0.95098304749999996</v>
      </c>
      <c r="O26" s="15">
        <f xml:space="preserve"> 19209 / 19914</f>
        <v>0.96459777041277495</v>
      </c>
      <c r="P26" s="19">
        <f xml:space="preserve"> 31408/ 35579</f>
        <v>0.88276792489951939</v>
      </c>
      <c r="Q26" s="15">
        <f xml:space="preserve"> 13522 / 14266</f>
        <v>0.94784803028178888</v>
      </c>
      <c r="R26" s="15">
        <f xml:space="preserve"> 25909 / 26708</f>
        <v>0.97008387000149765</v>
      </c>
      <c r="S26" s="16">
        <f xml:space="preserve"> 52601 / 53533</f>
        <v>0.98259017802103377</v>
      </c>
    </row>
    <row r="27" spans="1:25" ht="19">
      <c r="A27" s="1" t="s">
        <v>29</v>
      </c>
      <c r="M27" s="16"/>
      <c r="N27" s="14">
        <v>0.95311832429999999</v>
      </c>
      <c r="O27" s="15">
        <f xml:space="preserve"> 19593 / 19914</f>
        <v>0.98388068695390174</v>
      </c>
      <c r="P27" s="15">
        <f xml:space="preserve"> 30798 / 35579</f>
        <v>0.8656229798476629</v>
      </c>
      <c r="Q27" s="19">
        <f xml:space="preserve"> 13705 / 14266</f>
        <v>0.96067573251086502</v>
      </c>
      <c r="R27" s="15">
        <f xml:space="preserve"> 26360 / 26708</f>
        <v>0.98697019619589632</v>
      </c>
      <c r="S27" s="25">
        <f xml:space="preserve"> 52512 / 53533</f>
        <v>0.98092765210244148</v>
      </c>
    </row>
    <row r="28" spans="1:25" ht="19">
      <c r="A28" s="1" t="s">
        <v>30</v>
      </c>
      <c r="M28" s="16"/>
      <c r="N28" s="14">
        <v>0.95331162209999998</v>
      </c>
      <c r="O28" s="15">
        <f xml:space="preserve"> 19596 / 19914</f>
        <v>0.98403133473937932</v>
      </c>
      <c r="P28" s="15">
        <f xml:space="preserve"> 30874 / 35579</f>
        <v>0.86775907136232044</v>
      </c>
      <c r="Q28" s="15">
        <f xml:space="preserve"> 13695 / 14266</f>
        <v>0.95997476517594282</v>
      </c>
      <c r="R28" s="19">
        <f xml:space="preserve"> 26350 / 26708</f>
        <v>0.98659577654635311</v>
      </c>
      <c r="S28" s="25">
        <f xml:space="preserve"> 52482 / 53533</f>
        <v>0.98036725010741044</v>
      </c>
    </row>
    <row r="29" spans="1:25" ht="19">
      <c r="A29" s="1" t="s">
        <v>31</v>
      </c>
      <c r="M29" s="16"/>
      <c r="N29" s="14">
        <v>0.93492478130000001</v>
      </c>
      <c r="O29" s="15">
        <f xml:space="preserve"> 19407 / 19914</f>
        <v>0.97454052425429349</v>
      </c>
      <c r="P29" s="15">
        <f xml:space="preserve"> 29206 / 35579</f>
        <v>0.82087748390904747</v>
      </c>
      <c r="Q29" s="15">
        <f xml:space="preserve"> 13158 / 14266</f>
        <v>0.92233281929062105</v>
      </c>
      <c r="R29" s="15">
        <f xml:space="preserve"> 26133 / 26708</f>
        <v>0.97847087015126555</v>
      </c>
      <c r="S29" s="21">
        <f xml:space="preserve"> 52334 / 53533</f>
        <v>0.97760260026525692</v>
      </c>
    </row>
  </sheetData>
  <mergeCells count="5">
    <mergeCell ref="B1:G1"/>
    <mergeCell ref="H1:M1"/>
    <mergeCell ref="N1:S1"/>
    <mergeCell ref="A1:A2"/>
    <mergeCell ref="T1:Y1"/>
  </mergeCells>
  <pageMargins left="0.7" right="0.7" top="0.75" bottom="0.75" header="0.3" footer="0.3"/>
  <ignoredErrors>
    <ignoredError sqref="P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FC5E-E989-1B4C-B489-41E1DEB5B90C}">
  <dimension ref="A1:I68"/>
  <sheetViews>
    <sheetView tabSelected="1" topLeftCell="E1" zoomScale="61" zoomScaleNormal="61" workbookViewId="0">
      <selection activeCell="M3" sqref="M3"/>
    </sheetView>
  </sheetViews>
  <sheetFormatPr baseColWidth="10" defaultRowHeight="19"/>
  <cols>
    <col min="1" max="1" width="23.83203125" style="26" customWidth="1"/>
    <col min="2" max="2" width="29.6640625" style="26" customWidth="1"/>
    <col min="3" max="3" width="25.6640625" style="26" customWidth="1"/>
    <col min="4" max="4" width="24.6640625" style="26" customWidth="1"/>
    <col min="5" max="5" width="26.33203125" style="26" customWidth="1"/>
    <col min="6" max="6" width="17.5" style="26" customWidth="1"/>
    <col min="7" max="7" width="18" style="26" customWidth="1"/>
    <col min="8" max="8" width="20.33203125" style="26" customWidth="1"/>
    <col min="9" max="9" width="18.33203125" style="26" customWidth="1"/>
    <col min="10" max="10" width="21.5" style="26" customWidth="1"/>
    <col min="11" max="16384" width="10.83203125" style="26"/>
  </cols>
  <sheetData>
    <row r="1" spans="1:9">
      <c r="B1" s="54" t="s">
        <v>33</v>
      </c>
      <c r="C1" s="55"/>
      <c r="D1" s="55"/>
      <c r="E1" s="55"/>
      <c r="F1" s="56"/>
      <c r="G1" s="31"/>
      <c r="H1" s="30"/>
    </row>
    <row r="2" spans="1:9" ht="40">
      <c r="A2" s="27" t="s">
        <v>0</v>
      </c>
      <c r="B2" s="28" t="s">
        <v>2</v>
      </c>
      <c r="C2" s="28" t="s">
        <v>3</v>
      </c>
      <c r="D2" s="39" t="s">
        <v>54</v>
      </c>
      <c r="E2" s="39" t="s">
        <v>55</v>
      </c>
      <c r="F2" s="39" t="s">
        <v>56</v>
      </c>
      <c r="G2" s="29"/>
    </row>
    <row r="3" spans="1:9">
      <c r="A3" s="27" t="s">
        <v>57</v>
      </c>
      <c r="B3" s="33">
        <f>results!O13</f>
        <v>0.74199055940544345</v>
      </c>
      <c r="C3" s="33">
        <f>results!P14</f>
        <v>0.62781416003822477</v>
      </c>
      <c r="D3" s="33">
        <f>results!Q15</f>
        <v>0.77975606336744707</v>
      </c>
      <c r="E3" s="33">
        <f>results!R16</f>
        <v>0.61730567620188703</v>
      </c>
      <c r="F3" s="33">
        <f>results!S17</f>
        <v>0.97076569592587747</v>
      </c>
      <c r="G3" s="30"/>
    </row>
    <row r="4" spans="1:9">
      <c r="A4" s="27" t="s">
        <v>32</v>
      </c>
      <c r="B4" s="33">
        <f>results!O3</f>
        <v>0.98403133473937932</v>
      </c>
      <c r="C4" s="33">
        <f>results!P3</f>
        <v>0.86747800668933917</v>
      </c>
      <c r="D4" s="33">
        <f>results!Q3</f>
        <v>0.95997476517594282</v>
      </c>
      <c r="E4" s="33">
        <f>results!R3</f>
        <v>0.98648345065149023</v>
      </c>
      <c r="F4" s="33">
        <f>results!S3</f>
        <v>0.98016176937589894</v>
      </c>
      <c r="G4" s="30"/>
    </row>
    <row r="5" spans="1:9">
      <c r="A5" s="27" t="s">
        <v>34</v>
      </c>
      <c r="B5" s="33">
        <f>results!O7</f>
        <v>0.60424826755046701</v>
      </c>
      <c r="C5" s="33">
        <f>results!P8</f>
        <v>0</v>
      </c>
      <c r="D5" s="33">
        <f>results!Q9</f>
        <v>0.56350764054395064</v>
      </c>
      <c r="E5" s="33">
        <f>results!R10</f>
        <v>0.2318406469971544</v>
      </c>
      <c r="F5" s="33">
        <f>results!S11</f>
        <v>0</v>
      </c>
      <c r="G5" s="30"/>
    </row>
    <row r="8" spans="1:9">
      <c r="B8" s="57" t="s">
        <v>33</v>
      </c>
      <c r="C8" s="57"/>
    </row>
    <row r="9" spans="1:9">
      <c r="A9" s="32" t="s">
        <v>0</v>
      </c>
      <c r="B9" s="28" t="s">
        <v>40</v>
      </c>
      <c r="C9" s="28" t="s">
        <v>41</v>
      </c>
    </row>
    <row r="10" spans="1:9">
      <c r="A10" s="32" t="s">
        <v>35</v>
      </c>
      <c r="B10" s="34">
        <f>results!N3</f>
        <v>0.95315611359999997</v>
      </c>
      <c r="C10" s="34">
        <f>results!T3</f>
        <v>0.78220665450000004</v>
      </c>
    </row>
    <row r="11" spans="1:9">
      <c r="A11" s="32" t="s">
        <v>36</v>
      </c>
      <c r="B11" s="34">
        <f>results!N4</f>
        <v>0.90806764360000003</v>
      </c>
      <c r="C11" s="34">
        <f>results!T4</f>
        <v>0.94026935099999998</v>
      </c>
    </row>
    <row r="13" spans="1:9">
      <c r="A13"/>
      <c r="B13"/>
      <c r="C13"/>
    </row>
    <row r="14" spans="1:9">
      <c r="A14"/>
      <c r="B14"/>
      <c r="C14"/>
    </row>
    <row r="15" spans="1:9">
      <c r="A15" s="30"/>
      <c r="B15" s="58" t="s">
        <v>42</v>
      </c>
      <c r="C15" s="58"/>
      <c r="D15" s="58" t="s">
        <v>43</v>
      </c>
      <c r="E15" s="58"/>
      <c r="F15" s="58" t="s">
        <v>45</v>
      </c>
      <c r="G15" s="58"/>
      <c r="H15" s="58" t="s">
        <v>44</v>
      </c>
      <c r="I15" s="58"/>
    </row>
    <row r="16" spans="1:9">
      <c r="A16" s="30"/>
      <c r="B16" s="37" t="s">
        <v>40</v>
      </c>
      <c r="C16" s="37" t="s">
        <v>41</v>
      </c>
      <c r="D16" s="37" t="s">
        <v>40</v>
      </c>
      <c r="E16" s="37" t="s">
        <v>41</v>
      </c>
      <c r="F16" s="37" t="s">
        <v>40</v>
      </c>
      <c r="G16" s="37" t="s">
        <v>41</v>
      </c>
      <c r="H16" s="37" t="s">
        <v>40</v>
      </c>
      <c r="I16" s="37" t="s">
        <v>41</v>
      </c>
    </row>
    <row r="17" spans="1:9">
      <c r="A17" s="37" t="s">
        <v>47</v>
      </c>
      <c r="B17" s="34">
        <v>0.95315611359999997</v>
      </c>
      <c r="C17" s="37"/>
      <c r="D17" s="34">
        <v>0.98799999999999999</v>
      </c>
      <c r="E17" s="37"/>
      <c r="F17" s="34">
        <v>0.98299999999999998</v>
      </c>
      <c r="G17" s="37"/>
      <c r="H17" s="34">
        <v>0.96599999999999997</v>
      </c>
      <c r="I17" s="37"/>
    </row>
    <row r="18" spans="1:9">
      <c r="A18" s="37" t="s">
        <v>46</v>
      </c>
      <c r="C18" s="34">
        <v>0.78220665450000004</v>
      </c>
      <c r="E18" s="34">
        <v>0.754</v>
      </c>
      <c r="G18" s="34">
        <v>0.78800000000000003</v>
      </c>
      <c r="I18" s="34">
        <v>0.73699999999999999</v>
      </c>
    </row>
    <row r="19" spans="1:9">
      <c r="A19" s="37" t="s">
        <v>36</v>
      </c>
      <c r="B19" s="34">
        <v>0.90806764360000003</v>
      </c>
      <c r="C19" s="34">
        <v>0.94026935099999998</v>
      </c>
      <c r="D19" s="34">
        <v>0.96899999999999997</v>
      </c>
      <c r="E19" s="34">
        <v>0.96299999999999997</v>
      </c>
      <c r="F19" s="34">
        <v>0.81100000000000005</v>
      </c>
      <c r="G19" s="34">
        <v>0.96899999999999997</v>
      </c>
      <c r="H19" s="34">
        <v>0.76100000000000001</v>
      </c>
      <c r="I19" s="34">
        <v>0.92700000000000005</v>
      </c>
    </row>
    <row r="20" spans="1:9">
      <c r="A20"/>
      <c r="B20"/>
      <c r="C20"/>
    </row>
    <row r="21" spans="1:9">
      <c r="A21"/>
      <c r="B21"/>
      <c r="C21"/>
    </row>
    <row r="22" spans="1:9">
      <c r="A22"/>
      <c r="B22"/>
      <c r="C22"/>
    </row>
    <row r="23" spans="1:9">
      <c r="A23"/>
      <c r="B23"/>
      <c r="C23"/>
    </row>
    <row r="24" spans="1:9">
      <c r="A24"/>
      <c r="B24"/>
      <c r="C24"/>
    </row>
    <row r="25" spans="1:9">
      <c r="A25"/>
      <c r="B25"/>
      <c r="C25"/>
    </row>
    <row r="26" spans="1:9">
      <c r="A26"/>
      <c r="B26"/>
      <c r="C26"/>
    </row>
    <row r="27" spans="1:9">
      <c r="A27"/>
      <c r="B27"/>
      <c r="C27"/>
    </row>
    <row r="28" spans="1:9">
      <c r="A28"/>
      <c r="B28"/>
      <c r="C28"/>
    </row>
    <row r="32" spans="1:9">
      <c r="A32"/>
    </row>
    <row r="33" spans="1:7">
      <c r="A33"/>
    </row>
    <row r="34" spans="1:7">
      <c r="A34"/>
      <c r="C34" s="36"/>
      <c r="D34" s="35"/>
      <c r="E34" s="35"/>
      <c r="F34" s="35"/>
      <c r="G34" s="35"/>
    </row>
    <row r="35" spans="1:7">
      <c r="A35"/>
      <c r="C35" s="36"/>
      <c r="D35" s="35"/>
      <c r="E35" s="35"/>
      <c r="F35" s="35"/>
      <c r="G35" s="35"/>
    </row>
    <row r="36" spans="1:7">
      <c r="A36"/>
      <c r="C36" s="36"/>
      <c r="D36" s="35"/>
      <c r="E36" s="35"/>
      <c r="F36" s="35"/>
      <c r="G36" s="35"/>
    </row>
    <row r="37" spans="1:7">
      <c r="A37"/>
      <c r="C37" s="36"/>
      <c r="D37" s="35"/>
      <c r="E37" s="35"/>
      <c r="F37" s="35"/>
      <c r="G37" s="35"/>
    </row>
    <row r="45" spans="1:7">
      <c r="B45" s="26" t="s">
        <v>42</v>
      </c>
      <c r="C45" s="26" t="s">
        <v>44</v>
      </c>
      <c r="D45" s="26" t="s">
        <v>45</v>
      </c>
      <c r="E45" s="26" t="s">
        <v>43</v>
      </c>
    </row>
    <row r="46" spans="1:7">
      <c r="A46" s="26" t="s">
        <v>48</v>
      </c>
      <c r="B46" s="35">
        <v>0.96199999999999997</v>
      </c>
      <c r="C46" s="35">
        <v>0.96899999999999997</v>
      </c>
      <c r="D46" s="35">
        <v>0.97699999999999998</v>
      </c>
      <c r="E46" s="35">
        <v>0.98699999999999999</v>
      </c>
    </row>
    <row r="56" spans="1:9">
      <c r="A56" s="30"/>
      <c r="B56" s="58" t="s">
        <v>42</v>
      </c>
      <c r="C56" s="58"/>
      <c r="D56" s="58" t="s">
        <v>43</v>
      </c>
      <c r="E56" s="58"/>
      <c r="F56" s="58" t="s">
        <v>45</v>
      </c>
      <c r="G56" s="58"/>
      <c r="H56" s="58" t="s">
        <v>44</v>
      </c>
      <c r="I56" s="58"/>
    </row>
    <row r="57" spans="1:9">
      <c r="A57" s="30"/>
      <c r="B57" s="37" t="s">
        <v>40</v>
      </c>
      <c r="C57" s="37" t="s">
        <v>41</v>
      </c>
      <c r="D57" s="37" t="s">
        <v>40</v>
      </c>
      <c r="E57" s="37" t="s">
        <v>41</v>
      </c>
      <c r="F57" s="37" t="s">
        <v>40</v>
      </c>
      <c r="G57" s="37" t="s">
        <v>41</v>
      </c>
      <c r="H57" s="37" t="s">
        <v>40</v>
      </c>
      <c r="I57" s="37" t="s">
        <v>41</v>
      </c>
    </row>
    <row r="58" spans="1:9">
      <c r="A58" s="37" t="s">
        <v>47</v>
      </c>
      <c r="B58" s="34">
        <v>0.95315611359999997</v>
      </c>
      <c r="C58" s="37"/>
      <c r="D58" s="34">
        <v>0.98799999999999999</v>
      </c>
      <c r="E58" s="37"/>
      <c r="F58" s="34">
        <v>0.98299999999999998</v>
      </c>
      <c r="G58" s="37"/>
      <c r="H58" s="34">
        <v>0.96599999999999997</v>
      </c>
      <c r="I58" s="37"/>
    </row>
    <row r="59" spans="1:9">
      <c r="A59" s="37" t="s">
        <v>46</v>
      </c>
      <c r="C59" s="34">
        <v>0.78220665450000004</v>
      </c>
      <c r="E59" s="34">
        <v>0.754</v>
      </c>
      <c r="G59" s="34">
        <v>0.78800000000000003</v>
      </c>
      <c r="I59" s="34">
        <v>0.73699999999999999</v>
      </c>
    </row>
    <row r="60" spans="1:9">
      <c r="A60" s="37" t="s">
        <v>36</v>
      </c>
      <c r="B60" s="34">
        <v>0.90806764360000003</v>
      </c>
      <c r="C60" s="34">
        <v>0.94026935099999998</v>
      </c>
      <c r="D60" s="34">
        <v>0.96899999999999997</v>
      </c>
      <c r="E60" s="34">
        <v>0.96299999999999997</v>
      </c>
      <c r="F60" s="34">
        <v>0.81100000000000005</v>
      </c>
      <c r="G60" s="34">
        <v>0.96899999999999997</v>
      </c>
      <c r="H60" s="34">
        <v>0.76100000000000001</v>
      </c>
      <c r="I60" s="34">
        <v>0.92700000000000005</v>
      </c>
    </row>
    <row r="63" spans="1:9" ht="20">
      <c r="A63" s="30"/>
      <c r="B63" s="26" t="s">
        <v>53</v>
      </c>
      <c r="C63" s="38" t="s">
        <v>51</v>
      </c>
      <c r="D63" s="38" t="s">
        <v>52</v>
      </c>
      <c r="E63" s="38" t="s">
        <v>52</v>
      </c>
      <c r="F63"/>
      <c r="G63"/>
      <c r="H63"/>
      <c r="I63"/>
    </row>
    <row r="64" spans="1:9" ht="19" customHeight="1">
      <c r="A64" s="30"/>
      <c r="B64" s="32" t="s">
        <v>49</v>
      </c>
      <c r="C64" s="38" t="s">
        <v>50</v>
      </c>
      <c r="D64" s="38" t="s">
        <v>50</v>
      </c>
      <c r="E64" s="38" t="s">
        <v>49</v>
      </c>
      <c r="F64"/>
      <c r="G64"/>
      <c r="H64"/>
      <c r="I64"/>
    </row>
    <row r="65" spans="1:9">
      <c r="A65" s="37" t="s">
        <v>42</v>
      </c>
      <c r="B65" s="34">
        <v>0.95315611359999997</v>
      </c>
      <c r="C65" s="34">
        <v>0.78200000000000003</v>
      </c>
      <c r="D65" s="34">
        <v>0.90800000000000003</v>
      </c>
      <c r="E65" s="34">
        <v>0.94</v>
      </c>
      <c r="F65"/>
      <c r="G65"/>
      <c r="H65"/>
      <c r="I65"/>
    </row>
    <row r="66" spans="1:9">
      <c r="A66" s="37" t="s">
        <v>44</v>
      </c>
      <c r="B66" s="34">
        <v>0.96599999999999997</v>
      </c>
      <c r="C66" s="34">
        <v>0.73699999999999999</v>
      </c>
      <c r="D66" s="34">
        <v>0.76100000000000001</v>
      </c>
      <c r="E66" s="34">
        <v>0.92700000000000005</v>
      </c>
      <c r="F66"/>
      <c r="G66"/>
      <c r="H66"/>
      <c r="I66"/>
    </row>
    <row r="67" spans="1:9">
      <c r="A67" s="37" t="s">
        <v>45</v>
      </c>
      <c r="B67" s="34">
        <v>0.98299999999999998</v>
      </c>
      <c r="C67" s="34">
        <v>0.78800000000000003</v>
      </c>
      <c r="D67" s="34">
        <v>0.81100000000000005</v>
      </c>
      <c r="E67" s="34">
        <v>0.96899999999999997</v>
      </c>
      <c r="F67"/>
      <c r="G67"/>
      <c r="H67"/>
      <c r="I67"/>
    </row>
    <row r="68" spans="1:9">
      <c r="A68" s="37" t="s">
        <v>43</v>
      </c>
      <c r="B68" s="34">
        <v>0.98799999999999999</v>
      </c>
      <c r="C68" s="34">
        <v>0.754</v>
      </c>
      <c r="D68" s="34">
        <v>0.96899999999999997</v>
      </c>
      <c r="E68" s="34">
        <v>0.96299999999999997</v>
      </c>
    </row>
  </sheetData>
  <mergeCells count="10">
    <mergeCell ref="H56:I56"/>
    <mergeCell ref="F15:G15"/>
    <mergeCell ref="H15:I15"/>
    <mergeCell ref="B1:F1"/>
    <mergeCell ref="B8:C8"/>
    <mergeCell ref="B15:C15"/>
    <mergeCell ref="D15:E15"/>
    <mergeCell ref="B56:C56"/>
    <mergeCell ref="D56:E56"/>
    <mergeCell ref="F56:G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2019-11-07T15:06:00Z</dcterms:created>
  <dcterms:modified xsi:type="dcterms:W3CDTF">2020-02-08T20:30:56Z</dcterms:modified>
</cp:coreProperties>
</file>