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xr:revisionPtr revIDLastSave="0" documentId="8_{A6C43C28-AFA5-4027-8D41-3CFBB6D56B9E}" xr6:coauthVersionLast="44" xr6:coauthVersionMax="44" xr10:uidLastSave="{00000000-0000-0000-0000-000000000000}"/>
  <bookViews>
    <workbookView xWindow="21732" yWindow="2760" windowWidth="22140" windowHeight="20100" xr2:uid="{00000000-000D-0000-FFFF-FFFF00000000}"/>
  </bookViews>
  <sheets>
    <sheet name="Costing" sheetId="1" r:id="rId1"/>
    <sheet name="Build" sheetId="4" r:id="rId2"/>
    <sheet name="Project Informa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L21" i="1"/>
  <c r="K21" i="1"/>
  <c r="J21" i="1" s="1"/>
  <c r="F21" i="1"/>
  <c r="L20" i="1"/>
  <c r="K20" i="1"/>
  <c r="J20" i="1" s="1"/>
  <c r="F20" i="1"/>
  <c r="L19" i="1"/>
  <c r="K19" i="1"/>
  <c r="J19" i="1" s="1"/>
  <c r="F19" i="1"/>
  <c r="L18" i="1"/>
  <c r="K18" i="1"/>
  <c r="I18" i="1" s="1"/>
  <c r="F18" i="1"/>
  <c r="L17" i="1"/>
  <c r="K17" i="1"/>
  <c r="J17" i="1" s="1"/>
  <c r="F17" i="1"/>
  <c r="L16" i="1"/>
  <c r="K16" i="1"/>
  <c r="J16" i="1" s="1"/>
  <c r="F16" i="1"/>
  <c r="H21" i="1" l="1"/>
  <c r="I21" i="1"/>
  <c r="H20" i="1"/>
  <c r="I20" i="1"/>
  <c r="H19" i="1"/>
  <c r="I19" i="1"/>
  <c r="H18" i="1"/>
  <c r="J18" i="1"/>
  <c r="H17" i="1"/>
  <c r="I17" i="1"/>
  <c r="H16" i="1"/>
  <c r="I16" i="1"/>
  <c r="F15" i="1"/>
  <c r="F14" i="1"/>
  <c r="L14" i="1" l="1"/>
  <c r="L15" i="1"/>
  <c r="K14" i="1"/>
  <c r="J14" i="1" s="1"/>
  <c r="K15" i="1"/>
  <c r="J15" i="1" s="1"/>
  <c r="K27" i="1"/>
  <c r="H14" i="1" l="1"/>
  <c r="I14" i="1"/>
  <c r="H15" i="1"/>
  <c r="I15" i="1"/>
  <c r="B22" i="1" l="1"/>
  <c r="E22" i="1"/>
  <c r="L22" i="1" l="1"/>
  <c r="L23" i="1" s="1"/>
  <c r="A4" i="4" l="1"/>
  <c r="A7" i="4" l="1"/>
  <c r="A6" i="4"/>
  <c r="F22" i="1"/>
  <c r="C8" i="1" l="1"/>
  <c r="B8" i="1"/>
</calcChain>
</file>

<file path=xl/sharedStrings.xml><?xml version="1.0" encoding="utf-8"?>
<sst xmlns="http://schemas.openxmlformats.org/spreadsheetml/2006/main" count="213" uniqueCount="142">
  <si>
    <t>Creation Date:</t>
  </si>
  <si>
    <t>Print Date: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</si>
  <si>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</si>
  <si>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</si>
  <si>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</si>
  <si>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</si>
  <si>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</si>
  <si>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</si>
  <si>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</si>
  <si>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</si>
  <si>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</si>
  <si>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</si>
  <si>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</si>
  <si>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</si>
  <si>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</si>
  <si>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</si>
  <si>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</si>
  <si>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Currency</t>
  </si>
  <si>
    <t>Bill of Materials for Costing</t>
  </si>
  <si>
    <t>Best Supplier</t>
  </si>
  <si>
    <t>Best Supplier PN</t>
  </si>
  <si>
    <t>#</t>
  </si>
  <si>
    <t>Microsoft Research</t>
  </si>
  <si>
    <t>Bill of Materials for Build       Microsoft Research</t>
  </si>
  <si>
    <t>Best Subtotal</t>
  </si>
  <si>
    <t>Order Quantity</t>
  </si>
  <si>
    <t>total</t>
  </si>
  <si>
    <t>unit price</t>
  </si>
  <si>
    <t>Pricing based on number of boards =</t>
  </si>
  <si>
    <t>Bin</t>
  </si>
  <si>
    <t>number of line items</t>
  </si>
  <si>
    <t>Best Unit Price</t>
  </si>
  <si>
    <t>best subtotal index</t>
  </si>
  <si>
    <t>Project filename:</t>
  </si>
  <si>
    <t>Project codename/board ID:</t>
  </si>
  <si>
    <t>Variant/version:</t>
  </si>
  <si>
    <t>ArcadeMVD-STM 01-1.5 alternative parts.SchDoc</t>
  </si>
  <si>
    <t>ArcadeMVD-STM 01-1.5.PrjPCB</t>
  </si>
  <si>
    <t>MS-ArcadeMVD-STM</t>
  </si>
  <si>
    <t>None</t>
  </si>
  <si>
    <t>27/08/2019</t>
  </si>
  <si>
    <t>1000</t>
  </si>
  <si>
    <t>USD</t>
  </si>
  <si>
    <t>01</t>
  </si>
  <si>
    <t>1.5</t>
  </si>
  <si>
    <t>15:14:09</t>
  </si>
  <si>
    <t>MakeCode Arcade reference design for STM32F4</t>
  </si>
  <si>
    <t>alternative parts</t>
  </si>
  <si>
    <t>Description</t>
  </si>
  <si>
    <t>Schottky diode, 1A low Vf</t>
  </si>
  <si>
    <t>USB micro B with TH anchors</t>
  </si>
  <si>
    <t>3-way 3.5mm switched jack socket SMD R/A</t>
  </si>
  <si>
    <t>Male header, pitch 2 mm, 1x2 position</t>
  </si>
  <si>
    <t>ARM Cortex M4 MCU+FPU 512k Flash, 96k RAM, 84MHz, QFPN48</t>
  </si>
  <si>
    <t>13.9x5mm SMD Crystal</t>
  </si>
  <si>
    <t>Manufacturer</t>
  </si>
  <si>
    <t>MCC</t>
  </si>
  <si>
    <t>Adam Tech</t>
  </si>
  <si>
    <t>Switchcraft</t>
  </si>
  <si>
    <t>CUI</t>
  </si>
  <si>
    <t>Shenzhen Cankemeng</t>
  </si>
  <si>
    <t>JXT</t>
  </si>
  <si>
    <t>STMicroelectronics</t>
  </si>
  <si>
    <t>Fox Electronics</t>
  </si>
  <si>
    <t>Manufacturer Part Number</t>
  </si>
  <si>
    <t>MBRX120LF-TP</t>
  </si>
  <si>
    <t>MCR-B-S-RA-SMT-CS5-T/R</t>
  </si>
  <si>
    <t>35RASMT4BHNTRX</t>
  </si>
  <si>
    <t>SJ2-3593D-SMT-TR</t>
  </si>
  <si>
    <t>2001SMTM-2P</t>
  </si>
  <si>
    <t>WB200SW-02SR01</t>
  </si>
  <si>
    <t>STM32F401CEU6</t>
  </si>
  <si>
    <t>FOXSDLF/080-20</t>
  </si>
  <si>
    <t>Designator</t>
  </si>
  <si>
    <t>D2</t>
  </si>
  <si>
    <t>J1</t>
  </si>
  <si>
    <t>J3</t>
  </si>
  <si>
    <t>J6</t>
  </si>
  <si>
    <t>U1</t>
  </si>
  <si>
    <t>X1</t>
  </si>
  <si>
    <t>Quantity</t>
  </si>
  <si>
    <t>Supplier 1</t>
  </si>
  <si>
    <t>Farnell</t>
  </si>
  <si>
    <t>Mouser</t>
  </si>
  <si>
    <t>LCSC</t>
  </si>
  <si>
    <t/>
  </si>
  <si>
    <t>Supplier Part Number 1</t>
  </si>
  <si>
    <t>1924371</t>
  </si>
  <si>
    <t>2914546</t>
  </si>
  <si>
    <t>490-SJ2-3593D-SMT-TR</t>
  </si>
  <si>
    <t>C132500</t>
  </si>
  <si>
    <t>2432105</t>
  </si>
  <si>
    <t>2063972</t>
  </si>
  <si>
    <t>Supplier Unit Price 1</t>
  </si>
  <si>
    <t>Supplier Subtotal 1</t>
  </si>
  <si>
    <t>Supplier 2</t>
  </si>
  <si>
    <t>Digi-Key</t>
  </si>
  <si>
    <t>RSComponents</t>
  </si>
  <si>
    <t>Supplier Part Number 2</t>
  </si>
  <si>
    <t>833-MBRX120LF-TP</t>
  </si>
  <si>
    <t>502-35RASMT4BHNTRX</t>
  </si>
  <si>
    <t>CP-SJ2-3593D-SMT-CT-ND</t>
  </si>
  <si>
    <t>497-17427-ND</t>
  </si>
  <si>
    <t>5476452</t>
  </si>
  <si>
    <t>Supplier Unit Price 2</t>
  </si>
  <si>
    <t>Supplier Subtotal 2</t>
  </si>
  <si>
    <t>Supplier 3</t>
  </si>
  <si>
    <t>Supplier Part Number 3</t>
  </si>
  <si>
    <t>MBRX120LF-TPMSCT-ND</t>
  </si>
  <si>
    <t>7051490</t>
  </si>
  <si>
    <t>511-STM32F401CEU6</t>
  </si>
  <si>
    <t>559-FOXSD080-20-LF</t>
  </si>
  <si>
    <t>Supplier Unit Price 3</t>
  </si>
  <si>
    <t>Supplier Subtotal 3</t>
  </si>
  <si>
    <t>Supplier 4</t>
  </si>
  <si>
    <t>Supplier Part Number 4</t>
  </si>
  <si>
    <t>SC1488-1-ND</t>
  </si>
  <si>
    <t>631-1010-1-ND</t>
  </si>
  <si>
    <t>Supplier Unit Price 4</t>
  </si>
  <si>
    <t>Supplier Subtotal 4</t>
  </si>
  <si>
    <t>LibRef</t>
  </si>
  <si>
    <t>MCC MBRX120LF</t>
  </si>
  <si>
    <t>MCR-B-S-RA-SMT-CS5-T/R-whitesch</t>
  </si>
  <si>
    <t>SJ2-3593D-SMT</t>
  </si>
  <si>
    <t>ST STM32F401CEU6</t>
  </si>
  <si>
    <t>Footprint</t>
  </si>
  <si>
    <t>MCC SOD-123</t>
  </si>
  <si>
    <t>SWIT-35RASMT4BHNTRX_V</t>
  </si>
  <si>
    <t>SJ-3593D-SMT-TR</t>
  </si>
  <si>
    <t>JST- S2B-PH-SM4-TB(LF)(SN)-2_V</t>
  </si>
  <si>
    <t>ST UFQFPN48 SEH</t>
  </si>
  <si>
    <t>FOX-HC49SDLF_V</t>
  </si>
  <si>
    <t>#Column Name Error:PCB Feature</t>
  </si>
  <si>
    <t>#Column Name Error:Fitted</t>
  </si>
  <si>
    <t>#Column Name Error:link</t>
  </si>
  <si>
    <t>D:\shodges\TFS-MSR\SenDev\Projects\EduBoards - MS\ArcadeMVD\Altium\ArcadeMVD-STM v1.5\ArcadeMVD-STM 01-1.5.PrjPCB</t>
  </si>
  <si>
    <t>D:\shodges\TFS-MSR\SenDev\Projects\EduBoards - MS\ArcadeMVD\Altium\ArcadeMVD-STM v1.5\ArcadeMVD-STM 01-1.5 alternative parts.SchDoc</t>
  </si>
  <si>
    <t>8</t>
  </si>
  <si>
    <t>27/08/2019 15:14:09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</si>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</sst>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£&quot;#,##0.00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i/>
      <sz val="10"/>
      <name val="Segoe UI"/>
      <family val="2"/>
    </font>
    <font>
      <sz val="18"/>
      <name val="Segoe UI"/>
      <family val="2"/>
    </font>
    <font>
      <b/>
      <sz val="10"/>
      <color rgb="FFFF0000"/>
      <name val="Segoe UI"/>
      <family val="2"/>
    </font>
    <font>
      <b/>
      <sz val="9"/>
      <color rgb="FFFF0000"/>
      <name val="Segoe UI"/>
      <family val="2"/>
    </font>
    <font>
      <sz val="8"/>
      <name val="Segoe UI"/>
      <family val="2"/>
    </font>
    <font>
      <sz val="14"/>
      <name val="Segoe UI"/>
      <family val="2"/>
    </font>
    <font>
      <sz val="14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6" fillId="0" borderId="0" xfId="0" applyFont="1" applyBorder="1" applyAlignment="1"/>
    <xf numFmtId="0" fontId="4" fillId="0" borderId="1" xfId="0" applyFont="1" applyBorder="1" applyAlignment="1"/>
    <xf numFmtId="164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14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right"/>
    </xf>
    <xf numFmtId="0" fontId="4" fillId="4" borderId="14" xfId="0" applyNumberFormat="1" applyFont="1" applyFill="1" applyBorder="1" applyAlignment="1" applyProtection="1">
      <alignment horizontal="left" vertical="top" wrapText="1"/>
      <protection locked="0"/>
    </xf>
    <xf numFmtId="0" fontId="8" fillId="4" borderId="14" xfId="0" applyNumberFormat="1" applyFont="1" applyFill="1" applyBorder="1" applyAlignment="1" applyProtection="1">
      <alignment vertical="top" wrapText="1"/>
      <protection locked="0"/>
    </xf>
    <xf numFmtId="0" fontId="4" fillId="4" borderId="15" xfId="0" applyFont="1" applyFill="1" applyBorder="1" applyAlignment="1"/>
    <xf numFmtId="0" fontId="4" fillId="4" borderId="16" xfId="0" applyFont="1" applyFill="1" applyBorder="1" applyAlignment="1">
      <alignment horizontal="left"/>
    </xf>
    <xf numFmtId="0" fontId="4" fillId="4" borderId="16" xfId="0" applyFont="1" applyFill="1" applyBorder="1" applyAlignment="1"/>
    <xf numFmtId="0" fontId="4" fillId="4" borderId="17" xfId="0" applyFont="1" applyFill="1" applyBorder="1" applyAlignment="1"/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7" fillId="4" borderId="12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" fontId="4" fillId="0" borderId="5" xfId="0" applyNumberFormat="1" applyFont="1" applyFill="1" applyBorder="1" applyAlignment="1">
      <alignment vertical="top"/>
    </xf>
    <xf numFmtId="0" fontId="8" fillId="4" borderId="13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/>
    <xf numFmtId="0" fontId="0" fillId="0" borderId="0" xfId="0" quotePrefix="1" applyAlignment="1">
      <alignment vertical="top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14" fontId="4" fillId="0" borderId="5" xfId="0" applyNumberFormat="1" applyFont="1" applyBorder="1" applyAlignment="1">
      <alignment vertical="top"/>
    </xf>
    <xf numFmtId="165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" fontId="4" fillId="5" borderId="1" xfId="0" applyNumberFormat="1" applyFont="1" applyFill="1" applyBorder="1" applyAlignment="1">
      <alignment vertical="top"/>
    </xf>
    <xf numFmtId="4" fontId="4" fillId="0" borderId="1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4" fillId="0" borderId="21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horizontal="right" vertical="top"/>
    </xf>
    <xf numFmtId="0" fontId="4" fillId="0" borderId="22" xfId="0" applyNumberFormat="1" applyFont="1" applyBorder="1" applyAlignment="1">
      <alignment vertical="top"/>
    </xf>
    <xf numFmtId="4" fontId="4" fillId="0" borderId="0" xfId="0" applyNumberFormat="1" applyFont="1" applyBorder="1" applyAlignment="1"/>
    <xf numFmtId="0" fontId="4" fillId="0" borderId="5" xfId="0" applyNumberFormat="1" applyFont="1" applyBorder="1" applyAlignment="1">
      <alignment horizontal="left" vertical="top"/>
    </xf>
    <xf numFmtId="166" fontId="4" fillId="0" borderId="20" xfId="0" applyNumberFormat="1" applyFont="1" applyBorder="1" applyAlignment="1">
      <alignment horizontal="right" vertical="top"/>
    </xf>
    <xf numFmtId="4" fontId="4" fillId="0" borderId="22" xfId="0" applyNumberFormat="1" applyFont="1" applyBorder="1" applyAlignment="1">
      <alignment horizontal="right" vertical="top"/>
    </xf>
    <xf numFmtId="0" fontId="4" fillId="0" borderId="0" xfId="0" applyNumberFormat="1" applyFont="1" applyBorder="1" applyAlignment="1">
      <alignment vertical="top"/>
    </xf>
    <xf numFmtId="0" fontId="4" fillId="4" borderId="1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horizontal="left" vertical="top" wrapText="1"/>
      <protection locked="0"/>
    </xf>
    <xf numFmtId="0" fontId="8" fillId="4" borderId="0" xfId="0" applyNumberFormat="1" applyFont="1" applyFill="1" applyBorder="1" applyAlignment="1" applyProtection="1">
      <alignment vertical="top" wrapText="1"/>
      <protection locked="0"/>
    </xf>
    <xf numFmtId="0" fontId="7" fillId="4" borderId="25" xfId="0" applyFont="1" applyFill="1" applyBorder="1" applyAlignment="1">
      <alignment vertical="center" wrapText="1"/>
    </xf>
    <xf numFmtId="0" fontId="7" fillId="4" borderId="27" xfId="0" applyFont="1" applyFill="1" applyBorder="1" applyAlignment="1">
      <alignment vertical="center" wrapText="1"/>
    </xf>
    <xf numFmtId="0" fontId="4" fillId="0" borderId="21" xfId="0" applyNumberFormat="1" applyFont="1" applyBorder="1" applyAlignment="1">
      <alignment horizontal="right" vertical="top"/>
    </xf>
    <xf numFmtId="0" fontId="4" fillId="0" borderId="30" xfId="0" applyNumberFormat="1" applyFont="1" applyBorder="1" applyAlignment="1">
      <alignment vertical="top"/>
    </xf>
    <xf numFmtId="0" fontId="4" fillId="0" borderId="31" xfId="0" applyNumberFormat="1" applyFont="1" applyBorder="1" applyAlignment="1">
      <alignment vertical="top"/>
    </xf>
    <xf numFmtId="0" fontId="4" fillId="0" borderId="32" xfId="0" applyNumberFormat="1" applyFont="1" applyBorder="1" applyAlignment="1">
      <alignment vertical="top"/>
    </xf>
    <xf numFmtId="0" fontId="4" fillId="0" borderId="33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horizontal="right" vertical="top"/>
    </xf>
    <xf numFmtId="4" fontId="4" fillId="0" borderId="0" xfId="0" applyNumberFormat="1" applyFont="1" applyBorder="1" applyAlignment="1">
      <alignment vertical="top"/>
    </xf>
    <xf numFmtId="0" fontId="7" fillId="4" borderId="34" xfId="0" applyFont="1" applyFill="1" applyBorder="1" applyAlignment="1">
      <alignment vertical="center" wrapText="1"/>
    </xf>
    <xf numFmtId="4" fontId="4" fillId="5" borderId="29" xfId="0" applyNumberFormat="1" applyFont="1" applyFill="1" applyBorder="1" applyAlignment="1">
      <alignment vertical="top"/>
    </xf>
    <xf numFmtId="4" fontId="4" fillId="0" borderId="29" xfId="0" applyNumberFormat="1" applyFont="1" applyBorder="1" applyAlignment="1">
      <alignment vertical="top"/>
    </xf>
    <xf numFmtId="166" fontId="10" fillId="0" borderId="36" xfId="0" applyNumberFormat="1" applyFont="1" applyBorder="1" applyAlignment="1">
      <alignment horizontal="right" vertical="top"/>
    </xf>
    <xf numFmtId="4" fontId="10" fillId="0" borderId="32" xfId="0" applyNumberFormat="1" applyFont="1" applyBorder="1" applyAlignment="1">
      <alignment horizontal="right" vertical="top"/>
    </xf>
    <xf numFmtId="4" fontId="10" fillId="0" borderId="37" xfId="0" applyNumberFormat="1" applyFont="1" applyBorder="1" applyAlignment="1">
      <alignment vertical="top"/>
    </xf>
    <xf numFmtId="0" fontId="11" fillId="0" borderId="1" xfId="0" applyFont="1" applyBorder="1" applyAlignment="1">
      <alignment horizontal="right"/>
    </xf>
    <xf numFmtId="0" fontId="12" fillId="4" borderId="25" xfId="0" applyFont="1" applyFill="1" applyBorder="1" applyAlignment="1">
      <alignment vertical="center" wrapText="1"/>
    </xf>
    <xf numFmtId="4" fontId="10" fillId="0" borderId="38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4" fillId="5" borderId="29" xfId="0" applyNumberFormat="1" applyFont="1" applyFill="1" applyBorder="1" applyAlignment="1">
      <alignment vertical="top"/>
    </xf>
    <xf numFmtId="0" fontId="4" fillId="6" borderId="29" xfId="0" applyNumberFormat="1" applyFont="1" applyFill="1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3" xfId="0" applyBorder="1" applyAlignment="1">
      <alignment vertical="top"/>
    </xf>
    <xf numFmtId="4" fontId="0" fillId="0" borderId="29" xfId="0" applyNumberFormat="1" applyBorder="1" applyAlignment="1">
      <alignment vertical="top"/>
    </xf>
    <xf numFmtId="4" fontId="0" fillId="0" borderId="23" xfId="0" applyNumberFormat="1" applyBorder="1" applyAlignment="1">
      <alignment vertical="top"/>
    </xf>
    <xf numFmtId="0" fontId="0" fillId="5" borderId="28" xfId="0" applyFill="1" applyBorder="1" applyAlignment="1">
      <alignment vertical="top"/>
    </xf>
    <xf numFmtId="0" fontId="0" fillId="5" borderId="23" xfId="0" applyFill="1" applyBorder="1" applyAlignment="1">
      <alignment vertical="top"/>
    </xf>
    <xf numFmtId="4" fontId="0" fillId="5" borderId="23" xfId="0" applyNumberFormat="1" applyFill="1" applyBorder="1" applyAlignment="1">
      <alignment vertical="top"/>
    </xf>
    <xf numFmtId="4" fontId="0" fillId="5" borderId="29" xfId="0" applyNumberFormat="1" applyFill="1" applyBorder="1" applyAlignment="1">
      <alignment vertical="top"/>
    </xf>
    <xf numFmtId="4" fontId="4" fillId="0" borderId="30" xfId="0" applyNumberFormat="1" applyFont="1" applyBorder="1" applyAlignment="1">
      <alignment vertical="top"/>
    </xf>
    <xf numFmtId="4" fontId="4" fillId="0" borderId="39" xfId="0" applyNumberFormat="1" applyFont="1" applyBorder="1" applyAlignment="1">
      <alignment vertical="top"/>
    </xf>
    <xf numFmtId="4" fontId="4" fillId="0" borderId="40" xfId="0" applyNumberFormat="1" applyFont="1" applyBorder="1" applyAlignment="1">
      <alignment vertical="top"/>
    </xf>
    <xf numFmtId="4" fontId="4" fillId="0" borderId="33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Fill="1" applyBorder="1" applyAlignment="1"/>
    <xf numFmtId="0" fontId="14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0" fontId="4" fillId="0" borderId="3" xfId="0" quotePrefix="1" applyFont="1" applyBorder="1" applyAlignment="1">
      <alignment horizontal="left"/>
    </xf>
    <xf numFmtId="49" fontId="10" fillId="0" borderId="2" xfId="0" quotePrefix="1" applyNumberFormat="1" applyFont="1" applyBorder="1" applyAlignment="1">
      <alignment horizontal="left"/>
    </xf>
    <xf numFmtId="0" fontId="13" fillId="0" borderId="0" xfId="0" quotePrefix="1" applyFont="1" applyFill="1" applyBorder="1" applyAlignment="1">
      <alignment vertical="center"/>
    </xf>
    <xf numFmtId="0" fontId="7" fillId="4" borderId="24" xfId="0" quotePrefix="1" applyFont="1" applyFill="1" applyBorder="1" applyAlignment="1">
      <alignment vertical="center" wrapText="1"/>
    </xf>
    <xf numFmtId="0" fontId="4" fillId="5" borderId="28" xfId="0" quotePrefix="1" applyFont="1" applyFill="1" applyBorder="1" applyAlignment="1">
      <alignment vertical="top"/>
    </xf>
    <xf numFmtId="0" fontId="4" fillId="0" borderId="28" xfId="0" quotePrefix="1" applyFont="1" applyBorder="1" applyAlignment="1">
      <alignment vertical="top"/>
    </xf>
    <xf numFmtId="0" fontId="7" fillId="4" borderId="25" xfId="0" quotePrefix="1" applyFont="1" applyFill="1" applyBorder="1" applyAlignment="1">
      <alignment vertical="center" wrapText="1"/>
    </xf>
    <xf numFmtId="0" fontId="4" fillId="5" borderId="1" xfId="0" quotePrefix="1" applyFont="1" applyFill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4" fillId="5" borderId="1" xfId="0" quotePrefix="1" applyFont="1" applyFill="1" applyBorder="1" applyAlignment="1">
      <alignment vertical="top" shrinkToFit="1"/>
    </xf>
    <xf numFmtId="0" fontId="4" fillId="0" borderId="1" xfId="0" quotePrefix="1" applyFont="1" applyBorder="1" applyAlignment="1">
      <alignment vertical="top" shrinkToFit="1"/>
    </xf>
    <xf numFmtId="0" fontId="7" fillId="4" borderId="26" xfId="0" quotePrefix="1" applyFont="1" applyFill="1" applyBorder="1" applyAlignment="1">
      <alignment vertical="center" wrapText="1"/>
    </xf>
    <xf numFmtId="0" fontId="7" fillId="4" borderId="34" xfId="0" quotePrefix="1" applyFont="1" applyFill="1" applyBorder="1" applyAlignment="1">
      <alignment vertical="center" wrapText="1"/>
    </xf>
    <xf numFmtId="0" fontId="4" fillId="5" borderId="18" xfId="0" quotePrefix="1" applyFont="1" applyFill="1" applyBorder="1" applyAlignment="1">
      <alignment vertical="top"/>
    </xf>
    <xf numFmtId="0" fontId="4" fillId="0" borderId="18" xfId="0" quotePrefix="1" applyFont="1" applyBorder="1" applyAlignment="1">
      <alignment vertical="top"/>
    </xf>
    <xf numFmtId="0" fontId="15" fillId="5" borderId="1" xfId="1" quotePrefix="1" applyFill="1" applyBorder="1" applyAlignment="1">
      <alignment vertical="top"/>
    </xf>
    <xf numFmtId="0" fontId="15" fillId="0" borderId="1" xfId="1" quotePrefix="1" applyBorder="1" applyAlignment="1">
      <alignment vertical="top"/>
    </xf>
    <xf numFmtId="0" fontId="7" fillId="4" borderId="35" xfId="0" quotePrefix="1" applyFont="1" applyFill="1" applyBorder="1" applyAlignment="1">
      <alignment vertical="center" wrapText="1"/>
    </xf>
    <xf numFmtId="0" fontId="4" fillId="5" borderId="19" xfId="0" quotePrefix="1" applyFont="1" applyFill="1" applyBorder="1" applyAlignment="1">
      <alignment vertical="top"/>
    </xf>
    <xf numFmtId="0" fontId="4" fillId="0" borderId="19" xfId="0" quotePrefix="1" applyFont="1" applyBorder="1" applyAlignment="1">
      <alignment vertical="top"/>
    </xf>
    <xf numFmtId="0" fontId="7" fillId="4" borderId="27" xfId="0" quotePrefix="1" applyFont="1" applyFill="1" applyBorder="1" applyAlignment="1">
      <alignment vertical="center" wrapText="1"/>
    </xf>
    <xf numFmtId="0" fontId="9" fillId="0" borderId="0" xfId="0" quotePrefix="1" applyFont="1" applyFill="1" applyBorder="1" applyAlignment="1">
      <alignment vertical="center"/>
    </xf>
    <xf numFmtId="0" fontId="7" fillId="4" borderId="12" xfId="0" quotePrefix="1" applyFont="1" applyFill="1" applyBorder="1" applyAlignment="1">
      <alignment vertical="center" wrapText="1"/>
    </xf>
    <xf numFmtId="0" fontId="4" fillId="5" borderId="1" xfId="0" quotePrefix="1" applyFont="1" applyFill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7" fillId="4" borderId="12" xfId="0" quotePrefix="1" applyFont="1" applyFill="1" applyBorder="1" applyAlignment="1">
      <alignment horizontal="left" vertical="center" wrapText="1"/>
    </xf>
    <xf numFmtId="0" fontId="4" fillId="5" borderId="1" xfId="0" quotePrefix="1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4" fillId="2" borderId="7" xfId="0" quotePrefix="1" applyFont="1" applyFill="1" applyBorder="1" applyAlignment="1">
      <alignment horizontal="left" vertical="center"/>
    </xf>
    <xf numFmtId="0" fontId="4" fillId="3" borderId="9" xfId="0" quotePrefix="1" applyFont="1" applyFill="1" applyBorder="1" applyAlignment="1">
      <alignment horizontal="left" vertical="center"/>
    </xf>
    <xf numFmtId="0" fontId="4" fillId="2" borderId="9" xfId="0" quotePrefix="1" applyFont="1" applyFill="1" applyBorder="1" applyAlignment="1">
      <alignment horizontal="left" vertical="center"/>
    </xf>
    <xf numFmtId="0" fontId="4" fillId="3" borderId="11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CUI&amp;mpn=SJ2-3593D-SMT-TR&amp;seller=Digi-Key&amp;sku=CP-SJ2-3593D-SMT-CT-ND&amp;country=GB&amp;channel=BOM%20Report&amp;ref=supplier&amp;" TargetMode="External"/><Relationship Id="rId13" Type="http://schemas.openxmlformats.org/officeDocument/2006/relationships/hyperlink" Target="https://octopart-clicks.com/click/altium?manufacturer=STMicroelectronics&amp;mpn=STM32F401CEU6&amp;seller=Mouser&amp;sku=511-STM32F401CEU6&amp;country=GB&amp;channel=BOM%20Report&amp;ref=supplier&amp;" TargetMode="External"/><Relationship Id="rId3" Type="http://schemas.openxmlformats.org/officeDocument/2006/relationships/hyperlink" Target="https://octopart-clicks.com/click/altium?manufacturer=CUI&amp;mpn=SJ2-3593D-SMT-TR&amp;seller=Mouser&amp;sku=490-SJ2-3593D-SMT-TR&amp;country=GB&amp;channel=BOM%20Report&amp;ref=supplier&amp;" TargetMode="External"/><Relationship Id="rId7" Type="http://schemas.openxmlformats.org/officeDocument/2006/relationships/hyperlink" Target="https://octopart-clicks.com/click/altium?manufacturer=Switchcraft&amp;mpn=35RASMT4BHNTRX&amp;seller=Mouser&amp;sku=502-35RASMT4BHNTRX&amp;country=GB&amp;channel=BOM%20Report&amp;ref=supplier&amp;" TargetMode="External"/><Relationship Id="rId12" Type="http://schemas.openxmlformats.org/officeDocument/2006/relationships/hyperlink" Target="https://octopart-clicks.com/click/altium?manufacturer=Switchcraft&amp;mpn=35RASMT4BHNTRX&amp;seller=RSComponents&amp;sku=7051490&amp;country=GB&amp;channel=BOM%20Report&amp;ref=supplier&amp;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octopart-clicks.com/click/altium?manufacturer=Switchcraft&amp;mpn=35RASMT4BHNTRX&amp;seller=Farnell&amp;sku=2914546&amp;country=GB&amp;channel=BOM%20Report&amp;ref=supplier&amp;" TargetMode="External"/><Relationship Id="rId16" Type="http://schemas.openxmlformats.org/officeDocument/2006/relationships/hyperlink" Target="https://octopart-clicks.com/click/altium?manufacturer=Fox%20Electronics&amp;mpn=FC4SDCBMF8.0-T1&amp;seller=Digi-Key&amp;sku=631-1010-1-ND&amp;country=GB&amp;channel=BOM%20Report&amp;ref=supplier&amp;" TargetMode="External"/><Relationship Id="rId1" Type="http://schemas.openxmlformats.org/officeDocument/2006/relationships/hyperlink" Target="https://octopart-clicks.com/click/altium?manufacturer=MCC&amp;mpn=MBRX120LF-TP&amp;seller=Farnell&amp;sku=1924371&amp;country=GB&amp;channel=BOM%20Report&amp;ref=supplier&amp;" TargetMode="External"/><Relationship Id="rId6" Type="http://schemas.openxmlformats.org/officeDocument/2006/relationships/hyperlink" Target="https://octopart-clicks.com/click/altium?manufacturer=MCC&amp;mpn=MBRX120LF-TP&amp;seller=Mouser&amp;sku=833-MBRX120LF-TP&amp;country=GB&amp;channel=BOM%20Report&amp;ref=supplier&amp;" TargetMode="External"/><Relationship Id="rId11" Type="http://schemas.openxmlformats.org/officeDocument/2006/relationships/hyperlink" Target="https://octopart-clicks.com/click/altium?manufacturer=MCC&amp;mpn=MBRX120LF-TP&amp;seller=Digi-Key&amp;sku=MBRX120LF-TPMSCT-ND&amp;country=GB&amp;channel=BOM%20Report&amp;ref=supplier&amp;" TargetMode="External"/><Relationship Id="rId5" Type="http://schemas.openxmlformats.org/officeDocument/2006/relationships/hyperlink" Target="https://octopart-clicks.com/click/altium?manufacturer=Fox%20Electronics&amp;mpn=FOXSDLF%2F080-20&amp;seller=Farnell&amp;sku=2063972&amp;country=GB&amp;channel=BOM%20Report&amp;ref=supplier&amp;" TargetMode="External"/><Relationship Id="rId15" Type="http://schemas.openxmlformats.org/officeDocument/2006/relationships/hyperlink" Target="https://octopart-clicks.com/click/altium?manufacturer=Switchcraft&amp;mpn=35RASMT4BHNTRX&amp;seller=Digi-Key&amp;sku=SC1488-1-ND&amp;country=GB&amp;channel=BOM%20Report&amp;ref=supplier&amp;" TargetMode="External"/><Relationship Id="rId10" Type="http://schemas.openxmlformats.org/officeDocument/2006/relationships/hyperlink" Target="https://octopart-clicks.com/click/altium?manufacturer=Fox%20Electronics&amp;mpn=FOXSDLF%2F080-20&amp;seller=RSComponents&amp;sku=5476452&amp;country=GB&amp;channel=BOM%20Report&amp;ref=supplier&amp;" TargetMode="External"/><Relationship Id="rId4" Type="http://schemas.openxmlformats.org/officeDocument/2006/relationships/hyperlink" Target="https://octopart-clicks.com/click/altium?manufacturer=STMicroelectronics&amp;mpn=STM32F401CEU6&amp;seller=Farnell&amp;sku=2432105&amp;country=GB&amp;channel=BOM%20Report&amp;ref=supplier&amp;" TargetMode="External"/><Relationship Id="rId9" Type="http://schemas.openxmlformats.org/officeDocument/2006/relationships/hyperlink" Target="https://octopart-clicks.com/click/altium?manufacturer=STMicroelectronics&amp;mpn=STM32F401CEU6&amp;seller=Digi-Key&amp;sku=497-17427-ND&amp;country=GB&amp;channel=BOM%20Report&amp;ref=supplier&amp;" TargetMode="External"/><Relationship Id="rId14" Type="http://schemas.openxmlformats.org/officeDocument/2006/relationships/hyperlink" Target="https://octopart-clicks.com/click/altium?manufacturer=Fox%20Electronics&amp;mpn=FOXSDLF%2F080-20&amp;seller=Mouser&amp;sku=559-FOXSD080-20-LF&amp;country=GB&amp;channel=BOM%20Report&amp;ref=supplier&amp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38"/>
  <sheetViews>
    <sheetView showGridLines="0" tabSelected="1" zoomScale="85" zoomScaleNormal="85" workbookViewId="0">
      <selection activeCell="C27" sqref="C27"/>
    </sheetView>
  </sheetViews>
  <sheetFormatPr defaultColWidth="9.109375" defaultRowHeight="13.2" x14ac:dyDescent="0.25"/>
  <cols>
    <col min="1" max="1" width="51.6640625" style="3" customWidth="1"/>
    <col min="2" max="2" width="29.88671875" style="3" customWidth="1"/>
    <col min="3" max="3" width="24.88671875" style="5" customWidth="1"/>
    <col min="4" max="4" width="26.88671875" style="5" customWidth="1"/>
    <col min="5" max="5" width="8" style="3" customWidth="1"/>
    <col min="6" max="6" width="8.6640625" style="3" customWidth="1"/>
    <col min="7" max="7" width="9.88671875" customWidth="1"/>
    <col min="8" max="8" width="12.88671875" style="3" customWidth="1"/>
    <col min="9" max="9" width="18.44140625" style="3" customWidth="1"/>
    <col min="10" max="10" width="7.88671875" style="3" customWidth="1"/>
    <col min="11" max="11" width="6.44140625" style="3" hidden="1" customWidth="1"/>
    <col min="12" max="12" width="9.6640625" style="3" customWidth="1"/>
    <col min="13" max="13" width="9.5546875" style="3" customWidth="1"/>
    <col min="14" max="14" width="16.77734375" style="3" customWidth="1"/>
    <col min="15" max="15" width="7.77734375" style="3" customWidth="1"/>
    <col min="16" max="16" width="8.88671875" style="3" customWidth="1"/>
    <col min="17" max="17" width="9.5546875" style="3" customWidth="1"/>
    <col min="18" max="18" width="16.77734375" style="3" customWidth="1"/>
    <col min="19" max="19" width="7.77734375" style="3" customWidth="1"/>
    <col min="20" max="20" width="8.88671875" style="3" customWidth="1"/>
    <col min="21" max="21" width="9.5546875" style="3" customWidth="1"/>
    <col min="22" max="22" width="16.77734375" style="3" customWidth="1"/>
    <col min="23" max="23" width="7.77734375" style="3" customWidth="1"/>
    <col min="24" max="24" width="8.88671875" style="3" customWidth="1"/>
    <col min="25" max="25" width="9.5546875" style="3" customWidth="1"/>
    <col min="26" max="26" width="16.77734375" style="3" customWidth="1"/>
    <col min="27" max="27" width="7.77734375" style="3" customWidth="1"/>
    <col min="28" max="28" width="8.88671875" style="3" customWidth="1"/>
    <col min="29" max="16384" width="9.109375" style="3"/>
  </cols>
  <sheetData>
    <row r="1" spans="1:28" ht="6" customHeight="1" thickBot="1" x14ac:dyDescent="0.4">
      <c r="A1" s="27"/>
      <c r="B1" s="29"/>
      <c r="C1" s="28"/>
      <c r="D1" s="28"/>
      <c r="E1" s="28"/>
      <c r="F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37.5" customHeight="1" x14ac:dyDescent="0.45">
      <c r="A2" s="37" t="s">
        <v>18</v>
      </c>
      <c r="B2" s="38" t="s">
        <v>22</v>
      </c>
      <c r="C2" s="38"/>
      <c r="D2" s="106" t="s">
        <v>46</v>
      </c>
      <c r="E2" s="99"/>
      <c r="F2" s="100"/>
      <c r="G2" s="101"/>
      <c r="H2" s="100"/>
      <c r="J2" s="41"/>
      <c r="K2" s="41"/>
      <c r="L2" s="41"/>
      <c r="M2" s="41"/>
      <c r="N2" s="41"/>
      <c r="O2" s="41"/>
      <c r="P2" s="41"/>
      <c r="Q2" s="41"/>
      <c r="R2" s="41"/>
      <c r="S2" s="41"/>
      <c r="U2" s="41"/>
      <c r="V2" s="41"/>
      <c r="W2" s="41"/>
      <c r="Y2" s="41"/>
      <c r="Z2" s="41"/>
      <c r="AA2" s="41"/>
    </row>
    <row r="3" spans="1:28" ht="23.25" customHeight="1" x14ac:dyDescent="0.35">
      <c r="A3" s="34" t="s">
        <v>2</v>
      </c>
      <c r="B3" s="102" t="s">
        <v>36</v>
      </c>
      <c r="C3" s="10"/>
      <c r="D3" s="106" t="s">
        <v>47</v>
      </c>
      <c r="E3" s="11"/>
      <c r="F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U3" s="11"/>
      <c r="V3" s="11"/>
      <c r="W3" s="11"/>
      <c r="Y3" s="11"/>
      <c r="Z3" s="11"/>
      <c r="AA3" s="11"/>
    </row>
    <row r="4" spans="1:28" ht="17.25" customHeight="1" x14ac:dyDescent="0.35">
      <c r="A4" s="34" t="s">
        <v>33</v>
      </c>
      <c r="B4" s="103" t="s">
        <v>37</v>
      </c>
      <c r="C4" s="50"/>
      <c r="D4"/>
      <c r="E4" s="11"/>
      <c r="F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U4" s="11"/>
      <c r="V4" s="11"/>
      <c r="W4" s="11"/>
      <c r="Y4" s="11"/>
      <c r="Z4" s="11"/>
      <c r="AA4" s="11"/>
    </row>
    <row r="5" spans="1:28" ht="17.25" customHeight="1" x14ac:dyDescent="0.35">
      <c r="A5" s="34" t="s">
        <v>34</v>
      </c>
      <c r="B5" s="103" t="s">
        <v>38</v>
      </c>
      <c r="C5" s="103" t="s">
        <v>43</v>
      </c>
      <c r="D5"/>
      <c r="E5" s="11"/>
      <c r="F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U5" s="11"/>
      <c r="V5" s="11"/>
      <c r="W5" s="11"/>
      <c r="Y5" s="11"/>
      <c r="Z5" s="11"/>
      <c r="AA5" s="11"/>
    </row>
    <row r="6" spans="1:28" ht="17.25" customHeight="1" x14ac:dyDescent="0.35">
      <c r="A6" s="34" t="s">
        <v>35</v>
      </c>
      <c r="B6" s="104" t="s">
        <v>39</v>
      </c>
      <c r="C6" s="104" t="s">
        <v>44</v>
      </c>
      <c r="D6"/>
      <c r="E6" s="11"/>
      <c r="F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U6" s="11"/>
      <c r="V6" s="11"/>
      <c r="W6" s="11"/>
      <c r="Y6" s="11"/>
      <c r="Z6" s="11"/>
      <c r="AA6" s="11"/>
    </row>
    <row r="7" spans="1:28" ht="15.75" customHeight="1" x14ac:dyDescent="0.35">
      <c r="A7" s="24" t="s">
        <v>0</v>
      </c>
      <c r="B7" s="104" t="s">
        <v>40</v>
      </c>
      <c r="C7" s="103" t="s">
        <v>45</v>
      </c>
      <c r="D7"/>
      <c r="E7" s="11"/>
      <c r="F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U7" s="11"/>
      <c r="V7" s="11"/>
      <c r="W7" s="11"/>
      <c r="Y7" s="11"/>
      <c r="Z7" s="11"/>
      <c r="AA7" s="11"/>
    </row>
    <row r="8" spans="1:28" ht="15.75" customHeight="1" x14ac:dyDescent="0.35">
      <c r="A8" s="33" t="s">
        <v>1</v>
      </c>
      <c r="B8" s="14">
        <f ca="1">TODAY()</f>
        <v>43704</v>
      </c>
      <c r="C8" s="49">
        <f ca="1">NOW()</f>
        <v>43704.63504108796</v>
      </c>
      <c r="D8"/>
      <c r="E8" s="11"/>
      <c r="F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U8" s="11"/>
      <c r="V8" s="11"/>
      <c r="W8" s="11"/>
      <c r="Y8" s="11"/>
      <c r="Z8" s="11"/>
      <c r="AA8" s="11"/>
    </row>
    <row r="9" spans="1:28" ht="15.75" customHeight="1" x14ac:dyDescent="0.35">
      <c r="A9" s="24"/>
      <c r="B9" s="15"/>
      <c r="C9" s="15"/>
      <c r="D9"/>
      <c r="E9" s="11"/>
      <c r="F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U9" s="11"/>
      <c r="V9" s="11"/>
      <c r="W9" s="11"/>
      <c r="Y9" s="11"/>
      <c r="Z9" s="11"/>
      <c r="AA9" s="11"/>
    </row>
    <row r="10" spans="1:28" ht="15.75" customHeight="1" x14ac:dyDescent="0.35">
      <c r="A10" s="81" t="s">
        <v>28</v>
      </c>
      <c r="B10" s="105" t="s">
        <v>41</v>
      </c>
      <c r="C10" s="43"/>
      <c r="D10"/>
      <c r="E10" s="11"/>
      <c r="F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U10" s="11"/>
      <c r="V10" s="11"/>
      <c r="W10" s="11"/>
      <c r="Y10" s="11"/>
      <c r="Z10" s="11"/>
      <c r="AA10" s="11"/>
    </row>
    <row r="11" spans="1:28" ht="15.75" customHeight="1" x14ac:dyDescent="0.35">
      <c r="A11" s="81" t="s">
        <v>17</v>
      </c>
      <c r="B11" s="105" t="s">
        <v>42</v>
      </c>
      <c r="C11" s="45"/>
      <c r="D11" s="44"/>
      <c r="H11" s="34"/>
      <c r="I11" s="57"/>
      <c r="J11" s="57"/>
      <c r="K11" s="57"/>
      <c r="L11" s="11"/>
      <c r="M11" s="11"/>
      <c r="N11" s="11"/>
      <c r="O11" s="11"/>
      <c r="P11" s="11"/>
      <c r="Q11" s="11"/>
      <c r="R11" s="11"/>
      <c r="S11" s="11"/>
      <c r="U11" s="11"/>
      <c r="V11" s="11"/>
      <c r="W11" s="11"/>
      <c r="Y11" s="11"/>
      <c r="Z11" s="11"/>
      <c r="AA11" s="11"/>
    </row>
    <row r="12" spans="1:28" ht="15.75" customHeight="1" thickBot="1" x14ac:dyDescent="0.4">
      <c r="A12" s="13"/>
      <c r="B12" s="11"/>
      <c r="C12" s="11"/>
      <c r="D12" s="34"/>
      <c r="E12" s="61"/>
      <c r="F12" s="61"/>
      <c r="I12" s="73"/>
      <c r="J12" s="73"/>
      <c r="K12" s="73"/>
      <c r="L12" s="74"/>
      <c r="M12" s="11"/>
      <c r="N12" s="11"/>
      <c r="O12" s="11"/>
      <c r="P12" s="11"/>
      <c r="Q12" s="11"/>
      <c r="R12" s="11"/>
      <c r="S12" s="11"/>
      <c r="U12" s="11"/>
      <c r="V12" s="11"/>
      <c r="W12" s="11"/>
      <c r="Y12" s="11"/>
      <c r="Z12" s="11"/>
      <c r="AA12" s="11"/>
    </row>
    <row r="13" spans="1:28" s="8" customFormat="1" ht="39" customHeight="1" thickTop="1" x14ac:dyDescent="0.25">
      <c r="A13" s="107" t="s">
        <v>48</v>
      </c>
      <c r="B13" s="110" t="s">
        <v>55</v>
      </c>
      <c r="C13" s="110" t="s">
        <v>64</v>
      </c>
      <c r="D13" s="110" t="s">
        <v>73</v>
      </c>
      <c r="E13" s="115" t="s">
        <v>80</v>
      </c>
      <c r="F13" s="67" t="s">
        <v>25</v>
      </c>
      <c r="G13"/>
      <c r="H13" s="75" t="s">
        <v>19</v>
      </c>
      <c r="I13" s="66" t="s">
        <v>20</v>
      </c>
      <c r="J13" s="66" t="s">
        <v>31</v>
      </c>
      <c r="K13" s="82" t="s">
        <v>32</v>
      </c>
      <c r="L13" s="67" t="s">
        <v>24</v>
      </c>
      <c r="M13" s="116" t="s">
        <v>81</v>
      </c>
      <c r="N13" s="110" t="s">
        <v>86</v>
      </c>
      <c r="O13" s="110" t="s">
        <v>93</v>
      </c>
      <c r="P13" s="110" t="s">
        <v>94</v>
      </c>
      <c r="Q13" s="121" t="s">
        <v>95</v>
      </c>
      <c r="R13" s="110" t="s">
        <v>98</v>
      </c>
      <c r="S13" s="110" t="s">
        <v>104</v>
      </c>
      <c r="T13" s="110" t="s">
        <v>105</v>
      </c>
      <c r="U13" s="121" t="s">
        <v>106</v>
      </c>
      <c r="V13" s="110" t="s">
        <v>107</v>
      </c>
      <c r="W13" s="110" t="s">
        <v>112</v>
      </c>
      <c r="X13" s="110" t="s">
        <v>113</v>
      </c>
      <c r="Y13" s="121" t="s">
        <v>114</v>
      </c>
      <c r="Z13" s="110" t="s">
        <v>115</v>
      </c>
      <c r="AA13" s="110" t="s">
        <v>118</v>
      </c>
      <c r="AB13" s="124" t="s">
        <v>119</v>
      </c>
    </row>
    <row r="14" spans="1:28" s="4" customFormat="1" ht="16.5" customHeight="1" x14ac:dyDescent="0.25">
      <c r="A14" s="108" t="s">
        <v>49</v>
      </c>
      <c r="B14" s="111" t="s">
        <v>56</v>
      </c>
      <c r="C14" s="111" t="s">
        <v>65</v>
      </c>
      <c r="D14" s="113" t="s">
        <v>74</v>
      </c>
      <c r="E14" s="31">
        <v>1</v>
      </c>
      <c r="F14" s="85">
        <f>E14*$B$10</f>
        <v>1000</v>
      </c>
      <c r="G14"/>
      <c r="H14" s="91" t="str">
        <f>IF(INDEX($M14:$AB14,$K14-3)&lt;&gt;0, INDEX($M14:$AB14,$K14-3), "")</f>
        <v>Mouser</v>
      </c>
      <c r="I14" s="92" t="str">
        <f>IF(INDEX($M14:$AB14,$K14-2)&lt;&gt;0, INDEX($M14:$AB14,$K14-2), "")</f>
        <v>833-MBRX120LF-TP</v>
      </c>
      <c r="J14" s="93">
        <f>IF(INDEX($M14:$AB14,$K14-1)&lt;&gt;0, INDEX($M14:$AB14,$K14-1), "")</f>
        <v>0.11</v>
      </c>
      <c r="K14" s="92">
        <f>MATCH(MIN($P14,$T14,$X14,$AB14), $M14:$AB14,0)</f>
        <v>8</v>
      </c>
      <c r="L14" s="94">
        <f>IF(MIN($P14,$T14,$X14,$AB14)&lt;&gt;0,MIN($P14,$T14,$X14,$AB14),"")</f>
        <v>108</v>
      </c>
      <c r="M14" s="117" t="s">
        <v>82</v>
      </c>
      <c r="N14" s="119" t="s">
        <v>87</v>
      </c>
      <c r="O14" s="51">
        <v>0.15</v>
      </c>
      <c r="P14" s="51">
        <v>154.03</v>
      </c>
      <c r="Q14" s="122" t="s">
        <v>83</v>
      </c>
      <c r="R14" s="119" t="s">
        <v>99</v>
      </c>
      <c r="S14" s="51">
        <v>0.11</v>
      </c>
      <c r="T14" s="51">
        <v>108</v>
      </c>
      <c r="U14" s="122" t="s">
        <v>96</v>
      </c>
      <c r="V14" s="119" t="s">
        <v>108</v>
      </c>
      <c r="W14" s="51">
        <v>0.11</v>
      </c>
      <c r="X14" s="51">
        <v>108.15</v>
      </c>
      <c r="Y14" s="122" t="s">
        <v>85</v>
      </c>
      <c r="Z14" s="119" t="s">
        <v>85</v>
      </c>
      <c r="AA14" s="51"/>
      <c r="AB14" s="76"/>
    </row>
    <row r="15" spans="1:28" s="4" customFormat="1" ht="16.5" customHeight="1" x14ac:dyDescent="0.25">
      <c r="A15" s="109" t="s">
        <v>50</v>
      </c>
      <c r="B15" s="112" t="s">
        <v>57</v>
      </c>
      <c r="C15" s="112" t="s">
        <v>66</v>
      </c>
      <c r="D15" s="114" t="s">
        <v>75</v>
      </c>
      <c r="E15" s="16">
        <v>1</v>
      </c>
      <c r="F15" s="86">
        <f t="shared" ref="F15:F21" si="0">E15*$B$10</f>
        <v>1000</v>
      </c>
      <c r="G15"/>
      <c r="H15" s="87" t="e">
        <f>IF(INDEX($M15:$AB15,$K15-3)&lt;&gt;0, INDEX($M15:$AB15,$K15-3), "")</f>
        <v>#N/A</v>
      </c>
      <c r="I15" s="88" t="e">
        <f>IF(INDEX($M15:$AB15,$K15-2)&lt;&gt;0, INDEX($M15:$AB15,$K15-2), "")</f>
        <v>#N/A</v>
      </c>
      <c r="J15" s="90" t="e">
        <f>IF(INDEX($M15:$AB15,$K15-1)&lt;&gt;0, INDEX($M15:$AB15,$K15-1), "")</f>
        <v>#N/A</v>
      </c>
      <c r="K15" s="88" t="e">
        <f>MATCH(MIN($P15,$T15,$X15,$AB15), $M15:$AB15,0)</f>
        <v>#N/A</v>
      </c>
      <c r="L15" s="89" t="str">
        <f>IF(MIN($P15,$T15,$X15,$AB15)&lt;&gt;0,MIN($P15,$T15,$X15,$AB15),"")</f>
        <v/>
      </c>
      <c r="M15" s="118" t="s">
        <v>57</v>
      </c>
      <c r="N15" s="120" t="s">
        <v>66</v>
      </c>
      <c r="O15" s="52"/>
      <c r="P15" s="52"/>
      <c r="Q15" s="123" t="s">
        <v>85</v>
      </c>
      <c r="R15" s="120" t="s">
        <v>85</v>
      </c>
      <c r="S15" s="52"/>
      <c r="T15" s="52"/>
      <c r="U15" s="123" t="s">
        <v>85</v>
      </c>
      <c r="V15" s="120" t="s">
        <v>85</v>
      </c>
      <c r="W15" s="52"/>
      <c r="X15" s="52"/>
      <c r="Y15" s="123" t="s">
        <v>85</v>
      </c>
      <c r="Z15" s="120" t="s">
        <v>85</v>
      </c>
      <c r="AA15" s="52"/>
      <c r="AB15" s="77"/>
    </row>
    <row r="16" spans="1:28" s="4" customFormat="1" ht="16.5" customHeight="1" x14ac:dyDescent="0.25">
      <c r="A16" s="108" t="s">
        <v>51</v>
      </c>
      <c r="B16" s="111" t="s">
        <v>58</v>
      </c>
      <c r="C16" s="111" t="s">
        <v>67</v>
      </c>
      <c r="D16" s="113" t="s">
        <v>76</v>
      </c>
      <c r="E16" s="31">
        <v>1</v>
      </c>
      <c r="F16" s="85">
        <f>E16*$B$10</f>
        <v>1000</v>
      </c>
      <c r="G16"/>
      <c r="H16" s="91" t="str">
        <f>IF(INDEX($M16:$AB16,$K16-3)&lt;&gt;0, INDEX($M16:$AB16,$K16-3), "")</f>
        <v>Mouser</v>
      </c>
      <c r="I16" s="92" t="str">
        <f>IF(INDEX($M16:$AB16,$K16-2)&lt;&gt;0, INDEX($M16:$AB16,$K16-2), "")</f>
        <v>502-35RASMT4BHNTRX</v>
      </c>
      <c r="J16" s="93">
        <f>IF(INDEX($M16:$AB16,$K16-1)&lt;&gt;0, INDEX($M16:$AB16,$K16-1), "")</f>
        <v>0.71</v>
      </c>
      <c r="K16" s="92">
        <f>MATCH(MIN($P16,$T16,$X16,$AB16), $M16:$AB16,0)</f>
        <v>8</v>
      </c>
      <c r="L16" s="94">
        <f>IF(MIN($P16,$T16,$X16,$AB16)&lt;&gt;0,MIN($P16,$T16,$X16,$AB16),"")</f>
        <v>711</v>
      </c>
      <c r="M16" s="117" t="s">
        <v>82</v>
      </c>
      <c r="N16" s="119" t="s">
        <v>88</v>
      </c>
      <c r="O16" s="51">
        <v>1.02</v>
      </c>
      <c r="P16" s="51">
        <v>1017.1</v>
      </c>
      <c r="Q16" s="122" t="s">
        <v>83</v>
      </c>
      <c r="R16" s="119" t="s">
        <v>100</v>
      </c>
      <c r="S16" s="51">
        <v>0.71</v>
      </c>
      <c r="T16" s="51">
        <v>711</v>
      </c>
      <c r="U16" s="122" t="s">
        <v>97</v>
      </c>
      <c r="V16" s="119" t="s">
        <v>109</v>
      </c>
      <c r="W16" s="51">
        <v>1.98</v>
      </c>
      <c r="X16" s="51">
        <v>1976</v>
      </c>
      <c r="Y16" s="122" t="s">
        <v>96</v>
      </c>
      <c r="Z16" s="119" t="s">
        <v>116</v>
      </c>
      <c r="AA16" s="51">
        <v>0.88</v>
      </c>
      <c r="AB16" s="76">
        <v>877.8</v>
      </c>
    </row>
    <row r="17" spans="1:28" s="4" customFormat="1" ht="16.5" customHeight="1" x14ac:dyDescent="0.25">
      <c r="A17" s="109" t="s">
        <v>51</v>
      </c>
      <c r="B17" s="112" t="s">
        <v>59</v>
      </c>
      <c r="C17" s="112" t="s">
        <v>68</v>
      </c>
      <c r="D17" s="114" t="s">
        <v>76</v>
      </c>
      <c r="E17" s="16">
        <v>1</v>
      </c>
      <c r="F17" s="86">
        <f t="shared" ref="F17" si="1">E17*$B$10</f>
        <v>1000</v>
      </c>
      <c r="G17"/>
      <c r="H17" s="87" t="str">
        <f>IF(INDEX($M17:$AB17,$K17-3)&lt;&gt;0, INDEX($M17:$AB17,$K17-3), "")</f>
        <v>Mouser</v>
      </c>
      <c r="I17" s="88" t="str">
        <f>IF(INDEX($M17:$AB17,$K17-2)&lt;&gt;0, INDEX($M17:$AB17,$K17-2), "")</f>
        <v>490-SJ2-3593D-SMT-TR</v>
      </c>
      <c r="J17" s="90">
        <f>IF(INDEX($M17:$AB17,$K17-1)&lt;&gt;0, INDEX($M17:$AB17,$K17-1), "")</f>
        <v>0.66</v>
      </c>
      <c r="K17" s="88">
        <f>MATCH(MIN($P17,$T17,$X17,$AB17), $M17:$AB17,0)</f>
        <v>4</v>
      </c>
      <c r="L17" s="89">
        <f>IF(MIN($P17,$T17,$X17,$AB17)&lt;&gt;0,MIN($P17,$T17,$X17,$AB17),"")</f>
        <v>661</v>
      </c>
      <c r="M17" s="118" t="s">
        <v>83</v>
      </c>
      <c r="N17" s="120" t="s">
        <v>89</v>
      </c>
      <c r="O17" s="52">
        <v>0.66</v>
      </c>
      <c r="P17" s="52">
        <v>661</v>
      </c>
      <c r="Q17" s="123" t="s">
        <v>96</v>
      </c>
      <c r="R17" s="120" t="s">
        <v>101</v>
      </c>
      <c r="S17" s="52">
        <v>0.82</v>
      </c>
      <c r="T17" s="52">
        <v>817.74</v>
      </c>
      <c r="U17" s="123" t="s">
        <v>85</v>
      </c>
      <c r="V17" s="120" t="s">
        <v>85</v>
      </c>
      <c r="W17" s="52"/>
      <c r="X17" s="52"/>
      <c r="Y17" s="123" t="s">
        <v>85</v>
      </c>
      <c r="Z17" s="120" t="s">
        <v>85</v>
      </c>
      <c r="AA17" s="52"/>
      <c r="AB17" s="77"/>
    </row>
    <row r="18" spans="1:28" s="4" customFormat="1" ht="16.5" customHeight="1" x14ac:dyDescent="0.25">
      <c r="A18" s="108" t="s">
        <v>52</v>
      </c>
      <c r="B18" s="111" t="s">
        <v>60</v>
      </c>
      <c r="C18" s="111" t="s">
        <v>69</v>
      </c>
      <c r="D18" s="113" t="s">
        <v>77</v>
      </c>
      <c r="E18" s="31">
        <v>1</v>
      </c>
      <c r="F18" s="85">
        <f>E18*$B$10</f>
        <v>1000</v>
      </c>
      <c r="G18"/>
      <c r="H18" s="91" t="e">
        <f>IF(INDEX($M18:$AB18,$K18-3)&lt;&gt;0, INDEX($M18:$AB18,$K18-3), "")</f>
        <v>#N/A</v>
      </c>
      <c r="I18" s="92" t="e">
        <f>IF(INDEX($M18:$AB18,$K18-2)&lt;&gt;0, INDEX($M18:$AB18,$K18-2), "")</f>
        <v>#N/A</v>
      </c>
      <c r="J18" s="93" t="e">
        <f>IF(INDEX($M18:$AB18,$K18-1)&lt;&gt;0, INDEX($M18:$AB18,$K18-1), "")</f>
        <v>#N/A</v>
      </c>
      <c r="K18" s="92" t="e">
        <f>MATCH(MIN($P18,$T18,$X18,$AB18), $M18:$AB18,0)</f>
        <v>#N/A</v>
      </c>
      <c r="L18" s="94" t="str">
        <f>IF(MIN($P18,$T18,$X18,$AB18)&lt;&gt;0,MIN($P18,$T18,$X18,$AB18),"")</f>
        <v/>
      </c>
      <c r="M18" s="117" t="s">
        <v>84</v>
      </c>
      <c r="N18" s="119" t="s">
        <v>90</v>
      </c>
      <c r="O18" s="51"/>
      <c r="P18" s="51"/>
      <c r="Q18" s="122" t="s">
        <v>85</v>
      </c>
      <c r="R18" s="119" t="s">
        <v>85</v>
      </c>
      <c r="S18" s="51"/>
      <c r="T18" s="51"/>
      <c r="U18" s="122" t="s">
        <v>85</v>
      </c>
      <c r="V18" s="119" t="s">
        <v>85</v>
      </c>
      <c r="W18" s="51"/>
      <c r="X18" s="51"/>
      <c r="Y18" s="122" t="s">
        <v>85</v>
      </c>
      <c r="Z18" s="119" t="s">
        <v>85</v>
      </c>
      <c r="AA18" s="51"/>
      <c r="AB18" s="76"/>
    </row>
    <row r="19" spans="1:28" s="4" customFormat="1" ht="16.5" customHeight="1" x14ac:dyDescent="0.25">
      <c r="A19" s="109" t="s">
        <v>52</v>
      </c>
      <c r="B19" s="112" t="s">
        <v>61</v>
      </c>
      <c r="C19" s="112" t="s">
        <v>70</v>
      </c>
      <c r="D19" s="114" t="s">
        <v>77</v>
      </c>
      <c r="E19" s="16">
        <v>1</v>
      </c>
      <c r="F19" s="86">
        <f t="shared" ref="F19" si="2">E19*$B$10</f>
        <v>1000</v>
      </c>
      <c r="G19"/>
      <c r="H19" s="87" t="e">
        <f>IF(INDEX($M19:$AB19,$K19-3)&lt;&gt;0, INDEX($M19:$AB19,$K19-3), "")</f>
        <v>#N/A</v>
      </c>
      <c r="I19" s="88" t="e">
        <f>IF(INDEX($M19:$AB19,$K19-2)&lt;&gt;0, INDEX($M19:$AB19,$K19-2), "")</f>
        <v>#N/A</v>
      </c>
      <c r="J19" s="90" t="e">
        <f>IF(INDEX($M19:$AB19,$K19-1)&lt;&gt;0, INDEX($M19:$AB19,$K19-1), "")</f>
        <v>#N/A</v>
      </c>
      <c r="K19" s="88" t="e">
        <f>MATCH(MIN($P19,$T19,$X19,$AB19), $M19:$AB19,0)</f>
        <v>#N/A</v>
      </c>
      <c r="L19" s="89" t="str">
        <f>IF(MIN($P19,$T19,$X19,$AB19)&lt;&gt;0,MIN($P19,$T19,$X19,$AB19),"")</f>
        <v/>
      </c>
      <c r="M19" s="118" t="s">
        <v>85</v>
      </c>
      <c r="N19" s="120" t="s">
        <v>85</v>
      </c>
      <c r="O19" s="52"/>
      <c r="P19" s="52"/>
      <c r="Q19" s="123" t="s">
        <v>85</v>
      </c>
      <c r="R19" s="120" t="s">
        <v>85</v>
      </c>
      <c r="S19" s="52"/>
      <c r="T19" s="52"/>
      <c r="U19" s="123" t="s">
        <v>85</v>
      </c>
      <c r="V19" s="120" t="s">
        <v>85</v>
      </c>
      <c r="W19" s="52"/>
      <c r="X19" s="52"/>
      <c r="Y19" s="123" t="s">
        <v>85</v>
      </c>
      <c r="Z19" s="120" t="s">
        <v>85</v>
      </c>
      <c r="AA19" s="52"/>
      <c r="AB19" s="77"/>
    </row>
    <row r="20" spans="1:28" s="4" customFormat="1" ht="16.5" customHeight="1" x14ac:dyDescent="0.25">
      <c r="A20" s="108" t="s">
        <v>53</v>
      </c>
      <c r="B20" s="111" t="s">
        <v>62</v>
      </c>
      <c r="C20" s="111" t="s">
        <v>71</v>
      </c>
      <c r="D20" s="113" t="s">
        <v>78</v>
      </c>
      <c r="E20" s="31">
        <v>1</v>
      </c>
      <c r="F20" s="85">
        <f>E20*$B$10</f>
        <v>1000</v>
      </c>
      <c r="G20"/>
      <c r="H20" s="91" t="str">
        <f>IF(INDEX($M20:$AB20,$K20-3)&lt;&gt;0, INDEX($M20:$AB20,$K20-3), "")</f>
        <v>Digi-Key</v>
      </c>
      <c r="I20" s="92" t="str">
        <f>IF(INDEX($M20:$AB20,$K20-2)&lt;&gt;0, INDEX($M20:$AB20,$K20-2), "")</f>
        <v>497-17427-ND</v>
      </c>
      <c r="J20" s="93">
        <f>IF(INDEX($M20:$AB20,$K20-1)&lt;&gt;0, INDEX($M20:$AB20,$K20-1), "")</f>
        <v>2.91</v>
      </c>
      <c r="K20" s="92">
        <f>MATCH(MIN($P20,$T20,$X20,$AB20), $M20:$AB20,0)</f>
        <v>8</v>
      </c>
      <c r="L20" s="94">
        <f>IF(MIN($P20,$T20,$X20,$AB20)&lt;&gt;0,MIN($P20,$T20,$X20,$AB20),"")</f>
        <v>2913.26</v>
      </c>
      <c r="M20" s="117" t="s">
        <v>82</v>
      </c>
      <c r="N20" s="119" t="s">
        <v>91</v>
      </c>
      <c r="O20" s="51">
        <v>3.01</v>
      </c>
      <c r="P20" s="51">
        <v>3007.3</v>
      </c>
      <c r="Q20" s="122" t="s">
        <v>96</v>
      </c>
      <c r="R20" s="119" t="s">
        <v>102</v>
      </c>
      <c r="S20" s="51">
        <v>2.91</v>
      </c>
      <c r="T20" s="51">
        <v>2913.26</v>
      </c>
      <c r="U20" s="122" t="s">
        <v>83</v>
      </c>
      <c r="V20" s="119" t="s">
        <v>110</v>
      </c>
      <c r="W20" s="51">
        <v>3.4</v>
      </c>
      <c r="X20" s="51">
        <v>3400</v>
      </c>
      <c r="Y20" s="122" t="s">
        <v>85</v>
      </c>
      <c r="Z20" s="119" t="s">
        <v>85</v>
      </c>
      <c r="AA20" s="51"/>
      <c r="AB20" s="76"/>
    </row>
    <row r="21" spans="1:28" s="4" customFormat="1" ht="16.5" customHeight="1" x14ac:dyDescent="0.25">
      <c r="A21" s="109" t="s">
        <v>54</v>
      </c>
      <c r="B21" s="112" t="s">
        <v>63</v>
      </c>
      <c r="C21" s="112" t="s">
        <v>72</v>
      </c>
      <c r="D21" s="114" t="s">
        <v>79</v>
      </c>
      <c r="E21" s="16">
        <v>1</v>
      </c>
      <c r="F21" s="86">
        <f t="shared" ref="F21" si="3">E21*$B$10</f>
        <v>1000</v>
      </c>
      <c r="G21"/>
      <c r="H21" s="87" t="str">
        <f>IF(INDEX($M21:$AB21,$K21-3)&lt;&gt;0, INDEX($M21:$AB21,$K21-3), "")</f>
        <v>Mouser</v>
      </c>
      <c r="I21" s="88" t="str">
        <f>IF(INDEX($M21:$AB21,$K21-2)&lt;&gt;0, INDEX($M21:$AB21,$K21-2), "")</f>
        <v>559-FOXSD080-20-LF</v>
      </c>
      <c r="J21" s="90">
        <f>IF(INDEX($M21:$AB21,$K21-1)&lt;&gt;0, INDEX($M21:$AB21,$K21-1), "")</f>
        <v>0.15</v>
      </c>
      <c r="K21" s="88">
        <f>MATCH(MIN($P21,$T21,$X21,$AB21), $M21:$AB21,0)</f>
        <v>12</v>
      </c>
      <c r="L21" s="89">
        <f>IF(MIN($P21,$T21,$X21,$AB21)&lt;&gt;0,MIN($P21,$T21,$X21,$AB21),"")</f>
        <v>147</v>
      </c>
      <c r="M21" s="118" t="s">
        <v>82</v>
      </c>
      <c r="N21" s="120" t="s">
        <v>92</v>
      </c>
      <c r="O21" s="52">
        <v>0.16</v>
      </c>
      <c r="P21" s="52">
        <v>163.81</v>
      </c>
      <c r="Q21" s="123" t="s">
        <v>97</v>
      </c>
      <c r="R21" s="120" t="s">
        <v>103</v>
      </c>
      <c r="S21" s="52">
        <v>0.2</v>
      </c>
      <c r="T21" s="52">
        <v>200</v>
      </c>
      <c r="U21" s="123" t="s">
        <v>83</v>
      </c>
      <c r="V21" s="120" t="s">
        <v>111</v>
      </c>
      <c r="W21" s="52">
        <v>0.15</v>
      </c>
      <c r="X21" s="52">
        <v>147</v>
      </c>
      <c r="Y21" s="123" t="s">
        <v>96</v>
      </c>
      <c r="Z21" s="120" t="s">
        <v>117</v>
      </c>
      <c r="AA21" s="52">
        <v>0.2</v>
      </c>
      <c r="AB21" s="77">
        <v>201.9</v>
      </c>
    </row>
    <row r="22" spans="1:28" ht="15" x14ac:dyDescent="0.25">
      <c r="A22" s="68" t="s">
        <v>30</v>
      </c>
      <c r="B22" s="58">
        <f>ROW(A21)-ROW(A$13)</f>
        <v>8</v>
      </c>
      <c r="C22" s="53"/>
      <c r="D22" s="55" t="s">
        <v>26</v>
      </c>
      <c r="E22" s="56">
        <f>SUM(E14:E21)</f>
        <v>8</v>
      </c>
      <c r="F22" s="69">
        <f>SUM(F14:F21)</f>
        <v>8000</v>
      </c>
      <c r="H22" s="54"/>
      <c r="I22" s="59" t="s">
        <v>26</v>
      </c>
      <c r="J22" s="60"/>
      <c r="K22" s="60"/>
      <c r="L22" s="95">
        <f>SUM(L14:L21)</f>
        <v>4540.26</v>
      </c>
      <c r="M22" s="54"/>
      <c r="N22" s="53"/>
      <c r="O22" s="53"/>
      <c r="P22" s="96"/>
      <c r="Q22" s="53"/>
      <c r="R22" s="53"/>
      <c r="S22" s="53"/>
      <c r="T22" s="96"/>
      <c r="U22" s="53"/>
      <c r="V22" s="53"/>
      <c r="W22" s="53"/>
      <c r="X22" s="96"/>
      <c r="Y22" s="53"/>
      <c r="Z22" s="53"/>
      <c r="AA22" s="53"/>
      <c r="AB22" s="95"/>
    </row>
    <row r="23" spans="1:28" ht="15.6" thickBot="1" x14ac:dyDescent="0.3">
      <c r="A23" s="70"/>
      <c r="B23" s="71"/>
      <c r="C23" s="71"/>
      <c r="D23" s="71"/>
      <c r="E23" s="71"/>
      <c r="F23" s="72"/>
      <c r="H23" s="70"/>
      <c r="I23" s="78" t="s">
        <v>27</v>
      </c>
      <c r="J23" s="83"/>
      <c r="K23" s="79"/>
      <c r="L23" s="80">
        <f>L22/$B$10</f>
        <v>4.54026</v>
      </c>
      <c r="M23" s="70"/>
      <c r="N23" s="71"/>
      <c r="O23" s="71"/>
      <c r="P23" s="97"/>
      <c r="Q23" s="71"/>
      <c r="R23" s="71"/>
      <c r="S23" s="71"/>
      <c r="T23" s="97"/>
      <c r="U23" s="71"/>
      <c r="V23" s="71"/>
      <c r="W23" s="71"/>
      <c r="X23" s="97"/>
      <c r="Y23" s="71"/>
      <c r="Z23" s="71"/>
      <c r="AA23" s="71"/>
      <c r="AB23" s="98"/>
    </row>
    <row r="24" spans="1:28" customFormat="1" ht="6" customHeight="1" thickTop="1" x14ac:dyDescent="0.25">
      <c r="A24" s="62"/>
      <c r="B24" s="63"/>
      <c r="C24" s="63"/>
      <c r="D24" s="64"/>
      <c r="E24" s="65"/>
      <c r="F24" s="64"/>
      <c r="H24" s="64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6" spans="1:28" x14ac:dyDescent="0.25">
      <c r="N26" s="84"/>
      <c r="O26" s="84"/>
      <c r="Q26" s="84"/>
      <c r="R26" s="84"/>
      <c r="S26" s="84"/>
    </row>
    <row r="27" spans="1:28" x14ac:dyDescent="0.25">
      <c r="K27" s="3">
        <f>MIN($P26,$T26,$X26,$AB26)</f>
        <v>0</v>
      </c>
    </row>
    <row r="38" spans="1:2" x14ac:dyDescent="0.25">
      <c r="A38" s="42"/>
      <c r="B38" s="42"/>
    </row>
  </sheetData>
  <phoneticPr fontId="0" type="noConversion"/>
  <hyperlinks>
    <hyperlink ref="N14" r:id="rId1" tooltip="Supplier" display="'1924371" xr:uid="{407E7D20-8634-4D3A-86F5-85A9BE96033F}"/>
    <hyperlink ref="N15" tooltip="Supplier" display="'MCR-B-S-RA-SMT-CS5-T/R" xr:uid="{B24B4B46-3E18-4A8A-B349-B3B9F7B18BEE}"/>
    <hyperlink ref="N16" r:id="rId2" tooltip="Supplier" display="'2914546" xr:uid="{D8728D19-3B67-4898-90D2-075ABF621B4D}"/>
    <hyperlink ref="N17" r:id="rId3" tooltip="Supplier" display="'490-SJ2-3593D-SMT-TR" xr:uid="{2619CD1F-C64B-43B8-8406-112BBFD5CE11}"/>
    <hyperlink ref="N18" tooltip="Supplier" display="'C132500" xr:uid="{956EBCA8-853D-442D-A5AE-CCD0B08021F7}"/>
    <hyperlink ref="N19" tooltip="Supplier" display="'" xr:uid="{C7BA2BC8-E8A0-4E22-B85B-77DD94B1ADFB}"/>
    <hyperlink ref="N20" r:id="rId4" tooltip="Supplier" display="'2432105" xr:uid="{65BBCCD3-46A7-4AB8-BB73-AF6EAB557B45}"/>
    <hyperlink ref="N21" r:id="rId5" tooltip="Supplier" display="'2063972" xr:uid="{AECD75AB-1A44-4443-89FC-FF5899B75DDC}"/>
    <hyperlink ref="R14" r:id="rId6" tooltip="Supplier" display="'833-MBRX120LF-TP" xr:uid="{68609C0F-DBD3-408D-AB29-CF6AE2829D58}"/>
    <hyperlink ref="R15" tooltip="Supplier" display="'" xr:uid="{D2666026-B415-4FC0-9814-829C8625369D}"/>
    <hyperlink ref="R16" r:id="rId7" tooltip="Supplier" display="'502-35RASMT4BHNTRX" xr:uid="{B05C8746-80D2-4957-ACC9-6ED51DA93C49}"/>
    <hyperlink ref="R17" r:id="rId8" tooltip="Supplier" display="'CP-SJ2-3593D-SMT-CT-ND" xr:uid="{5ADCBFD5-CEC5-4481-AC58-23666B0FFC51}"/>
    <hyperlink ref="R18" tooltip="Supplier" display="'" xr:uid="{BE69B84E-E742-498C-9B46-0D7BA55FD19D}"/>
    <hyperlink ref="R19" tooltip="Supplier" display="'" xr:uid="{3C69A614-3877-40AB-A618-3A257014E69B}"/>
    <hyperlink ref="R20" r:id="rId9" tooltip="Supplier" display="'497-17427-ND" xr:uid="{DDA56DA7-D7E3-4910-A4C0-8484989853C0}"/>
    <hyperlink ref="R21" r:id="rId10" tooltip="Supplier" display="'5476452" xr:uid="{EB056F8F-D474-402B-9987-8FF108F0B611}"/>
    <hyperlink ref="V14" r:id="rId11" tooltip="Supplier" display="'MBRX120LF-TPMSCT-ND" xr:uid="{DB32C41A-3C89-4120-8AF3-41D78A4864BE}"/>
    <hyperlink ref="V15" tooltip="Supplier" display="'" xr:uid="{DFE3EA81-6171-4486-BA87-55D546E8BB12}"/>
    <hyperlink ref="V16" r:id="rId12" tooltip="Supplier" display="'7051490" xr:uid="{23AB20BA-F700-4143-9C32-10751E91DC7D}"/>
    <hyperlink ref="V17" tooltip="Supplier" display="'" xr:uid="{410D30B5-7386-4FE9-B2AA-95877EE07E02}"/>
    <hyperlink ref="V18" tooltip="Supplier" display="'" xr:uid="{EB712F0D-05C2-4642-AF74-1E22B90C5D1A}"/>
    <hyperlink ref="V19" tooltip="Supplier" display="'" xr:uid="{5A348A82-0596-4F7E-9307-5EAE6F5CEBD2}"/>
    <hyperlink ref="V20" r:id="rId13" tooltip="Supplier" display="'511-STM32F401CEU6" xr:uid="{B55609D1-0ED8-455A-88B9-D3E6ED828E62}"/>
    <hyperlink ref="V21" r:id="rId14" tooltip="Supplier" display="'559-FOXSD080-20-LF" xr:uid="{C9A883DF-2375-4258-8847-0097F5E8590E}"/>
    <hyperlink ref="Z14" tooltip="Supplier" display="'" xr:uid="{726A796D-87ED-484B-B04E-84B0BE2C34A2}"/>
    <hyperlink ref="Z15" tooltip="Supplier" display="'" xr:uid="{FC1E6BE6-76F9-4DFA-B303-6FB63977F6F7}"/>
    <hyperlink ref="Z16" r:id="rId15" tooltip="Supplier" display="'SC1488-1-ND" xr:uid="{90BB8E8E-422B-4138-B98C-256C82F64DCD}"/>
    <hyperlink ref="Z17" tooltip="Supplier" display="'" xr:uid="{ADFFB191-2332-4434-9EE9-D1114D0FDCB5}"/>
    <hyperlink ref="Z18" tooltip="Supplier" display="'" xr:uid="{6468DFBA-4E6B-4B56-B2BC-A08CD1800DD4}"/>
    <hyperlink ref="Z19" tooltip="Supplier" display="'" xr:uid="{0F65B96C-2F9A-48E3-9BF4-79C5EC0DF9D6}"/>
    <hyperlink ref="Z20" tooltip="Supplier" display="'" xr:uid="{2592653D-D0BE-435E-BD4B-C52ACD0C728B}"/>
    <hyperlink ref="Z21" r:id="rId16" tooltip="Supplier" display="'631-1010-1-ND" xr:uid="{3CFC4170-907B-48FC-B027-B9A6D9EA3EDA}"/>
  </hyperlinks>
  <pageMargins left="0.39370078740157483" right="0.39370078740157483" top="0.39370078740157483" bottom="0" header="0.11811023622047245" footer="0.19685039370078741"/>
  <pageSetup paperSize="9" scale="48" orientation="landscape" horizontalDpi="200" verticalDpi="200" r:id="rId1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5"/>
  <sheetViews>
    <sheetView showGridLines="0" zoomScaleNormal="100" workbookViewId="0">
      <selection activeCell="D6" sqref="D6"/>
    </sheetView>
  </sheetViews>
  <sheetFormatPr defaultColWidth="9.109375" defaultRowHeight="13.2" x14ac:dyDescent="0.25"/>
  <cols>
    <col min="1" max="2" width="5.6640625" style="3" customWidth="1"/>
    <col min="3" max="3" width="61" style="5" customWidth="1"/>
    <col min="4" max="4" width="18.6640625" style="5" customWidth="1"/>
    <col min="5" max="5" width="7" style="5" customWidth="1"/>
    <col min="6" max="6" width="9.109375" style="5" customWidth="1"/>
    <col min="7" max="7" width="6.6640625" style="3" customWidth="1"/>
    <col min="8" max="8" width="244.6640625" style="3" customWidth="1"/>
    <col min="9" max="16384" width="9.109375" style="3"/>
  </cols>
  <sheetData>
    <row r="1" spans="1:9" ht="6" customHeight="1" thickBot="1" x14ac:dyDescent="0.4">
      <c r="A1" s="27"/>
      <c r="B1" s="29"/>
      <c r="C1" s="28"/>
      <c r="D1" s="28"/>
      <c r="E1" s="28"/>
      <c r="F1" s="28"/>
      <c r="G1" s="28"/>
      <c r="H1" s="29"/>
      <c r="I1" s="2"/>
    </row>
    <row r="2" spans="1:9" ht="37.5" customHeight="1" x14ac:dyDescent="0.6">
      <c r="A2" s="37" t="s">
        <v>23</v>
      </c>
      <c r="B2" s="46"/>
      <c r="C2" s="36"/>
      <c r="D2" s="36"/>
      <c r="E2" s="36"/>
      <c r="F2" s="10"/>
      <c r="G2" s="125" t="s">
        <v>36</v>
      </c>
      <c r="H2" s="2"/>
    </row>
    <row r="3" spans="1:9" ht="15.75" customHeight="1" x14ac:dyDescent="0.35">
      <c r="A3" s="24"/>
      <c r="B3" s="47"/>
      <c r="C3" s="102" t="s">
        <v>40</v>
      </c>
      <c r="D3" s="10"/>
      <c r="E3" s="10"/>
      <c r="F3" s="102" t="s">
        <v>45</v>
      </c>
      <c r="G3" s="12"/>
      <c r="H3" s="1"/>
    </row>
    <row r="4" spans="1:9" ht="15.75" customHeight="1" x14ac:dyDescent="0.35">
      <c r="A4" s="13">
        <f>ROW(A13)-ROW(A$5)</f>
        <v>8</v>
      </c>
      <c r="B4" s="11"/>
      <c r="C4" s="10"/>
      <c r="D4" s="10"/>
      <c r="E4" s="10"/>
      <c r="F4" s="10"/>
      <c r="G4" s="11"/>
      <c r="H4" s="2"/>
    </row>
    <row r="5" spans="1:9" s="8" customFormat="1" ht="26.25" customHeight="1" x14ac:dyDescent="0.25">
      <c r="A5" s="35" t="s">
        <v>21</v>
      </c>
      <c r="B5" s="35" t="s">
        <v>29</v>
      </c>
      <c r="C5" s="126" t="s">
        <v>120</v>
      </c>
      <c r="D5" s="126" t="s">
        <v>125</v>
      </c>
      <c r="E5" s="126" t="s">
        <v>132</v>
      </c>
      <c r="F5" s="126" t="s">
        <v>133</v>
      </c>
      <c r="G5" s="129" t="s">
        <v>134</v>
      </c>
      <c r="H5" s="126" t="s">
        <v>73</v>
      </c>
    </row>
    <row r="6" spans="1:9" s="4" customFormat="1" ht="16.5" customHeight="1" x14ac:dyDescent="0.25">
      <c r="A6" s="31">
        <f>ROW(A6)-ROW(A$5)</f>
        <v>1</v>
      </c>
      <c r="B6" s="31"/>
      <c r="C6" s="127" t="s">
        <v>121</v>
      </c>
      <c r="D6" s="127" t="s">
        <v>126</v>
      </c>
      <c r="E6" s="32"/>
      <c r="F6" s="32"/>
      <c r="G6" s="32"/>
      <c r="H6" s="130" t="s">
        <v>74</v>
      </c>
    </row>
    <row r="7" spans="1:9" s="4" customFormat="1" ht="16.5" customHeight="1" x14ac:dyDescent="0.25">
      <c r="A7" s="16">
        <f>ROW(A7)-ROW(A$5)</f>
        <v>2</v>
      </c>
      <c r="B7" s="16"/>
      <c r="C7" s="128" t="s">
        <v>122</v>
      </c>
      <c r="D7" s="128" t="s">
        <v>66</v>
      </c>
      <c r="E7" s="17"/>
      <c r="F7" s="17"/>
      <c r="G7" s="17"/>
      <c r="H7" s="131" t="s">
        <v>75</v>
      </c>
    </row>
    <row r="8" spans="1:9" s="4" customFormat="1" ht="16.5" customHeight="1" x14ac:dyDescent="0.25">
      <c r="A8" s="31">
        <f>ROW(A8)-ROW(A$5)</f>
        <v>3</v>
      </c>
      <c r="B8" s="31"/>
      <c r="C8" s="127" t="s">
        <v>67</v>
      </c>
      <c r="D8" s="127" t="s">
        <v>127</v>
      </c>
      <c r="E8" s="32"/>
      <c r="F8" s="32"/>
      <c r="G8" s="32"/>
      <c r="H8" s="130" t="s">
        <v>76</v>
      </c>
    </row>
    <row r="9" spans="1:9" s="4" customFormat="1" ht="16.5" customHeight="1" x14ac:dyDescent="0.25">
      <c r="A9" s="16">
        <f>ROW(A9)-ROW(A$5)</f>
        <v>4</v>
      </c>
      <c r="B9" s="16"/>
      <c r="C9" s="128" t="s">
        <v>123</v>
      </c>
      <c r="D9" s="128" t="s">
        <v>128</v>
      </c>
      <c r="E9" s="17"/>
      <c r="F9" s="17"/>
      <c r="G9" s="17"/>
      <c r="H9" s="131" t="s">
        <v>76</v>
      </c>
    </row>
    <row r="10" spans="1:9" s="4" customFormat="1" ht="16.5" customHeight="1" x14ac:dyDescent="0.25">
      <c r="A10" s="31">
        <f>ROW(A10)-ROW(A$5)</f>
        <v>5</v>
      </c>
      <c r="B10" s="31"/>
      <c r="C10" s="127" t="s">
        <v>69</v>
      </c>
      <c r="D10" s="127" t="s">
        <v>129</v>
      </c>
      <c r="E10" s="32"/>
      <c r="F10" s="32"/>
      <c r="G10" s="32"/>
      <c r="H10" s="130" t="s">
        <v>77</v>
      </c>
    </row>
    <row r="11" spans="1:9" s="4" customFormat="1" ht="16.5" customHeight="1" x14ac:dyDescent="0.25">
      <c r="A11" s="16">
        <f>ROW(A11)-ROW(A$5)</f>
        <v>6</v>
      </c>
      <c r="B11" s="16"/>
      <c r="C11" s="128" t="s">
        <v>70</v>
      </c>
      <c r="D11" s="128" t="s">
        <v>129</v>
      </c>
      <c r="E11" s="17"/>
      <c r="F11" s="17"/>
      <c r="G11" s="17"/>
      <c r="H11" s="131" t="s">
        <v>77</v>
      </c>
    </row>
    <row r="12" spans="1:9" s="4" customFormat="1" ht="16.5" customHeight="1" x14ac:dyDescent="0.25">
      <c r="A12" s="31">
        <f>ROW(A12)-ROW(A$5)</f>
        <v>7</v>
      </c>
      <c r="B12" s="31"/>
      <c r="C12" s="127" t="s">
        <v>124</v>
      </c>
      <c r="D12" s="127" t="s">
        <v>130</v>
      </c>
      <c r="E12" s="32"/>
      <c r="F12" s="32"/>
      <c r="G12" s="32"/>
      <c r="H12" s="130" t="s">
        <v>78</v>
      </c>
    </row>
    <row r="13" spans="1:9" s="4" customFormat="1" ht="16.5" customHeight="1" x14ac:dyDescent="0.25">
      <c r="A13" s="16">
        <f>ROW(A13)-ROW(A$5)</f>
        <v>8</v>
      </c>
      <c r="B13" s="16"/>
      <c r="C13" s="128" t="s">
        <v>72</v>
      </c>
      <c r="D13" s="128" t="s">
        <v>131</v>
      </c>
      <c r="E13" s="17"/>
      <c r="F13" s="17"/>
      <c r="G13" s="17"/>
      <c r="H13" s="131" t="s">
        <v>79</v>
      </c>
    </row>
    <row r="14" spans="1:9" ht="15.6" thickBot="1" x14ac:dyDescent="0.3">
      <c r="A14" s="18"/>
      <c r="B14" s="48"/>
      <c r="C14" s="19"/>
      <c r="D14" s="19"/>
      <c r="E14" s="19"/>
      <c r="F14" s="19"/>
      <c r="G14" s="19"/>
      <c r="H14" s="39"/>
    </row>
    <row r="15" spans="1:9" customFormat="1" ht="6" customHeight="1" x14ac:dyDescent="0.25">
      <c r="A15" s="40"/>
      <c r="B15" s="26"/>
      <c r="C15" s="25"/>
      <c r="D15" s="25"/>
      <c r="E15" s="25"/>
      <c r="F15" s="25"/>
      <c r="G15" s="25"/>
      <c r="H15" s="25"/>
      <c r="I15" s="9"/>
    </row>
  </sheetData>
  <pageMargins left="0.39370078740157483" right="0.39370078740157483" top="0.39370078740157483" bottom="0" header="0" footer="0"/>
  <pageSetup paperSize="9" scale="60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"/>
  <sheetViews>
    <sheetView workbookViewId="0">
      <selection sqref="A1: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7" customFormat="1" ht="17.25" customHeight="1" x14ac:dyDescent="0.25">
      <c r="A1" s="20" t="s">
        <v>4</v>
      </c>
      <c r="B1" s="132" t="s">
        <v>135</v>
      </c>
    </row>
    <row r="2" spans="1:2" s="7" customFormat="1" ht="17.25" customHeight="1" x14ac:dyDescent="0.25">
      <c r="A2" s="21" t="s">
        <v>6</v>
      </c>
      <c r="B2" s="133" t="s">
        <v>37</v>
      </c>
    </row>
    <row r="3" spans="1:2" s="7" customFormat="1" ht="17.25" customHeight="1" x14ac:dyDescent="0.25">
      <c r="A3" s="22" t="s">
        <v>5</v>
      </c>
      <c r="B3" s="134" t="s">
        <v>39</v>
      </c>
    </row>
    <row r="4" spans="1:2" s="7" customFormat="1" ht="17.25" customHeight="1" x14ac:dyDescent="0.25">
      <c r="A4" s="21" t="s">
        <v>7</v>
      </c>
      <c r="B4" s="133" t="s">
        <v>36</v>
      </c>
    </row>
    <row r="5" spans="1:2" s="7" customFormat="1" ht="17.25" customHeight="1" x14ac:dyDescent="0.25">
      <c r="A5" s="22" t="s">
        <v>8</v>
      </c>
      <c r="B5" s="134" t="s">
        <v>136</v>
      </c>
    </row>
    <row r="6" spans="1:2" s="7" customFormat="1" ht="17.25" customHeight="1" x14ac:dyDescent="0.25">
      <c r="A6" s="21" t="s">
        <v>3</v>
      </c>
      <c r="B6" s="133" t="s">
        <v>47</v>
      </c>
    </row>
    <row r="7" spans="1:2" s="7" customFormat="1" ht="17.25" customHeight="1" x14ac:dyDescent="0.25">
      <c r="A7" s="22" t="s">
        <v>9</v>
      </c>
      <c r="B7" s="134" t="s">
        <v>137</v>
      </c>
    </row>
    <row r="8" spans="1:2" s="7" customFormat="1" ht="17.25" customHeight="1" x14ac:dyDescent="0.25">
      <c r="A8" s="21" t="s">
        <v>10</v>
      </c>
      <c r="B8" s="133" t="s">
        <v>45</v>
      </c>
    </row>
    <row r="9" spans="1:2" s="7" customFormat="1" ht="17.25" customHeight="1" x14ac:dyDescent="0.25">
      <c r="A9" s="22" t="s">
        <v>11</v>
      </c>
      <c r="B9" s="134" t="s">
        <v>40</v>
      </c>
    </row>
    <row r="10" spans="1:2" s="7" customFormat="1" ht="17.25" customHeight="1" x14ac:dyDescent="0.25">
      <c r="A10" s="21" t="s">
        <v>13</v>
      </c>
      <c r="B10" s="133" t="s">
        <v>138</v>
      </c>
    </row>
    <row r="11" spans="1:2" s="7" customFormat="1" ht="17.25" customHeight="1" x14ac:dyDescent="0.25">
      <c r="A11" s="22" t="s">
        <v>12</v>
      </c>
      <c r="B11" s="134" t="s">
        <v>139</v>
      </c>
    </row>
    <row r="12" spans="1:2" s="7" customFormat="1" ht="17.25" customHeight="1" x14ac:dyDescent="0.25">
      <c r="A12" s="21" t="s">
        <v>14</v>
      </c>
      <c r="B12" s="133" t="s">
        <v>140</v>
      </c>
    </row>
    <row r="13" spans="1:2" s="7" customFormat="1" ht="17.25" customHeight="1" x14ac:dyDescent="0.25">
      <c r="A13" s="22" t="s">
        <v>15</v>
      </c>
      <c r="B13" s="134" t="s">
        <v>141</v>
      </c>
    </row>
    <row r="14" spans="1:2" s="7" customFormat="1" ht="17.25" customHeight="1" thickBot="1" x14ac:dyDescent="0.3">
      <c r="A14" s="23" t="s">
        <v>16</v>
      </c>
      <c r="B14" s="135" t="s">
        <v>139</v>
      </c>
    </row>
  </sheetData>
  <phoneticPr fontId="0" type="noConversion"/>
  <pageMargins left="0.39370078740157483" right="0.39370078740157483" top="0.39370078740157483" bottom="0" header="0.39370078740157483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Costing</vt:lpstr>
      <vt:lpstr>Build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Steve Hodges</dc:creator>
  <cp:lastModifiedBy>Steve Hodges</cp:lastModifiedBy>
  <cp:lastPrinted>2016-07-13T07:52:47Z</cp:lastPrinted>
  <dcterms:created xsi:type="dcterms:W3CDTF">2000-10-27T00:30:29Z</dcterms:created>
  <dcterms:modified xsi:type="dcterms:W3CDTF">2019-08-27T14:14:27Z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daclethe@microsoft.com</vt:lpwstr>
  </property>
  <property fmtid="{D5CDD505-2E9C-101B-9397-08002B2CF9AE}" pid="5" name="MSIP_Label_f42aa342-8706-4288-bd11-ebb85995028c_SetDate">
    <vt:lpwstr>2018-12-17T11:44:23.0713137Z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