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Do NOT delete IMP work files\"/>
    </mc:Choice>
  </mc:AlternateContent>
  <xr:revisionPtr revIDLastSave="0" documentId="13_ncr:1_{8C966EAE-0532-45EB-832A-57EC8EA9BB78}" xr6:coauthVersionLast="47" xr6:coauthVersionMax="47" xr10:uidLastSave="{00000000-0000-0000-0000-000000000000}"/>
  <bookViews>
    <workbookView xWindow="-120" yWindow="-120" windowWidth="29040" windowHeight="15840" tabRatio="327" activeTab="2" xr2:uid="{05B5DD55-9E98-47A3-98F7-9A578F02845A}"/>
  </bookViews>
  <sheets>
    <sheet name="Balance Sheet" sheetId="1" r:id="rId1"/>
    <sheet name="Profit &amp; Loss" sheetId="2" r:id="rId2"/>
    <sheet name="Mai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1" i="3" l="1"/>
  <c r="E171" i="3"/>
  <c r="F171" i="3"/>
  <c r="G171" i="3"/>
  <c r="G172" i="3" s="1"/>
  <c r="H171" i="3"/>
  <c r="D173" i="3"/>
  <c r="E173" i="3"/>
  <c r="F173" i="3"/>
  <c r="G173" i="3"/>
  <c r="H173" i="3"/>
  <c r="C173" i="3"/>
  <c r="C55" i="1"/>
  <c r="D55" i="1"/>
  <c r="E55" i="1"/>
  <c r="F55" i="1"/>
  <c r="G55" i="1"/>
  <c r="B55" i="1"/>
  <c r="C54" i="1"/>
  <c r="D54" i="1"/>
  <c r="E54" i="1"/>
  <c r="F54" i="1"/>
  <c r="G54" i="1"/>
  <c r="B54" i="1"/>
  <c r="C53" i="1"/>
  <c r="D53" i="1"/>
  <c r="E53" i="1"/>
  <c r="F53" i="1"/>
  <c r="G53" i="1"/>
  <c r="B53" i="1"/>
  <c r="D172" i="3"/>
  <c r="E172" i="3"/>
  <c r="F172" i="3"/>
  <c r="H172" i="3"/>
  <c r="C172" i="3"/>
  <c r="C171" i="3"/>
  <c r="G180" i="3"/>
  <c r="G179" i="3"/>
  <c r="C178" i="3"/>
  <c r="C179" i="3" s="1"/>
  <c r="C183" i="3" s="1"/>
  <c r="D82" i="3"/>
  <c r="E82" i="3"/>
  <c r="F82" i="3"/>
  <c r="G82" i="3"/>
  <c r="H82" i="3"/>
  <c r="D143" i="3"/>
  <c r="E143" i="3"/>
  <c r="F143" i="3"/>
  <c r="G143" i="3"/>
  <c r="H143" i="3"/>
  <c r="C143" i="3"/>
  <c r="D97" i="3"/>
  <c r="E97" i="3"/>
  <c r="F97" i="3"/>
  <c r="G97" i="3"/>
  <c r="H97" i="3"/>
  <c r="C97" i="3"/>
  <c r="G183" i="3" l="1"/>
  <c r="H179" i="3" s="1"/>
  <c r="C117" i="3"/>
  <c r="D117" i="3"/>
  <c r="E117" i="3"/>
  <c r="F117" i="3"/>
  <c r="G117" i="3"/>
  <c r="H117" i="3"/>
  <c r="C135" i="3"/>
  <c r="D135" i="3"/>
  <c r="E135" i="3"/>
  <c r="F135" i="3"/>
  <c r="G135" i="3"/>
  <c r="H135" i="3"/>
  <c r="C136" i="3"/>
  <c r="D136" i="3"/>
  <c r="E136" i="3"/>
  <c r="F136" i="3"/>
  <c r="G136" i="3"/>
  <c r="H136" i="3"/>
  <c r="D134" i="3"/>
  <c r="E134" i="3"/>
  <c r="F134" i="3"/>
  <c r="G134" i="3"/>
  <c r="H134" i="3"/>
  <c r="C134" i="3"/>
  <c r="D126" i="3"/>
  <c r="E126" i="3"/>
  <c r="F126" i="3"/>
  <c r="G126" i="3"/>
  <c r="H126" i="3"/>
  <c r="D127" i="3"/>
  <c r="E127" i="3"/>
  <c r="F127" i="3"/>
  <c r="G127" i="3"/>
  <c r="H127" i="3"/>
  <c r="D128" i="3"/>
  <c r="E128" i="3"/>
  <c r="F128" i="3"/>
  <c r="G128" i="3"/>
  <c r="H128" i="3"/>
  <c r="D129" i="3"/>
  <c r="E129" i="3"/>
  <c r="F129" i="3"/>
  <c r="G129" i="3"/>
  <c r="H129" i="3"/>
  <c r="D130" i="3"/>
  <c r="E130" i="3"/>
  <c r="F130" i="3"/>
  <c r="G130" i="3"/>
  <c r="H130" i="3"/>
  <c r="D131" i="3"/>
  <c r="E131" i="3"/>
  <c r="F131" i="3"/>
  <c r="G131" i="3"/>
  <c r="H131" i="3"/>
  <c r="C127" i="3"/>
  <c r="C128" i="3"/>
  <c r="C129" i="3"/>
  <c r="C130" i="3"/>
  <c r="C131" i="3"/>
  <c r="C126" i="3"/>
  <c r="D124" i="3"/>
  <c r="E124" i="3"/>
  <c r="F124" i="3"/>
  <c r="G124" i="3"/>
  <c r="H124" i="3"/>
  <c r="D118" i="3"/>
  <c r="E118" i="3"/>
  <c r="F118" i="3"/>
  <c r="G118" i="3"/>
  <c r="H118" i="3"/>
  <c r="D119" i="3"/>
  <c r="E119" i="3"/>
  <c r="F119" i="3"/>
  <c r="G119" i="3"/>
  <c r="H119" i="3"/>
  <c r="D120" i="3"/>
  <c r="E120" i="3"/>
  <c r="F120" i="3"/>
  <c r="G120" i="3"/>
  <c r="H120" i="3"/>
  <c r="D121" i="3"/>
  <c r="E121" i="3"/>
  <c r="F121" i="3"/>
  <c r="G121" i="3"/>
  <c r="H121" i="3"/>
  <c r="D122" i="3"/>
  <c r="E122" i="3"/>
  <c r="F122" i="3"/>
  <c r="G122" i="3"/>
  <c r="H122" i="3"/>
  <c r="D123" i="3"/>
  <c r="E123" i="3"/>
  <c r="F123" i="3"/>
  <c r="G123" i="3"/>
  <c r="H123" i="3"/>
  <c r="C118" i="3"/>
  <c r="C119" i="3"/>
  <c r="C120" i="3"/>
  <c r="C121" i="3"/>
  <c r="C122" i="3"/>
  <c r="C123" i="3"/>
  <c r="D113" i="3"/>
  <c r="E113" i="3"/>
  <c r="F113" i="3"/>
  <c r="G113" i="3"/>
  <c r="H113" i="3"/>
  <c r="C113" i="3"/>
  <c r="D106" i="3"/>
  <c r="E106" i="3"/>
  <c r="F106" i="3"/>
  <c r="G106" i="3"/>
  <c r="H106" i="3"/>
  <c r="D107" i="3"/>
  <c r="E107" i="3"/>
  <c r="F107" i="3"/>
  <c r="G107" i="3"/>
  <c r="H107" i="3"/>
  <c r="D108" i="3"/>
  <c r="E108" i="3"/>
  <c r="F108" i="3"/>
  <c r="G108" i="3"/>
  <c r="H108" i="3"/>
  <c r="D109" i="3"/>
  <c r="E109" i="3"/>
  <c r="F109" i="3"/>
  <c r="G109" i="3"/>
  <c r="H109" i="3"/>
  <c r="D110" i="3"/>
  <c r="E110" i="3"/>
  <c r="F110" i="3"/>
  <c r="G110" i="3"/>
  <c r="H110" i="3"/>
  <c r="D111" i="3"/>
  <c r="E111" i="3"/>
  <c r="F111" i="3"/>
  <c r="G111" i="3"/>
  <c r="H111" i="3"/>
  <c r="D112" i="3"/>
  <c r="E112" i="3"/>
  <c r="F112" i="3"/>
  <c r="G112" i="3"/>
  <c r="H112" i="3"/>
  <c r="C107" i="3"/>
  <c r="C108" i="3"/>
  <c r="C109" i="3"/>
  <c r="C110" i="3"/>
  <c r="C111" i="3"/>
  <c r="C112" i="3"/>
  <c r="C106" i="3"/>
  <c r="D98" i="3"/>
  <c r="E98" i="3"/>
  <c r="F98" i="3"/>
  <c r="G98" i="3"/>
  <c r="H98" i="3"/>
  <c r="D99" i="3"/>
  <c r="E99" i="3"/>
  <c r="F99" i="3"/>
  <c r="G99" i="3"/>
  <c r="H99" i="3"/>
  <c r="D100" i="3"/>
  <c r="E100" i="3"/>
  <c r="F100" i="3"/>
  <c r="G100" i="3"/>
  <c r="H100" i="3"/>
  <c r="D101" i="3"/>
  <c r="E101" i="3"/>
  <c r="F101" i="3"/>
  <c r="G101" i="3"/>
  <c r="H101" i="3"/>
  <c r="D102" i="3"/>
  <c r="E102" i="3"/>
  <c r="F102" i="3"/>
  <c r="G102" i="3"/>
  <c r="H102" i="3"/>
  <c r="D103" i="3"/>
  <c r="E103" i="3"/>
  <c r="F103" i="3"/>
  <c r="G103" i="3"/>
  <c r="H103" i="3"/>
  <c r="C99" i="3"/>
  <c r="C100" i="3"/>
  <c r="C101" i="3"/>
  <c r="C102" i="3"/>
  <c r="C103" i="3"/>
  <c r="C98" i="3"/>
  <c r="D91" i="3"/>
  <c r="E91" i="3"/>
  <c r="F91" i="3"/>
  <c r="G91" i="3"/>
  <c r="H91" i="3"/>
  <c r="C91" i="3"/>
  <c r="D88" i="3"/>
  <c r="E88" i="3"/>
  <c r="F88" i="3"/>
  <c r="G88" i="3"/>
  <c r="H88" i="3"/>
  <c r="C88" i="3"/>
  <c r="D85" i="3"/>
  <c r="E85" i="3"/>
  <c r="F85" i="3"/>
  <c r="G85" i="3"/>
  <c r="H85" i="3"/>
  <c r="C85" i="3"/>
  <c r="C82" i="3"/>
  <c r="D79" i="3"/>
  <c r="E79" i="3"/>
  <c r="F79" i="3"/>
  <c r="G79" i="3"/>
  <c r="H79" i="3"/>
  <c r="C79" i="3"/>
  <c r="D78" i="3"/>
  <c r="E78" i="3"/>
  <c r="F78" i="3"/>
  <c r="G78" i="3"/>
  <c r="H78" i="3"/>
  <c r="C78" i="3"/>
  <c r="H180" i="3" l="1"/>
  <c r="H183" i="3" s="1"/>
  <c r="C137" i="3"/>
  <c r="E137" i="3"/>
  <c r="E168" i="3"/>
  <c r="E167" i="3"/>
  <c r="H168" i="3"/>
  <c r="H167" i="3"/>
  <c r="D168" i="3"/>
  <c r="D167" i="3"/>
  <c r="F168" i="3"/>
  <c r="F167" i="3"/>
  <c r="G167" i="3"/>
  <c r="F164" i="3"/>
  <c r="F163" i="3"/>
  <c r="C163" i="3"/>
  <c r="C164" i="3"/>
  <c r="E163" i="3"/>
  <c r="E164" i="3"/>
  <c r="H164" i="3"/>
  <c r="H163" i="3"/>
  <c r="D164" i="3"/>
  <c r="D163" i="3"/>
  <c r="G164" i="3"/>
  <c r="G163" i="3"/>
  <c r="G168" i="3"/>
  <c r="F144" i="3"/>
  <c r="H144" i="3"/>
  <c r="E144" i="3"/>
  <c r="D144" i="3"/>
  <c r="G144" i="3"/>
  <c r="G137" i="3"/>
  <c r="C132" i="3"/>
  <c r="E132" i="3"/>
  <c r="H132" i="3"/>
  <c r="D132" i="3"/>
  <c r="F132" i="3"/>
  <c r="H137" i="3"/>
  <c r="D137" i="3"/>
  <c r="F137" i="3"/>
  <c r="G132" i="3"/>
  <c r="F80" i="3"/>
  <c r="C124" i="3"/>
  <c r="G104" i="3"/>
  <c r="F114" i="3"/>
  <c r="C114" i="3"/>
  <c r="E114" i="3"/>
  <c r="G114" i="3"/>
  <c r="D114" i="3"/>
  <c r="H114" i="3"/>
  <c r="H104" i="3"/>
  <c r="D104" i="3"/>
  <c r="C104" i="3"/>
  <c r="E104" i="3"/>
  <c r="F104" i="3"/>
  <c r="H80" i="3"/>
  <c r="D80" i="3"/>
  <c r="G80" i="3"/>
  <c r="C80" i="3"/>
  <c r="C149" i="3" s="1"/>
  <c r="E80" i="3"/>
  <c r="D149" i="3" l="1"/>
  <c r="D145" i="3"/>
  <c r="E149" i="3"/>
  <c r="E145" i="3"/>
  <c r="H149" i="3"/>
  <c r="H145" i="3"/>
  <c r="G149" i="3"/>
  <c r="G145" i="3"/>
  <c r="F149" i="3"/>
  <c r="F145" i="3"/>
  <c r="D138" i="3"/>
  <c r="D159" i="3" s="1"/>
  <c r="C115" i="3"/>
  <c r="C161" i="3" s="1"/>
  <c r="H138" i="3"/>
  <c r="H159" i="3" s="1"/>
  <c r="F138" i="3"/>
  <c r="F159" i="3" s="1"/>
  <c r="H166" i="3"/>
  <c r="H115" i="3"/>
  <c r="H161" i="3" s="1"/>
  <c r="E166" i="3"/>
  <c r="E115" i="3"/>
  <c r="E161" i="3" s="1"/>
  <c r="G138" i="3"/>
  <c r="G159" i="3" s="1"/>
  <c r="C168" i="3"/>
  <c r="C138" i="3"/>
  <c r="C159" i="3" s="1"/>
  <c r="E138" i="3"/>
  <c r="E159" i="3" s="1"/>
  <c r="F166" i="3"/>
  <c r="F115" i="3"/>
  <c r="F161" i="3" s="1"/>
  <c r="D166" i="3"/>
  <c r="D115" i="3"/>
  <c r="D161" i="3" s="1"/>
  <c r="G166" i="3"/>
  <c r="G115" i="3"/>
  <c r="G161" i="3" s="1"/>
  <c r="C166" i="3"/>
  <c r="C167" i="3"/>
  <c r="F160" i="3"/>
  <c r="H160" i="3"/>
  <c r="C160" i="3"/>
  <c r="D160" i="3"/>
  <c r="E160" i="3"/>
  <c r="G160" i="3"/>
  <c r="C83" i="3"/>
  <c r="E83" i="3"/>
  <c r="H83" i="3"/>
  <c r="F83" i="3"/>
  <c r="G83" i="3"/>
  <c r="D83" i="3"/>
  <c r="H156" i="3" l="1"/>
  <c r="C156" i="3"/>
  <c r="G156" i="3"/>
  <c r="F156" i="3"/>
  <c r="F158" i="3"/>
  <c r="D156" i="3"/>
  <c r="E156" i="3"/>
  <c r="D158" i="3"/>
  <c r="G158" i="3"/>
  <c r="C158" i="3"/>
  <c r="H158" i="3"/>
  <c r="E158" i="3"/>
  <c r="F147" i="3"/>
  <c r="G147" i="3"/>
  <c r="H147" i="3"/>
  <c r="D147" i="3"/>
  <c r="E147" i="3"/>
  <c r="H86" i="3"/>
  <c r="H155" i="3" s="1"/>
  <c r="H150" i="3"/>
  <c r="D86" i="3"/>
  <c r="D155" i="3" s="1"/>
  <c r="D150" i="3"/>
  <c r="G86" i="3"/>
  <c r="G155" i="3" s="1"/>
  <c r="G150" i="3"/>
  <c r="C86" i="3"/>
  <c r="C155" i="3" s="1"/>
  <c r="C150" i="3"/>
  <c r="E86" i="3"/>
  <c r="E155" i="3" s="1"/>
  <c r="E150" i="3"/>
  <c r="F86" i="3"/>
  <c r="F155" i="3" s="1"/>
  <c r="F150" i="3"/>
  <c r="G146" i="3" l="1"/>
  <c r="G151" i="3"/>
  <c r="G169" i="3"/>
  <c r="E151" i="3"/>
  <c r="E169" i="3"/>
  <c r="D151" i="3"/>
  <c r="D169" i="3"/>
  <c r="C151" i="3"/>
  <c r="C169" i="3"/>
  <c r="F151" i="3"/>
  <c r="F169" i="3"/>
  <c r="H151" i="3"/>
  <c r="H169" i="3"/>
  <c r="E146" i="3"/>
  <c r="F146" i="3"/>
  <c r="H146" i="3"/>
  <c r="D146" i="3"/>
  <c r="G89" i="3"/>
  <c r="G92" i="3" s="1"/>
  <c r="E89" i="3"/>
  <c r="E92" i="3" s="1"/>
  <c r="C89" i="3"/>
  <c r="C92" i="3" s="1"/>
  <c r="D89" i="3"/>
  <c r="D92" i="3" s="1"/>
  <c r="F89" i="3"/>
  <c r="F92" i="3" s="1"/>
  <c r="H89" i="3"/>
  <c r="H92" i="3" s="1"/>
  <c r="H148" i="3" l="1"/>
  <c r="D148" i="3"/>
  <c r="E148" i="3"/>
  <c r="F148" i="3"/>
  <c r="G148" i="3"/>
  <c r="H152" i="3"/>
  <c r="H154" i="3"/>
  <c r="E152" i="3"/>
  <c r="E154" i="3"/>
  <c r="D152" i="3"/>
  <c r="D154" i="3"/>
  <c r="F152" i="3"/>
  <c r="F154" i="3"/>
  <c r="C152" i="3"/>
  <c r="C154" i="3"/>
  <c r="G152" i="3"/>
  <c r="G154" i="3"/>
</calcChain>
</file>

<file path=xl/sharedStrings.xml><?xml version="1.0" encoding="utf-8"?>
<sst xmlns="http://schemas.openxmlformats.org/spreadsheetml/2006/main" count="227" uniqueCount="140">
  <si>
    <t>Condensed Consolidated Balance Sheets - USD ($) $ in Thousands</t>
  </si>
  <si>
    <t>Mar. 31, 2022</t>
  </si>
  <si>
    <t>Current assets</t>
  </si>
  <si>
    <t>Cash and cash equivalents</t>
  </si>
  <si>
    <t>Accounts receivable, net</t>
  </si>
  <si>
    <t>Short-term investments</t>
  </si>
  <si>
    <t>Reinsurance balance due</t>
  </si>
  <si>
    <t>Prepaid expenses and other current assets</t>
  </si>
  <si>
    <t>Restricted cash</t>
  </si>
  <si>
    <t>Total current assets</t>
  </si>
  <si>
    <t>Property, equipment, and software, net</t>
  </si>
  <si>
    <t>Operating lease right-of-use assets</t>
  </si>
  <si>
    <t>Goodwill</t>
  </si>
  <si>
    <t>Long-term investments</t>
  </si>
  <si>
    <t>Intangible assets, net</t>
  </si>
  <si>
    <t>Restricted cash, non-current</t>
  </si>
  <si>
    <t>Long-term insurance commissions receivable</t>
  </si>
  <si>
    <t>Other assets</t>
  </si>
  <si>
    <t>Total assets</t>
  </si>
  <si>
    <t>Current liabilities</t>
  </si>
  <si>
    <t>Accounts payable</t>
  </si>
  <si>
    <t>Accrued expenses and other current liabilities</t>
  </si>
  <si>
    <t>Deferred revenue</t>
  </si>
  <si>
    <t>Refundable customer deposit</t>
  </si>
  <si>
    <t>Current portion of long-term debt</t>
  </si>
  <si>
    <t>Losses and loss adjustment expense reserves</t>
  </si>
  <si>
    <t>Other insurance liabilities, current</t>
  </si>
  <si>
    <t>Total current liabilities</t>
  </si>
  <si>
    <t>Long-term debt</t>
  </si>
  <si>
    <t>Operating lease liabilities, non-current</t>
  </si>
  <si>
    <t>Earnout liability, at fair value</t>
  </si>
  <si>
    <t>Private warrant liability, at fair value</t>
  </si>
  <si>
    <t>Other liabilities (includes $12,822 and $9,617 at fair value, respectively)</t>
  </si>
  <si>
    <t>Total liabilities</t>
  </si>
  <si>
    <t>Commitments and contingencies (Note 12)</t>
  </si>
  <si>
    <t xml:space="preserve"> </t>
  </si>
  <si>
    <t>Stockholders' equity</t>
  </si>
  <si>
    <t>Common stock, $0.0001 par value: Authorized shares - 400,000,000 and 400,000,000, respectively Issued and outstanding shares - 98,297,186 and 97,961,597, respectively</t>
  </si>
  <si>
    <t>Additional paid-in capital</t>
  </si>
  <si>
    <t>Accumulated other comprehensive loss</t>
  </si>
  <si>
    <t>Accumulated deficit</t>
  </si>
  <si>
    <t>Total stockholders' equity</t>
  </si>
  <si>
    <t>Total liabilities and stockholders' equity</t>
  </si>
  <si>
    <t>Condensed Consolidated Balance Sheets</t>
  </si>
  <si>
    <t>Other liabilities</t>
  </si>
  <si>
    <t>Common stock, par value</t>
  </si>
  <si>
    <t>Common Stock, Shares Authorized</t>
  </si>
  <si>
    <t>Common stock, shares issued</t>
  </si>
  <si>
    <t>Common stock, shares outstanding</t>
  </si>
  <si>
    <t>Condensed Consolidated Statements of Operations - USD ($) $ in Thousands</t>
  </si>
  <si>
    <t>Condensed Consolidated Statements of Operations</t>
  </si>
  <si>
    <t>Revenue</t>
  </si>
  <si>
    <t>Operating expenses(1):</t>
  </si>
  <si>
    <t>Cost of revenue</t>
  </si>
  <si>
    <t>Selling and marketing</t>
  </si>
  <si>
    <t>Product and technology</t>
  </si>
  <si>
    <t>General and administrative</t>
  </si>
  <si>
    <t>Total operating expenses</t>
  </si>
  <si>
    <t>Operating loss</t>
  </si>
  <si>
    <t>Other income (expense):</t>
  </si>
  <si>
    <t>Interest expense</t>
  </si>
  <si>
    <t>Change in fair value of earnout liability</t>
  </si>
  <si>
    <t>Change in fair value of private warrant liability</t>
  </si>
  <si>
    <t>Investment income and realized gains, net of investment expenses</t>
  </si>
  <si>
    <t>Other income, net</t>
  </si>
  <si>
    <t>Total other income (expense)</t>
  </si>
  <si>
    <t>Loss before income taxes</t>
  </si>
  <si>
    <t>Income tax benefit</t>
  </si>
  <si>
    <t>Net loss</t>
  </si>
  <si>
    <t>Net loss attributable per share to common stockholders:</t>
  </si>
  <si>
    <t>Loss per share - basic (in dollars per share)</t>
  </si>
  <si>
    <t>Loss per share - diluted (in dollars per share)</t>
  </si>
  <si>
    <t>Weighted-average shares used in computing net loss attributable per share to common stockholders:</t>
  </si>
  <si>
    <t>Shares used in computing basic loss per share</t>
  </si>
  <si>
    <t>Shares used in computing diluted loss per share</t>
  </si>
  <si>
    <t>Stock based compensation expense</t>
  </si>
  <si>
    <t>Jun. 30, 2022</t>
  </si>
  <si>
    <t> </t>
  </si>
  <si>
    <t>Gain on extinguishment of debt</t>
  </si>
  <si>
    <t>Sep. 30, 2022</t>
  </si>
  <si>
    <t>Dec. 31, 2022</t>
  </si>
  <si>
    <t>Impairment loss on intangible assets and goodwill</t>
  </si>
  <si>
    <t>Mar. 31, 2023</t>
  </si>
  <si>
    <t>Jun. 30, 2023</t>
  </si>
  <si>
    <t>Provision for doubtful accounts</t>
  </si>
  <si>
    <t>Change in fair value of derivatives</t>
  </si>
  <si>
    <t>Gross Profit</t>
  </si>
  <si>
    <t>USD$ in Thousands</t>
  </si>
  <si>
    <t>Operating Income</t>
  </si>
  <si>
    <t>EBIT</t>
  </si>
  <si>
    <t>EBT</t>
  </si>
  <si>
    <t>Net other Income &amp; Expense</t>
  </si>
  <si>
    <t>Interest</t>
  </si>
  <si>
    <t>Tax</t>
  </si>
  <si>
    <t>Net Income</t>
  </si>
  <si>
    <t>Total Current Assets</t>
  </si>
  <si>
    <t>Total Non-Current Asset</t>
  </si>
  <si>
    <t>Derivative liability, at fair value</t>
  </si>
  <si>
    <t>Balance Sheet</t>
  </si>
  <si>
    <t>ROE</t>
  </si>
  <si>
    <t>ROA</t>
  </si>
  <si>
    <t>ROCE</t>
  </si>
  <si>
    <t>Capital Structure</t>
  </si>
  <si>
    <t>Debt</t>
  </si>
  <si>
    <t>Debt to Equity</t>
  </si>
  <si>
    <t>Equity</t>
  </si>
  <si>
    <t>Payable Days</t>
  </si>
  <si>
    <t>Debtors Days</t>
  </si>
  <si>
    <t>Current</t>
  </si>
  <si>
    <t>Quick</t>
  </si>
  <si>
    <t>Cash</t>
  </si>
  <si>
    <t>Interest Coverage</t>
  </si>
  <si>
    <t/>
  </si>
  <si>
    <t>Total Non-Current liabilities</t>
  </si>
  <si>
    <t>Total Current liabilities</t>
  </si>
  <si>
    <t>Total Assets</t>
  </si>
  <si>
    <t>Total Liabilities &amp; Equity</t>
  </si>
  <si>
    <t>Total stockholders equity</t>
  </si>
  <si>
    <t xml:space="preserve">Other liabilities </t>
  </si>
  <si>
    <r>
      <t xml:space="preserve">Sales Growth </t>
    </r>
    <r>
      <rPr>
        <i/>
        <sz val="11"/>
        <color theme="1" tint="0.249977111117893"/>
        <rFont val="Calibri"/>
        <family val="2"/>
        <scheme val="minor"/>
      </rPr>
      <t>(Q to Q)</t>
    </r>
  </si>
  <si>
    <r>
      <t xml:space="preserve">Operating Profit Growth </t>
    </r>
    <r>
      <rPr>
        <i/>
        <sz val="11"/>
        <color theme="1" tint="0.249977111117893"/>
        <rFont val="Calibri"/>
        <family val="2"/>
        <scheme val="minor"/>
      </rPr>
      <t>(Q to Q)</t>
    </r>
  </si>
  <si>
    <r>
      <t>EBIT Growth</t>
    </r>
    <r>
      <rPr>
        <i/>
        <sz val="11"/>
        <color theme="1" tint="0.249977111117893"/>
        <rFont val="Calibri"/>
        <family val="2"/>
        <scheme val="minor"/>
      </rPr>
      <t xml:space="preserve"> (Q to Q)</t>
    </r>
  </si>
  <si>
    <r>
      <t xml:space="preserve">Net Income Growth </t>
    </r>
    <r>
      <rPr>
        <i/>
        <sz val="11"/>
        <color theme="1" tint="0.249977111117893"/>
        <rFont val="Calibri"/>
        <family val="2"/>
        <scheme val="minor"/>
      </rPr>
      <t>(Q to Q)</t>
    </r>
  </si>
  <si>
    <t>Gross Profit Margin (%)</t>
  </si>
  <si>
    <t>Operating Profit Margin (%)</t>
  </si>
  <si>
    <t>EBIT Margin (%)</t>
  </si>
  <si>
    <t>Net Profit Margin (%)</t>
  </si>
  <si>
    <r>
      <t xml:space="preserve">Gross Profit Margin </t>
    </r>
    <r>
      <rPr>
        <i/>
        <sz val="11"/>
        <color theme="1" tint="0.249977111117893"/>
        <rFont val="Calibri"/>
        <family val="2"/>
        <scheme val="minor"/>
      </rPr>
      <t>(Q to Q)</t>
    </r>
  </si>
  <si>
    <t>Debt to Asset</t>
  </si>
  <si>
    <t>Statement of Income</t>
  </si>
  <si>
    <t>Ratios</t>
  </si>
  <si>
    <t>Market Cap</t>
  </si>
  <si>
    <t>Share Price</t>
  </si>
  <si>
    <t>USD$</t>
  </si>
  <si>
    <t>EnterPrise Value</t>
  </si>
  <si>
    <t>No. of Shares Oustanding</t>
  </si>
  <si>
    <t>Total</t>
  </si>
  <si>
    <t>P/E</t>
  </si>
  <si>
    <t>P/B</t>
  </si>
  <si>
    <t>EPS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</si>
</sst>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 &quot;#,##0_);_(&quot;$ &quot;\(#,##0\)"/>
    <numFmt numFmtId="165" formatCode="_(&quot;$ &quot;#,##0.0000_);_(&quot;$ &quot;\(#,##0.0000\)"/>
    <numFmt numFmtId="166" formatCode="_(&quot;$ &quot;#,##0.00_);_(&quot;$ &quot;\(#,##0.00\)"/>
    <numFmt numFmtId="167" formatCode="\ #,##0;\ \(#,##0\)"/>
    <numFmt numFmtId="168" formatCode="0.0%"/>
    <numFmt numFmtId="169" formatCode="0.00\X"/>
    <numFmt numFmtId="170" formatCode="0.0000"/>
  </numFmts>
  <fonts count="18">
    <font>
      <sz val="11"/>
      <color theme="1"/>
      <name val="Calibri"/>
      <family val="2"/>
      <scheme val="minor"/>
    </font>
    <font>
      <b/>
      <sz val="11"/>
      <name val="Calibri"/>
    </font>
    <font>
      <sz val="11"/>
      <name val="Calibri"/>
    </font>
    <font>
      <sz val="11"/>
      <color theme="1"/>
      <name val="Calibri"/>
      <family val="2"/>
      <scheme val="minor"/>
    </font>
    <font>
      <b/>
      <sz val="11"/>
      <color theme="0"/>
      <name val="Calibri"/>
      <family val="2"/>
      <scheme val="minor"/>
    </font>
    <font>
      <b/>
      <sz val="11"/>
      <color theme="1"/>
      <name val="Calibri"/>
      <family val="2"/>
      <scheme val="minor"/>
    </font>
    <font>
      <i/>
      <sz val="9"/>
      <color theme="1"/>
      <name val="Calibri"/>
      <family val="2"/>
      <scheme val="minor"/>
    </font>
    <font>
      <sz val="11"/>
      <name val="Calibri"/>
      <family val="2"/>
    </font>
    <font>
      <sz val="9"/>
      <color theme="1"/>
      <name val="Calibri"/>
      <family val="2"/>
      <scheme val="minor"/>
    </font>
    <font>
      <b/>
      <sz val="11"/>
      <name val="Calibri"/>
      <family val="2"/>
    </font>
    <font>
      <b/>
      <sz val="14"/>
      <color theme="4" tint="-0.499984740745262"/>
      <name val="Calibri"/>
      <family val="2"/>
      <scheme val="minor"/>
    </font>
    <font>
      <b/>
      <sz val="9"/>
      <color theme="1"/>
      <name val="Calibri"/>
      <family val="2"/>
      <scheme val="minor"/>
    </font>
    <font>
      <sz val="11"/>
      <color theme="1" tint="0.249977111117893"/>
      <name val="Calibri"/>
      <family val="2"/>
      <scheme val="minor"/>
    </font>
    <font>
      <sz val="11"/>
      <color theme="1" tint="0.249977111117893"/>
      <name val="Calibri"/>
      <family val="2"/>
    </font>
    <font>
      <i/>
      <sz val="11"/>
      <color theme="1" tint="0.249977111117893"/>
      <name val="Calibri"/>
      <family val="2"/>
      <scheme val="minor"/>
    </font>
    <font>
      <b/>
      <sz val="14"/>
      <color theme="7" tint="-0.499984740745262"/>
      <name val="Calibri"/>
      <family val="2"/>
      <scheme val="minor"/>
    </font>
    <font>
      <sz val="11"/>
      <color theme="1"/>
      <name val="Aptos Display"/>
      <family val="2"/>
    </font>
    <font>
      <i/>
      <sz val="8"/>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7" tint="0.79998168889431442"/>
        <bgColor indexed="64"/>
      </patternFill>
    </fill>
    <fill>
      <patternFill patternType="solid">
        <fgColor theme="7" tint="0.39997558519241921"/>
        <bgColor indexed="64"/>
      </patternFill>
    </fill>
  </fills>
  <borders count="3">
    <border>
      <left/>
      <right/>
      <top/>
      <bottom/>
      <diagonal/>
    </border>
    <border>
      <left/>
      <right/>
      <top style="medium">
        <color theme="7" tint="-0.499984740745262"/>
      </top>
      <bottom/>
      <diagonal/>
    </border>
    <border>
      <left/>
      <right/>
      <top/>
      <bottom style="medium">
        <color theme="7" tint="-0.499984740745262"/>
      </bottom>
      <diagonal/>
    </border>
  </borders>
  <cellStyleXfs count="2">
    <xf numFmtId="0" fontId="0" fillId="0" borderId="0"/>
    <xf numFmtId="9" fontId="3" fillId="0" borderId="0" applyFont="0" applyFill="0" applyBorder="0" applyAlignment="0" applyProtection="0"/>
  </cellStyleXfs>
  <cellXfs count="60">
    <xf numFmtId="0" fontId="0" fillId="0" borderId="0" xfId="0"/>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vertical="top"/>
    </xf>
    <xf numFmtId="0" fontId="2" fillId="0" borderId="0" xfId="0" applyFont="1" applyAlignment="1">
      <alignmen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0" fontId="2" fillId="0" borderId="0" xfId="0" applyFont="1" applyAlignment="1">
      <alignment vertical="center"/>
    </xf>
    <xf numFmtId="0" fontId="1" fillId="0" borderId="0" xfId="0" applyFont="1" applyAlignment="1">
      <alignment vertical="center"/>
    </xf>
    <xf numFmtId="0" fontId="0" fillId="0" borderId="0" xfId="0" applyAlignment="1">
      <alignment horizontal="center"/>
    </xf>
    <xf numFmtId="0" fontId="6" fillId="0" borderId="0" xfId="0" applyFont="1"/>
    <xf numFmtId="0" fontId="7" fillId="0" borderId="0" xfId="0" applyFont="1" applyAlignment="1">
      <alignment vertical="top"/>
    </xf>
    <xf numFmtId="0" fontId="0" fillId="0" borderId="0" xfId="0" applyAlignment="1">
      <alignment horizontal="right"/>
    </xf>
    <xf numFmtId="167" fontId="0" fillId="0" borderId="0" xfId="0" applyNumberFormat="1"/>
    <xf numFmtId="167" fontId="8" fillId="0" borderId="0" xfId="0" applyNumberFormat="1" applyFont="1" applyAlignment="1">
      <alignment horizontal="right"/>
    </xf>
    <xf numFmtId="37" fontId="2" fillId="0" borderId="0" xfId="0" applyNumberFormat="1" applyFont="1" applyAlignment="1">
      <alignment vertical="top"/>
    </xf>
    <xf numFmtId="164" fontId="7" fillId="0" borderId="0" xfId="0" applyNumberFormat="1" applyFont="1" applyAlignment="1">
      <alignment horizontal="right" vertical="top"/>
    </xf>
    <xf numFmtId="37" fontId="7" fillId="0" borderId="0" xfId="0" applyNumberFormat="1" applyFont="1" applyAlignment="1">
      <alignment horizontal="right" vertical="top"/>
    </xf>
    <xf numFmtId="0" fontId="7" fillId="0" borderId="0" xfId="0" applyFont="1" applyAlignment="1">
      <alignment vertical="top" wrapText="1"/>
    </xf>
    <xf numFmtId="0" fontId="10" fillId="0" borderId="0" xfId="0" applyFont="1" applyAlignment="1">
      <alignment horizontal="center"/>
    </xf>
    <xf numFmtId="168" fontId="8" fillId="0" borderId="0" xfId="1" applyNumberFormat="1" applyFont="1" applyAlignment="1">
      <alignment horizontal="right"/>
    </xf>
    <xf numFmtId="168" fontId="0" fillId="0" borderId="0" xfId="1" applyNumberFormat="1" applyFont="1"/>
    <xf numFmtId="10" fontId="0" fillId="0" borderId="0" xfId="1" applyNumberFormat="1" applyFont="1"/>
    <xf numFmtId="169" fontId="0" fillId="0" borderId="0" xfId="1" applyNumberFormat="1" applyFont="1"/>
    <xf numFmtId="1" fontId="0" fillId="0" borderId="0" xfId="0" applyNumberFormat="1"/>
    <xf numFmtId="0" fontId="12" fillId="0" borderId="0" xfId="0" applyFont="1"/>
    <xf numFmtId="0" fontId="13" fillId="0" borderId="0" xfId="0" applyFont="1" applyAlignment="1">
      <alignment vertical="top"/>
    </xf>
    <xf numFmtId="0" fontId="13" fillId="0" borderId="0" xfId="0" applyFont="1" applyAlignment="1">
      <alignment vertical="top" wrapText="1"/>
    </xf>
    <xf numFmtId="0" fontId="4" fillId="2" borderId="0" xfId="0" applyFont="1" applyFill="1"/>
    <xf numFmtId="17" fontId="4" fillId="2" borderId="0" xfId="0" applyNumberFormat="1" applyFont="1" applyFill="1" applyAlignment="1">
      <alignment horizontal="right" vertical="center"/>
    </xf>
    <xf numFmtId="167" fontId="8" fillId="3" borderId="0" xfId="0" applyNumberFormat="1" applyFont="1" applyFill="1" applyAlignment="1">
      <alignment horizontal="right"/>
    </xf>
    <xf numFmtId="0" fontId="5" fillId="3" borderId="0" xfId="0" applyFont="1" applyFill="1" applyAlignment="1">
      <alignment vertical="center"/>
    </xf>
    <xf numFmtId="0" fontId="9" fillId="3" borderId="0" xfId="0" applyFont="1" applyFill="1" applyAlignment="1">
      <alignment vertical="center"/>
    </xf>
    <xf numFmtId="0" fontId="9" fillId="3" borderId="0" xfId="0" applyFont="1" applyFill="1" applyAlignment="1">
      <alignment vertical="top"/>
    </xf>
    <xf numFmtId="0" fontId="9" fillId="4" borderId="0" xfId="0" applyFont="1" applyFill="1" applyAlignment="1">
      <alignment vertical="top"/>
    </xf>
    <xf numFmtId="167" fontId="11" fillId="4" borderId="0" xfId="0" applyNumberFormat="1" applyFont="1" applyFill="1" applyAlignment="1">
      <alignment horizontal="right"/>
    </xf>
    <xf numFmtId="0" fontId="9" fillId="4" borderId="1" xfId="0" applyFont="1" applyFill="1" applyBorder="1" applyAlignment="1">
      <alignment vertical="top"/>
    </xf>
    <xf numFmtId="167" fontId="11" fillId="4" borderId="1" xfId="0" applyNumberFormat="1" applyFont="1" applyFill="1" applyBorder="1" applyAlignment="1">
      <alignment horizontal="right"/>
    </xf>
    <xf numFmtId="0" fontId="9" fillId="3" borderId="1" xfId="0" applyFont="1" applyFill="1" applyBorder="1" applyAlignment="1">
      <alignment vertical="center"/>
    </xf>
    <xf numFmtId="167" fontId="8" fillId="3" borderId="1" xfId="0" applyNumberFormat="1" applyFont="1" applyFill="1" applyBorder="1" applyAlignment="1">
      <alignment horizontal="right"/>
    </xf>
    <xf numFmtId="0" fontId="9" fillId="3" borderId="2" xfId="0" applyFont="1" applyFill="1" applyBorder="1" applyAlignment="1">
      <alignment vertical="top"/>
    </xf>
    <xf numFmtId="167" fontId="8" fillId="3" borderId="2" xfId="0" applyNumberFormat="1" applyFont="1" applyFill="1" applyBorder="1" applyAlignment="1">
      <alignment horizontal="right"/>
    </xf>
    <xf numFmtId="0" fontId="15" fillId="0" borderId="0" xfId="0" applyFont="1" applyAlignment="1">
      <alignment horizontal="left" vertical="top"/>
    </xf>
    <xf numFmtId="0" fontId="16" fillId="0" borderId="0" xfId="0" quotePrefix="1" applyFont="1"/>
    <xf numFmtId="37" fontId="0" fillId="0" borderId="0" xfId="0" applyNumberFormat="1"/>
    <xf numFmtId="168" fontId="5" fillId="4" borderId="1" xfId="1" applyNumberFormat="1" applyFont="1" applyFill="1" applyBorder="1"/>
    <xf numFmtId="0" fontId="5" fillId="0" borderId="0" xfId="0" applyFont="1"/>
    <xf numFmtId="3" fontId="0" fillId="0" borderId="0" xfId="0" applyNumberFormat="1"/>
    <xf numFmtId="3" fontId="3" fillId="4" borderId="1" xfId="1" applyNumberFormat="1" applyFont="1" applyFill="1" applyBorder="1"/>
    <xf numFmtId="0" fontId="17" fillId="0" borderId="0" xfId="0" applyFont="1"/>
    <xf numFmtId="3" fontId="5" fillId="4" borderId="1" xfId="1" applyNumberFormat="1" applyFont="1" applyFill="1" applyBorder="1"/>
    <xf numFmtId="9" fontId="0" fillId="0" borderId="0" xfId="1" applyFont="1"/>
    <xf numFmtId="170" fontId="0" fillId="0" borderId="0" xfId="0" applyNumberFormat="1"/>
    <xf numFmtId="39" fontId="2" fillId="0" borderId="0" xfId="0" applyNumberFormat="1" applyFont="1" applyAlignment="1">
      <alignment horizontal="right" vertical="top"/>
    </xf>
    <xf numFmtId="0" fontId="15" fillId="0" borderId="0" xfId="0"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1041809942974"/>
          <c:y val="7.4403198828659201E-2"/>
          <c:w val="0.78900670112403415"/>
          <c:h val="0.77529390767328099"/>
        </c:manualLayout>
      </c:layout>
      <c:barChart>
        <c:barDir val="col"/>
        <c:grouping val="clustered"/>
        <c:varyColors val="0"/>
        <c:ser>
          <c:idx val="0"/>
          <c:order val="0"/>
          <c:tx>
            <c:strRef>
              <c:f>Main!$B$78</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Main!$C$77:$H$77</c:f>
              <c:numCache>
                <c:formatCode>mmm\-yy</c:formatCode>
                <c:ptCount val="6"/>
                <c:pt idx="0">
                  <c:v>44621</c:v>
                </c:pt>
                <c:pt idx="1">
                  <c:v>44713</c:v>
                </c:pt>
                <c:pt idx="2">
                  <c:v>44805</c:v>
                </c:pt>
                <c:pt idx="3">
                  <c:v>44896</c:v>
                </c:pt>
                <c:pt idx="4">
                  <c:v>44986</c:v>
                </c:pt>
                <c:pt idx="5">
                  <c:v>45078</c:v>
                </c:pt>
              </c:numCache>
            </c:numRef>
          </c:cat>
          <c:val>
            <c:numRef>
              <c:f>Main!$C$78:$H$78</c:f>
              <c:numCache>
                <c:formatCode>\ #,##0;\ \(#,##0\)</c:formatCode>
                <c:ptCount val="6"/>
                <c:pt idx="0">
                  <c:v>62561</c:v>
                </c:pt>
                <c:pt idx="1">
                  <c:v>70769</c:v>
                </c:pt>
                <c:pt idx="2">
                  <c:v>75366</c:v>
                </c:pt>
                <c:pt idx="3">
                  <c:v>64113</c:v>
                </c:pt>
                <c:pt idx="4">
                  <c:v>87369</c:v>
                </c:pt>
                <c:pt idx="5">
                  <c:v>98765</c:v>
                </c:pt>
              </c:numCache>
            </c:numRef>
          </c:val>
          <c:extLst>
            <c:ext xmlns:c16="http://schemas.microsoft.com/office/drawing/2014/chart" uri="{C3380CC4-5D6E-409C-BE32-E72D297353CC}">
              <c16:uniqueId val="{00000000-601B-4018-B966-2144C86D44B7}"/>
            </c:ext>
          </c:extLst>
        </c:ser>
        <c:dLbls>
          <c:showLegendKey val="0"/>
          <c:showVal val="0"/>
          <c:showCatName val="0"/>
          <c:showSerName val="0"/>
          <c:showPercent val="0"/>
          <c:showBubbleSize val="0"/>
        </c:dLbls>
        <c:gapWidth val="0"/>
        <c:axId val="1258087056"/>
        <c:axId val="1357401424"/>
      </c:barChart>
      <c:lineChart>
        <c:grouping val="standard"/>
        <c:varyColors val="0"/>
        <c:ser>
          <c:idx val="1"/>
          <c:order val="1"/>
          <c:tx>
            <c:strRef>
              <c:f>Main!$B$92</c:f>
              <c:strCache>
                <c:ptCount val="1"/>
                <c:pt idx="0">
                  <c:v>Net Income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Main!$C$92:$H$92</c:f>
              <c:numCache>
                <c:formatCode>\ #,##0;\ \(#,##0\)</c:formatCode>
                <c:ptCount val="6"/>
                <c:pt idx="0">
                  <c:v>-5796</c:v>
                </c:pt>
                <c:pt idx="1">
                  <c:v>-26377</c:v>
                </c:pt>
                <c:pt idx="2">
                  <c:v>-86391</c:v>
                </c:pt>
                <c:pt idx="3">
                  <c:v>-35473</c:v>
                </c:pt>
                <c:pt idx="4">
                  <c:v>-38740</c:v>
                </c:pt>
                <c:pt idx="5">
                  <c:v>-86963</c:v>
                </c:pt>
              </c:numCache>
            </c:numRef>
          </c:val>
          <c:smooth val="0"/>
          <c:extLst>
            <c:ext xmlns:c16="http://schemas.microsoft.com/office/drawing/2014/chart" uri="{C3380CC4-5D6E-409C-BE32-E72D297353CC}">
              <c16:uniqueId val="{00000001-601B-4018-B966-2144C86D44B7}"/>
            </c:ext>
          </c:extLst>
        </c:ser>
        <c:dLbls>
          <c:showLegendKey val="0"/>
          <c:showVal val="0"/>
          <c:showCatName val="0"/>
          <c:showSerName val="0"/>
          <c:showPercent val="0"/>
          <c:showBubbleSize val="0"/>
        </c:dLbls>
        <c:marker val="1"/>
        <c:smooth val="0"/>
        <c:axId val="1258087056"/>
        <c:axId val="1357401424"/>
      </c:lineChart>
      <c:dateAx>
        <c:axId val="1258087056"/>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401424"/>
        <c:crosses val="autoZero"/>
        <c:auto val="1"/>
        <c:lblOffset val="100"/>
        <c:baseTimeUnit val="months"/>
        <c:majorUnit val="3"/>
        <c:majorTimeUnit val="months"/>
      </c:dateAx>
      <c:valAx>
        <c:axId val="13574014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700" b="0" i="0" u="none" strike="noStrike" kern="1200" cap="all" baseline="0">
                    <a:solidFill>
                      <a:schemeClr val="tx1"/>
                    </a:solidFill>
                    <a:latin typeface="+mn-lt"/>
                    <a:ea typeface="+mn-ea"/>
                    <a:cs typeface="+mn-cs"/>
                  </a:defRPr>
                </a:pPr>
                <a:r>
                  <a:rPr lang="en-IN" sz="700" b="0">
                    <a:solidFill>
                      <a:schemeClr val="tx1"/>
                    </a:solidFill>
                  </a:rPr>
                  <a:t>USD$</a:t>
                </a:r>
                <a:r>
                  <a:rPr lang="en-IN" sz="700" b="0" baseline="0">
                    <a:solidFill>
                      <a:schemeClr val="tx1"/>
                    </a:solidFill>
                  </a:rPr>
                  <a:t> thousand</a:t>
                </a:r>
                <a:endParaRPr lang="en-IN" sz="700" b="0">
                  <a:solidFill>
                    <a:schemeClr val="tx1"/>
                  </a:solidFill>
                </a:endParaRP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tx1"/>
                  </a:solidFill>
                  <a:latin typeface="+mn-lt"/>
                  <a:ea typeface="+mn-ea"/>
                  <a:cs typeface="+mn-cs"/>
                </a:defRPr>
              </a:pPr>
              <a:endParaRPr lang="en-US"/>
            </a:p>
          </c:txPr>
        </c:title>
        <c:numFmt formatCode="\ #,##0;\ \(#,##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258087056"/>
        <c:crosses val="autoZero"/>
        <c:crossBetween val="between"/>
      </c:valAx>
      <c:spPr>
        <a:noFill/>
        <a:ln>
          <a:noFill/>
        </a:ln>
        <a:effectLst/>
      </c:spPr>
    </c:plotArea>
    <c:legend>
      <c:legendPos val="b"/>
      <c:layout>
        <c:manualLayout>
          <c:xMode val="edge"/>
          <c:yMode val="edge"/>
          <c:x val="0.24598293963254594"/>
          <c:y val="0.85705963837853605"/>
          <c:w val="0.52747856517935254"/>
          <c:h val="0.1151625838436862"/>
        </c:manualLayout>
      </c:layout>
      <c:overlay val="0"/>
      <c:spPr>
        <a:noFill/>
        <a:ln w="12700">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79693402915762"/>
          <c:y val="7.0292396120890818E-2"/>
          <c:w val="0.84944437878442225"/>
          <c:h val="0.76425063527800818"/>
        </c:manualLayout>
      </c:layout>
      <c:barChart>
        <c:barDir val="col"/>
        <c:grouping val="stacked"/>
        <c:varyColors val="0"/>
        <c:ser>
          <c:idx val="0"/>
          <c:order val="0"/>
          <c:tx>
            <c:strRef>
              <c:f>Main!$B$80</c:f>
              <c:strCache>
                <c:ptCount val="1"/>
                <c:pt idx="0">
                  <c:v>Gross Profit</c:v>
                </c:pt>
              </c:strCache>
            </c:strRef>
          </c:tx>
          <c:spPr>
            <a:solidFill>
              <a:schemeClr val="accent1"/>
            </a:solidFill>
            <a:ln>
              <a:noFill/>
            </a:ln>
            <a:effectLst>
              <a:outerShdw blurRad="50800" dir="5400000" algn="ctr" rotWithShape="0">
                <a:srgbClr val="000000">
                  <a:alpha val="43137"/>
                </a:srgbClr>
              </a:outerShdw>
            </a:effectLst>
          </c:spPr>
          <c:invertIfNegative val="0"/>
          <c:cat>
            <c:numRef>
              <c:f>Main!$C$77:$H$77</c:f>
              <c:numCache>
                <c:formatCode>mmm\-yy</c:formatCode>
                <c:ptCount val="6"/>
                <c:pt idx="0">
                  <c:v>44621</c:v>
                </c:pt>
                <c:pt idx="1">
                  <c:v>44713</c:v>
                </c:pt>
                <c:pt idx="2">
                  <c:v>44805</c:v>
                </c:pt>
                <c:pt idx="3">
                  <c:v>44896</c:v>
                </c:pt>
                <c:pt idx="4">
                  <c:v>44986</c:v>
                </c:pt>
                <c:pt idx="5">
                  <c:v>45078</c:v>
                </c:pt>
              </c:numCache>
            </c:numRef>
          </c:cat>
          <c:val>
            <c:numRef>
              <c:f>Main!$C$80:$H$80</c:f>
              <c:numCache>
                <c:formatCode>\ #,##0;\ \(#,##0\)</c:formatCode>
                <c:ptCount val="6"/>
                <c:pt idx="0">
                  <c:v>41372</c:v>
                </c:pt>
                <c:pt idx="1">
                  <c:v>42211</c:v>
                </c:pt>
                <c:pt idx="2">
                  <c:v>42097</c:v>
                </c:pt>
                <c:pt idx="3">
                  <c:v>43943</c:v>
                </c:pt>
                <c:pt idx="4">
                  <c:v>36094</c:v>
                </c:pt>
                <c:pt idx="5">
                  <c:v>17435</c:v>
                </c:pt>
              </c:numCache>
            </c:numRef>
          </c:val>
          <c:extLst>
            <c:ext xmlns:c16="http://schemas.microsoft.com/office/drawing/2014/chart" uri="{C3380CC4-5D6E-409C-BE32-E72D297353CC}">
              <c16:uniqueId val="{00000000-F2A4-4CA3-B91B-1AE75E055792}"/>
            </c:ext>
          </c:extLst>
        </c:ser>
        <c:ser>
          <c:idx val="1"/>
          <c:order val="1"/>
          <c:tx>
            <c:strRef>
              <c:f>Main!$B$83</c:f>
              <c:strCache>
                <c:ptCount val="1"/>
                <c:pt idx="0">
                  <c:v>Operating Income</c:v>
                </c:pt>
              </c:strCache>
            </c:strRef>
          </c:tx>
          <c:spPr>
            <a:solidFill>
              <a:schemeClr val="accent2"/>
            </a:solidFill>
            <a:ln>
              <a:noFill/>
            </a:ln>
            <a:effectLst/>
          </c:spPr>
          <c:invertIfNegative val="0"/>
          <c:cat>
            <c:numRef>
              <c:f>Main!$C$77:$H$77</c:f>
              <c:numCache>
                <c:formatCode>mmm\-yy</c:formatCode>
                <c:ptCount val="6"/>
                <c:pt idx="0">
                  <c:v>44621</c:v>
                </c:pt>
                <c:pt idx="1">
                  <c:v>44713</c:v>
                </c:pt>
                <c:pt idx="2">
                  <c:v>44805</c:v>
                </c:pt>
                <c:pt idx="3">
                  <c:v>44896</c:v>
                </c:pt>
                <c:pt idx="4">
                  <c:v>44986</c:v>
                </c:pt>
                <c:pt idx="5">
                  <c:v>45078</c:v>
                </c:pt>
              </c:numCache>
            </c:numRef>
          </c:cat>
          <c:val>
            <c:numRef>
              <c:f>Main!$C$83:$H$83</c:f>
              <c:numCache>
                <c:formatCode>\ #,##0;\ \(#,##0\)</c:formatCode>
                <c:ptCount val="6"/>
                <c:pt idx="0">
                  <c:v>-25301</c:v>
                </c:pt>
                <c:pt idx="1">
                  <c:v>-30797</c:v>
                </c:pt>
                <c:pt idx="2">
                  <c:v>-84900</c:v>
                </c:pt>
                <c:pt idx="3">
                  <c:v>-33795</c:v>
                </c:pt>
                <c:pt idx="4">
                  <c:v>-38528</c:v>
                </c:pt>
                <c:pt idx="5">
                  <c:v>-159405</c:v>
                </c:pt>
              </c:numCache>
            </c:numRef>
          </c:val>
          <c:extLst>
            <c:ext xmlns:c16="http://schemas.microsoft.com/office/drawing/2014/chart" uri="{C3380CC4-5D6E-409C-BE32-E72D297353CC}">
              <c16:uniqueId val="{00000001-F2A4-4CA3-B91B-1AE75E055792}"/>
            </c:ext>
          </c:extLst>
        </c:ser>
        <c:dLbls>
          <c:showLegendKey val="0"/>
          <c:showVal val="0"/>
          <c:showCatName val="0"/>
          <c:showSerName val="0"/>
          <c:showPercent val="0"/>
          <c:showBubbleSize val="0"/>
        </c:dLbls>
        <c:gapWidth val="0"/>
        <c:overlap val="100"/>
        <c:axId val="1244769808"/>
        <c:axId val="1366727936"/>
      </c:barChart>
      <c:dateAx>
        <c:axId val="12447698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1366727936"/>
        <c:crosses val="autoZero"/>
        <c:auto val="1"/>
        <c:lblOffset val="100"/>
        <c:baseTimeUnit val="months"/>
        <c:majorUnit val="3"/>
        <c:majorTimeUnit val="months"/>
      </c:dateAx>
      <c:valAx>
        <c:axId val="1366727936"/>
        <c:scaling>
          <c:orientation val="minMax"/>
          <c:max val="60000"/>
          <c:min val="-18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USD$</a:t>
                </a:r>
                <a:r>
                  <a:rPr lang="en-IN" b="1" baseline="0"/>
                  <a:t> Thousand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44769808"/>
        <c:crosses val="autoZero"/>
        <c:crossBetween val="between"/>
      </c:valAx>
      <c:spPr>
        <a:noFill/>
        <a:ln>
          <a:noFill/>
        </a:ln>
        <a:effectLst/>
      </c:spPr>
    </c:plotArea>
    <c:legend>
      <c:legendPos val="r"/>
      <c:layout>
        <c:manualLayout>
          <c:xMode val="edge"/>
          <c:yMode val="edge"/>
          <c:x val="0.2445644884881901"/>
          <c:y val="0.85918464975225251"/>
          <c:w val="0.50779658792650917"/>
          <c:h val="0.1225687906969259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eps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2.7401404083788043E-2"/>
          <c:y val="0.11115505967957076"/>
          <c:w val="0.94613312075107869"/>
          <c:h val="0.76362990566896283"/>
        </c:manualLayout>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4">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Main!$C$77:$H$77</c:f>
              <c:numCache>
                <c:formatCode>mmm\-yy</c:formatCode>
                <c:ptCount val="6"/>
                <c:pt idx="0">
                  <c:v>44621</c:v>
                </c:pt>
                <c:pt idx="1">
                  <c:v>44713</c:v>
                </c:pt>
                <c:pt idx="2">
                  <c:v>44805</c:v>
                </c:pt>
                <c:pt idx="3">
                  <c:v>44896</c:v>
                </c:pt>
                <c:pt idx="4">
                  <c:v>44986</c:v>
                </c:pt>
                <c:pt idx="5">
                  <c:v>45078</c:v>
                </c:pt>
              </c:numCache>
            </c:numRef>
          </c:cat>
          <c:val>
            <c:numRef>
              <c:f>'Profit &amp; Loss'!$B$28:$G$28</c:f>
              <c:numCache>
                <c:formatCode>_("$ "#,##0.00_);_("$ "\(#,##0.00\)</c:formatCode>
                <c:ptCount val="6"/>
                <c:pt idx="0">
                  <c:v>-0.06</c:v>
                </c:pt>
                <c:pt idx="1">
                  <c:v>-0.27</c:v>
                </c:pt>
                <c:pt idx="2">
                  <c:v>-0.88</c:v>
                </c:pt>
                <c:pt idx="3">
                  <c:v>-0.36</c:v>
                </c:pt>
                <c:pt idx="4">
                  <c:v>-0.41</c:v>
                </c:pt>
                <c:pt idx="5">
                  <c:v>-0.91</c:v>
                </c:pt>
              </c:numCache>
            </c:numRef>
          </c:val>
          <c:smooth val="0"/>
          <c:extLst>
            <c:ext xmlns:c16="http://schemas.microsoft.com/office/drawing/2014/chart" uri="{C3380CC4-5D6E-409C-BE32-E72D297353CC}">
              <c16:uniqueId val="{00000000-46BE-480E-B85B-F67CD4A2BFFF}"/>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28592655"/>
        <c:axId val="1829806271"/>
      </c:lineChart>
      <c:dateAx>
        <c:axId val="1828592655"/>
        <c:scaling>
          <c:orientation val="minMax"/>
        </c:scaling>
        <c:delete val="0"/>
        <c:axPos val="b"/>
        <c:numFmt formatCode="mmm\-yy" sourceLinked="1"/>
        <c:majorTickMark val="none"/>
        <c:minorTickMark val="none"/>
        <c:tickLblPos val="low"/>
        <c:spPr>
          <a:noFill/>
          <a:ln w="0">
            <a:noFill/>
          </a:ln>
          <a:effectLst/>
        </c:spPr>
        <c:txPr>
          <a:bodyPr rot="0" spcFirstLastPara="1" vertOverflow="ellipsis" wrap="square" anchor="ctr" anchorCtr="1"/>
          <a:lstStyle/>
          <a:p>
            <a:pPr>
              <a:defRPr sz="1400" b="0" i="0" u="none" strike="noStrike" kern="1200" spc="30" baseline="0">
                <a:solidFill>
                  <a:schemeClr val="lt1"/>
                </a:solidFill>
                <a:latin typeface="+mn-lt"/>
                <a:ea typeface="+mn-ea"/>
                <a:cs typeface="+mn-cs"/>
              </a:defRPr>
            </a:pPr>
            <a:endParaRPr lang="en-US"/>
          </a:p>
        </c:txPr>
        <c:crossAx val="1829806271"/>
        <c:crosses val="autoZero"/>
        <c:auto val="1"/>
        <c:lblOffset val="100"/>
        <c:baseTimeUnit val="months"/>
        <c:majorUnit val="3"/>
        <c:majorTimeUnit val="months"/>
      </c:dateAx>
      <c:valAx>
        <c:axId val="1829806271"/>
        <c:scaling>
          <c:orientation val="minMax"/>
        </c:scaling>
        <c:delete val="1"/>
        <c:axPos val="l"/>
        <c:numFmt formatCode="_(&quot;$ &quot;#,##0.00_);_(&quot;$ &quot;\(#,##0.00\)" sourceLinked="1"/>
        <c:majorTickMark val="none"/>
        <c:minorTickMark val="none"/>
        <c:tickLblPos val="nextTo"/>
        <c:crossAx val="1828592655"/>
        <c:crosses val="autoZero"/>
        <c:crossBetween val="between"/>
      </c:valAx>
      <c:spPr>
        <a:solidFill>
          <a:schemeClr val="accent4">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accent4">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0"/>
          </c:spPr>
          <c:dPt>
            <c:idx val="0"/>
            <c:bubble3D val="0"/>
            <c:spPr>
              <a:solidFill>
                <a:schemeClr val="accent1"/>
              </a:solidFill>
              <a:ln w="0">
                <a:solidFill>
                  <a:schemeClr val="lt1"/>
                </a:solidFill>
              </a:ln>
              <a:effectLst/>
            </c:spPr>
            <c:extLst>
              <c:ext xmlns:c16="http://schemas.microsoft.com/office/drawing/2014/chart" uri="{C3380CC4-5D6E-409C-BE32-E72D297353CC}">
                <c16:uniqueId val="{00000001-F975-4C84-986E-98AAA5918A65}"/>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F975-4C84-986E-98AAA5918A65}"/>
              </c:ext>
            </c:extLst>
          </c:dPt>
          <c:cat>
            <c:strRef>
              <c:f>Main!$E$179:$E$180</c:f>
              <c:strCache>
                <c:ptCount val="2"/>
                <c:pt idx="0">
                  <c:v>Debt</c:v>
                </c:pt>
                <c:pt idx="1">
                  <c:v>Equity</c:v>
                </c:pt>
              </c:strCache>
            </c:strRef>
          </c:cat>
          <c:val>
            <c:numRef>
              <c:f>Main!$G$179:$G$180</c:f>
              <c:numCache>
                <c:formatCode>#,##0_);\(#,##0\)</c:formatCode>
                <c:ptCount val="2"/>
                <c:pt idx="0">
                  <c:v>426965</c:v>
                </c:pt>
                <c:pt idx="1">
                  <c:v>-36742</c:v>
                </c:pt>
              </c:numCache>
            </c:numRef>
          </c:val>
          <c:extLst>
            <c:ext xmlns:c16="http://schemas.microsoft.com/office/drawing/2014/chart" uri="{C3380CC4-5D6E-409C-BE32-E72D297353CC}">
              <c16:uniqueId val="{00000000-09C4-4AD0-A989-4717C216F230}"/>
            </c:ext>
          </c:extLst>
        </c:ser>
        <c:dLbls>
          <c:showLegendKey val="0"/>
          <c:showVal val="0"/>
          <c:showCatName val="0"/>
          <c:showSerName val="0"/>
          <c:showPercent val="0"/>
          <c:showBubbleSize val="0"/>
          <c:showLeaderLines val="1"/>
        </c:dLbls>
        <c:firstSliceAng val="102"/>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0</xdr:row>
      <xdr:rowOff>160757</xdr:rowOff>
    </xdr:from>
    <xdr:to>
      <xdr:col>10</xdr:col>
      <xdr:colOff>552450</xdr:colOff>
      <xdr:row>11</xdr:row>
      <xdr:rowOff>76200</xdr:rowOff>
    </xdr:to>
    <xdr:sp macro="" textlink="">
      <xdr:nvSpPr>
        <xdr:cNvPr id="2" name="TextBox 1">
          <a:extLst>
            <a:ext uri="{FF2B5EF4-FFF2-40B4-BE49-F238E27FC236}">
              <a16:creationId xmlns:a16="http://schemas.microsoft.com/office/drawing/2014/main" id="{1DC0B3E7-4671-B018-A188-A8B07597932B}"/>
            </a:ext>
          </a:extLst>
        </xdr:cNvPr>
        <xdr:cNvSpPr txBox="1"/>
      </xdr:nvSpPr>
      <xdr:spPr>
        <a:xfrm>
          <a:off x="2124075" y="160757"/>
          <a:ext cx="5838825" cy="2391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accent4">
                  <a:lumMod val="50000"/>
                </a:schemeClr>
              </a:solidFill>
              <a:effectLst/>
              <a:latin typeface="+mn-lt"/>
              <a:ea typeface="+mn-ea"/>
              <a:cs typeface="+mn-cs"/>
            </a:rPr>
            <a:t>Company Overview</a:t>
          </a:r>
        </a:p>
        <a:p>
          <a:endParaRPr lang="en-IN" sz="1050" b="0" i="0">
            <a:solidFill>
              <a:schemeClr val="dk1"/>
            </a:solidFill>
            <a:effectLst/>
            <a:latin typeface="+mn-lt"/>
            <a:ea typeface="+mn-ea"/>
            <a:cs typeface="+mn-cs"/>
          </a:endParaRPr>
        </a:p>
        <a:p>
          <a:r>
            <a:rPr lang="en-IN" sz="1200" b="0" i="0">
              <a:solidFill>
                <a:schemeClr val="dk1"/>
              </a:solidFill>
              <a:effectLst/>
              <a:latin typeface="+mn-lt"/>
              <a:ea typeface="Kigelia" panose="020B0502040204020203" pitchFamily="34" charset="0"/>
              <a:cs typeface="Kigelia" panose="020B0502040204020203" pitchFamily="34" charset="0"/>
            </a:rPr>
            <a:t>Seattle</a:t>
          </a:r>
          <a:r>
            <a:rPr lang="en-IN" sz="1200" b="0" i="0" baseline="0">
              <a:solidFill>
                <a:schemeClr val="dk1"/>
              </a:solidFill>
              <a:effectLst/>
              <a:latin typeface="+mn-lt"/>
              <a:ea typeface="Kigelia" panose="020B0502040204020203" pitchFamily="34" charset="0"/>
              <a:cs typeface="Kigelia" panose="020B0502040204020203" pitchFamily="34" charset="0"/>
            </a:rPr>
            <a:t> based </a:t>
          </a:r>
          <a:r>
            <a:rPr lang="en-IN" sz="1200" b="0" i="0">
              <a:solidFill>
                <a:schemeClr val="dk1"/>
              </a:solidFill>
              <a:effectLst/>
              <a:latin typeface="+mn-lt"/>
              <a:ea typeface="Kigelia" panose="020B0502040204020203" pitchFamily="34" charset="0"/>
              <a:cs typeface="Kigelia" panose="020B0502040204020203" pitchFamily="34" charset="0"/>
            </a:rPr>
            <a:t>Porch Group is a company that helps homeowners and home service providers. They offer a variety of services, including</a:t>
          </a:r>
          <a:r>
            <a:rPr lang="en-IN" sz="1200" b="0" i="0" baseline="0">
              <a:solidFill>
                <a:schemeClr val="dk1"/>
              </a:solidFill>
              <a:effectLst/>
              <a:latin typeface="+mn-lt"/>
              <a:ea typeface="Kigelia" panose="020B0502040204020203" pitchFamily="34" charset="0"/>
              <a:cs typeface="Kigelia" panose="020B0502040204020203" pitchFamily="34" charset="0"/>
            </a:rPr>
            <a:t> </a:t>
          </a:r>
          <a:r>
            <a:rPr lang="en-IN" sz="1200" b="1" i="0">
              <a:solidFill>
                <a:schemeClr val="dk1"/>
              </a:solidFill>
              <a:effectLst/>
              <a:latin typeface="+mn-lt"/>
              <a:ea typeface="Kigelia" panose="020B0502040204020203" pitchFamily="34" charset="0"/>
              <a:cs typeface="Kigelia" panose="020B0502040204020203" pitchFamily="34" charset="0"/>
            </a:rPr>
            <a:t>Insurance</a:t>
          </a:r>
          <a:r>
            <a:rPr lang="en-IN" sz="1200" b="1" i="0" baseline="0">
              <a:solidFill>
                <a:schemeClr val="dk1"/>
              </a:solidFill>
              <a:effectLst/>
              <a:latin typeface="+mn-lt"/>
              <a:ea typeface="Kigelia" panose="020B0502040204020203" pitchFamily="34" charset="0"/>
              <a:cs typeface="Kigelia" panose="020B0502040204020203" pitchFamily="34" charset="0"/>
            </a:rPr>
            <a:t> </a:t>
          </a:r>
          <a:r>
            <a:rPr lang="en-IN" sz="1200" b="0" i="0" baseline="0">
              <a:solidFill>
                <a:schemeClr val="dk1"/>
              </a:solidFill>
              <a:effectLst/>
              <a:latin typeface="+mn-lt"/>
              <a:ea typeface="Kigelia" panose="020B0502040204020203" pitchFamily="34" charset="0"/>
              <a:cs typeface="Kigelia" panose="020B0502040204020203" pitchFamily="34" charset="0"/>
            </a:rPr>
            <a:t>for</a:t>
          </a:r>
          <a:r>
            <a:rPr lang="en-IN" sz="1200" b="1" i="0" baseline="0">
              <a:solidFill>
                <a:schemeClr val="dk1"/>
              </a:solidFill>
              <a:effectLst/>
              <a:latin typeface="+mn-lt"/>
              <a:ea typeface="Kigelia" panose="020B0502040204020203" pitchFamily="34" charset="0"/>
              <a:cs typeface="Kigelia" panose="020B0502040204020203" pitchFamily="34" charset="0"/>
            </a:rPr>
            <a:t> </a:t>
          </a:r>
          <a:r>
            <a:rPr lang="en-IN" sz="1200" b="0" i="0">
              <a:solidFill>
                <a:schemeClr val="dk1"/>
              </a:solidFill>
              <a:effectLst/>
              <a:latin typeface="+mn-lt"/>
              <a:ea typeface="Kigelia" panose="020B0502040204020203" pitchFamily="34" charset="0"/>
              <a:cs typeface="Kigelia" panose="020B0502040204020203" pitchFamily="34" charset="0"/>
            </a:rPr>
            <a:t>home and warranty policies, </a:t>
          </a:r>
          <a:r>
            <a:rPr lang="en-IN" sz="1200" b="1" i="0">
              <a:solidFill>
                <a:schemeClr val="dk1"/>
              </a:solidFill>
              <a:effectLst/>
              <a:latin typeface="+mn-lt"/>
              <a:ea typeface="Kigelia" panose="020B0502040204020203" pitchFamily="34" charset="0"/>
              <a:cs typeface="Kigelia" panose="020B0502040204020203" pitchFamily="34" charset="0"/>
            </a:rPr>
            <a:t>Software</a:t>
          </a:r>
          <a:r>
            <a:rPr lang="en-IN" sz="1200" b="0" i="0">
              <a:solidFill>
                <a:schemeClr val="dk1"/>
              </a:solidFill>
              <a:effectLst/>
              <a:latin typeface="+mn-lt"/>
              <a:ea typeface="Kigelia" panose="020B0502040204020203" pitchFamily="34" charset="0"/>
              <a:cs typeface="Kigelia" panose="020B0502040204020203" pitchFamily="34" charset="0"/>
            </a:rPr>
            <a:t> to home service providers, such as home inspectors, mortgage companies, and moving companies. Which helps them to grow their businesses and improve their customer experience</a:t>
          </a:r>
          <a:r>
            <a:rPr lang="en-IN" sz="1200" b="0" i="0" baseline="0">
              <a:solidFill>
                <a:schemeClr val="dk1"/>
              </a:solidFill>
              <a:effectLst/>
              <a:latin typeface="+mn-lt"/>
              <a:ea typeface="Kigelia" panose="020B0502040204020203" pitchFamily="34" charset="0"/>
              <a:cs typeface="Kigelia" panose="020B0502040204020203" pitchFamily="34" charset="0"/>
            </a:rPr>
            <a:t> &amp; </a:t>
          </a:r>
          <a:r>
            <a:rPr lang="en-IN" sz="1200" b="1" i="0">
              <a:solidFill>
                <a:schemeClr val="dk1"/>
              </a:solidFill>
              <a:effectLst/>
              <a:latin typeface="+mn-lt"/>
              <a:ea typeface="Kigelia" panose="020B0502040204020203" pitchFamily="34" charset="0"/>
              <a:cs typeface="Kigelia" panose="020B0502040204020203" pitchFamily="34" charset="0"/>
            </a:rPr>
            <a:t>Homebuyer services</a:t>
          </a:r>
          <a:r>
            <a:rPr lang="en-IN" sz="1200" b="1" i="0" baseline="0">
              <a:solidFill>
                <a:schemeClr val="dk1"/>
              </a:solidFill>
              <a:effectLst/>
              <a:latin typeface="+mn-lt"/>
              <a:ea typeface="Kigelia" panose="020B0502040204020203" pitchFamily="34" charset="0"/>
              <a:cs typeface="Kigelia" panose="020B0502040204020203" pitchFamily="34" charset="0"/>
            </a:rPr>
            <a:t> </a:t>
          </a:r>
          <a:r>
            <a:rPr lang="en-IN" sz="1200" b="0" i="0" baseline="0">
              <a:solidFill>
                <a:schemeClr val="dk1"/>
              </a:solidFill>
              <a:effectLst/>
              <a:latin typeface="+mn-lt"/>
              <a:ea typeface="Kigelia" panose="020B0502040204020203" pitchFamily="34" charset="0"/>
              <a:cs typeface="Kigelia" panose="020B0502040204020203" pitchFamily="34" charset="0"/>
            </a:rPr>
            <a:t>which</a:t>
          </a:r>
          <a:r>
            <a:rPr lang="en-IN" sz="1200" b="0" i="0">
              <a:solidFill>
                <a:schemeClr val="dk1"/>
              </a:solidFill>
              <a:effectLst/>
              <a:latin typeface="+mn-lt"/>
              <a:ea typeface="Kigelia" panose="020B0502040204020203" pitchFamily="34" charset="0"/>
              <a:cs typeface="Kigelia" panose="020B0502040204020203" pitchFamily="34" charset="0"/>
            </a:rPr>
            <a:t> helps homebuyers with the moving process, such as finding insurance and other services they need.</a:t>
          </a:r>
        </a:p>
        <a:p>
          <a:endParaRPr lang="en-IN" sz="1200" b="0" i="0">
            <a:solidFill>
              <a:schemeClr val="dk1"/>
            </a:solidFill>
            <a:effectLst/>
            <a:latin typeface="+mn-lt"/>
            <a:ea typeface="Kigelia" panose="020B0502040204020203" pitchFamily="34" charset="0"/>
            <a:cs typeface="Kigelia" panose="020B0502040204020203" pitchFamily="34" charset="0"/>
          </a:endParaRPr>
        </a:p>
        <a:p>
          <a:r>
            <a:rPr lang="en-IN" sz="1200" b="0" i="0">
              <a:solidFill>
                <a:schemeClr val="dk1"/>
              </a:solidFill>
              <a:effectLst/>
              <a:latin typeface="+mn-lt"/>
              <a:ea typeface="Kigelia" panose="020B0502040204020203" pitchFamily="34" charset="0"/>
              <a:cs typeface="Kigelia" panose="020B0502040204020203" pitchFamily="34" charset="0"/>
            </a:rPr>
            <a:t>Porch Group's goal is to make the home simple. They want to make it easy for homeowners to find and book reliable home service providers, and to get help with everything from moving to home insurance.</a:t>
          </a:r>
        </a:p>
        <a:p>
          <a:endParaRPr lang="en-IN" sz="1050"/>
        </a:p>
      </xdr:txBody>
    </xdr:sp>
    <xdr:clientData/>
  </xdr:twoCellAnchor>
  <xdr:twoCellAnchor>
    <xdr:from>
      <xdr:col>1</xdr:col>
      <xdr:colOff>38100</xdr:colOff>
      <xdr:row>30</xdr:row>
      <xdr:rowOff>89647</xdr:rowOff>
    </xdr:from>
    <xdr:to>
      <xdr:col>10</xdr:col>
      <xdr:colOff>590550</xdr:colOff>
      <xdr:row>47</xdr:row>
      <xdr:rowOff>123265</xdr:rowOff>
    </xdr:to>
    <xdr:sp macro="" textlink="">
      <xdr:nvSpPr>
        <xdr:cNvPr id="3" name="TextBox 2">
          <a:extLst>
            <a:ext uri="{FF2B5EF4-FFF2-40B4-BE49-F238E27FC236}">
              <a16:creationId xmlns:a16="http://schemas.microsoft.com/office/drawing/2014/main" id="{26CD0DA8-6DD0-C2A6-482D-BC9F0FBBC986}"/>
            </a:ext>
          </a:extLst>
        </xdr:cNvPr>
        <xdr:cNvSpPr txBox="1"/>
      </xdr:nvSpPr>
      <xdr:spPr>
        <a:xfrm>
          <a:off x="190500" y="6176122"/>
          <a:ext cx="7810500" cy="3272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accent4">
                  <a:lumMod val="50000"/>
                </a:schemeClr>
              </a:solidFill>
            </a:rPr>
            <a:t>Investor Presentation: August 23, 2023</a:t>
          </a:r>
          <a:endParaRPr lang="en-IN" sz="1600" b="1">
            <a:solidFill>
              <a:schemeClr val="accent4">
                <a:lumMod val="50000"/>
              </a:schemeClr>
            </a:solidFill>
          </a:endParaRPr>
        </a:p>
        <a:p>
          <a:endParaRPr lang="en-IN" sz="1050"/>
        </a:p>
        <a:p>
          <a:r>
            <a:rPr lang="en-IN" sz="1200"/>
            <a:t>Data Insights Driven</a:t>
          </a:r>
          <a:r>
            <a:rPr lang="en-IN" sz="1200" baseline="0"/>
            <a:t> insurance pricing model accuracy improvement in Non-Cat weather and Fire by aproximately 20%. This all able to achieved by insights of 90% of US homebuyers, claim history across many categories, Unqiue data and advanced pricing techniques. With this accurate model will allow to charge accurate for high &amp; low risk policies.</a:t>
          </a:r>
        </a:p>
        <a:p>
          <a:endParaRPr lang="en-IN" sz="1200" baseline="0"/>
        </a:p>
        <a:p>
          <a:r>
            <a:rPr lang="en-IN" sz="1200" baseline="0"/>
            <a:t>Revenue has shifted from Insurance to Vertical Software Segment by 65%.</a:t>
          </a:r>
        </a:p>
        <a:p>
          <a:endParaRPr lang="en-IN" sz="1200" baseline="0"/>
        </a:p>
        <a:p>
          <a:r>
            <a:rPr lang="en-IN" sz="1200" baseline="0"/>
            <a:t>Latest Quarter Revernue has improved by 39%.</a:t>
          </a:r>
        </a:p>
        <a:p>
          <a:endParaRPr lang="en-IN" sz="1200" baseline="0"/>
        </a:p>
        <a:p>
          <a:pPr rtl="0"/>
          <a:r>
            <a:rPr lang="en-IN" sz="1200" b="0">
              <a:solidFill>
                <a:schemeClr val="dk1"/>
              </a:solidFill>
              <a:effectLst/>
              <a:latin typeface="+mn-lt"/>
              <a:ea typeface="+mn-ea"/>
              <a:cs typeface="+mn-cs"/>
            </a:rPr>
            <a:t>Cash and investments as of June 30, 2023: $358M, including $102M from Q2’23 debt transaction,</a:t>
          </a:r>
          <a:r>
            <a:rPr lang="en-IN" sz="1200" b="0" baseline="0">
              <a:solidFill>
                <a:schemeClr val="dk1"/>
              </a:solidFill>
              <a:effectLst/>
              <a:latin typeface="+mn-lt"/>
              <a:ea typeface="+mn-ea"/>
              <a:cs typeface="+mn-cs"/>
            </a:rPr>
            <a:t> which is the highest among the peers.</a:t>
          </a:r>
          <a:endParaRPr lang="en-IN" sz="1200" b="0">
            <a:solidFill>
              <a:schemeClr val="dk1"/>
            </a:solidFill>
            <a:effectLst/>
            <a:latin typeface="+mn-lt"/>
            <a:ea typeface="+mn-ea"/>
            <a:cs typeface="+mn-cs"/>
          </a:endParaRPr>
        </a:p>
        <a:p>
          <a:pPr rtl="0"/>
          <a:endParaRPr lang="en-IN" sz="1200" b="0">
            <a:solidFill>
              <a:schemeClr val="dk1"/>
            </a:solidFill>
            <a:effectLst/>
            <a:latin typeface="+mn-lt"/>
            <a:ea typeface="+mn-ea"/>
            <a:cs typeface="+mn-cs"/>
          </a:endParaRPr>
        </a:p>
        <a:p>
          <a:pPr rtl="0"/>
          <a:r>
            <a:rPr lang="en-IN" sz="1200" b="0">
              <a:solidFill>
                <a:schemeClr val="dk1"/>
              </a:solidFill>
              <a:effectLst/>
              <a:latin typeface="+mn-lt"/>
              <a:ea typeface="+mn-ea"/>
              <a:cs typeface="+mn-cs"/>
            </a:rPr>
            <a:t>Key</a:t>
          </a:r>
          <a:r>
            <a:rPr lang="en-IN" sz="1200" b="0" baseline="0">
              <a:solidFill>
                <a:schemeClr val="dk1"/>
              </a:solidFill>
              <a:effectLst/>
              <a:latin typeface="+mn-lt"/>
              <a:ea typeface="+mn-ea"/>
              <a:cs typeface="+mn-cs"/>
            </a:rPr>
            <a:t> Updates: </a:t>
          </a:r>
          <a:r>
            <a:rPr lang="en-IN" sz="1200" b="0">
              <a:solidFill>
                <a:schemeClr val="dk1"/>
              </a:solidFill>
              <a:effectLst/>
              <a:latin typeface="+mn-lt"/>
              <a:ea typeface="+mn-ea"/>
              <a:cs typeface="+mn-cs"/>
            </a:rPr>
            <a:t>Progress</a:t>
          </a:r>
          <a:r>
            <a:rPr lang="en-IN" sz="1200" b="0" baseline="0">
              <a:solidFill>
                <a:schemeClr val="dk1"/>
              </a:solidFill>
              <a:effectLst/>
              <a:latin typeface="+mn-lt"/>
              <a:ea typeface="+mn-ea"/>
              <a:cs typeface="+mn-cs"/>
            </a:rPr>
            <a:t> in Reciprocal application with TDI, Improving Underwriting performance, Unique data approved for insurance pricing in 11 states, warranty continues to grow.</a:t>
          </a:r>
          <a:endParaRPr lang="en-IN" sz="1200" b="0">
            <a:solidFill>
              <a:schemeClr val="dk1"/>
            </a:solidFill>
            <a:effectLst/>
            <a:latin typeface="+mn-lt"/>
            <a:ea typeface="+mn-ea"/>
            <a:cs typeface="+mn-cs"/>
          </a:endParaRPr>
        </a:p>
      </xdr:txBody>
    </xdr:sp>
    <xdr:clientData/>
  </xdr:twoCellAnchor>
  <xdr:twoCellAnchor>
    <xdr:from>
      <xdr:col>1</xdr:col>
      <xdr:colOff>38100</xdr:colOff>
      <xdr:row>13</xdr:row>
      <xdr:rowOff>11206</xdr:rowOff>
    </xdr:from>
    <xdr:to>
      <xdr:col>10</xdr:col>
      <xdr:colOff>581025</xdr:colOff>
      <xdr:row>30</xdr:row>
      <xdr:rowOff>22412</xdr:rowOff>
    </xdr:to>
    <xdr:sp macro="" textlink="">
      <xdr:nvSpPr>
        <xdr:cNvPr id="4" name="TextBox 3">
          <a:extLst>
            <a:ext uri="{FF2B5EF4-FFF2-40B4-BE49-F238E27FC236}">
              <a16:creationId xmlns:a16="http://schemas.microsoft.com/office/drawing/2014/main" id="{FE7E7767-9745-4530-B7FB-CFE3D179EA30}"/>
            </a:ext>
          </a:extLst>
        </xdr:cNvPr>
        <xdr:cNvSpPr txBox="1"/>
      </xdr:nvSpPr>
      <xdr:spPr>
        <a:xfrm>
          <a:off x="190500" y="2868706"/>
          <a:ext cx="7800975" cy="3240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4">
                  <a:lumMod val="50000"/>
                </a:schemeClr>
              </a:solidFill>
            </a:rPr>
            <a:t>Company</a:t>
          </a:r>
          <a:r>
            <a:rPr lang="en-IN" sz="1600" b="1" baseline="0">
              <a:solidFill>
                <a:schemeClr val="accent4">
                  <a:lumMod val="50000"/>
                </a:schemeClr>
              </a:solidFill>
            </a:rPr>
            <a:t> Performance</a:t>
          </a:r>
          <a:endParaRPr lang="en-IN" sz="1600" b="1">
            <a:solidFill>
              <a:schemeClr val="accent4">
                <a:lumMod val="50000"/>
              </a:schemeClr>
            </a:solidFill>
          </a:endParaRPr>
        </a:p>
        <a:p>
          <a:endParaRPr lang="en-IN" sz="1100"/>
        </a:p>
        <a:p>
          <a:r>
            <a:rPr lang="en-IN" sz="1200"/>
            <a:t>The company's revenue has been steadily</a:t>
          </a:r>
          <a:r>
            <a:rPr lang="en-IN" sz="1200" baseline="0"/>
            <a:t> increasing from past six quarters from Q1-22 62m to Q1-23 99m and expected to grow in further quarter.</a:t>
          </a:r>
        </a:p>
        <a:p>
          <a:endParaRPr lang="en-IN" sz="1200" baseline="0"/>
        </a:p>
        <a:p>
          <a:r>
            <a:rPr lang="en-IN" sz="1200"/>
            <a:t>Gross profit has been decreasing</a:t>
          </a:r>
          <a:r>
            <a:rPr lang="en-IN" sz="1200" baseline="0"/>
            <a:t> from from past six quarter, which is the direct impact of the increasing cost of revenue.</a:t>
          </a:r>
        </a:p>
        <a:p>
          <a:endParaRPr lang="en-IN" sz="1200" baseline="0"/>
        </a:p>
        <a:p>
          <a:r>
            <a:rPr lang="en-IN" sz="1200"/>
            <a:t>Operating income is</a:t>
          </a:r>
          <a:r>
            <a:rPr lang="en-IN" sz="1200" baseline="0"/>
            <a:t> negative and decreasing steadily due to increase in the operating expenses majorly related to acquisitions. The expenses rate of increase is higher than the operating income which is not good sign and will not able to meet its financial obligation.</a:t>
          </a:r>
        </a:p>
        <a:p>
          <a:endParaRPr lang="en-IN" sz="1200" baseline="0"/>
        </a:p>
        <a:p>
          <a:r>
            <a:rPr lang="en-IN" sz="1200" baseline="0"/>
            <a:t>EBIT growth is negative &amp; volatile and their is no clear trend in EBIT &amp; Net income growth over the six quarter. </a:t>
          </a:r>
        </a:p>
        <a:p>
          <a:endParaRPr lang="en-IN" sz="1200" baseline="0"/>
        </a:p>
        <a:p>
          <a:r>
            <a:rPr lang="en-IN" sz="1200" baseline="0"/>
            <a:t>Overall company is making steady growth in sale but not in Gross profit &amp; Opearting income due to high increasing expenses and making loss in bottom line consistently.</a:t>
          </a:r>
          <a:endParaRPr lang="en-IN" sz="1100"/>
        </a:p>
      </xdr:txBody>
    </xdr:sp>
    <xdr:clientData/>
  </xdr:twoCellAnchor>
  <xdr:twoCellAnchor>
    <xdr:from>
      <xdr:col>1</xdr:col>
      <xdr:colOff>9525</xdr:colOff>
      <xdr:row>74</xdr:row>
      <xdr:rowOff>266700</xdr:rowOff>
    </xdr:from>
    <xdr:to>
      <xdr:col>3</xdr:col>
      <xdr:colOff>633075</xdr:colOff>
      <xdr:row>74</xdr:row>
      <xdr:rowOff>266700</xdr:rowOff>
    </xdr:to>
    <xdr:cxnSp macro="">
      <xdr:nvCxnSpPr>
        <xdr:cNvPr id="8" name="Straight Connector 7">
          <a:extLst>
            <a:ext uri="{FF2B5EF4-FFF2-40B4-BE49-F238E27FC236}">
              <a16:creationId xmlns:a16="http://schemas.microsoft.com/office/drawing/2014/main" id="{3C199E5F-7E01-1BB8-690B-62350DCFA5E7}"/>
            </a:ext>
          </a:extLst>
        </xdr:cNvPr>
        <xdr:cNvCxnSpPr/>
      </xdr:nvCxnSpPr>
      <xdr:spPr>
        <a:xfrm>
          <a:off x="161925" y="14925675"/>
          <a:ext cx="2700000" cy="0"/>
        </a:xfrm>
        <a:prstGeom prst="line">
          <a:avLst/>
        </a:prstGeom>
        <a:ln w="38100">
          <a:solidFill>
            <a:schemeClr val="accent4">
              <a:lumMod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94</xdr:row>
      <xdr:rowOff>257175</xdr:rowOff>
    </xdr:from>
    <xdr:to>
      <xdr:col>3</xdr:col>
      <xdr:colOff>623550</xdr:colOff>
      <xdr:row>94</xdr:row>
      <xdr:rowOff>257175</xdr:rowOff>
    </xdr:to>
    <xdr:cxnSp macro="">
      <xdr:nvCxnSpPr>
        <xdr:cNvPr id="9" name="Straight Connector 8">
          <a:extLst>
            <a:ext uri="{FF2B5EF4-FFF2-40B4-BE49-F238E27FC236}">
              <a16:creationId xmlns:a16="http://schemas.microsoft.com/office/drawing/2014/main" id="{D54BD3B9-A671-4FC4-AA62-62716C663980}"/>
            </a:ext>
          </a:extLst>
        </xdr:cNvPr>
        <xdr:cNvCxnSpPr/>
      </xdr:nvCxnSpPr>
      <xdr:spPr>
        <a:xfrm>
          <a:off x="152400" y="18859500"/>
          <a:ext cx="2700000" cy="0"/>
        </a:xfrm>
        <a:prstGeom prst="line">
          <a:avLst/>
        </a:prstGeom>
        <a:ln w="38100">
          <a:solidFill>
            <a:schemeClr val="accent4">
              <a:lumMod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140</xdr:row>
      <xdr:rowOff>276225</xdr:rowOff>
    </xdr:from>
    <xdr:to>
      <xdr:col>3</xdr:col>
      <xdr:colOff>623550</xdr:colOff>
      <xdr:row>140</xdr:row>
      <xdr:rowOff>276225</xdr:rowOff>
    </xdr:to>
    <xdr:cxnSp macro="">
      <xdr:nvCxnSpPr>
        <xdr:cNvPr id="10" name="Straight Connector 9">
          <a:extLst>
            <a:ext uri="{FF2B5EF4-FFF2-40B4-BE49-F238E27FC236}">
              <a16:creationId xmlns:a16="http://schemas.microsoft.com/office/drawing/2014/main" id="{EF9EA958-9894-4106-8E1A-F39EEDA45CD7}"/>
            </a:ext>
          </a:extLst>
        </xdr:cNvPr>
        <xdr:cNvCxnSpPr/>
      </xdr:nvCxnSpPr>
      <xdr:spPr>
        <a:xfrm>
          <a:off x="152400" y="27974925"/>
          <a:ext cx="4043025" cy="0"/>
        </a:xfrm>
        <a:prstGeom prst="line">
          <a:avLst/>
        </a:prstGeom>
        <a:ln w="38100">
          <a:solidFill>
            <a:schemeClr val="accent4">
              <a:lumMod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0</xdr:colOff>
      <xdr:row>174</xdr:row>
      <xdr:rowOff>266700</xdr:rowOff>
    </xdr:from>
    <xdr:to>
      <xdr:col>1</xdr:col>
      <xdr:colOff>2781300</xdr:colOff>
      <xdr:row>174</xdr:row>
      <xdr:rowOff>266700</xdr:rowOff>
    </xdr:to>
    <xdr:cxnSp macro="">
      <xdr:nvCxnSpPr>
        <xdr:cNvPr id="11" name="Straight Connector 10">
          <a:extLst>
            <a:ext uri="{FF2B5EF4-FFF2-40B4-BE49-F238E27FC236}">
              <a16:creationId xmlns:a16="http://schemas.microsoft.com/office/drawing/2014/main" id="{C28ED727-30E8-46CF-A237-8F7B6072395D}"/>
            </a:ext>
          </a:extLst>
        </xdr:cNvPr>
        <xdr:cNvCxnSpPr/>
      </xdr:nvCxnSpPr>
      <xdr:spPr>
        <a:xfrm>
          <a:off x="152400" y="34566225"/>
          <a:ext cx="2781300" cy="0"/>
        </a:xfrm>
        <a:prstGeom prst="line">
          <a:avLst/>
        </a:prstGeom>
        <a:ln w="38100">
          <a:solidFill>
            <a:schemeClr val="accent4">
              <a:lumMod val="50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2422712</xdr:colOff>
      <xdr:row>2</xdr:row>
      <xdr:rowOff>71717</xdr:rowOff>
    </xdr:from>
    <xdr:to>
      <xdr:col>7</xdr:col>
      <xdr:colOff>179295</xdr:colOff>
      <xdr:row>2</xdr:row>
      <xdr:rowOff>71717</xdr:rowOff>
    </xdr:to>
    <xdr:cxnSp macro="">
      <xdr:nvCxnSpPr>
        <xdr:cNvPr id="14" name="Straight Connector 13">
          <a:extLst>
            <a:ext uri="{FF2B5EF4-FFF2-40B4-BE49-F238E27FC236}">
              <a16:creationId xmlns:a16="http://schemas.microsoft.com/office/drawing/2014/main" id="{E7639370-BD66-8CF6-F5D4-2D56F726CDCE}"/>
            </a:ext>
          </a:extLst>
        </xdr:cNvPr>
        <xdr:cNvCxnSpPr/>
      </xdr:nvCxnSpPr>
      <xdr:spPr>
        <a:xfrm>
          <a:off x="2579594" y="452717"/>
          <a:ext cx="4793877" cy="0"/>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85725</xdr:colOff>
      <xdr:row>14</xdr:row>
      <xdr:rowOff>123265</xdr:rowOff>
    </xdr:from>
    <xdr:to>
      <xdr:col>4</xdr:col>
      <xdr:colOff>276225</xdr:colOff>
      <xdr:row>14</xdr:row>
      <xdr:rowOff>131134</xdr:rowOff>
    </xdr:to>
    <xdr:cxnSp macro="">
      <xdr:nvCxnSpPr>
        <xdr:cNvPr id="15" name="Straight Connector 14">
          <a:extLst>
            <a:ext uri="{FF2B5EF4-FFF2-40B4-BE49-F238E27FC236}">
              <a16:creationId xmlns:a16="http://schemas.microsoft.com/office/drawing/2014/main" id="{94A44F7C-92C2-46D5-8409-2DE48C7A2A3A}"/>
            </a:ext>
          </a:extLst>
        </xdr:cNvPr>
        <xdr:cNvCxnSpPr/>
      </xdr:nvCxnSpPr>
      <xdr:spPr>
        <a:xfrm flipV="1">
          <a:off x="242607" y="3137647"/>
          <a:ext cx="4908177" cy="7869"/>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84849</xdr:colOff>
      <xdr:row>31</xdr:row>
      <xdr:rowOff>178662</xdr:rowOff>
    </xdr:from>
    <xdr:to>
      <xdr:col>4</xdr:col>
      <xdr:colOff>342023</xdr:colOff>
      <xdr:row>32</xdr:row>
      <xdr:rowOff>7212</xdr:rowOff>
    </xdr:to>
    <xdr:cxnSp macro="">
      <xdr:nvCxnSpPr>
        <xdr:cNvPr id="16" name="Straight Connector 15">
          <a:extLst>
            <a:ext uri="{FF2B5EF4-FFF2-40B4-BE49-F238E27FC236}">
              <a16:creationId xmlns:a16="http://schemas.microsoft.com/office/drawing/2014/main" id="{D33E8283-00AF-4F41-BE85-B32C2D9F89B7}"/>
            </a:ext>
          </a:extLst>
        </xdr:cNvPr>
        <xdr:cNvCxnSpPr/>
      </xdr:nvCxnSpPr>
      <xdr:spPr>
        <a:xfrm flipV="1">
          <a:off x="241731" y="6431544"/>
          <a:ext cx="4974851" cy="19050"/>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42147</xdr:colOff>
      <xdr:row>47</xdr:row>
      <xdr:rowOff>168089</xdr:rowOff>
    </xdr:from>
    <xdr:to>
      <xdr:col>10</xdr:col>
      <xdr:colOff>581025</xdr:colOff>
      <xdr:row>63</xdr:row>
      <xdr:rowOff>86237</xdr:rowOff>
    </xdr:to>
    <xdr:sp macro="" textlink="">
      <xdr:nvSpPr>
        <xdr:cNvPr id="25" name="TextBox 24">
          <a:extLst>
            <a:ext uri="{FF2B5EF4-FFF2-40B4-BE49-F238E27FC236}">
              <a16:creationId xmlns:a16="http://schemas.microsoft.com/office/drawing/2014/main" id="{B6612D70-37C7-DCB1-8A6E-C94ACEA236D4}"/>
            </a:ext>
          </a:extLst>
        </xdr:cNvPr>
        <xdr:cNvSpPr txBox="1"/>
      </xdr:nvSpPr>
      <xdr:spPr>
        <a:xfrm>
          <a:off x="194547" y="9493064"/>
          <a:ext cx="7796928" cy="2966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4">
                  <a:lumMod val="50000"/>
                </a:schemeClr>
              </a:solidFill>
            </a:rPr>
            <a:t>Liquidity Analysis</a:t>
          </a:r>
        </a:p>
        <a:p>
          <a:endParaRPr lang="en-IN" sz="1050"/>
        </a:p>
        <a:p>
          <a:r>
            <a:rPr lang="en-IN" sz="1200"/>
            <a:t>The companys current ratio has</a:t>
          </a:r>
          <a:r>
            <a:rPr lang="en-IN" sz="1200" baseline="0"/>
            <a:t> been decreased from Q1-22 1.58X to Q1-23 1.09x, which shows companies ability to meet short term liabilities has weakened slightly.</a:t>
          </a:r>
        </a:p>
        <a:p>
          <a:endParaRPr lang="en-IN" sz="1200" baseline="0"/>
        </a:p>
        <a:p>
          <a:r>
            <a:rPr lang="en-IN" sz="1200" baseline="0"/>
            <a:t>The companys quick ratio which is stringent measure has decreased from Q1-22 0.85X to Q1-23 0.48X, this indicated companies quick ability to convert asset into cash has weakened significantly.</a:t>
          </a:r>
        </a:p>
        <a:p>
          <a:endParaRPr lang="en-IN" sz="1200" baseline="0"/>
        </a:p>
        <a:p>
          <a:r>
            <a:rPr lang="en-IN" sz="1200" baseline="0"/>
            <a:t>Same decrease with cash ratio which shows companies has less cash to meet its short-term obligation quickly.</a:t>
          </a:r>
        </a:p>
        <a:p>
          <a:endParaRPr lang="en-IN" sz="1200" baseline="0"/>
        </a:p>
        <a:p>
          <a:r>
            <a:rPr lang="en-IN" sz="1200" baseline="0"/>
            <a:t>Interest coverage ratio is negative and decreading drastically which is the direct impact of increasing negative operating income, this shows the high probability of risk on default of debt obligation.</a:t>
          </a:r>
        </a:p>
        <a:p>
          <a:endParaRPr lang="en-IN" sz="1200" baseline="0"/>
        </a:p>
        <a:p>
          <a:r>
            <a:rPr lang="en-IN" sz="1200" baseline="0"/>
            <a:t>Overall companises ability to meet short-term liability and debt obligation is weekened significantly. Company should soon take measure to improve this, if possible.</a:t>
          </a:r>
        </a:p>
      </xdr:txBody>
    </xdr:sp>
    <xdr:clientData/>
  </xdr:twoCellAnchor>
  <xdr:twoCellAnchor>
    <xdr:from>
      <xdr:col>1</xdr:col>
      <xdr:colOff>41414</xdr:colOff>
      <xdr:row>63</xdr:row>
      <xdr:rowOff>162275</xdr:rowOff>
    </xdr:from>
    <xdr:to>
      <xdr:col>10</xdr:col>
      <xdr:colOff>571499</xdr:colOff>
      <xdr:row>73</xdr:row>
      <xdr:rowOff>8282</xdr:rowOff>
    </xdr:to>
    <xdr:sp macro="" textlink="">
      <xdr:nvSpPr>
        <xdr:cNvPr id="27" name="TextBox 26">
          <a:extLst>
            <a:ext uri="{FF2B5EF4-FFF2-40B4-BE49-F238E27FC236}">
              <a16:creationId xmlns:a16="http://schemas.microsoft.com/office/drawing/2014/main" id="{3FFFF216-5F8A-AD4F-1B78-843417875031}"/>
            </a:ext>
          </a:extLst>
        </xdr:cNvPr>
        <xdr:cNvSpPr txBox="1"/>
      </xdr:nvSpPr>
      <xdr:spPr>
        <a:xfrm>
          <a:off x="193814" y="12535250"/>
          <a:ext cx="7788135" cy="17510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accent4">
                  <a:lumMod val="50000"/>
                </a:schemeClr>
              </a:solidFill>
              <a:effectLst/>
              <a:latin typeface="+mn-lt"/>
              <a:ea typeface="+mn-ea"/>
              <a:cs typeface="+mn-cs"/>
            </a:rPr>
            <a:t>Conclusion</a:t>
          </a:r>
        </a:p>
        <a:p>
          <a:endParaRPr lang="en-IN" sz="1050" b="0" i="0">
            <a:solidFill>
              <a:schemeClr val="dk1"/>
            </a:solidFill>
            <a:effectLst/>
            <a:latin typeface="+mn-lt"/>
            <a:ea typeface="+mn-ea"/>
            <a:cs typeface="+mn-cs"/>
          </a:endParaRPr>
        </a:p>
        <a:p>
          <a:r>
            <a:rPr lang="en-IN" sz="1200" b="0" i="0">
              <a:solidFill>
                <a:schemeClr val="dk1"/>
              </a:solidFill>
              <a:effectLst/>
              <a:latin typeface="+mn-lt"/>
              <a:ea typeface="+mn-ea"/>
              <a:cs typeface="+mn-cs"/>
            </a:rPr>
            <a:t>Porch Group is a tech company with two segment</a:t>
          </a:r>
          <a:r>
            <a:rPr lang="en-IN" sz="1200" b="0" i="0" baseline="0">
              <a:solidFill>
                <a:schemeClr val="dk1"/>
              </a:solidFill>
              <a:effectLst/>
              <a:latin typeface="+mn-lt"/>
              <a:ea typeface="+mn-ea"/>
              <a:cs typeface="+mn-cs"/>
            </a:rPr>
            <a:t> vertical software &amp; Insurance </a:t>
          </a:r>
          <a:r>
            <a:rPr lang="en-IN" sz="1200" b="0" i="0">
              <a:solidFill>
                <a:schemeClr val="dk1"/>
              </a:solidFill>
              <a:effectLst/>
              <a:latin typeface="+mn-lt"/>
              <a:ea typeface="+mn-ea"/>
              <a:cs typeface="+mn-cs"/>
            </a:rPr>
            <a:t>that has been growing rapidly, but it's now facing some challenges, such as Increasing</a:t>
          </a:r>
          <a:r>
            <a:rPr lang="en-IN" sz="1200" b="0" i="0" baseline="0">
              <a:solidFill>
                <a:schemeClr val="dk1"/>
              </a:solidFill>
              <a:effectLst/>
              <a:latin typeface="+mn-lt"/>
              <a:ea typeface="+mn-ea"/>
              <a:cs typeface="+mn-cs"/>
            </a:rPr>
            <a:t> expenses, </a:t>
          </a:r>
          <a:r>
            <a:rPr lang="en-IN" sz="1200" b="0" i="0">
              <a:solidFill>
                <a:schemeClr val="dk1"/>
              </a:solidFill>
              <a:effectLst/>
              <a:latin typeface="+mn-lt"/>
              <a:ea typeface="+mn-ea"/>
              <a:cs typeface="+mn-cs"/>
            </a:rPr>
            <a:t>falling profits and liquidity issues. Porch needs to fix these problems to be profitable, meet its financial obligations, and stay competitive in the tech industry,</a:t>
          </a:r>
          <a:r>
            <a:rPr lang="en-IN" sz="1200" b="0" i="0" baseline="0">
              <a:solidFill>
                <a:schemeClr val="dk1"/>
              </a:solidFill>
              <a:effectLst/>
              <a:latin typeface="+mn-lt"/>
              <a:ea typeface="+mn-ea"/>
              <a:cs typeface="+mn-cs"/>
            </a:rPr>
            <a:t> as it is very large and growing.</a:t>
          </a:r>
        </a:p>
        <a:p>
          <a:endParaRPr lang="en-IN" sz="1200" b="0" i="0" baseline="0">
            <a:solidFill>
              <a:schemeClr val="dk1"/>
            </a:solidFill>
            <a:effectLst/>
            <a:latin typeface="+mn-lt"/>
            <a:ea typeface="+mn-ea"/>
            <a:cs typeface="+mn-cs"/>
          </a:endParaRPr>
        </a:p>
        <a:p>
          <a:r>
            <a:rPr lang="en-IN" sz="1200" b="0" i="0">
              <a:solidFill>
                <a:schemeClr val="dk1"/>
              </a:solidFill>
              <a:effectLst/>
              <a:latin typeface="+mn-lt"/>
              <a:ea typeface="+mn-ea"/>
              <a:cs typeface="+mn-cs"/>
            </a:rPr>
            <a:t>Overall,</a:t>
          </a:r>
          <a:r>
            <a:rPr lang="en-IN" sz="1200" b="0" i="0" baseline="0">
              <a:solidFill>
                <a:schemeClr val="dk1"/>
              </a:solidFill>
              <a:effectLst/>
              <a:latin typeface="+mn-lt"/>
              <a:ea typeface="+mn-ea"/>
              <a:cs typeface="+mn-cs"/>
            </a:rPr>
            <a:t> I am cautious about Porch Group beacuse company is facing some serious challenges, and it is unclear whether it will be able to address them successfully.</a:t>
          </a:r>
          <a:endParaRPr lang="en-IN" sz="1200" b="0" i="0">
            <a:solidFill>
              <a:schemeClr val="dk1"/>
            </a:solidFill>
            <a:effectLst/>
            <a:latin typeface="+mn-lt"/>
            <a:ea typeface="+mn-ea"/>
            <a:cs typeface="+mn-cs"/>
          </a:endParaRPr>
        </a:p>
        <a:p>
          <a:endParaRPr lang="en-IN" sz="1050"/>
        </a:p>
      </xdr:txBody>
    </xdr:sp>
    <xdr:clientData/>
  </xdr:twoCellAnchor>
  <xdr:twoCellAnchor>
    <xdr:from>
      <xdr:col>1</xdr:col>
      <xdr:colOff>114741</xdr:colOff>
      <xdr:row>49</xdr:row>
      <xdr:rowOff>39121</xdr:rowOff>
    </xdr:from>
    <xdr:to>
      <xdr:col>4</xdr:col>
      <xdr:colOff>371915</xdr:colOff>
      <xdr:row>49</xdr:row>
      <xdr:rowOff>58171</xdr:rowOff>
    </xdr:to>
    <xdr:cxnSp macro="">
      <xdr:nvCxnSpPr>
        <xdr:cNvPr id="30" name="Straight Connector 29">
          <a:extLst>
            <a:ext uri="{FF2B5EF4-FFF2-40B4-BE49-F238E27FC236}">
              <a16:creationId xmlns:a16="http://schemas.microsoft.com/office/drawing/2014/main" id="{57233347-A3F0-47B7-9123-D8EBC3BCC868}"/>
            </a:ext>
          </a:extLst>
        </xdr:cNvPr>
        <xdr:cNvCxnSpPr/>
      </xdr:nvCxnSpPr>
      <xdr:spPr>
        <a:xfrm flipV="1">
          <a:off x="271623" y="9721003"/>
          <a:ext cx="4974851" cy="19050"/>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96986</xdr:colOff>
      <xdr:row>65</xdr:row>
      <xdr:rowOff>13677</xdr:rowOff>
    </xdr:from>
    <xdr:to>
      <xdr:col>4</xdr:col>
      <xdr:colOff>354160</xdr:colOff>
      <xdr:row>65</xdr:row>
      <xdr:rowOff>32727</xdr:rowOff>
    </xdr:to>
    <xdr:cxnSp macro="">
      <xdr:nvCxnSpPr>
        <xdr:cNvPr id="31" name="Straight Connector 30">
          <a:extLst>
            <a:ext uri="{FF2B5EF4-FFF2-40B4-BE49-F238E27FC236}">
              <a16:creationId xmlns:a16="http://schemas.microsoft.com/office/drawing/2014/main" id="{1BB278CD-A033-4B58-8638-FAE50E425855}"/>
            </a:ext>
          </a:extLst>
        </xdr:cNvPr>
        <xdr:cNvCxnSpPr/>
      </xdr:nvCxnSpPr>
      <xdr:spPr>
        <a:xfrm flipV="1">
          <a:off x="246073" y="12785460"/>
          <a:ext cx="4721500" cy="19050"/>
        </a:xfrm>
        <a:prstGeom prst="line">
          <a:avLst/>
        </a:prstGeom>
        <a:ln w="38100">
          <a:solidFill>
            <a:schemeClr val="accent4">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13137</xdr:colOff>
      <xdr:row>187</xdr:row>
      <xdr:rowOff>45982</xdr:rowOff>
    </xdr:from>
    <xdr:to>
      <xdr:col>4</xdr:col>
      <xdr:colOff>209550</xdr:colOff>
      <xdr:row>200</xdr:row>
      <xdr:rowOff>145675</xdr:rowOff>
    </xdr:to>
    <xdr:graphicFrame macro="">
      <xdr:nvGraphicFramePr>
        <xdr:cNvPr id="5" name="Chart 4">
          <a:extLst>
            <a:ext uri="{FF2B5EF4-FFF2-40B4-BE49-F238E27FC236}">
              <a16:creationId xmlns:a16="http://schemas.microsoft.com/office/drawing/2014/main" id="{B485A776-E730-C9D7-68C6-49609A254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179294</xdr:colOff>
      <xdr:row>201</xdr:row>
      <xdr:rowOff>190498</xdr:rowOff>
    </xdr:from>
    <xdr:to>
      <xdr:col>7</xdr:col>
      <xdr:colOff>683559</xdr:colOff>
      <xdr:row>219</xdr:row>
      <xdr:rowOff>179293</xdr:rowOff>
    </xdr:to>
    <xdr:graphicFrame macro="">
      <xdr:nvGraphicFramePr>
        <xdr:cNvPr id="7" name="Chart 6">
          <a:extLst>
            <a:ext uri="{FF2B5EF4-FFF2-40B4-BE49-F238E27FC236}">
              <a16:creationId xmlns:a16="http://schemas.microsoft.com/office/drawing/2014/main" id="{CFF21C57-6778-7C32-CB0D-EF4567B89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123265</xdr:colOff>
      <xdr:row>221</xdr:row>
      <xdr:rowOff>67234</xdr:rowOff>
    </xdr:from>
    <xdr:to>
      <xdr:col>8</xdr:col>
      <xdr:colOff>0</xdr:colOff>
      <xdr:row>237</xdr:row>
      <xdr:rowOff>33617</xdr:rowOff>
    </xdr:to>
    <xdr:graphicFrame macro="">
      <xdr:nvGraphicFramePr>
        <xdr:cNvPr id="17" name="Chart 16">
          <a:extLst>
            <a:ext uri="{FF2B5EF4-FFF2-40B4-BE49-F238E27FC236}">
              <a16:creationId xmlns:a16="http://schemas.microsoft.com/office/drawing/2014/main" id="{7E5248E2-14BD-4A65-A39E-E7729B3E6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254876</xdr:colOff>
      <xdr:row>187</xdr:row>
      <xdr:rowOff>47626</xdr:rowOff>
    </xdr:from>
    <xdr:to>
      <xdr:col>8</xdr:col>
      <xdr:colOff>262217</xdr:colOff>
      <xdr:row>200</xdr:row>
      <xdr:rowOff>117586</xdr:rowOff>
    </xdr:to>
    <xdr:graphicFrame macro="">
      <xdr:nvGraphicFramePr>
        <xdr:cNvPr id="19" name="Chart 18">
          <a:extLst>
            <a:ext uri="{FF2B5EF4-FFF2-40B4-BE49-F238E27FC236}">
              <a16:creationId xmlns:a16="http://schemas.microsoft.com/office/drawing/2014/main" id="{5D9A9C43-51E6-D32A-023E-AF72C966D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89648</xdr:colOff>
      <xdr:row>1</xdr:row>
      <xdr:rowOff>22414</xdr:rowOff>
    </xdr:from>
    <xdr:to>
      <xdr:col>2</xdr:col>
      <xdr:colOff>561975</xdr:colOff>
      <xdr:row>9</xdr:row>
      <xdr:rowOff>212377</xdr:rowOff>
    </xdr:to>
    <xdr:pic>
      <xdr:nvPicPr>
        <xdr:cNvPr id="32" name="Picture 31">
          <a:extLst>
            <a:ext uri="{FF2B5EF4-FFF2-40B4-BE49-F238E27FC236}">
              <a16:creationId xmlns:a16="http://schemas.microsoft.com/office/drawing/2014/main" id="{03EC96D5-4D4F-0DF0-C1FF-BE73D9C118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648" y="212914"/>
          <a:ext cx="2024902" cy="2047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223E-D691-4175-B893-A6F6BDD1F182}">
  <dimension ref="A1:G55"/>
  <sheetViews>
    <sheetView topLeftCell="A36" workbookViewId="0">
      <selection activeCell="G55" sqref="G55"/>
    </sheetView>
  </sheetViews>
  <sheetFormatPr defaultRowHeight="15"/>
  <cols>
    <col min="1" max="1" width="47.85546875" customWidth="1"/>
    <col min="2" max="6" width="12.5703125" bestFit="1" customWidth="1"/>
    <col min="7" max="7" width="13.42578125" bestFit="1" customWidth="1"/>
  </cols>
  <sheetData>
    <row r="1" spans="1:7">
      <c r="A1" s="6" t="s">
        <v>0</v>
      </c>
      <c r="B1" s="7" t="s">
        <v>1</v>
      </c>
      <c r="C1" s="1" t="s">
        <v>76</v>
      </c>
      <c r="D1" s="1" t="s">
        <v>79</v>
      </c>
      <c r="E1" s="1" t="s">
        <v>80</v>
      </c>
      <c r="F1" s="7" t="s">
        <v>82</v>
      </c>
      <c r="G1" s="7" t="s">
        <v>83</v>
      </c>
    </row>
    <row r="2" spans="1:7">
      <c r="A2" s="8" t="s">
        <v>2</v>
      </c>
      <c r="C2" s="3" t="s">
        <v>77</v>
      </c>
      <c r="D2" s="3" t="s">
        <v>77</v>
      </c>
    </row>
    <row r="3" spans="1:7">
      <c r="A3" s="9" t="s">
        <v>3</v>
      </c>
      <c r="B3" s="4">
        <v>292373</v>
      </c>
      <c r="C3" s="4">
        <v>271003</v>
      </c>
      <c r="D3" s="4">
        <v>260198</v>
      </c>
      <c r="E3" s="4">
        <v>215060</v>
      </c>
      <c r="F3" s="4">
        <v>179357</v>
      </c>
      <c r="G3" s="21">
        <v>265573</v>
      </c>
    </row>
    <row r="4" spans="1:7">
      <c r="A4" s="9" t="s">
        <v>4</v>
      </c>
      <c r="B4" s="5">
        <v>29996</v>
      </c>
      <c r="C4" s="5">
        <v>36050</v>
      </c>
      <c r="D4" s="5">
        <v>35364</v>
      </c>
      <c r="E4" s="5">
        <v>26438</v>
      </c>
      <c r="F4" s="5">
        <v>23600</v>
      </c>
      <c r="G4" s="22">
        <v>24715</v>
      </c>
    </row>
    <row r="5" spans="1:7">
      <c r="A5" s="9" t="s">
        <v>5</v>
      </c>
      <c r="B5" s="5">
        <v>8462</v>
      </c>
      <c r="C5" s="5">
        <v>8165</v>
      </c>
      <c r="D5" s="5">
        <v>7212</v>
      </c>
      <c r="E5" s="5">
        <v>36523</v>
      </c>
      <c r="F5" s="5">
        <v>34441</v>
      </c>
      <c r="G5" s="22">
        <v>26151</v>
      </c>
    </row>
    <row r="6" spans="1:7">
      <c r="A6" s="9" t="s">
        <v>6</v>
      </c>
      <c r="B6" s="5">
        <v>239739</v>
      </c>
      <c r="C6" s="5">
        <v>269251</v>
      </c>
      <c r="D6" s="5">
        <v>299596</v>
      </c>
      <c r="E6" s="5">
        <v>299060</v>
      </c>
      <c r="F6" s="5">
        <v>292775</v>
      </c>
      <c r="G6" s="22">
        <v>272467</v>
      </c>
    </row>
    <row r="7" spans="1:7">
      <c r="A7" s="9" t="s">
        <v>7</v>
      </c>
      <c r="B7" s="5">
        <v>21087</v>
      </c>
      <c r="C7" s="5">
        <v>21953</v>
      </c>
      <c r="D7" s="5">
        <v>20158</v>
      </c>
      <c r="E7" s="5">
        <v>20009</v>
      </c>
      <c r="F7" s="5">
        <v>30834</v>
      </c>
      <c r="G7" s="22">
        <v>29665</v>
      </c>
    </row>
    <row r="8" spans="1:7">
      <c r="A8" s="9" t="s">
        <v>8</v>
      </c>
      <c r="B8" s="5">
        <v>10162</v>
      </c>
      <c r="C8" s="5">
        <v>10574</v>
      </c>
      <c r="D8" s="5">
        <v>16296</v>
      </c>
      <c r="E8" s="5">
        <v>13545</v>
      </c>
      <c r="F8" s="5">
        <v>14796</v>
      </c>
      <c r="G8" s="22">
        <v>39277</v>
      </c>
    </row>
    <row r="9" spans="1:7">
      <c r="A9" s="9" t="s">
        <v>9</v>
      </c>
      <c r="B9" s="5">
        <v>601819</v>
      </c>
      <c r="C9" s="5">
        <v>616996</v>
      </c>
      <c r="D9" s="5">
        <v>638824</v>
      </c>
      <c r="E9" s="5">
        <v>610635</v>
      </c>
      <c r="F9" s="5">
        <v>575803</v>
      </c>
      <c r="G9" s="22">
        <v>657848</v>
      </c>
    </row>
    <row r="10" spans="1:7">
      <c r="A10" s="9" t="s">
        <v>10</v>
      </c>
      <c r="B10" s="5">
        <v>8340</v>
      </c>
      <c r="C10" s="5">
        <v>9984</v>
      </c>
      <c r="D10" s="5">
        <v>11236</v>
      </c>
      <c r="E10" s="5">
        <v>12240</v>
      </c>
      <c r="F10" s="5">
        <v>13727</v>
      </c>
      <c r="G10" s="22">
        <v>14768</v>
      </c>
    </row>
    <row r="11" spans="1:7">
      <c r="A11" s="9" t="s">
        <v>11</v>
      </c>
      <c r="B11" s="5">
        <v>3922</v>
      </c>
      <c r="C11" s="5">
        <v>6052</v>
      </c>
      <c r="D11" s="5">
        <v>4697</v>
      </c>
      <c r="E11" s="5">
        <v>4201</v>
      </c>
      <c r="F11" s="5">
        <v>4151</v>
      </c>
      <c r="G11" s="22">
        <v>3698</v>
      </c>
    </row>
    <row r="12" spans="1:7">
      <c r="A12" s="9" t="s">
        <v>12</v>
      </c>
      <c r="B12" s="5">
        <v>226576</v>
      </c>
      <c r="C12" s="5">
        <v>297645</v>
      </c>
      <c r="D12" s="5">
        <v>251905</v>
      </c>
      <c r="E12" s="5">
        <v>244697</v>
      </c>
      <c r="F12" s="5">
        <v>247118</v>
      </c>
      <c r="G12" s="22">
        <v>191907</v>
      </c>
    </row>
    <row r="13" spans="1:7">
      <c r="A13" s="9" t="s">
        <v>13</v>
      </c>
      <c r="B13" s="5">
        <v>56865</v>
      </c>
      <c r="C13" s="5">
        <v>56228</v>
      </c>
      <c r="D13" s="5">
        <v>55357</v>
      </c>
      <c r="E13" s="5">
        <v>55118</v>
      </c>
      <c r="F13" s="5">
        <v>58678</v>
      </c>
      <c r="G13" s="22">
        <v>66579</v>
      </c>
    </row>
    <row r="14" spans="1:7">
      <c r="A14" s="9" t="s">
        <v>14</v>
      </c>
      <c r="B14" s="5">
        <v>124306</v>
      </c>
      <c r="C14" s="5">
        <v>136575</v>
      </c>
      <c r="D14" s="5">
        <v>111728</v>
      </c>
      <c r="E14" s="5">
        <v>108255</v>
      </c>
      <c r="F14" s="5">
        <v>101753</v>
      </c>
      <c r="G14" s="22">
        <v>96826</v>
      </c>
    </row>
    <row r="15" spans="1:7">
      <c r="A15" s="9" t="s">
        <v>15</v>
      </c>
      <c r="B15" s="5">
        <v>500</v>
      </c>
      <c r="C15" s="5">
        <v>500</v>
      </c>
      <c r="D15" s="5">
        <v>500</v>
      </c>
      <c r="E15" s="3" t="s">
        <v>77</v>
      </c>
      <c r="F15" s="5">
        <v>13140</v>
      </c>
      <c r="G15" s="5"/>
    </row>
    <row r="16" spans="1:7">
      <c r="A16" s="9" t="s">
        <v>16</v>
      </c>
      <c r="B16" s="5">
        <v>9061</v>
      </c>
      <c r="C16" s="5">
        <v>10461</v>
      </c>
      <c r="D16" s="5">
        <v>11930</v>
      </c>
      <c r="E16" s="5">
        <v>12265</v>
      </c>
      <c r="F16" s="5"/>
      <c r="G16" s="22">
        <v>13502</v>
      </c>
    </row>
    <row r="17" spans="1:7">
      <c r="A17" s="9" t="s">
        <v>17</v>
      </c>
      <c r="B17" s="5">
        <v>5373</v>
      </c>
      <c r="C17" s="5">
        <v>1519</v>
      </c>
      <c r="D17" s="5">
        <v>3057</v>
      </c>
      <c r="E17" s="5">
        <v>1646</v>
      </c>
      <c r="F17" s="5">
        <v>2346</v>
      </c>
      <c r="G17" s="22">
        <v>2015</v>
      </c>
    </row>
    <row r="18" spans="1:7">
      <c r="A18" s="9" t="s">
        <v>18</v>
      </c>
      <c r="B18" s="5">
        <v>1036762</v>
      </c>
      <c r="C18" s="5">
        <v>1135960</v>
      </c>
      <c r="D18" s="5">
        <v>1089234</v>
      </c>
      <c r="E18" s="5">
        <v>1049057</v>
      </c>
      <c r="F18" s="5">
        <v>1016716</v>
      </c>
      <c r="G18" s="22">
        <v>1047143</v>
      </c>
    </row>
    <row r="19" spans="1:7">
      <c r="A19" s="8" t="s">
        <v>19</v>
      </c>
      <c r="C19" s="3" t="s">
        <v>77</v>
      </c>
      <c r="D19" s="3" t="s">
        <v>77</v>
      </c>
      <c r="E19" s="3" t="s">
        <v>77</v>
      </c>
      <c r="F19" s="3" t="s">
        <v>77</v>
      </c>
      <c r="G19" s="5"/>
    </row>
    <row r="20" spans="1:7">
      <c r="A20" s="9" t="s">
        <v>20</v>
      </c>
      <c r="B20" s="5">
        <v>8016</v>
      </c>
      <c r="C20" s="5">
        <v>7739</v>
      </c>
      <c r="D20" s="5">
        <v>6717</v>
      </c>
      <c r="E20" s="5">
        <v>6268</v>
      </c>
      <c r="F20" s="5">
        <v>6200</v>
      </c>
      <c r="G20" s="22">
        <v>9330</v>
      </c>
    </row>
    <row r="21" spans="1:7">
      <c r="A21" s="9" t="s">
        <v>21</v>
      </c>
      <c r="B21" s="5">
        <v>35029</v>
      </c>
      <c r="C21" s="5">
        <v>46614</v>
      </c>
      <c r="D21" s="5">
        <v>36847</v>
      </c>
      <c r="E21" s="5">
        <v>39742</v>
      </c>
      <c r="F21" s="5">
        <v>38856</v>
      </c>
      <c r="G21" s="22">
        <v>33873</v>
      </c>
    </row>
    <row r="22" spans="1:7">
      <c r="A22" s="9" t="s">
        <v>22</v>
      </c>
      <c r="B22" s="5">
        <v>198857</v>
      </c>
      <c r="C22" s="5">
        <v>243982</v>
      </c>
      <c r="D22" s="5">
        <v>277616</v>
      </c>
      <c r="E22" s="5">
        <v>270690</v>
      </c>
      <c r="F22" s="5">
        <v>246502</v>
      </c>
      <c r="G22" s="22">
        <v>256617</v>
      </c>
    </row>
    <row r="23" spans="1:7">
      <c r="A23" s="9" t="s">
        <v>23</v>
      </c>
      <c r="B23" s="5">
        <v>16686</v>
      </c>
      <c r="C23" s="5">
        <v>21618</v>
      </c>
      <c r="D23" s="5">
        <v>22585</v>
      </c>
      <c r="E23" s="5">
        <v>20142</v>
      </c>
      <c r="F23" s="5">
        <v>20984</v>
      </c>
      <c r="G23" s="22">
        <v>19929</v>
      </c>
    </row>
    <row r="24" spans="1:7">
      <c r="A24" s="9" t="s">
        <v>24</v>
      </c>
      <c r="B24" s="5">
        <v>150</v>
      </c>
      <c r="C24" s="5">
        <v>19013</v>
      </c>
      <c r="D24" s="5">
        <v>22832</v>
      </c>
      <c r="E24" s="5">
        <v>16455</v>
      </c>
      <c r="F24" s="5">
        <v>10392</v>
      </c>
      <c r="G24" s="22">
        <v>5439</v>
      </c>
    </row>
    <row r="25" spans="1:7">
      <c r="A25" s="9" t="s">
        <v>25</v>
      </c>
      <c r="B25" s="5">
        <v>79608</v>
      </c>
      <c r="C25" s="5">
        <v>88894</v>
      </c>
      <c r="D25" s="5">
        <v>100298</v>
      </c>
      <c r="E25" s="5">
        <v>100632</v>
      </c>
      <c r="F25" s="5">
        <v>115527</v>
      </c>
      <c r="G25" s="22">
        <v>165709</v>
      </c>
    </row>
    <row r="26" spans="1:7">
      <c r="A26" s="9" t="s">
        <v>26</v>
      </c>
      <c r="B26" s="5">
        <v>43049</v>
      </c>
      <c r="C26" s="5">
        <v>61516</v>
      </c>
      <c r="D26" s="5">
        <v>55945</v>
      </c>
      <c r="E26" s="5">
        <v>61710</v>
      </c>
      <c r="F26" s="5">
        <v>78422</v>
      </c>
      <c r="G26" s="22">
        <v>112849</v>
      </c>
    </row>
    <row r="27" spans="1:7">
      <c r="A27" s="9" t="s">
        <v>27</v>
      </c>
      <c r="B27" s="5">
        <v>381395</v>
      </c>
      <c r="C27" s="5">
        <v>489376</v>
      </c>
      <c r="D27" s="5">
        <v>522840</v>
      </c>
      <c r="E27" s="5">
        <v>515639</v>
      </c>
      <c r="F27" s="5">
        <v>516883</v>
      </c>
      <c r="G27" s="22">
        <v>603746</v>
      </c>
    </row>
    <row r="28" spans="1:7">
      <c r="A28" s="9" t="s">
        <v>28</v>
      </c>
      <c r="B28" s="5">
        <v>415002</v>
      </c>
      <c r="C28" s="5">
        <v>416568</v>
      </c>
      <c r="D28" s="5">
        <v>425012</v>
      </c>
      <c r="E28" s="5">
        <v>425310</v>
      </c>
      <c r="F28" s="5">
        <v>425383</v>
      </c>
      <c r="G28" s="22">
        <v>426965</v>
      </c>
    </row>
    <row r="29" spans="1:7">
      <c r="A29" s="9" t="s">
        <v>29</v>
      </c>
      <c r="B29" s="5">
        <v>2267</v>
      </c>
      <c r="C29" s="5">
        <v>3622</v>
      </c>
      <c r="D29" s="5">
        <v>2968</v>
      </c>
      <c r="E29" s="5">
        <v>2536</v>
      </c>
      <c r="F29" s="5">
        <v>2585</v>
      </c>
      <c r="G29" s="22">
        <v>2137</v>
      </c>
    </row>
    <row r="30" spans="1:7">
      <c r="A30" s="9" t="s">
        <v>30</v>
      </c>
      <c r="B30" s="5">
        <v>2687</v>
      </c>
      <c r="C30" s="5">
        <v>100</v>
      </c>
      <c r="D30" s="5">
        <v>57</v>
      </c>
      <c r="E30" s="5">
        <v>44</v>
      </c>
      <c r="F30" s="5">
        <v>44</v>
      </c>
      <c r="G30" s="22">
        <v>44</v>
      </c>
    </row>
    <row r="31" spans="1:7">
      <c r="A31" s="9" t="s">
        <v>31</v>
      </c>
      <c r="B31" s="5">
        <v>5004</v>
      </c>
      <c r="C31" s="5">
        <v>926</v>
      </c>
      <c r="D31" s="5">
        <v>802</v>
      </c>
      <c r="E31" s="5">
        <v>707</v>
      </c>
      <c r="F31" s="5">
        <v>362</v>
      </c>
      <c r="G31" s="22">
        <v>347</v>
      </c>
    </row>
    <row r="32" spans="1:7">
      <c r="A32" s="23" t="s">
        <v>97</v>
      </c>
      <c r="B32" s="5"/>
      <c r="C32" s="5"/>
      <c r="D32" s="5"/>
      <c r="E32" s="5"/>
      <c r="F32" s="5"/>
      <c r="G32" s="22">
        <v>26820</v>
      </c>
    </row>
    <row r="33" spans="1:7">
      <c r="A33" s="9" t="s">
        <v>32</v>
      </c>
      <c r="B33" s="5">
        <v>15528</v>
      </c>
      <c r="C33" s="5">
        <v>30825</v>
      </c>
      <c r="D33" s="5">
        <v>24952</v>
      </c>
      <c r="E33" s="5">
        <v>25468</v>
      </c>
      <c r="F33" s="5">
        <v>26183</v>
      </c>
      <c r="G33" s="22">
        <v>23826</v>
      </c>
    </row>
    <row r="34" spans="1:7">
      <c r="A34" s="9" t="s">
        <v>33</v>
      </c>
      <c r="B34" s="5">
        <v>821883</v>
      </c>
      <c r="C34" s="5">
        <v>941417</v>
      </c>
      <c r="D34" s="5">
        <v>976631</v>
      </c>
      <c r="E34" s="5">
        <v>969704</v>
      </c>
      <c r="F34" s="5">
        <v>971440</v>
      </c>
      <c r="G34" s="5">
        <v>1083885</v>
      </c>
    </row>
    <row r="35" spans="1:7">
      <c r="A35" s="9" t="s">
        <v>34</v>
      </c>
      <c r="B35" s="20"/>
      <c r="C35" s="3" t="s">
        <v>77</v>
      </c>
      <c r="D35" s="3" t="s">
        <v>77</v>
      </c>
      <c r="E35" s="3" t="s">
        <v>35</v>
      </c>
      <c r="F35" s="3" t="s">
        <v>35</v>
      </c>
      <c r="G35" s="3" t="s">
        <v>35</v>
      </c>
    </row>
    <row r="36" spans="1:7">
      <c r="A36" s="8" t="s">
        <v>36</v>
      </c>
      <c r="C36" s="3" t="s">
        <v>77</v>
      </c>
      <c r="D36" s="3" t="s">
        <v>77</v>
      </c>
      <c r="E36" s="3" t="s">
        <v>77</v>
      </c>
      <c r="F36" s="3" t="s">
        <v>77</v>
      </c>
      <c r="G36" s="3" t="s">
        <v>77</v>
      </c>
    </row>
    <row r="37" spans="1:7">
      <c r="A37" s="9" t="s">
        <v>37</v>
      </c>
      <c r="B37" s="5">
        <v>10</v>
      </c>
      <c r="C37" s="5">
        <v>10</v>
      </c>
      <c r="D37" s="5">
        <v>10</v>
      </c>
      <c r="E37" s="5">
        <v>10</v>
      </c>
      <c r="F37" s="5">
        <v>10</v>
      </c>
      <c r="G37" s="5">
        <v>10</v>
      </c>
    </row>
    <row r="38" spans="1:7">
      <c r="A38" s="9" t="s">
        <v>38</v>
      </c>
      <c r="B38" s="5">
        <v>647551</v>
      </c>
      <c r="C38" s="5">
        <v>659814</v>
      </c>
      <c r="D38" s="5">
        <v>664362</v>
      </c>
      <c r="E38" s="5">
        <v>670537</v>
      </c>
      <c r="F38" s="5">
        <v>677426</v>
      </c>
      <c r="G38" s="5">
        <v>683151</v>
      </c>
    </row>
    <row r="39" spans="1:7">
      <c r="A39" s="9" t="s">
        <v>39</v>
      </c>
      <c r="B39" s="5">
        <v>-2774</v>
      </c>
      <c r="C39" s="5">
        <v>-4559</v>
      </c>
      <c r="D39" s="5">
        <v>-6571</v>
      </c>
      <c r="E39" s="5">
        <v>-6171</v>
      </c>
      <c r="F39" s="5">
        <v>-5296</v>
      </c>
      <c r="G39" s="5">
        <v>-6076</v>
      </c>
    </row>
    <row r="40" spans="1:7">
      <c r="A40" s="9" t="s">
        <v>40</v>
      </c>
      <c r="B40" s="5">
        <v>-429908</v>
      </c>
      <c r="C40" s="5">
        <v>-460722</v>
      </c>
      <c r="D40" s="5">
        <v>-545198</v>
      </c>
      <c r="E40" s="5">
        <v>-585023</v>
      </c>
      <c r="F40" s="5">
        <v>-626864</v>
      </c>
      <c r="G40" s="5">
        <v>-713827</v>
      </c>
    </row>
    <row r="41" spans="1:7">
      <c r="A41" s="9" t="s">
        <v>41</v>
      </c>
      <c r="B41" s="5">
        <v>214879</v>
      </c>
      <c r="C41" s="5">
        <v>194543</v>
      </c>
      <c r="D41" s="5">
        <v>112603</v>
      </c>
      <c r="E41" s="5">
        <v>79353</v>
      </c>
      <c r="F41" s="5">
        <v>45276</v>
      </c>
      <c r="G41" s="5">
        <v>-36742</v>
      </c>
    </row>
    <row r="42" spans="1:7">
      <c r="A42" s="9" t="s">
        <v>42</v>
      </c>
      <c r="B42" s="4">
        <v>1036762</v>
      </c>
      <c r="C42" s="4">
        <v>1135960</v>
      </c>
      <c r="D42" s="4">
        <v>1089234</v>
      </c>
      <c r="E42" s="4">
        <v>1049057</v>
      </c>
      <c r="F42" s="4">
        <v>1016716</v>
      </c>
      <c r="G42" s="4">
        <v>1047143</v>
      </c>
    </row>
    <row r="43" spans="1:7">
      <c r="B43" s="57"/>
      <c r="C43" s="57"/>
      <c r="D43" s="57"/>
      <c r="E43" s="57"/>
      <c r="F43" s="57"/>
      <c r="G43" s="57"/>
    </row>
    <row r="44" spans="1:7">
      <c r="A44" s="2" t="s">
        <v>43</v>
      </c>
    </row>
    <row r="45" spans="1:7">
      <c r="A45" s="3" t="s">
        <v>44</v>
      </c>
      <c r="B45" s="4">
        <v>12822</v>
      </c>
      <c r="C45" s="4">
        <v>29858</v>
      </c>
      <c r="D45" s="4">
        <v>23228</v>
      </c>
      <c r="E45" s="4">
        <v>24546</v>
      </c>
      <c r="F45" s="4">
        <v>24198</v>
      </c>
      <c r="G45" s="4">
        <v>21328</v>
      </c>
    </row>
    <row r="46" spans="1:7">
      <c r="A46" s="3" t="s">
        <v>45</v>
      </c>
      <c r="B46" s="10">
        <v>1E-4</v>
      </c>
      <c r="C46" s="10">
        <v>1E-4</v>
      </c>
      <c r="D46" s="10">
        <v>1E-4</v>
      </c>
      <c r="E46" s="10">
        <v>1E-4</v>
      </c>
      <c r="F46" s="10">
        <v>1E-4</v>
      </c>
      <c r="G46" s="10">
        <v>1E-4</v>
      </c>
    </row>
    <row r="47" spans="1:7">
      <c r="A47" s="3" t="s">
        <v>46</v>
      </c>
      <c r="B47" s="5">
        <v>400000000</v>
      </c>
      <c r="C47" s="5">
        <v>400000000</v>
      </c>
      <c r="D47" s="5">
        <v>400000000</v>
      </c>
      <c r="E47" s="5">
        <v>400000000</v>
      </c>
      <c r="F47" s="5">
        <v>400000000</v>
      </c>
      <c r="G47" s="5">
        <v>400000000</v>
      </c>
    </row>
    <row r="48" spans="1:7">
      <c r="A48" s="3" t="s">
        <v>47</v>
      </c>
      <c r="B48" s="5">
        <v>98297186</v>
      </c>
      <c r="C48" s="5">
        <v>99440528</v>
      </c>
      <c r="D48" s="5">
        <v>100410325</v>
      </c>
      <c r="E48" s="5">
        <v>98455838</v>
      </c>
      <c r="F48" s="5">
        <v>97018032</v>
      </c>
      <c r="G48" s="5">
        <v>98168956</v>
      </c>
    </row>
    <row r="49" spans="1:7">
      <c r="A49" s="3" t="s">
        <v>48</v>
      </c>
      <c r="B49" s="5">
        <v>98297186</v>
      </c>
      <c r="C49" s="5">
        <v>99440528</v>
      </c>
      <c r="D49" s="3" t="s">
        <v>77</v>
      </c>
      <c r="E49" s="5">
        <v>98455838</v>
      </c>
      <c r="F49" s="5">
        <v>97018032</v>
      </c>
      <c r="G49" s="5">
        <v>98168956</v>
      </c>
    </row>
    <row r="51" spans="1:7">
      <c r="B51" s="58">
        <v>0.55000000000000004</v>
      </c>
    </row>
    <row r="52" spans="1:7">
      <c r="B52" s="5">
        <v>214879</v>
      </c>
      <c r="C52" s="5">
        <v>194543</v>
      </c>
      <c r="D52" s="5">
        <v>112603</v>
      </c>
      <c r="E52" s="5">
        <v>79353</v>
      </c>
      <c r="F52" s="5">
        <v>45276</v>
      </c>
      <c r="G52" s="5">
        <v>-36742</v>
      </c>
    </row>
    <row r="53" spans="1:7">
      <c r="B53">
        <f>B52*1000</f>
        <v>214879000</v>
      </c>
      <c r="C53">
        <f t="shared" ref="C53:G53" si="0">C52*1000</f>
        <v>194543000</v>
      </c>
      <c r="D53">
        <f t="shared" si="0"/>
        <v>112603000</v>
      </c>
      <c r="E53">
        <f t="shared" si="0"/>
        <v>79353000</v>
      </c>
      <c r="F53">
        <f t="shared" si="0"/>
        <v>45276000</v>
      </c>
      <c r="G53">
        <f t="shared" si="0"/>
        <v>-36742000</v>
      </c>
    </row>
    <row r="54" spans="1:7">
      <c r="B54">
        <f>B53/'Profit &amp; Loss'!B31</f>
        <v>2.2365866032314683</v>
      </c>
      <c r="C54">
        <f>C53/'Profit &amp; Loss'!C31</f>
        <v>2.0026628396157906</v>
      </c>
      <c r="D54">
        <f>D53/'Profit &amp; Loss'!D31</f>
        <v>1.1514483960602904</v>
      </c>
      <c r="E54">
        <f>E53/'Profit &amp; Loss'!E31</f>
        <v>0.80671362053800788</v>
      </c>
      <c r="F54">
        <f>F53/'Profit &amp; Loss'!F31</f>
        <v>0.47553918782263416</v>
      </c>
      <c r="G54">
        <f>G53/'Profit &amp; Loss'!G31</f>
        <v>-0.38380121140456391</v>
      </c>
    </row>
    <row r="55" spans="1:7">
      <c r="B55">
        <f>$B$51/B54</f>
        <v>0.24591044192312886</v>
      </c>
      <c r="C55">
        <f t="shared" ref="C55:G55" si="1">$B$51/C54</f>
        <v>0.27463434639128631</v>
      </c>
      <c r="D55">
        <f t="shared" si="1"/>
        <v>0.47765926973526462</v>
      </c>
      <c r="E55">
        <f t="shared" si="1"/>
        <v>0.68177849734729634</v>
      </c>
      <c r="F55">
        <f t="shared" si="1"/>
        <v>1.1565818634596696</v>
      </c>
      <c r="G55">
        <f t="shared" si="1"/>
        <v>-1.4330335175004083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3764-E8D2-42FE-8B61-F9A17F353B4C}">
  <dimension ref="A1:G42"/>
  <sheetViews>
    <sheetView topLeftCell="A31" workbookViewId="0">
      <selection activeCell="A49" sqref="A49"/>
    </sheetView>
  </sheetViews>
  <sheetFormatPr defaultRowHeight="15"/>
  <cols>
    <col min="1" max="1" width="63.28515625" customWidth="1"/>
    <col min="2" max="2" width="12.7109375" bestFit="1" customWidth="1"/>
    <col min="3" max="3" width="13" customWidth="1"/>
    <col min="4" max="4" width="14.42578125" customWidth="1"/>
    <col min="5" max="5" width="12.28515625" bestFit="1" customWidth="1"/>
    <col min="6" max="6" width="12.42578125" bestFit="1" customWidth="1"/>
    <col min="7" max="7" width="12" bestFit="1" customWidth="1"/>
  </cols>
  <sheetData>
    <row r="1" spans="1:7">
      <c r="A1" s="13" t="s">
        <v>49</v>
      </c>
      <c r="B1" s="12"/>
    </row>
    <row r="2" spans="1:7">
      <c r="A2" s="14"/>
      <c r="B2" s="7" t="s">
        <v>1</v>
      </c>
      <c r="C2" s="1" t="s">
        <v>76</v>
      </c>
      <c r="D2" s="7" t="s">
        <v>79</v>
      </c>
      <c r="E2" s="7" t="s">
        <v>80</v>
      </c>
      <c r="F2" s="7" t="s">
        <v>82</v>
      </c>
      <c r="G2" s="1" t="s">
        <v>83</v>
      </c>
    </row>
    <row r="3" spans="1:7">
      <c r="A3" s="8" t="s">
        <v>50</v>
      </c>
      <c r="D3" s="3" t="s">
        <v>77</v>
      </c>
      <c r="G3" s="3" t="s">
        <v>77</v>
      </c>
    </row>
    <row r="4" spans="1:7">
      <c r="A4" s="9" t="s">
        <v>51</v>
      </c>
      <c r="B4" s="4">
        <v>62561</v>
      </c>
      <c r="C4" s="4">
        <v>70769</v>
      </c>
      <c r="D4" s="4">
        <v>75366</v>
      </c>
      <c r="E4" s="4">
        <v>64113</v>
      </c>
      <c r="F4" s="4">
        <v>87369</v>
      </c>
      <c r="G4" s="4">
        <v>98765</v>
      </c>
    </row>
    <row r="5" spans="1:7">
      <c r="A5" s="8" t="s">
        <v>52</v>
      </c>
      <c r="C5" s="3" t="s">
        <v>77</v>
      </c>
      <c r="D5" s="3" t="s">
        <v>77</v>
      </c>
      <c r="E5" s="3" t="s">
        <v>77</v>
      </c>
      <c r="F5" s="3" t="s">
        <v>77</v>
      </c>
      <c r="G5" s="3" t="s">
        <v>77</v>
      </c>
    </row>
    <row r="6" spans="1:7">
      <c r="A6" s="9" t="s">
        <v>53</v>
      </c>
      <c r="B6" s="5">
        <v>-21189</v>
      </c>
      <c r="C6" s="5">
        <v>-28558</v>
      </c>
      <c r="D6" s="5">
        <v>-33269</v>
      </c>
      <c r="E6" s="5">
        <v>-20170</v>
      </c>
      <c r="F6" s="5">
        <v>-51275</v>
      </c>
      <c r="G6" s="5">
        <v>-81330</v>
      </c>
    </row>
    <row r="7" spans="1:7">
      <c r="A7" s="9" t="s">
        <v>54</v>
      </c>
      <c r="B7" s="5">
        <v>25743</v>
      </c>
      <c r="C7" s="5">
        <v>28826</v>
      </c>
      <c r="D7" s="5">
        <v>30245</v>
      </c>
      <c r="E7" s="5">
        <v>28031</v>
      </c>
      <c r="F7" s="5">
        <v>32585</v>
      </c>
      <c r="G7" s="5">
        <v>34637</v>
      </c>
    </row>
    <row r="8" spans="1:7">
      <c r="A8" s="9" t="s">
        <v>55</v>
      </c>
      <c r="B8" s="5">
        <v>14231</v>
      </c>
      <c r="C8" s="5">
        <v>15777</v>
      </c>
      <c r="D8" s="5">
        <v>14438</v>
      </c>
      <c r="E8" s="5">
        <v>15119</v>
      </c>
      <c r="F8" s="5">
        <v>13950</v>
      </c>
      <c r="G8" s="5">
        <v>15495</v>
      </c>
    </row>
    <row r="9" spans="1:7">
      <c r="A9" s="9" t="s">
        <v>56</v>
      </c>
      <c r="B9" s="5">
        <v>26699</v>
      </c>
      <c r="C9" s="5">
        <v>28405</v>
      </c>
      <c r="D9" s="5">
        <v>25257</v>
      </c>
      <c r="E9" s="5">
        <v>30259</v>
      </c>
      <c r="F9" s="5">
        <v>26066</v>
      </c>
      <c r="G9" s="5">
        <v>22779</v>
      </c>
    </row>
    <row r="10" spans="1:7">
      <c r="A10" s="3" t="s">
        <v>84</v>
      </c>
      <c r="B10" s="5"/>
      <c r="C10" s="5"/>
      <c r="D10" s="5"/>
      <c r="E10" s="5"/>
      <c r="F10" s="5"/>
      <c r="G10" s="5">
        <v>48718</v>
      </c>
    </row>
    <row r="11" spans="1:7">
      <c r="A11" s="9" t="s">
        <v>81</v>
      </c>
      <c r="B11" s="5"/>
      <c r="C11" s="5"/>
      <c r="D11" s="5">
        <v>57057</v>
      </c>
      <c r="E11" s="5">
        <v>4329</v>
      </c>
      <c r="F11" s="5">
        <v>2021</v>
      </c>
      <c r="G11" s="5">
        <v>55211</v>
      </c>
    </row>
    <row r="12" spans="1:7">
      <c r="A12" s="9" t="s">
        <v>57</v>
      </c>
      <c r="B12" s="5">
        <v>87862</v>
      </c>
      <c r="C12" s="5">
        <v>101566</v>
      </c>
      <c r="D12" s="5">
        <v>160266</v>
      </c>
      <c r="E12" s="5">
        <v>97908</v>
      </c>
      <c r="F12" s="5">
        <v>125897</v>
      </c>
      <c r="G12" s="5">
        <v>258170</v>
      </c>
    </row>
    <row r="13" spans="1:7">
      <c r="A13" s="9" t="s">
        <v>58</v>
      </c>
      <c r="B13" s="5">
        <v>-25301</v>
      </c>
      <c r="C13" s="5">
        <v>-30797</v>
      </c>
      <c r="D13" s="5">
        <v>-84900</v>
      </c>
      <c r="E13" s="5">
        <v>-33795</v>
      </c>
      <c r="F13" s="5">
        <v>-38528</v>
      </c>
      <c r="G13" s="5">
        <v>-159405</v>
      </c>
    </row>
    <row r="14" spans="1:7">
      <c r="A14" s="8" t="s">
        <v>59</v>
      </c>
      <c r="G14" s="3" t="s">
        <v>77</v>
      </c>
    </row>
    <row r="15" spans="1:7">
      <c r="A15" s="9" t="s">
        <v>60</v>
      </c>
      <c r="B15" s="5">
        <v>-2293</v>
      </c>
      <c r="C15" s="5">
        <v>-1858</v>
      </c>
      <c r="D15" s="5">
        <v>-2085</v>
      </c>
      <c r="E15" s="5">
        <v>-2219</v>
      </c>
      <c r="F15" s="5">
        <v>-2188</v>
      </c>
      <c r="G15" s="5">
        <v>-8775</v>
      </c>
    </row>
    <row r="16" spans="1:7">
      <c r="A16" s="9" t="s">
        <v>61</v>
      </c>
      <c r="B16" s="5">
        <v>11179</v>
      </c>
      <c r="C16" s="5">
        <v>2587</v>
      </c>
      <c r="D16" s="5">
        <v>43</v>
      </c>
      <c r="E16" s="5">
        <v>13</v>
      </c>
      <c r="F16" s="3" t="s">
        <v>77</v>
      </c>
      <c r="G16" s="3" t="s">
        <v>77</v>
      </c>
    </row>
    <row r="17" spans="1:7">
      <c r="A17" s="9" t="s">
        <v>62</v>
      </c>
      <c r="B17" s="5">
        <v>10189</v>
      </c>
      <c r="C17" s="5">
        <v>4078</v>
      </c>
      <c r="D17" s="5">
        <v>124</v>
      </c>
      <c r="E17" s="5">
        <v>95</v>
      </c>
      <c r="F17" s="5">
        <v>345</v>
      </c>
      <c r="G17" s="5">
        <v>15</v>
      </c>
    </row>
    <row r="18" spans="1:7">
      <c r="A18" s="3" t="s">
        <v>85</v>
      </c>
      <c r="B18" s="5"/>
      <c r="C18" s="5"/>
      <c r="D18" s="5"/>
      <c r="E18" s="5"/>
      <c r="F18" s="5"/>
      <c r="G18" s="5">
        <v>-2950</v>
      </c>
    </row>
    <row r="19" spans="1:7">
      <c r="A19" s="3" t="s">
        <v>78</v>
      </c>
      <c r="B19" s="5"/>
      <c r="C19" s="5"/>
      <c r="G19" s="5">
        <v>81354</v>
      </c>
    </row>
    <row r="20" spans="1:7">
      <c r="A20" s="9" t="s">
        <v>63</v>
      </c>
      <c r="B20" s="5">
        <v>197</v>
      </c>
      <c r="C20" s="5">
        <v>243</v>
      </c>
      <c r="D20" s="5">
        <v>335</v>
      </c>
      <c r="E20" s="5">
        <v>399</v>
      </c>
      <c r="F20" s="5">
        <v>758</v>
      </c>
      <c r="G20" s="5">
        <v>1249</v>
      </c>
    </row>
    <row r="21" spans="1:7">
      <c r="A21" s="9" t="s">
        <v>64</v>
      </c>
      <c r="B21" s="5">
        <v>56</v>
      </c>
      <c r="C21" s="5">
        <v>-162</v>
      </c>
      <c r="D21" s="5">
        <v>69</v>
      </c>
      <c r="E21" s="5">
        <v>608</v>
      </c>
      <c r="F21" s="5">
        <v>762</v>
      </c>
      <c r="G21" s="5">
        <v>1578</v>
      </c>
    </row>
    <row r="22" spans="1:7">
      <c r="A22" s="9" t="s">
        <v>65</v>
      </c>
      <c r="B22" s="5">
        <v>19328</v>
      </c>
      <c r="C22" s="5">
        <v>4888</v>
      </c>
      <c r="D22" s="5">
        <v>-1514</v>
      </c>
      <c r="E22" s="5">
        <v>-1104</v>
      </c>
      <c r="F22" s="5">
        <v>-323</v>
      </c>
      <c r="G22" s="5">
        <v>72471</v>
      </c>
    </row>
    <row r="23" spans="1:7">
      <c r="A23" s="9" t="s">
        <v>66</v>
      </c>
      <c r="B23" s="5">
        <v>-5973</v>
      </c>
      <c r="C23" s="5">
        <v>-25909</v>
      </c>
      <c r="D23" s="5">
        <v>-86414</v>
      </c>
      <c r="E23" s="5">
        <v>-34899</v>
      </c>
      <c r="F23" s="5">
        <v>-38851</v>
      </c>
      <c r="G23" s="5">
        <v>-86934</v>
      </c>
    </row>
    <row r="24" spans="1:7">
      <c r="A24" s="9" t="s">
        <v>67</v>
      </c>
      <c r="B24" s="5">
        <v>177</v>
      </c>
      <c r="C24" s="5">
        <v>-468</v>
      </c>
      <c r="D24" s="5">
        <v>23</v>
      </c>
      <c r="E24" s="5">
        <v>-574</v>
      </c>
      <c r="F24" s="5">
        <v>111</v>
      </c>
      <c r="G24" s="5">
        <v>-29</v>
      </c>
    </row>
    <row r="25" spans="1:7">
      <c r="A25" s="9" t="s">
        <v>68</v>
      </c>
      <c r="B25" s="4">
        <v>-5796</v>
      </c>
      <c r="C25" s="4">
        <v>-26377</v>
      </c>
      <c r="D25" s="4">
        <v>-86391</v>
      </c>
      <c r="E25" s="4">
        <v>-35473</v>
      </c>
      <c r="F25" s="4">
        <v>-38740</v>
      </c>
      <c r="G25" s="4">
        <v>-86963</v>
      </c>
    </row>
    <row r="26" spans="1:7">
      <c r="A26" s="9"/>
      <c r="B26" s="4"/>
      <c r="C26" s="4"/>
    </row>
    <row r="27" spans="1:7">
      <c r="A27" s="8" t="s">
        <v>69</v>
      </c>
      <c r="E27" s="3" t="s">
        <v>77</v>
      </c>
    </row>
    <row r="28" spans="1:7">
      <c r="A28" s="9" t="s">
        <v>70</v>
      </c>
      <c r="B28" s="11">
        <v>-0.06</v>
      </c>
      <c r="C28" s="11">
        <v>-0.27</v>
      </c>
      <c r="D28" s="11">
        <v>-0.88</v>
      </c>
      <c r="E28" s="11">
        <v>-0.36</v>
      </c>
      <c r="F28" s="11">
        <v>-0.41</v>
      </c>
      <c r="G28" s="11">
        <v>-0.91</v>
      </c>
    </row>
    <row r="29" spans="1:7">
      <c r="A29" s="9" t="s">
        <v>71</v>
      </c>
      <c r="B29" s="11">
        <v>-0.06</v>
      </c>
      <c r="C29" s="11">
        <v>-0.27</v>
      </c>
      <c r="D29" s="11">
        <v>-0.88</v>
      </c>
      <c r="E29" s="11">
        <v>-0.36</v>
      </c>
      <c r="F29" s="11">
        <v>-0.41</v>
      </c>
      <c r="G29" s="11">
        <v>-0.91</v>
      </c>
    </row>
    <row r="30" spans="1:7">
      <c r="A30" s="8" t="s">
        <v>72</v>
      </c>
    </row>
    <row r="31" spans="1:7">
      <c r="A31" s="9" t="s">
        <v>73</v>
      </c>
      <c r="B31" s="5">
        <v>96074527</v>
      </c>
      <c r="C31" s="5">
        <v>97142163</v>
      </c>
      <c r="D31" s="5">
        <v>97792485</v>
      </c>
      <c r="E31" s="5">
        <v>98365762</v>
      </c>
      <c r="F31" s="5">
        <v>95209819</v>
      </c>
      <c r="G31" s="5">
        <v>95731850</v>
      </c>
    </row>
    <row r="32" spans="1:7">
      <c r="A32" s="9" t="s">
        <v>74</v>
      </c>
      <c r="B32" s="5">
        <v>96074527</v>
      </c>
      <c r="C32" s="5">
        <v>97142163</v>
      </c>
      <c r="D32" s="5">
        <v>97792485</v>
      </c>
      <c r="E32" s="5">
        <v>98365762</v>
      </c>
      <c r="F32" s="5">
        <v>95209819</v>
      </c>
      <c r="G32" s="5">
        <v>95731850</v>
      </c>
    </row>
    <row r="36" spans="1:6">
      <c r="A36" s="9" t="s">
        <v>75</v>
      </c>
      <c r="B36" s="4">
        <v>5854</v>
      </c>
      <c r="C36" s="4">
        <v>9702</v>
      </c>
      <c r="D36" s="4">
        <v>5089</v>
      </c>
      <c r="F36" s="4">
        <v>6894</v>
      </c>
    </row>
    <row r="37" spans="1:6">
      <c r="A37" s="9" t="s">
        <v>54</v>
      </c>
      <c r="C37" s="3" t="s">
        <v>77</v>
      </c>
      <c r="D37" s="3" t="s">
        <v>77</v>
      </c>
      <c r="F37" s="3" t="s">
        <v>77</v>
      </c>
    </row>
    <row r="38" spans="1:6">
      <c r="A38" s="9" t="s">
        <v>75</v>
      </c>
      <c r="B38" s="5">
        <v>632</v>
      </c>
      <c r="C38" s="5">
        <v>1270</v>
      </c>
      <c r="D38" s="5">
        <v>1689</v>
      </c>
      <c r="F38" s="5">
        <v>1045</v>
      </c>
    </row>
    <row r="39" spans="1:6">
      <c r="A39" s="9" t="s">
        <v>55</v>
      </c>
      <c r="C39" s="3" t="s">
        <v>77</v>
      </c>
      <c r="D39" s="3" t="s">
        <v>77</v>
      </c>
      <c r="F39" s="3" t="s">
        <v>77</v>
      </c>
    </row>
    <row r="40" spans="1:6">
      <c r="A40" s="9" t="s">
        <v>75</v>
      </c>
      <c r="B40" s="5">
        <v>1137</v>
      </c>
      <c r="C40" s="5">
        <v>1840</v>
      </c>
      <c r="D40" s="5">
        <v>911</v>
      </c>
      <c r="F40" s="5">
        <v>1449</v>
      </c>
    </row>
    <row r="41" spans="1:6">
      <c r="A41" s="9" t="s">
        <v>56</v>
      </c>
      <c r="C41" s="3" t="s">
        <v>77</v>
      </c>
      <c r="D41" s="3" t="s">
        <v>77</v>
      </c>
      <c r="F41" s="3" t="s">
        <v>77</v>
      </c>
    </row>
    <row r="42" spans="1:6">
      <c r="A42" s="9" t="s">
        <v>75</v>
      </c>
      <c r="B42" s="4">
        <v>4085</v>
      </c>
      <c r="C42" s="4">
        <v>6592</v>
      </c>
      <c r="D42" s="4">
        <v>2489</v>
      </c>
      <c r="F42" s="4">
        <v>4400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F302C-7DB0-4390-A0FB-1C9F04B4832B}">
  <sheetPr>
    <pageSetUpPr fitToPage="1"/>
  </sheetPr>
  <dimension ref="B3:N183"/>
  <sheetViews>
    <sheetView showGridLines="0" tabSelected="1" topLeftCell="A223" zoomScaleNormal="100" workbookViewId="0">
      <selection activeCell="K230" sqref="K230"/>
    </sheetView>
  </sheetViews>
  <sheetFormatPr defaultRowHeight="15"/>
  <cols>
    <col min="1" max="1" width="2.28515625" customWidth="1"/>
    <col min="2" max="2" width="21" customWidth="1"/>
    <col min="3" max="3" width="14.42578125" bestFit="1" customWidth="1"/>
    <col min="4" max="4" width="10.85546875" bestFit="1" customWidth="1"/>
    <col min="5" max="6" width="11.28515625" bestFit="1" customWidth="1"/>
    <col min="7" max="8" width="10.85546875" bestFit="1" customWidth="1"/>
  </cols>
  <sheetData>
    <row r="3" spans="2:2" ht="18.75">
      <c r="B3" s="24"/>
    </row>
    <row r="4" spans="2:2" ht="18.75">
      <c r="B4" s="24"/>
    </row>
    <row r="5" spans="2:2" ht="18.75">
      <c r="B5" s="24"/>
    </row>
    <row r="6" spans="2:2" ht="18.75">
      <c r="B6" s="24"/>
    </row>
    <row r="7" spans="2:2" ht="18.75">
      <c r="B7" s="24"/>
    </row>
    <row r="8" spans="2:2" ht="18.75">
      <c r="B8" s="24"/>
    </row>
    <row r="9" spans="2:2" ht="18.75">
      <c r="B9" s="24"/>
    </row>
    <row r="10" spans="2:2" ht="18.75">
      <c r="B10" s="24"/>
    </row>
    <row r="14" spans="2:2" ht="14.25" customHeight="1"/>
    <row r="75" spans="2:14" ht="24.95" customHeight="1">
      <c r="B75" s="59" t="s">
        <v>129</v>
      </c>
      <c r="C75" s="59"/>
      <c r="D75" s="59"/>
      <c r="E75" s="59"/>
      <c r="F75" s="59"/>
      <c r="G75" s="59"/>
      <c r="H75" s="59"/>
    </row>
    <row r="76" spans="2:14">
      <c r="B76" s="15" t="s">
        <v>87</v>
      </c>
    </row>
    <row r="77" spans="2:14">
      <c r="B77" s="33"/>
      <c r="C77" s="34">
        <v>44621</v>
      </c>
      <c r="D77" s="34">
        <v>44713</v>
      </c>
      <c r="E77" s="34">
        <v>44805</v>
      </c>
      <c r="F77" s="34">
        <v>44896</v>
      </c>
      <c r="G77" s="34">
        <v>44986</v>
      </c>
      <c r="H77" s="34">
        <v>45078</v>
      </c>
      <c r="N77" t="s">
        <v>35</v>
      </c>
    </row>
    <row r="78" spans="2:14">
      <c r="B78" s="30" t="s">
        <v>51</v>
      </c>
      <c r="C78" s="19">
        <f>'Profit &amp; Loss'!B4</f>
        <v>62561</v>
      </c>
      <c r="D78" s="19">
        <f>'Profit &amp; Loss'!C4</f>
        <v>70769</v>
      </c>
      <c r="E78" s="19">
        <f>'Profit &amp; Loss'!D4</f>
        <v>75366</v>
      </c>
      <c r="F78" s="19">
        <f>'Profit &amp; Loss'!E4</f>
        <v>64113</v>
      </c>
      <c r="G78" s="19">
        <f>'Profit &amp; Loss'!F4</f>
        <v>87369</v>
      </c>
      <c r="H78" s="19">
        <f>'Profit &amp; Loss'!G4</f>
        <v>98765</v>
      </c>
    </row>
    <row r="79" spans="2:14">
      <c r="B79" s="31" t="s">
        <v>53</v>
      </c>
      <c r="C79" s="19">
        <f>'Profit &amp; Loss'!B6</f>
        <v>-21189</v>
      </c>
      <c r="D79" s="19">
        <f>'Profit &amp; Loss'!C6</f>
        <v>-28558</v>
      </c>
      <c r="E79" s="19">
        <f>'Profit &amp; Loss'!D6</f>
        <v>-33269</v>
      </c>
      <c r="F79" s="19">
        <f>'Profit &amp; Loss'!E6</f>
        <v>-20170</v>
      </c>
      <c r="G79" s="19">
        <f>'Profit &amp; Loss'!F6</f>
        <v>-51275</v>
      </c>
      <c r="H79" s="19">
        <f>'Profit &amp; Loss'!G6</f>
        <v>-81330</v>
      </c>
    </row>
    <row r="80" spans="2:14">
      <c r="B80" s="36" t="s">
        <v>86</v>
      </c>
      <c r="C80" s="35">
        <f t="shared" ref="C80:H80" si="0">SUM(C78:C79)</f>
        <v>41372</v>
      </c>
      <c r="D80" s="35">
        <f t="shared" si="0"/>
        <v>42211</v>
      </c>
      <c r="E80" s="35">
        <f t="shared" si="0"/>
        <v>42097</v>
      </c>
      <c r="F80" s="35">
        <f t="shared" si="0"/>
        <v>43943</v>
      </c>
      <c r="G80" s="35">
        <f t="shared" si="0"/>
        <v>36094</v>
      </c>
      <c r="H80" s="35">
        <f t="shared" si="0"/>
        <v>17435</v>
      </c>
    </row>
    <row r="81" spans="2:8">
      <c r="C81" s="19"/>
      <c r="D81" s="25"/>
      <c r="E81" s="25"/>
      <c r="F81" s="25"/>
      <c r="G81" s="25"/>
      <c r="H81" s="25"/>
    </row>
    <row r="82" spans="2:8">
      <c r="B82" s="31" t="s">
        <v>57</v>
      </c>
      <c r="C82" s="19">
        <f>SUM('Profit &amp; Loss'!B7:B11)</f>
        <v>66673</v>
      </c>
      <c r="D82" s="19">
        <f>SUM('Profit &amp; Loss'!C7:C11)</f>
        <v>73008</v>
      </c>
      <c r="E82" s="19">
        <f>SUM('Profit &amp; Loss'!D7:D11)</f>
        <v>126997</v>
      </c>
      <c r="F82" s="19">
        <f>SUM('Profit &amp; Loss'!E7:E11)</f>
        <v>77738</v>
      </c>
      <c r="G82" s="19">
        <f>SUM('Profit &amp; Loss'!F7:F11)</f>
        <v>74622</v>
      </c>
      <c r="H82" s="19">
        <f>SUM('Profit &amp; Loss'!G7:G11)</f>
        <v>176840</v>
      </c>
    </row>
    <row r="83" spans="2:8">
      <c r="B83" s="37" t="s">
        <v>88</v>
      </c>
      <c r="C83" s="35">
        <f t="shared" ref="C83:H83" si="1">C80-C82</f>
        <v>-25301</v>
      </c>
      <c r="D83" s="35">
        <f t="shared" si="1"/>
        <v>-30797</v>
      </c>
      <c r="E83" s="35">
        <f t="shared" si="1"/>
        <v>-84900</v>
      </c>
      <c r="F83" s="35">
        <f t="shared" si="1"/>
        <v>-33795</v>
      </c>
      <c r="G83" s="35">
        <f t="shared" si="1"/>
        <v>-38528</v>
      </c>
      <c r="H83" s="35">
        <f t="shared" si="1"/>
        <v>-159405</v>
      </c>
    </row>
    <row r="84" spans="2:8">
      <c r="B84" s="9"/>
      <c r="C84" s="19"/>
      <c r="D84" s="19"/>
      <c r="E84" s="19"/>
      <c r="F84" s="19"/>
      <c r="G84" s="19"/>
      <c r="H84" s="19"/>
    </row>
    <row r="85" spans="2:8">
      <c r="B85" s="31" t="s">
        <v>91</v>
      </c>
      <c r="C85" s="19">
        <f>SUM('Profit &amp; Loss'!B16:B21)</f>
        <v>21621</v>
      </c>
      <c r="D85" s="19">
        <f>SUM('Profit &amp; Loss'!C16:C21)</f>
        <v>6746</v>
      </c>
      <c r="E85" s="19">
        <f>SUM('Profit &amp; Loss'!D16:D21)</f>
        <v>571</v>
      </c>
      <c r="F85" s="19">
        <f>SUM('Profit &amp; Loss'!E16:E21)</f>
        <v>1115</v>
      </c>
      <c r="G85" s="19">
        <f>SUM('Profit &amp; Loss'!F16:F21)</f>
        <v>1865</v>
      </c>
      <c r="H85" s="19">
        <f>SUM('Profit &amp; Loss'!G16:G21)</f>
        <v>81246</v>
      </c>
    </row>
    <row r="86" spans="2:8">
      <c r="B86" s="37" t="s">
        <v>89</v>
      </c>
      <c r="C86" s="35">
        <f>SUM(C83+C85)</f>
        <v>-3680</v>
      </c>
      <c r="D86" s="35">
        <f t="shared" ref="D86:H86" si="2">SUM(D83+D85)</f>
        <v>-24051</v>
      </c>
      <c r="E86" s="35">
        <f t="shared" si="2"/>
        <v>-84329</v>
      </c>
      <c r="F86" s="35">
        <f t="shared" si="2"/>
        <v>-32680</v>
      </c>
      <c r="G86" s="35">
        <f t="shared" si="2"/>
        <v>-36663</v>
      </c>
      <c r="H86" s="35">
        <f t="shared" si="2"/>
        <v>-78159</v>
      </c>
    </row>
    <row r="87" spans="2:8">
      <c r="C87" s="19"/>
      <c r="D87" s="19"/>
      <c r="E87" s="19"/>
      <c r="F87" s="19"/>
      <c r="G87" s="19"/>
      <c r="H87" s="19"/>
    </row>
    <row r="88" spans="2:8">
      <c r="B88" s="31" t="s">
        <v>92</v>
      </c>
      <c r="C88" s="19">
        <f>'Profit &amp; Loss'!B15</f>
        <v>-2293</v>
      </c>
      <c r="D88" s="19">
        <f>'Profit &amp; Loss'!C15</f>
        <v>-1858</v>
      </c>
      <c r="E88" s="19">
        <f>'Profit &amp; Loss'!D15</f>
        <v>-2085</v>
      </c>
      <c r="F88" s="19">
        <f>'Profit &amp; Loss'!E15</f>
        <v>-2219</v>
      </c>
      <c r="G88" s="19">
        <f>'Profit &amp; Loss'!F15</f>
        <v>-2188</v>
      </c>
      <c r="H88" s="19">
        <f>'Profit &amp; Loss'!G15</f>
        <v>-8775</v>
      </c>
    </row>
    <row r="89" spans="2:8">
      <c r="B89" s="37" t="s">
        <v>90</v>
      </c>
      <c r="C89" s="35">
        <f>SUM(C86+C88)</f>
        <v>-5973</v>
      </c>
      <c r="D89" s="35">
        <f t="shared" ref="D89:H89" si="3">SUM(D86+D88)</f>
        <v>-25909</v>
      </c>
      <c r="E89" s="35">
        <f t="shared" si="3"/>
        <v>-86414</v>
      </c>
      <c r="F89" s="35">
        <f t="shared" si="3"/>
        <v>-34899</v>
      </c>
      <c r="G89" s="35">
        <f t="shared" si="3"/>
        <v>-38851</v>
      </c>
      <c r="H89" s="35">
        <f t="shared" si="3"/>
        <v>-86934</v>
      </c>
    </row>
    <row r="90" spans="2:8">
      <c r="B90" s="16"/>
      <c r="C90" s="19"/>
      <c r="D90" s="19"/>
      <c r="E90" s="19"/>
      <c r="F90" s="19"/>
      <c r="G90" s="19"/>
      <c r="H90" s="19"/>
    </row>
    <row r="91" spans="2:8" ht="15.75" thickBot="1">
      <c r="B91" s="31" t="s">
        <v>93</v>
      </c>
      <c r="C91" s="19">
        <f>'Profit &amp; Loss'!B24</f>
        <v>177</v>
      </c>
      <c r="D91" s="19">
        <f>'Profit &amp; Loss'!C24</f>
        <v>-468</v>
      </c>
      <c r="E91" s="19">
        <f>'Profit &amp; Loss'!D24</f>
        <v>23</v>
      </c>
      <c r="F91" s="19">
        <f>'Profit &amp; Loss'!E24</f>
        <v>-574</v>
      </c>
      <c r="G91" s="19">
        <f>'Profit &amp; Loss'!F24</f>
        <v>111</v>
      </c>
      <c r="H91" s="19">
        <f>'Profit &amp; Loss'!G24</f>
        <v>-29</v>
      </c>
    </row>
    <row r="92" spans="2:8">
      <c r="B92" s="43" t="s">
        <v>94</v>
      </c>
      <c r="C92" s="44">
        <f>SUM(C89+C91)</f>
        <v>-5796</v>
      </c>
      <c r="D92" s="44">
        <f t="shared" ref="D92:H92" si="4">SUM(D89+D91)</f>
        <v>-26377</v>
      </c>
      <c r="E92" s="44">
        <f t="shared" si="4"/>
        <v>-86391</v>
      </c>
      <c r="F92" s="44">
        <f t="shared" si="4"/>
        <v>-35473</v>
      </c>
      <c r="G92" s="44">
        <f t="shared" si="4"/>
        <v>-38740</v>
      </c>
      <c r="H92" s="44">
        <f t="shared" si="4"/>
        <v>-86963</v>
      </c>
    </row>
    <row r="95" spans="2:8" ht="24.95" customHeight="1">
      <c r="B95" s="59" t="s">
        <v>98</v>
      </c>
      <c r="C95" s="59"/>
      <c r="D95" s="59"/>
      <c r="E95" s="59"/>
      <c r="F95" s="59"/>
      <c r="G95" s="59"/>
      <c r="H95" s="59"/>
    </row>
    <row r="96" spans="2:8">
      <c r="B96" s="15" t="s">
        <v>87</v>
      </c>
    </row>
    <row r="97" spans="2:8">
      <c r="B97" s="33"/>
      <c r="C97" s="34">
        <f>C77</f>
        <v>44621</v>
      </c>
      <c r="D97" s="34">
        <f t="shared" ref="D97:H97" si="5">D77</f>
        <v>44713</v>
      </c>
      <c r="E97" s="34">
        <f t="shared" si="5"/>
        <v>44805</v>
      </c>
      <c r="F97" s="34">
        <f t="shared" si="5"/>
        <v>44896</v>
      </c>
      <c r="G97" s="34">
        <f t="shared" si="5"/>
        <v>44986</v>
      </c>
      <c r="H97" s="34">
        <f t="shared" si="5"/>
        <v>45078</v>
      </c>
    </row>
    <row r="98" spans="2:8">
      <c r="B98" s="31" t="s">
        <v>3</v>
      </c>
      <c r="C98" s="19">
        <f>'Balance Sheet'!B3</f>
        <v>292373</v>
      </c>
      <c r="D98" s="19">
        <f>'Balance Sheet'!C3</f>
        <v>271003</v>
      </c>
      <c r="E98" s="19">
        <f>'Balance Sheet'!D3</f>
        <v>260198</v>
      </c>
      <c r="F98" s="19">
        <f>'Balance Sheet'!E3</f>
        <v>215060</v>
      </c>
      <c r="G98" s="19">
        <f>'Balance Sheet'!F3</f>
        <v>179357</v>
      </c>
      <c r="H98" s="19">
        <f>'Balance Sheet'!G3</f>
        <v>265573</v>
      </c>
    </row>
    <row r="99" spans="2:8">
      <c r="B99" s="31" t="s">
        <v>4</v>
      </c>
      <c r="C99" s="19">
        <f>'Balance Sheet'!B4</f>
        <v>29996</v>
      </c>
      <c r="D99" s="19">
        <f>'Balance Sheet'!C4</f>
        <v>36050</v>
      </c>
      <c r="E99" s="19">
        <f>'Balance Sheet'!D4</f>
        <v>35364</v>
      </c>
      <c r="F99" s="19">
        <f>'Balance Sheet'!E4</f>
        <v>26438</v>
      </c>
      <c r="G99" s="19">
        <f>'Balance Sheet'!F4</f>
        <v>23600</v>
      </c>
      <c r="H99" s="19">
        <f>'Balance Sheet'!G4</f>
        <v>24715</v>
      </c>
    </row>
    <row r="100" spans="2:8">
      <c r="B100" s="31" t="s">
        <v>5</v>
      </c>
      <c r="C100" s="19">
        <f>'Balance Sheet'!B5</f>
        <v>8462</v>
      </c>
      <c r="D100" s="19">
        <f>'Balance Sheet'!C5</f>
        <v>8165</v>
      </c>
      <c r="E100" s="19">
        <f>'Balance Sheet'!D5</f>
        <v>7212</v>
      </c>
      <c r="F100" s="19">
        <f>'Balance Sheet'!E5</f>
        <v>36523</v>
      </c>
      <c r="G100" s="19">
        <f>'Balance Sheet'!F5</f>
        <v>34441</v>
      </c>
      <c r="H100" s="19">
        <f>'Balance Sheet'!G5</f>
        <v>26151</v>
      </c>
    </row>
    <row r="101" spans="2:8">
      <c r="B101" s="31" t="s">
        <v>6</v>
      </c>
      <c r="C101" s="19">
        <f>'Balance Sheet'!B6</f>
        <v>239739</v>
      </c>
      <c r="D101" s="19">
        <f>'Balance Sheet'!C6</f>
        <v>269251</v>
      </c>
      <c r="E101" s="19">
        <f>'Balance Sheet'!D6</f>
        <v>299596</v>
      </c>
      <c r="F101" s="19">
        <f>'Balance Sheet'!E6</f>
        <v>299060</v>
      </c>
      <c r="G101" s="19">
        <f>'Balance Sheet'!F6</f>
        <v>292775</v>
      </c>
      <c r="H101" s="19">
        <f>'Balance Sheet'!G6</f>
        <v>272467</v>
      </c>
    </row>
    <row r="102" spans="2:8">
      <c r="B102" s="31" t="s">
        <v>7</v>
      </c>
      <c r="C102" s="19">
        <f>'Balance Sheet'!B7</f>
        <v>21087</v>
      </c>
      <c r="D102" s="19">
        <f>'Balance Sheet'!C7</f>
        <v>21953</v>
      </c>
      <c r="E102" s="19">
        <f>'Balance Sheet'!D7</f>
        <v>20158</v>
      </c>
      <c r="F102" s="19">
        <f>'Balance Sheet'!E7</f>
        <v>20009</v>
      </c>
      <c r="G102" s="19">
        <f>'Balance Sheet'!F7</f>
        <v>30834</v>
      </c>
      <c r="H102" s="19">
        <f>'Balance Sheet'!G7</f>
        <v>29665</v>
      </c>
    </row>
    <row r="103" spans="2:8">
      <c r="B103" s="31" t="s">
        <v>8</v>
      </c>
      <c r="C103" s="19">
        <f>'Balance Sheet'!B8</f>
        <v>10162</v>
      </c>
      <c r="D103" s="19">
        <f>'Balance Sheet'!C8</f>
        <v>10574</v>
      </c>
      <c r="E103" s="19">
        <f>'Balance Sheet'!D8</f>
        <v>16296</v>
      </c>
      <c r="F103" s="19">
        <f>'Balance Sheet'!E8</f>
        <v>13545</v>
      </c>
      <c r="G103" s="19">
        <f>'Balance Sheet'!F8</f>
        <v>14796</v>
      </c>
      <c r="H103" s="19">
        <f>'Balance Sheet'!G8</f>
        <v>39277</v>
      </c>
    </row>
    <row r="104" spans="2:8">
      <c r="B104" s="38" t="s">
        <v>95</v>
      </c>
      <c r="C104" s="35">
        <f>SUM(C98:C103)</f>
        <v>601819</v>
      </c>
      <c r="D104" s="35">
        <f t="shared" ref="D104:H104" si="6">SUM(D98:D103)</f>
        <v>616996</v>
      </c>
      <c r="E104" s="35">
        <f t="shared" si="6"/>
        <v>638824</v>
      </c>
      <c r="F104" s="35">
        <f t="shared" si="6"/>
        <v>610635</v>
      </c>
      <c r="G104" s="35">
        <f t="shared" si="6"/>
        <v>575803</v>
      </c>
      <c r="H104" s="35">
        <f t="shared" si="6"/>
        <v>657848</v>
      </c>
    </row>
    <row r="105" spans="2:8">
      <c r="C105" s="19"/>
      <c r="D105" s="19"/>
      <c r="E105" s="19"/>
      <c r="F105" s="19"/>
      <c r="G105" s="19"/>
      <c r="H105" s="19"/>
    </row>
    <row r="106" spans="2:8">
      <c r="B106" s="31" t="s">
        <v>10</v>
      </c>
      <c r="C106" s="19">
        <f>'Balance Sheet'!B10</f>
        <v>8340</v>
      </c>
      <c r="D106" s="19">
        <f>'Balance Sheet'!C10</f>
        <v>9984</v>
      </c>
      <c r="E106" s="19">
        <f>'Balance Sheet'!D10</f>
        <v>11236</v>
      </c>
      <c r="F106" s="19">
        <f>'Balance Sheet'!E10</f>
        <v>12240</v>
      </c>
      <c r="G106" s="19">
        <f>'Balance Sheet'!F10</f>
        <v>13727</v>
      </c>
      <c r="H106" s="19">
        <f>'Balance Sheet'!G10</f>
        <v>14768</v>
      </c>
    </row>
    <row r="107" spans="2:8">
      <c r="B107" s="31" t="s">
        <v>11</v>
      </c>
      <c r="C107" s="19">
        <f>'Balance Sheet'!B11</f>
        <v>3922</v>
      </c>
      <c r="D107" s="19">
        <f>'Balance Sheet'!C11</f>
        <v>6052</v>
      </c>
      <c r="E107" s="19">
        <f>'Balance Sheet'!D11</f>
        <v>4697</v>
      </c>
      <c r="F107" s="19">
        <f>'Balance Sheet'!E11</f>
        <v>4201</v>
      </c>
      <c r="G107" s="19">
        <f>'Balance Sheet'!F11</f>
        <v>4151</v>
      </c>
      <c r="H107" s="19">
        <f>'Balance Sheet'!G11</f>
        <v>3698</v>
      </c>
    </row>
    <row r="108" spans="2:8">
      <c r="B108" s="31" t="s">
        <v>12</v>
      </c>
      <c r="C108" s="19">
        <f>'Balance Sheet'!B12</f>
        <v>226576</v>
      </c>
      <c r="D108" s="19">
        <f>'Balance Sheet'!C12</f>
        <v>297645</v>
      </c>
      <c r="E108" s="19">
        <f>'Balance Sheet'!D12</f>
        <v>251905</v>
      </c>
      <c r="F108" s="19">
        <f>'Balance Sheet'!E12</f>
        <v>244697</v>
      </c>
      <c r="G108" s="19">
        <f>'Balance Sheet'!F12</f>
        <v>247118</v>
      </c>
      <c r="H108" s="19">
        <f>'Balance Sheet'!G12</f>
        <v>191907</v>
      </c>
    </row>
    <row r="109" spans="2:8">
      <c r="B109" s="31" t="s">
        <v>13</v>
      </c>
      <c r="C109" s="19">
        <f>'Balance Sheet'!B13</f>
        <v>56865</v>
      </c>
      <c r="D109" s="19">
        <f>'Balance Sheet'!C13</f>
        <v>56228</v>
      </c>
      <c r="E109" s="19">
        <f>'Balance Sheet'!D13</f>
        <v>55357</v>
      </c>
      <c r="F109" s="19">
        <f>'Balance Sheet'!E13</f>
        <v>55118</v>
      </c>
      <c r="G109" s="19">
        <f>'Balance Sheet'!F13</f>
        <v>58678</v>
      </c>
      <c r="H109" s="19">
        <f>'Balance Sheet'!G13</f>
        <v>66579</v>
      </c>
    </row>
    <row r="110" spans="2:8">
      <c r="B110" s="31" t="s">
        <v>14</v>
      </c>
      <c r="C110" s="19">
        <f>'Balance Sheet'!B14</f>
        <v>124306</v>
      </c>
      <c r="D110" s="19">
        <f>'Balance Sheet'!C14</f>
        <v>136575</v>
      </c>
      <c r="E110" s="19">
        <f>'Balance Sheet'!D14</f>
        <v>111728</v>
      </c>
      <c r="F110" s="19">
        <f>'Balance Sheet'!E14</f>
        <v>108255</v>
      </c>
      <c r="G110" s="19">
        <f>'Balance Sheet'!F14</f>
        <v>101753</v>
      </c>
      <c r="H110" s="19">
        <f>'Balance Sheet'!G14</f>
        <v>96826</v>
      </c>
    </row>
    <row r="111" spans="2:8">
      <c r="B111" s="31" t="s">
        <v>15</v>
      </c>
      <c r="C111" s="19">
        <f>'Balance Sheet'!B15</f>
        <v>500</v>
      </c>
      <c r="D111" s="19">
        <f>'Balance Sheet'!C15</f>
        <v>500</v>
      </c>
      <c r="E111" s="19">
        <f>'Balance Sheet'!D15</f>
        <v>500</v>
      </c>
      <c r="F111" s="19" t="str">
        <f>'Balance Sheet'!E15</f>
        <v> </v>
      </c>
      <c r="G111" s="19">
        <f>'Balance Sheet'!F15</f>
        <v>13140</v>
      </c>
      <c r="H111" s="19">
        <f>'Balance Sheet'!G15</f>
        <v>0</v>
      </c>
    </row>
    <row r="112" spans="2:8">
      <c r="B112" s="31" t="s">
        <v>16</v>
      </c>
      <c r="C112" s="19">
        <f>'Balance Sheet'!B16</f>
        <v>9061</v>
      </c>
      <c r="D112" s="19">
        <f>'Balance Sheet'!C16</f>
        <v>10461</v>
      </c>
      <c r="E112" s="19">
        <f>'Balance Sheet'!D16</f>
        <v>11930</v>
      </c>
      <c r="F112" s="19">
        <f>'Balance Sheet'!E16</f>
        <v>12265</v>
      </c>
      <c r="G112" s="19">
        <f>'Balance Sheet'!F16</f>
        <v>0</v>
      </c>
      <c r="H112" s="19">
        <f>'Balance Sheet'!G16</f>
        <v>13502</v>
      </c>
    </row>
    <row r="113" spans="2:8">
      <c r="B113" s="31" t="s">
        <v>17</v>
      </c>
      <c r="C113" s="19">
        <f>'Balance Sheet'!B17</f>
        <v>5373</v>
      </c>
      <c r="D113" s="19">
        <f>'Balance Sheet'!C17</f>
        <v>1519</v>
      </c>
      <c r="E113" s="19">
        <f>'Balance Sheet'!D17</f>
        <v>3057</v>
      </c>
      <c r="F113" s="19">
        <f>'Balance Sheet'!E17</f>
        <v>1646</v>
      </c>
      <c r="G113" s="19">
        <f>'Balance Sheet'!F17</f>
        <v>2346</v>
      </c>
      <c r="H113" s="19">
        <f>'Balance Sheet'!G17</f>
        <v>2015</v>
      </c>
    </row>
    <row r="114" spans="2:8" ht="15.75" thickBot="1">
      <c r="B114" s="38" t="s">
        <v>96</v>
      </c>
      <c r="C114" s="35">
        <f>SUM(C106:C113)</f>
        <v>434943</v>
      </c>
      <c r="D114" s="35">
        <f t="shared" ref="D114:H114" si="7">SUM(D106:D113)</f>
        <v>518964</v>
      </c>
      <c r="E114" s="35">
        <f t="shared" si="7"/>
        <v>450410</v>
      </c>
      <c r="F114" s="35">
        <f t="shared" si="7"/>
        <v>438422</v>
      </c>
      <c r="G114" s="35">
        <f t="shared" si="7"/>
        <v>440913</v>
      </c>
      <c r="H114" s="35">
        <f t="shared" si="7"/>
        <v>389295</v>
      </c>
    </row>
    <row r="115" spans="2:8">
      <c r="B115" s="41" t="s">
        <v>115</v>
      </c>
      <c r="C115" s="42">
        <f t="shared" ref="C115:H115" si="8">SUM(C104,C114)</f>
        <v>1036762</v>
      </c>
      <c r="D115" s="42">
        <f t="shared" si="8"/>
        <v>1135960</v>
      </c>
      <c r="E115" s="42">
        <f t="shared" si="8"/>
        <v>1089234</v>
      </c>
      <c r="F115" s="42">
        <f t="shared" si="8"/>
        <v>1049057</v>
      </c>
      <c r="G115" s="42">
        <f t="shared" si="8"/>
        <v>1016716</v>
      </c>
      <c r="H115" s="42">
        <f t="shared" si="8"/>
        <v>1047143</v>
      </c>
    </row>
    <row r="117" spans="2:8">
      <c r="B117" s="31" t="s">
        <v>20</v>
      </c>
      <c r="C117" s="19">
        <f>'Balance Sheet'!B20</f>
        <v>8016</v>
      </c>
      <c r="D117" s="19">
        <f>'Balance Sheet'!C20</f>
        <v>7739</v>
      </c>
      <c r="E117" s="19">
        <f>'Balance Sheet'!D20</f>
        <v>6717</v>
      </c>
      <c r="F117" s="19">
        <f>'Balance Sheet'!E20</f>
        <v>6268</v>
      </c>
      <c r="G117" s="19">
        <f>'Balance Sheet'!F20</f>
        <v>6200</v>
      </c>
      <c r="H117" s="19">
        <f>'Balance Sheet'!G20</f>
        <v>9330</v>
      </c>
    </row>
    <row r="118" spans="2:8">
      <c r="B118" s="31" t="s">
        <v>21</v>
      </c>
      <c r="C118" s="19">
        <f>'Balance Sheet'!B21</f>
        <v>35029</v>
      </c>
      <c r="D118" s="19">
        <f>'Balance Sheet'!C21</f>
        <v>46614</v>
      </c>
      <c r="E118" s="19">
        <f>'Balance Sheet'!D21</f>
        <v>36847</v>
      </c>
      <c r="F118" s="19">
        <f>'Balance Sheet'!E21</f>
        <v>39742</v>
      </c>
      <c r="G118" s="19">
        <f>'Balance Sheet'!F21</f>
        <v>38856</v>
      </c>
      <c r="H118" s="19">
        <f>'Balance Sheet'!G21</f>
        <v>33873</v>
      </c>
    </row>
    <row r="119" spans="2:8">
      <c r="B119" s="31" t="s">
        <v>22</v>
      </c>
      <c r="C119" s="19">
        <f>'Balance Sheet'!B22</f>
        <v>198857</v>
      </c>
      <c r="D119" s="19">
        <f>'Balance Sheet'!C22</f>
        <v>243982</v>
      </c>
      <c r="E119" s="19">
        <f>'Balance Sheet'!D22</f>
        <v>277616</v>
      </c>
      <c r="F119" s="19">
        <f>'Balance Sheet'!E22</f>
        <v>270690</v>
      </c>
      <c r="G119" s="19">
        <f>'Balance Sheet'!F22</f>
        <v>246502</v>
      </c>
      <c r="H119" s="19">
        <f>'Balance Sheet'!G22</f>
        <v>256617</v>
      </c>
    </row>
    <row r="120" spans="2:8">
      <c r="B120" s="31" t="s">
        <v>23</v>
      </c>
      <c r="C120" s="19">
        <f>'Balance Sheet'!B23</f>
        <v>16686</v>
      </c>
      <c r="D120" s="19">
        <f>'Balance Sheet'!C23</f>
        <v>21618</v>
      </c>
      <c r="E120" s="19">
        <f>'Balance Sheet'!D23</f>
        <v>22585</v>
      </c>
      <c r="F120" s="19">
        <f>'Balance Sheet'!E23</f>
        <v>20142</v>
      </c>
      <c r="G120" s="19">
        <f>'Balance Sheet'!F23</f>
        <v>20984</v>
      </c>
      <c r="H120" s="19">
        <f>'Balance Sheet'!G23</f>
        <v>19929</v>
      </c>
    </row>
    <row r="121" spans="2:8">
      <c r="B121" s="31" t="s">
        <v>24</v>
      </c>
      <c r="C121" s="19">
        <f>'Balance Sheet'!B24</f>
        <v>150</v>
      </c>
      <c r="D121" s="19">
        <f>'Balance Sheet'!C24</f>
        <v>19013</v>
      </c>
      <c r="E121" s="19">
        <f>'Balance Sheet'!D24</f>
        <v>22832</v>
      </c>
      <c r="F121" s="19">
        <f>'Balance Sheet'!E24</f>
        <v>16455</v>
      </c>
      <c r="G121" s="19">
        <f>'Balance Sheet'!F24</f>
        <v>10392</v>
      </c>
      <c r="H121" s="19">
        <f>'Balance Sheet'!G24</f>
        <v>5439</v>
      </c>
    </row>
    <row r="122" spans="2:8">
      <c r="B122" s="31" t="s">
        <v>25</v>
      </c>
      <c r="C122" s="19">
        <f>'Balance Sheet'!B25</f>
        <v>79608</v>
      </c>
      <c r="D122" s="19">
        <f>'Balance Sheet'!C25</f>
        <v>88894</v>
      </c>
      <c r="E122" s="19">
        <f>'Balance Sheet'!D25</f>
        <v>100298</v>
      </c>
      <c r="F122" s="19">
        <f>'Balance Sheet'!E25</f>
        <v>100632</v>
      </c>
      <c r="G122" s="19">
        <f>'Balance Sheet'!F25</f>
        <v>115527</v>
      </c>
      <c r="H122" s="19">
        <f>'Balance Sheet'!G25</f>
        <v>165709</v>
      </c>
    </row>
    <row r="123" spans="2:8">
      <c r="B123" s="31" t="s">
        <v>26</v>
      </c>
      <c r="C123" s="19">
        <f>'Balance Sheet'!B26</f>
        <v>43049</v>
      </c>
      <c r="D123" s="19">
        <f>'Balance Sheet'!C26</f>
        <v>61516</v>
      </c>
      <c r="E123" s="19">
        <f>'Balance Sheet'!D26</f>
        <v>55945</v>
      </c>
      <c r="F123" s="19">
        <f>'Balance Sheet'!E26</f>
        <v>61710</v>
      </c>
      <c r="G123" s="19">
        <f>'Balance Sheet'!F26</f>
        <v>78422</v>
      </c>
      <c r="H123" s="19">
        <f>'Balance Sheet'!G26</f>
        <v>112849</v>
      </c>
    </row>
    <row r="124" spans="2:8">
      <c r="B124" s="38" t="s">
        <v>114</v>
      </c>
      <c r="C124" s="35">
        <f>SUM(C117:C123)</f>
        <v>381395</v>
      </c>
      <c r="D124" s="35">
        <f>'Balance Sheet'!C27</f>
        <v>489376</v>
      </c>
      <c r="E124" s="35">
        <f>'Balance Sheet'!D27</f>
        <v>522840</v>
      </c>
      <c r="F124" s="35">
        <f>'Balance Sheet'!E27</f>
        <v>515639</v>
      </c>
      <c r="G124" s="35">
        <f>'Balance Sheet'!F27</f>
        <v>516883</v>
      </c>
      <c r="H124" s="35">
        <f>'Balance Sheet'!G27</f>
        <v>603746</v>
      </c>
    </row>
    <row r="125" spans="2:8">
      <c r="B125" s="9"/>
      <c r="C125" s="19"/>
      <c r="D125" s="19"/>
      <c r="E125" s="19"/>
      <c r="F125" s="19"/>
      <c r="G125" s="19"/>
      <c r="H125" s="19"/>
    </row>
    <row r="126" spans="2:8">
      <c r="B126" s="31" t="s">
        <v>28</v>
      </c>
      <c r="C126" s="19">
        <f>'Balance Sheet'!B28</f>
        <v>415002</v>
      </c>
      <c r="D126" s="19">
        <f>'Balance Sheet'!C28</f>
        <v>416568</v>
      </c>
      <c r="E126" s="19">
        <f>'Balance Sheet'!D28</f>
        <v>425012</v>
      </c>
      <c r="F126" s="19">
        <f>'Balance Sheet'!E28</f>
        <v>425310</v>
      </c>
      <c r="G126" s="19">
        <f>'Balance Sheet'!F28</f>
        <v>425383</v>
      </c>
      <c r="H126" s="19">
        <f>'Balance Sheet'!G28</f>
        <v>426965</v>
      </c>
    </row>
    <row r="127" spans="2:8">
      <c r="B127" s="31" t="s">
        <v>29</v>
      </c>
      <c r="C127" s="19">
        <f>'Balance Sheet'!B29</f>
        <v>2267</v>
      </c>
      <c r="D127" s="19">
        <f>'Balance Sheet'!C29</f>
        <v>3622</v>
      </c>
      <c r="E127" s="19">
        <f>'Balance Sheet'!D29</f>
        <v>2968</v>
      </c>
      <c r="F127" s="19">
        <f>'Balance Sheet'!E29</f>
        <v>2536</v>
      </c>
      <c r="G127" s="19">
        <f>'Balance Sheet'!F29</f>
        <v>2585</v>
      </c>
      <c r="H127" s="19">
        <f>'Balance Sheet'!G29</f>
        <v>2137</v>
      </c>
    </row>
    <row r="128" spans="2:8">
      <c r="B128" s="31" t="s">
        <v>30</v>
      </c>
      <c r="C128" s="19">
        <f>'Balance Sheet'!B30</f>
        <v>2687</v>
      </c>
      <c r="D128" s="19">
        <f>'Balance Sheet'!C30</f>
        <v>100</v>
      </c>
      <c r="E128" s="19">
        <f>'Balance Sheet'!D30</f>
        <v>57</v>
      </c>
      <c r="F128" s="19">
        <f>'Balance Sheet'!E30</f>
        <v>44</v>
      </c>
      <c r="G128" s="19">
        <f>'Balance Sheet'!F30</f>
        <v>44</v>
      </c>
      <c r="H128" s="19">
        <f>'Balance Sheet'!G30</f>
        <v>44</v>
      </c>
    </row>
    <row r="129" spans="2:8">
      <c r="B129" s="31" t="s">
        <v>31</v>
      </c>
      <c r="C129" s="19">
        <f>'Balance Sheet'!B31</f>
        <v>5004</v>
      </c>
      <c r="D129" s="19">
        <f>'Balance Sheet'!C31</f>
        <v>926</v>
      </c>
      <c r="E129" s="19">
        <f>'Balance Sheet'!D31</f>
        <v>802</v>
      </c>
      <c r="F129" s="19">
        <f>'Balance Sheet'!E31</f>
        <v>707</v>
      </c>
      <c r="G129" s="19">
        <f>'Balance Sheet'!F31</f>
        <v>362</v>
      </c>
      <c r="H129" s="19">
        <f>'Balance Sheet'!G31</f>
        <v>347</v>
      </c>
    </row>
    <row r="130" spans="2:8" ht="30">
      <c r="B130" s="32" t="s">
        <v>97</v>
      </c>
      <c r="C130" s="19">
        <f>'Balance Sheet'!B32</f>
        <v>0</v>
      </c>
      <c r="D130" s="19">
        <f>'Balance Sheet'!C32</f>
        <v>0</v>
      </c>
      <c r="E130" s="19">
        <f>'Balance Sheet'!D32</f>
        <v>0</v>
      </c>
      <c r="F130" s="19">
        <f>'Balance Sheet'!E32</f>
        <v>0</v>
      </c>
      <c r="G130" s="19">
        <f>'Balance Sheet'!F32</f>
        <v>0</v>
      </c>
      <c r="H130" s="19">
        <f>'Balance Sheet'!G32</f>
        <v>26820</v>
      </c>
    </row>
    <row r="131" spans="2:8">
      <c r="B131" s="31" t="s">
        <v>118</v>
      </c>
      <c r="C131" s="19">
        <f>'Balance Sheet'!B33</f>
        <v>15528</v>
      </c>
      <c r="D131" s="19">
        <f>'Balance Sheet'!C33</f>
        <v>30825</v>
      </c>
      <c r="E131" s="19">
        <f>'Balance Sheet'!D33</f>
        <v>24952</v>
      </c>
      <c r="F131" s="19">
        <f>'Balance Sheet'!E33</f>
        <v>25468</v>
      </c>
      <c r="G131" s="19">
        <f>'Balance Sheet'!F33</f>
        <v>26183</v>
      </c>
      <c r="H131" s="19">
        <f>'Balance Sheet'!G33</f>
        <v>23826</v>
      </c>
    </row>
    <row r="132" spans="2:8">
      <c r="B132" s="38" t="s">
        <v>113</v>
      </c>
      <c r="C132" s="35">
        <f>SUM(C126:C131)</f>
        <v>440488</v>
      </c>
      <c r="D132" s="35">
        <f t="shared" ref="D132:H132" si="9">SUM(D126:D131)</f>
        <v>452041</v>
      </c>
      <c r="E132" s="35">
        <f t="shared" si="9"/>
        <v>453791</v>
      </c>
      <c r="F132" s="35">
        <f t="shared" si="9"/>
        <v>454065</v>
      </c>
      <c r="G132" s="35">
        <f t="shared" si="9"/>
        <v>454557</v>
      </c>
      <c r="H132" s="35">
        <f t="shared" si="9"/>
        <v>480139</v>
      </c>
    </row>
    <row r="133" spans="2:8">
      <c r="C133" s="19"/>
      <c r="D133" s="19"/>
      <c r="E133" s="19"/>
      <c r="F133" s="19"/>
      <c r="G133" s="19"/>
      <c r="H133" s="19"/>
    </row>
    <row r="134" spans="2:8">
      <c r="B134" s="31" t="s">
        <v>38</v>
      </c>
      <c r="C134" s="19">
        <f>'Balance Sheet'!B38</f>
        <v>647551</v>
      </c>
      <c r="D134" s="19">
        <f>'Balance Sheet'!C38</f>
        <v>659814</v>
      </c>
      <c r="E134" s="19">
        <f>'Balance Sheet'!D38</f>
        <v>664362</v>
      </c>
      <c r="F134" s="19">
        <f>'Balance Sheet'!E38</f>
        <v>670537</v>
      </c>
      <c r="G134" s="19">
        <f>'Balance Sheet'!F38</f>
        <v>677426</v>
      </c>
      <c r="H134" s="19">
        <f>'Balance Sheet'!G38</f>
        <v>683151</v>
      </c>
    </row>
    <row r="135" spans="2:8">
      <c r="B135" s="31" t="s">
        <v>39</v>
      </c>
      <c r="C135" s="19">
        <f>'Balance Sheet'!B39</f>
        <v>-2774</v>
      </c>
      <c r="D135" s="19">
        <f>'Balance Sheet'!C39</f>
        <v>-4559</v>
      </c>
      <c r="E135" s="19">
        <f>'Balance Sheet'!D39</f>
        <v>-6571</v>
      </c>
      <c r="F135" s="19">
        <f>'Balance Sheet'!E39</f>
        <v>-6171</v>
      </c>
      <c r="G135" s="19">
        <f>'Balance Sheet'!F39</f>
        <v>-5296</v>
      </c>
      <c r="H135" s="19">
        <f>'Balance Sheet'!G39</f>
        <v>-6076</v>
      </c>
    </row>
    <row r="136" spans="2:8">
      <c r="B136" s="31" t="s">
        <v>40</v>
      </c>
      <c r="C136" s="19">
        <f>'Balance Sheet'!B40</f>
        <v>-429908</v>
      </c>
      <c r="D136" s="19">
        <f>'Balance Sheet'!C40</f>
        <v>-460722</v>
      </c>
      <c r="E136" s="19">
        <f>'Balance Sheet'!D40</f>
        <v>-545198</v>
      </c>
      <c r="F136" s="19">
        <f>'Balance Sheet'!E40</f>
        <v>-585023</v>
      </c>
      <c r="G136" s="19">
        <f>'Balance Sheet'!F40</f>
        <v>-626864</v>
      </c>
      <c r="H136" s="19">
        <f>'Balance Sheet'!G40</f>
        <v>-713827</v>
      </c>
    </row>
    <row r="137" spans="2:8" ht="15.75" thickBot="1">
      <c r="B137" s="45" t="s">
        <v>117</v>
      </c>
      <c r="C137" s="46">
        <f>SUM(C134:C136)</f>
        <v>214869</v>
      </c>
      <c r="D137" s="46">
        <f t="shared" ref="D137:H137" si="10">SUM(D134:D136)</f>
        <v>194533</v>
      </c>
      <c r="E137" s="46">
        <f t="shared" si="10"/>
        <v>112593</v>
      </c>
      <c r="F137" s="46">
        <f t="shared" si="10"/>
        <v>79343</v>
      </c>
      <c r="G137" s="46">
        <f t="shared" si="10"/>
        <v>45266</v>
      </c>
      <c r="H137" s="46">
        <f t="shared" si="10"/>
        <v>-36752</v>
      </c>
    </row>
    <row r="138" spans="2:8">
      <c r="B138" s="39" t="s">
        <v>116</v>
      </c>
      <c r="C138" s="40">
        <f t="shared" ref="C138:H138" si="11">SUM(C124,C132,C137)</f>
        <v>1036752</v>
      </c>
      <c r="D138" s="40">
        <f t="shared" si="11"/>
        <v>1135950</v>
      </c>
      <c r="E138" s="40">
        <f t="shared" si="11"/>
        <v>1089224</v>
      </c>
      <c r="F138" s="40">
        <f t="shared" si="11"/>
        <v>1049047</v>
      </c>
      <c r="G138" s="40">
        <f t="shared" si="11"/>
        <v>1016706</v>
      </c>
      <c r="H138" s="40">
        <f t="shared" si="11"/>
        <v>1047133</v>
      </c>
    </row>
    <row r="141" spans="2:8" ht="24.95" customHeight="1">
      <c r="B141" s="59" t="s">
        <v>130</v>
      </c>
      <c r="C141" s="59"/>
      <c r="D141" s="59"/>
      <c r="E141" s="59"/>
      <c r="F141" s="59"/>
      <c r="G141" s="59"/>
      <c r="H141" s="59"/>
    </row>
    <row r="142" spans="2:8" ht="15" customHeight="1">
      <c r="B142" s="47"/>
      <c r="C142" s="47"/>
      <c r="D142" s="47"/>
      <c r="E142" s="47"/>
      <c r="F142" s="47"/>
      <c r="G142" s="47"/>
      <c r="H142" s="47"/>
    </row>
    <row r="143" spans="2:8">
      <c r="B143" s="33"/>
      <c r="C143" s="34">
        <f t="shared" ref="C143:H143" si="12">C77</f>
        <v>44621</v>
      </c>
      <c r="D143" s="34">
        <f t="shared" si="12"/>
        <v>44713</v>
      </c>
      <c r="E143" s="34">
        <f t="shared" si="12"/>
        <v>44805</v>
      </c>
      <c r="F143" s="34">
        <f t="shared" si="12"/>
        <v>44896</v>
      </c>
      <c r="G143" s="34">
        <f t="shared" si="12"/>
        <v>44986</v>
      </c>
      <c r="H143" s="34">
        <f t="shared" si="12"/>
        <v>45078</v>
      </c>
    </row>
    <row r="144" spans="2:8">
      <c r="B144" s="30" t="s">
        <v>119</v>
      </c>
      <c r="C144" s="17"/>
      <c r="D144" s="27">
        <f>D78/C78-1</f>
        <v>0.13119994884992248</v>
      </c>
      <c r="E144" s="27">
        <f>E78/D78-1</f>
        <v>6.495782051463217E-2</v>
      </c>
      <c r="F144" s="27">
        <f>F78/E78-1</f>
        <v>-0.1493113605604649</v>
      </c>
      <c r="G144" s="27">
        <f>G78/F78-1</f>
        <v>0.36273454681577832</v>
      </c>
      <c r="H144" s="27">
        <f>H78/G78-1</f>
        <v>0.13043528024814299</v>
      </c>
    </row>
    <row r="145" spans="2:8">
      <c r="B145" s="30" t="s">
        <v>127</v>
      </c>
      <c r="C145" s="17"/>
      <c r="D145" s="27">
        <f>D80/C80-1</f>
        <v>2.0279416030165365E-2</v>
      </c>
      <c r="E145" s="27">
        <f>E80/D80-1</f>
        <v>-2.7007178223685813E-3</v>
      </c>
      <c r="F145" s="27">
        <f>F80/E80-1</f>
        <v>4.3851105779509236E-2</v>
      </c>
      <c r="G145" s="27">
        <f>G80/F80-1</f>
        <v>-0.17861775481874242</v>
      </c>
      <c r="H145" s="27">
        <f>H80/G80-1</f>
        <v>-0.51695572671358114</v>
      </c>
    </row>
    <row r="146" spans="2:8">
      <c r="B146" s="30" t="s">
        <v>120</v>
      </c>
      <c r="C146" s="17"/>
      <c r="D146" s="27">
        <f>-(D150/C150-1)</f>
        <v>-7.6047268977848193E-2</v>
      </c>
      <c r="E146" s="27">
        <f t="shared" ref="E146:H146" si="13">-(E150/D150-1)</f>
        <v>-1.5886114634499933</v>
      </c>
      <c r="F146" s="27">
        <f t="shared" si="13"/>
        <v>0.53207728580373681</v>
      </c>
      <c r="G146" s="27">
        <f t="shared" si="13"/>
        <v>0.16340984679430559</v>
      </c>
      <c r="H146" s="27">
        <f t="shared" si="13"/>
        <v>-2.6599889251546469</v>
      </c>
    </row>
    <row r="147" spans="2:8">
      <c r="B147" s="30" t="s">
        <v>121</v>
      </c>
      <c r="C147" s="17"/>
      <c r="D147" s="27">
        <f>-(D83/C83-1)</f>
        <v>-0.21722461562784079</v>
      </c>
      <c r="E147" s="27">
        <f>-(E83/D83-1)</f>
        <v>-1.7567620222748968</v>
      </c>
      <c r="F147" s="27">
        <f>-(F83/E83-1)</f>
        <v>0.60194346289752643</v>
      </c>
      <c r="G147" s="27">
        <f>-(G83/F83-1)</f>
        <v>-0.14005030329930457</v>
      </c>
      <c r="H147" s="27">
        <f>-(H83/G83-1)</f>
        <v>-3.1373806063122922</v>
      </c>
    </row>
    <row r="148" spans="2:8">
      <c r="B148" s="30" t="s">
        <v>122</v>
      </c>
      <c r="C148" s="17"/>
      <c r="D148" s="27">
        <f>-(D92/C92-1)</f>
        <v>-3.5508971704623882</v>
      </c>
      <c r="E148" s="27">
        <f>-(E92/D92-1)</f>
        <v>-2.2752397922432421</v>
      </c>
      <c r="F148" s="27">
        <f>-(F92/E92-1)</f>
        <v>0.5893900985056314</v>
      </c>
      <c r="G148" s="27">
        <f>-(G92/F92-1)</f>
        <v>-9.2098215544216711E-2</v>
      </c>
      <c r="H148" s="27">
        <f>-(H92/G92-1)</f>
        <v>-1.2447857511615901</v>
      </c>
    </row>
    <row r="149" spans="2:8">
      <c r="B149" s="30" t="s">
        <v>123</v>
      </c>
      <c r="C149" s="27">
        <f t="shared" ref="C149:H149" si="14">C80/C78</f>
        <v>0.66130656479276229</v>
      </c>
      <c r="D149" s="27">
        <f t="shared" si="14"/>
        <v>0.59646172759258997</v>
      </c>
      <c r="E149" s="27">
        <f t="shared" si="14"/>
        <v>0.55856752381710584</v>
      </c>
      <c r="F149" s="27">
        <f t="shared" si="14"/>
        <v>0.6853992170074712</v>
      </c>
      <c r="G149" s="27">
        <f t="shared" si="14"/>
        <v>0.41312135883436918</v>
      </c>
      <c r="H149" s="27">
        <f t="shared" si="14"/>
        <v>0.17653014731939451</v>
      </c>
    </row>
    <row r="150" spans="2:8">
      <c r="B150" s="30" t="s">
        <v>124</v>
      </c>
      <c r="C150" s="27">
        <f t="shared" ref="C150:H150" si="15">C83/C78</f>
        <v>-0.40442128482600981</v>
      </c>
      <c r="D150" s="27">
        <f t="shared" si="15"/>
        <v>-0.43517641905354038</v>
      </c>
      <c r="E150" s="27">
        <f t="shared" si="15"/>
        <v>-1.1265026669851126</v>
      </c>
      <c r="F150" s="27">
        <f t="shared" si="15"/>
        <v>-0.52711618548500305</v>
      </c>
      <c r="G150" s="27">
        <f t="shared" si="15"/>
        <v>-0.44098021037209995</v>
      </c>
      <c r="H150" s="27">
        <f t="shared" si="15"/>
        <v>-1.6139826861742521</v>
      </c>
    </row>
    <row r="151" spans="2:8">
      <c r="B151" s="30" t="s">
        <v>125</v>
      </c>
      <c r="C151" s="27">
        <f t="shared" ref="C151:H151" si="16">C86/C78</f>
        <v>-5.8822589152986687E-2</v>
      </c>
      <c r="D151" s="27">
        <f t="shared" si="16"/>
        <v>-0.33985219517020165</v>
      </c>
      <c r="E151" s="27">
        <f t="shared" si="16"/>
        <v>-1.1189263062919619</v>
      </c>
      <c r="F151" s="27">
        <f t="shared" si="16"/>
        <v>-0.50972501676727033</v>
      </c>
      <c r="G151" s="27">
        <f t="shared" si="16"/>
        <v>-0.41963396628094635</v>
      </c>
      <c r="H151" s="27">
        <f t="shared" si="16"/>
        <v>-0.79136333721460028</v>
      </c>
    </row>
    <row r="152" spans="2:8">
      <c r="B152" s="30" t="s">
        <v>126</v>
      </c>
      <c r="C152" s="27">
        <f t="shared" ref="C152:H152" si="17">C92/C78</f>
        <v>-9.2645577915954028E-2</v>
      </c>
      <c r="D152" s="27">
        <f t="shared" si="17"/>
        <v>-0.37271969365117497</v>
      </c>
      <c r="E152" s="27">
        <f t="shared" si="17"/>
        <v>-1.1462861237162647</v>
      </c>
      <c r="F152" s="27">
        <f t="shared" si="17"/>
        <v>-0.55328872459563583</v>
      </c>
      <c r="G152" s="27">
        <f t="shared" si="17"/>
        <v>-0.4434067003170461</v>
      </c>
      <c r="H152" s="27">
        <f t="shared" si="17"/>
        <v>-0.88050422720599397</v>
      </c>
    </row>
    <row r="153" spans="2:8">
      <c r="B153" s="30"/>
    </row>
    <row r="154" spans="2:8">
      <c r="B154" s="30" t="s">
        <v>99</v>
      </c>
      <c r="C154" s="27">
        <f t="shared" ref="C154:H154" si="18">C92/C137</f>
        <v>-2.6974575206288483E-2</v>
      </c>
      <c r="D154" s="27">
        <f t="shared" si="18"/>
        <v>-0.13559139066379483</v>
      </c>
      <c r="E154" s="27">
        <f t="shared" si="18"/>
        <v>-0.76728571047933714</v>
      </c>
      <c r="F154" s="27">
        <f t="shared" si="18"/>
        <v>-0.44708417881854734</v>
      </c>
      <c r="G154" s="27">
        <f t="shared" si="18"/>
        <v>-0.85582998276852384</v>
      </c>
      <c r="H154" s="27">
        <f t="shared" si="18"/>
        <v>2.366211362646931</v>
      </c>
    </row>
    <row r="155" spans="2:8">
      <c r="B155" s="30" t="s">
        <v>101</v>
      </c>
      <c r="C155" s="27">
        <f>C86/(C115-C124)</f>
        <v>-5.6151743984668131E-3</v>
      </c>
      <c r="D155" s="27">
        <f t="shared" ref="D155:H155" si="19">D86/(D115-D124)</f>
        <v>-3.719702312460562E-2</v>
      </c>
      <c r="E155" s="27">
        <f t="shared" si="19"/>
        <v>-0.14888752352602605</v>
      </c>
      <c r="F155" s="27">
        <f t="shared" si="19"/>
        <v>-6.1265274137730634E-2</v>
      </c>
      <c r="G155" s="27">
        <f t="shared" si="19"/>
        <v>-7.3350499066688279E-2</v>
      </c>
      <c r="H155" s="27">
        <f t="shared" si="19"/>
        <v>-0.17627318182125726</v>
      </c>
    </row>
    <row r="156" spans="2:8">
      <c r="B156" s="30" t="s">
        <v>100</v>
      </c>
      <c r="C156" s="27">
        <f t="shared" ref="C156:H156" si="20">C83/C115</f>
        <v>-2.4403865110796886E-2</v>
      </c>
      <c r="D156" s="27">
        <f t="shared" si="20"/>
        <v>-2.7110989823585337E-2</v>
      </c>
      <c r="E156" s="27">
        <f t="shared" si="20"/>
        <v>-7.7944684062377784E-2</v>
      </c>
      <c r="F156" s="27">
        <f t="shared" si="20"/>
        <v>-3.2214646105978989E-2</v>
      </c>
      <c r="G156" s="27">
        <f t="shared" si="20"/>
        <v>-3.7894554624890331E-2</v>
      </c>
      <c r="H156" s="27">
        <f t="shared" si="20"/>
        <v>-0.15222849219256587</v>
      </c>
    </row>
    <row r="158" spans="2:8">
      <c r="B158" s="30" t="s">
        <v>105</v>
      </c>
      <c r="C158" s="27">
        <f t="shared" ref="C158:H158" si="21">C137/C138</f>
        <v>0.20725207185517849</v>
      </c>
      <c r="D158" s="27">
        <f t="shared" si="21"/>
        <v>0.17125137550068226</v>
      </c>
      <c r="E158" s="27">
        <f t="shared" si="21"/>
        <v>0.10336992207296204</v>
      </c>
      <c r="F158" s="27">
        <f t="shared" si="21"/>
        <v>7.5633408226704807E-2</v>
      </c>
      <c r="G158" s="27">
        <f t="shared" si="21"/>
        <v>4.4522211927538538E-2</v>
      </c>
      <c r="H158" s="27">
        <f t="shared" si="21"/>
        <v>-3.5097738300674315E-2</v>
      </c>
    </row>
    <row r="159" spans="2:8">
      <c r="B159" s="30" t="s">
        <v>103</v>
      </c>
      <c r="C159" s="27">
        <f t="shared" ref="C159:H159" si="22">SUM(C124,C132)/C138</f>
        <v>0.79274792814482153</v>
      </c>
      <c r="D159" s="27">
        <f t="shared" si="22"/>
        <v>0.82874862449931774</v>
      </c>
      <c r="E159" s="27">
        <f t="shared" si="22"/>
        <v>0.89663007792703797</v>
      </c>
      <c r="F159" s="27">
        <f t="shared" si="22"/>
        <v>0.92436659177329517</v>
      </c>
      <c r="G159" s="27">
        <f t="shared" si="22"/>
        <v>0.95547778807246142</v>
      </c>
      <c r="H159" s="27">
        <f t="shared" si="22"/>
        <v>1.0350977383006743</v>
      </c>
    </row>
    <row r="160" spans="2:8">
      <c r="B160" s="30" t="s">
        <v>104</v>
      </c>
      <c r="C160" s="28">
        <f t="shared" ref="C160:H160" si="23">SUM(C124,C132)/C137</f>
        <v>3.8250422350362312</v>
      </c>
      <c r="D160" s="28">
        <f t="shared" si="23"/>
        <v>4.8393691558758665</v>
      </c>
      <c r="E160" s="28">
        <f t="shared" si="23"/>
        <v>8.6739939427850761</v>
      </c>
      <c r="F160" s="28">
        <f t="shared" si="23"/>
        <v>12.221670468724399</v>
      </c>
      <c r="G160" s="28">
        <f t="shared" si="23"/>
        <v>21.460698979366413</v>
      </c>
      <c r="H160" s="28">
        <f t="shared" si="23"/>
        <v>-29.491864388332608</v>
      </c>
    </row>
    <row r="161" spans="2:8">
      <c r="B161" s="30" t="s">
        <v>128</v>
      </c>
      <c r="C161" s="28">
        <f t="shared" ref="C161:H161" si="24">SUM(C124,C132)/C115</f>
        <v>0.79274028176187017</v>
      </c>
      <c r="D161" s="28">
        <f t="shared" si="24"/>
        <v>0.82874132892003238</v>
      </c>
      <c r="E161" s="28">
        <f t="shared" si="24"/>
        <v>0.89662184617813989</v>
      </c>
      <c r="F161" s="28">
        <f t="shared" si="24"/>
        <v>0.92435778036846428</v>
      </c>
      <c r="G161" s="28">
        <f t="shared" si="24"/>
        <v>0.9554683903863026</v>
      </c>
      <c r="H161" s="28">
        <f t="shared" si="24"/>
        <v>1.0350878533304428</v>
      </c>
    </row>
    <row r="162" spans="2:8">
      <c r="B162" s="30"/>
    </row>
    <row r="163" spans="2:8">
      <c r="B163" s="30" t="s">
        <v>107</v>
      </c>
      <c r="C163" s="29">
        <f t="shared" ref="C163:H163" si="25">365/(C78/C99)</f>
        <v>175.00583430571763</v>
      </c>
      <c r="D163" s="29">
        <f t="shared" si="25"/>
        <v>185.93239977956449</v>
      </c>
      <c r="E163" s="29">
        <f t="shared" si="25"/>
        <v>171.26900724464613</v>
      </c>
      <c r="F163" s="29">
        <f t="shared" si="25"/>
        <v>150.51346840734328</v>
      </c>
      <c r="G163" s="29">
        <f t="shared" si="25"/>
        <v>98.593322574368486</v>
      </c>
      <c r="H163" s="29">
        <f t="shared" si="25"/>
        <v>91.337771477750209</v>
      </c>
    </row>
    <row r="164" spans="2:8">
      <c r="B164" s="30" t="s">
        <v>106</v>
      </c>
      <c r="C164" s="29">
        <f t="shared" ref="C164:H164" si="26">365/(C78/C117)</f>
        <v>46.767794632438743</v>
      </c>
      <c r="D164" s="29">
        <f t="shared" si="26"/>
        <v>39.914863852816914</v>
      </c>
      <c r="E164" s="29">
        <f t="shared" si="26"/>
        <v>32.5306504259215</v>
      </c>
      <c r="F164" s="29">
        <f t="shared" si="26"/>
        <v>35.68418261507027</v>
      </c>
      <c r="G164" s="29">
        <f t="shared" si="26"/>
        <v>25.901635591571381</v>
      </c>
      <c r="H164" s="29">
        <f t="shared" si="26"/>
        <v>34.480332101452944</v>
      </c>
    </row>
    <row r="165" spans="2:8">
      <c r="B165" s="30"/>
    </row>
    <row r="166" spans="2:8">
      <c r="B166" s="30" t="s">
        <v>108</v>
      </c>
      <c r="C166" s="28">
        <f t="shared" ref="C166:H166" si="27">C104/C124</f>
        <v>1.5779415042147904</v>
      </c>
      <c r="D166" s="28">
        <f t="shared" si="27"/>
        <v>1.2607810763094227</v>
      </c>
      <c r="E166" s="28">
        <f t="shared" si="27"/>
        <v>1.2218345956698033</v>
      </c>
      <c r="F166" s="28">
        <f t="shared" si="27"/>
        <v>1.1842296645521382</v>
      </c>
      <c r="G166" s="28">
        <f t="shared" si="27"/>
        <v>1.1139909805507242</v>
      </c>
      <c r="H166" s="28">
        <f t="shared" si="27"/>
        <v>1.0896105315811617</v>
      </c>
    </row>
    <row r="167" spans="2:8">
      <c r="B167" s="30" t="s">
        <v>109</v>
      </c>
      <c r="C167" s="28">
        <f t="shared" ref="C167:H167" si="28">SUM(C98:C99)/C124</f>
        <v>0.8452365657651516</v>
      </c>
      <c r="D167" s="28">
        <f t="shared" si="28"/>
        <v>0.6274377983391094</v>
      </c>
      <c r="E167" s="28">
        <f t="shared" si="28"/>
        <v>0.56530104812179638</v>
      </c>
      <c r="F167" s="28">
        <f t="shared" si="28"/>
        <v>0.46834704124397109</v>
      </c>
      <c r="G167" s="28">
        <f t="shared" si="28"/>
        <v>0.39265559130402816</v>
      </c>
      <c r="H167" s="28">
        <f t="shared" si="28"/>
        <v>0.48081146707390193</v>
      </c>
    </row>
    <row r="168" spans="2:8">
      <c r="B168" s="30" t="s">
        <v>110</v>
      </c>
      <c r="C168" s="28">
        <f t="shared" ref="C168:H168" si="29">C98/C124</f>
        <v>0.76658844505040702</v>
      </c>
      <c r="D168" s="28">
        <f t="shared" si="29"/>
        <v>0.55377255934087488</v>
      </c>
      <c r="E168" s="28">
        <f t="shared" si="29"/>
        <v>0.49766276489939559</v>
      </c>
      <c r="F168" s="28">
        <f t="shared" si="29"/>
        <v>0.41707473639503606</v>
      </c>
      <c r="G168" s="28">
        <f t="shared" si="29"/>
        <v>0.34699728952200015</v>
      </c>
      <c r="H168" s="28">
        <f t="shared" si="29"/>
        <v>0.43987537805633498</v>
      </c>
    </row>
    <row r="169" spans="2:8">
      <c r="B169" s="30" t="s">
        <v>111</v>
      </c>
      <c r="C169" s="28">
        <f>C86/-C88</f>
        <v>-1.6048844308765808</v>
      </c>
      <c r="D169" s="28">
        <f t="shared" ref="D169:H169" si="30">D86/-D88</f>
        <v>-12.944564047362755</v>
      </c>
      <c r="E169" s="28">
        <f t="shared" si="30"/>
        <v>-40.445563549160674</v>
      </c>
      <c r="F169" s="28">
        <f t="shared" si="30"/>
        <v>-14.727354664263181</v>
      </c>
      <c r="G169" s="28">
        <f t="shared" si="30"/>
        <v>-16.75639853747715</v>
      </c>
      <c r="H169" s="28">
        <f t="shared" si="30"/>
        <v>-8.9070085470085463</v>
      </c>
    </row>
    <row r="170" spans="2:8">
      <c r="B170" s="48" t="s">
        <v>112</v>
      </c>
    </row>
    <row r="171" spans="2:8">
      <c r="B171" s="30" t="s">
        <v>139</v>
      </c>
      <c r="C171">
        <f>'Profit &amp; Loss'!B28</f>
        <v>-0.06</v>
      </c>
      <c r="D171">
        <f>'Profit &amp; Loss'!C28</f>
        <v>-0.27</v>
      </c>
      <c r="E171">
        <f>'Profit &amp; Loss'!D28</f>
        <v>-0.88</v>
      </c>
      <c r="F171">
        <f>'Profit &amp; Loss'!E28</f>
        <v>-0.36</v>
      </c>
      <c r="G171">
        <f>'Profit &amp; Loss'!F28</f>
        <v>-0.41</v>
      </c>
      <c r="H171">
        <f>'Profit &amp; Loss'!G28</f>
        <v>-0.91</v>
      </c>
    </row>
    <row r="172" spans="2:8">
      <c r="B172" s="30" t="s">
        <v>137</v>
      </c>
      <c r="C172" s="28">
        <f>$C$177/C171</f>
        <v>-9.1666666666666679</v>
      </c>
      <c r="D172" s="28">
        <f t="shared" ref="D172:H172" si="31">$C$177/D171</f>
        <v>-2.0370370370370372</v>
      </c>
      <c r="E172" s="28">
        <f t="shared" si="31"/>
        <v>-0.625</v>
      </c>
      <c r="F172" s="28">
        <f t="shared" si="31"/>
        <v>-1.5277777777777779</v>
      </c>
      <c r="G172" s="28">
        <f t="shared" si="31"/>
        <v>-1.3414634146341464</v>
      </c>
      <c r="H172" s="28">
        <f t="shared" si="31"/>
        <v>-0.60439560439560447</v>
      </c>
    </row>
    <row r="173" spans="2:8">
      <c r="B173" s="30" t="s">
        <v>138</v>
      </c>
      <c r="C173" s="28">
        <f>'Balance Sheet'!B55</f>
        <v>0.24591044192312886</v>
      </c>
      <c r="D173" s="28">
        <f>'Balance Sheet'!C55</f>
        <v>0.27463434639128631</v>
      </c>
      <c r="E173" s="28">
        <f>'Balance Sheet'!D55</f>
        <v>0.47765926973526462</v>
      </c>
      <c r="F173" s="28">
        <f>'Balance Sheet'!E55</f>
        <v>0.68177849734729634</v>
      </c>
      <c r="G173" s="28">
        <f>'Balance Sheet'!F55</f>
        <v>1.1565818634596696</v>
      </c>
      <c r="H173" s="28">
        <f>'Balance Sheet'!G55</f>
        <v>-1.4330335175004083</v>
      </c>
    </row>
    <row r="175" spans="2:8" ht="24.95" customHeight="1">
      <c r="B175" s="59" t="s">
        <v>102</v>
      </c>
      <c r="C175" s="59"/>
      <c r="D175" s="59"/>
      <c r="E175" s="59"/>
      <c r="F175" s="59"/>
      <c r="G175" s="59"/>
      <c r="H175" s="59"/>
    </row>
    <row r="176" spans="2:8">
      <c r="B176" s="54" t="s">
        <v>133</v>
      </c>
    </row>
    <row r="177" spans="2:8">
      <c r="B177" t="s">
        <v>132</v>
      </c>
      <c r="C177">
        <v>0.55000000000000004</v>
      </c>
    </row>
    <row r="178" spans="2:8">
      <c r="B178" t="s">
        <v>135</v>
      </c>
      <c r="C178" s="29">
        <f>'Profit &amp; Loss'!G31</f>
        <v>95731850</v>
      </c>
      <c r="E178" s="54" t="s">
        <v>133</v>
      </c>
    </row>
    <row r="179" spans="2:8">
      <c r="B179" s="51" t="s">
        <v>131</v>
      </c>
      <c r="C179" s="52">
        <f>C177*C178</f>
        <v>52652517.500000007</v>
      </c>
      <c r="D179" s="18"/>
      <c r="E179" t="s">
        <v>103</v>
      </c>
      <c r="G179" s="49">
        <f>'Balance Sheet'!G28</f>
        <v>426965</v>
      </c>
      <c r="H179" s="56">
        <f>G179/G183</f>
        <v>1.0941564182531527</v>
      </c>
    </row>
    <row r="180" spans="2:8">
      <c r="B180" t="s">
        <v>103</v>
      </c>
      <c r="C180" s="52">
        <v>426965000</v>
      </c>
      <c r="D180" s="18"/>
      <c r="E180" t="s">
        <v>105</v>
      </c>
      <c r="G180" s="49">
        <f>'Balance Sheet'!G41</f>
        <v>-36742</v>
      </c>
      <c r="H180" s="56">
        <f>G180/G183</f>
        <v>-9.4156418253152685E-2</v>
      </c>
    </row>
    <row r="181" spans="2:8">
      <c r="B181" t="s">
        <v>110</v>
      </c>
      <c r="C181" s="52">
        <v>26557300</v>
      </c>
      <c r="D181" s="18"/>
    </row>
    <row r="182" spans="2:8" ht="15.75" thickBot="1">
      <c r="C182" s="26"/>
      <c r="D182" s="18"/>
    </row>
    <row r="183" spans="2:8">
      <c r="B183" s="50" t="s">
        <v>134</v>
      </c>
      <c r="C183" s="53">
        <f>C179+C180-C181</f>
        <v>453060217.5</v>
      </c>
      <c r="E183" s="50" t="s">
        <v>136</v>
      </c>
      <c r="F183" s="50"/>
      <c r="G183" s="55">
        <f>SUM(G179:G180)</f>
        <v>390223</v>
      </c>
      <c r="H183" s="50">
        <f>SUM(H179:H180)</f>
        <v>1</v>
      </c>
    </row>
  </sheetData>
  <mergeCells count="4">
    <mergeCell ref="B75:H75"/>
    <mergeCell ref="B95:H95"/>
    <mergeCell ref="B141:H141"/>
    <mergeCell ref="B175:H175"/>
  </mergeCells>
  <pageMargins left="0.25" right="0.25" top="0.75" bottom="0.75" header="0.3" footer="0.3"/>
  <pageSetup paperSize="9" scale="57" fitToHeight="0" orientation="portrait" r:id="rId1"/>
  <ignoredErrors>
    <ignoredError sqref="C82:H82 C85:F8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 Sheet</vt:lpstr>
      <vt:lpstr>Profit &amp; Loss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Dharmendra Bhatotra</dc:creator>
  <cp:lastModifiedBy>Dharmendra Bhatotra</cp:lastModifiedBy>
  <cp:lastPrinted>2023-10-23T09:10:09Z</cp:lastPrinted>
  <dcterms:created xsi:type="dcterms:W3CDTF">2023-10-19T11:46:07Z</dcterms:created>
  <dcterms:modified xsi:type="dcterms:W3CDTF">2023-10-25T11:42:15Z</dcterms:modified>
</cp:coreProperties>
</file>