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defaultThemeVersion="166925"/>
  <mc:AlternateContent xmlns:mc="http://schemas.openxmlformats.org/markup-compatibility/2006">
    <mc:Choice Requires="x15">
      <x15ac:absPath xmlns:x15ac="http://schemas.microsoft.com/office/spreadsheetml/2010/11/ac" url="https://kikirpa-my.sharepoint.com/personal/sebastiaan_godts_kikirpa_be/Documents/RESEARCH-PAPERS-PRESENTATIONS/01_PREDICT/12_PAPERS - PRESENTATIONS/01 _ MAIN ARTICLES/02_ARTICLE 2 calculations/ZENODO upload files/V2/Salts/Excel/"/>
    </mc:Choice>
  </mc:AlternateContent>
  <xr:revisionPtr revIDLastSave="159" documentId="8_{C0B2D601-B045-4456-8851-F2812D33F198}" xr6:coauthVersionLast="47" xr6:coauthVersionMax="47" xr10:uidLastSave="{AA4B4721-2E82-40F4-B929-CAD0AC11201B}"/>
  <bookViews>
    <workbookView xWindow="-90" yWindow="-90" windowWidth="19380" windowHeight="10530" xr2:uid="{76DAF0BB-DD9D-404E-848E-07A18325375E}"/>
  </bookViews>
  <sheets>
    <sheet name="ChargeBalance-Data" sheetId="1" r:id="rId1"/>
    <sheet name="legend" sheetId="3" r:id="rId2"/>
    <sheet name="equations" sheetId="4" r:id="rId3"/>
    <sheet name="Reference" sheetId="2"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H4" i="1" l="1"/>
  <c r="EH5" i="1"/>
  <c r="EH6" i="1"/>
  <c r="EH7" i="1"/>
  <c r="EH8" i="1"/>
  <c r="EH9" i="1"/>
  <c r="EH10" i="1"/>
  <c r="EH11" i="1"/>
  <c r="EH12" i="1"/>
  <c r="EH13" i="1"/>
  <c r="EH14" i="1"/>
  <c r="EH15" i="1"/>
  <c r="EH16" i="1"/>
  <c r="EH17" i="1"/>
  <c r="EH18" i="1"/>
  <c r="EH19" i="1"/>
  <c r="EH20" i="1"/>
  <c r="EH21" i="1"/>
  <c r="EH22" i="1"/>
  <c r="EH23" i="1"/>
  <c r="EH24" i="1"/>
  <c r="EH25" i="1"/>
  <c r="EH26" i="1"/>
  <c r="EH27" i="1"/>
  <c r="EH28" i="1"/>
  <c r="EH29" i="1"/>
  <c r="EH30" i="1"/>
  <c r="ED11" i="1"/>
  <c r="EC13" i="1"/>
  <c r="EC14" i="1"/>
  <c r="EC15" i="1"/>
  <c r="EC16" i="1"/>
  <c r="EC17" i="1"/>
  <c r="EC18" i="1"/>
  <c r="EC19" i="1"/>
  <c r="EC20" i="1"/>
  <c r="EC21" i="1"/>
  <c r="EC22" i="1"/>
  <c r="EC23" i="1"/>
  <c r="EC24" i="1"/>
  <c r="EC25" i="1"/>
  <c r="EC26" i="1"/>
  <c r="EC27" i="1"/>
  <c r="EC28" i="1"/>
  <c r="EC29" i="1"/>
  <c r="EC30" i="1"/>
  <c r="EG4" i="1"/>
  <c r="EG5" i="1"/>
  <c r="EG6" i="1"/>
  <c r="EG7" i="1"/>
  <c r="EG8" i="1"/>
  <c r="EG9" i="1"/>
  <c r="EG10" i="1"/>
  <c r="EG11" i="1"/>
  <c r="EG12" i="1"/>
  <c r="EG13" i="1"/>
  <c r="EG14" i="1"/>
  <c r="EG15" i="1"/>
  <c r="EG16" i="1"/>
  <c r="EG17" i="1"/>
  <c r="EG18" i="1"/>
  <c r="EG19" i="1"/>
  <c r="EG20" i="1"/>
  <c r="EG21" i="1"/>
  <c r="EG22" i="1"/>
  <c r="EG23" i="1"/>
  <c r="EG24" i="1"/>
  <c r="EG25" i="1"/>
  <c r="EG26" i="1"/>
  <c r="EG27" i="1"/>
  <c r="EG28" i="1"/>
  <c r="EG29" i="1"/>
  <c r="EG30" i="1"/>
  <c r="EF4" i="1"/>
  <c r="EF5" i="1"/>
  <c r="EF6" i="1"/>
  <c r="EF7" i="1"/>
  <c r="EF8" i="1"/>
  <c r="EF9" i="1"/>
  <c r="EF10" i="1"/>
  <c r="EF11" i="1"/>
  <c r="EF12" i="1"/>
  <c r="EF13" i="1"/>
  <c r="EF14" i="1"/>
  <c r="EF15" i="1"/>
  <c r="EF16" i="1"/>
  <c r="EF17" i="1"/>
  <c r="EF18" i="1"/>
  <c r="EF19" i="1"/>
  <c r="EF20" i="1"/>
  <c r="EF21" i="1"/>
  <c r="EF22" i="1"/>
  <c r="EF23" i="1"/>
  <c r="EF24" i="1"/>
  <c r="EF25" i="1"/>
  <c r="EF26" i="1"/>
  <c r="EF27" i="1"/>
  <c r="EF28" i="1"/>
  <c r="EF29" i="1"/>
  <c r="EF30" i="1"/>
  <c r="W29" i="1"/>
  <c r="W30" i="1"/>
  <c r="AD30" i="1" s="1"/>
  <c r="X29" i="1"/>
  <c r="X30" i="1"/>
  <c r="Y29" i="1"/>
  <c r="Y30" i="1"/>
  <c r="Z29" i="1"/>
  <c r="Z30" i="1"/>
  <c r="AA29" i="1"/>
  <c r="AA30" i="1"/>
  <c r="AB29" i="1"/>
  <c r="AB30" i="1"/>
  <c r="AC29" i="1"/>
  <c r="AC30" i="1"/>
  <c r="AD29" i="1"/>
  <c r="AE29" i="1"/>
  <c r="AE30" i="1"/>
  <c r="AL30" i="1" s="1"/>
  <c r="AF29" i="1"/>
  <c r="AF30" i="1"/>
  <c r="AG29" i="1"/>
  <c r="AG30" i="1"/>
  <c r="AH29" i="1"/>
  <c r="AH30" i="1"/>
  <c r="AI29" i="1"/>
  <c r="AI30" i="1"/>
  <c r="AJ29" i="1"/>
  <c r="AJ30" i="1"/>
  <c r="AK29" i="1"/>
  <c r="AK30" i="1"/>
  <c r="AL29" i="1"/>
  <c r="AM29" i="1"/>
  <c r="AN29" i="1" s="1"/>
  <c r="AM30" i="1"/>
  <c r="W7" i="1"/>
  <c r="X7" i="1"/>
  <c r="AD7" i="1" s="1"/>
  <c r="Y7" i="1"/>
  <c r="Z7" i="1"/>
  <c r="AA7" i="1"/>
  <c r="AB7" i="1"/>
  <c r="AC7" i="1"/>
  <c r="AE7" i="1"/>
  <c r="AF7" i="1"/>
  <c r="AL7" i="1" s="1"/>
  <c r="AG7" i="1"/>
  <c r="AH7" i="1"/>
  <c r="AI7" i="1"/>
  <c r="AJ7" i="1"/>
  <c r="AK7" i="1"/>
  <c r="AM7" i="1"/>
  <c r="W6" i="1"/>
  <c r="AE6" i="1" s="1"/>
  <c r="AL6" i="1" s="1"/>
  <c r="X6" i="1"/>
  <c r="AF6" i="1" s="1"/>
  <c r="Y6" i="1"/>
  <c r="Z6" i="1"/>
  <c r="AA6" i="1"/>
  <c r="AI6" i="1" s="1"/>
  <c r="AB6" i="1"/>
  <c r="AC6" i="1"/>
  <c r="AK6" i="1" s="1"/>
  <c r="AG6" i="1"/>
  <c r="AJ6" i="1"/>
  <c r="W8" i="1"/>
  <c r="AE8" i="1" s="1"/>
  <c r="X8" i="1"/>
  <c r="AF8" i="1" s="1"/>
  <c r="Y8" i="1"/>
  <c r="AG8" i="1" s="1"/>
  <c r="Z8" i="1"/>
  <c r="AH8" i="1" s="1"/>
  <c r="AA8" i="1"/>
  <c r="AB8" i="1"/>
  <c r="AJ8" i="1" s="1"/>
  <c r="AC8" i="1"/>
  <c r="AK8" i="1" s="1"/>
  <c r="W9" i="1"/>
  <c r="AE9" i="1" s="1"/>
  <c r="X9" i="1"/>
  <c r="AF9" i="1" s="1"/>
  <c r="Y9" i="1"/>
  <c r="AG9" i="1" s="1"/>
  <c r="Z9" i="1"/>
  <c r="AH9" i="1" s="1"/>
  <c r="AA9" i="1"/>
  <c r="AI9" i="1" s="1"/>
  <c r="AB9" i="1"/>
  <c r="AJ9" i="1" s="1"/>
  <c r="AC9" i="1"/>
  <c r="AK9" i="1" s="1"/>
  <c r="W10" i="1"/>
  <c r="AE10" i="1" s="1"/>
  <c r="X10" i="1"/>
  <c r="AF10" i="1" s="1"/>
  <c r="Y10" i="1"/>
  <c r="AG10" i="1" s="1"/>
  <c r="Z10" i="1"/>
  <c r="AH10" i="1" s="1"/>
  <c r="AA10" i="1"/>
  <c r="AI10" i="1" s="1"/>
  <c r="AB10" i="1"/>
  <c r="AJ10" i="1" s="1"/>
  <c r="AC10" i="1"/>
  <c r="AK10" i="1" s="1"/>
  <c r="W11" i="1"/>
  <c r="AE11" i="1" s="1"/>
  <c r="X11" i="1"/>
  <c r="AF11" i="1" s="1"/>
  <c r="Y11" i="1"/>
  <c r="AG11" i="1" s="1"/>
  <c r="Z11" i="1"/>
  <c r="AH11" i="1" s="1"/>
  <c r="AA11" i="1"/>
  <c r="AI11" i="1" s="1"/>
  <c r="AB11" i="1"/>
  <c r="AJ11" i="1" s="1"/>
  <c r="AC11" i="1"/>
  <c r="AK11" i="1" s="1"/>
  <c r="W12" i="1"/>
  <c r="AE12" i="1" s="1"/>
  <c r="X12" i="1"/>
  <c r="AF12" i="1" s="1"/>
  <c r="Y12" i="1"/>
  <c r="AG12" i="1" s="1"/>
  <c r="Z12" i="1"/>
  <c r="AH12" i="1" s="1"/>
  <c r="AA12" i="1"/>
  <c r="AI12" i="1" s="1"/>
  <c r="AB12" i="1"/>
  <c r="AJ12" i="1" s="1"/>
  <c r="AC12" i="1"/>
  <c r="AK12" i="1" s="1"/>
  <c r="W13" i="1"/>
  <c r="X13" i="1"/>
  <c r="AF13" i="1" s="1"/>
  <c r="Y13" i="1"/>
  <c r="AG13" i="1" s="1"/>
  <c r="Z13" i="1"/>
  <c r="AH13" i="1" s="1"/>
  <c r="AA13" i="1"/>
  <c r="AI13" i="1" s="1"/>
  <c r="AB13" i="1"/>
  <c r="AJ13" i="1" s="1"/>
  <c r="AC13" i="1"/>
  <c r="AK13" i="1" s="1"/>
  <c r="W14" i="1"/>
  <c r="AE14" i="1" s="1"/>
  <c r="X14" i="1"/>
  <c r="AF14" i="1" s="1"/>
  <c r="Y14" i="1"/>
  <c r="AG14" i="1" s="1"/>
  <c r="Z14" i="1"/>
  <c r="AH14" i="1" s="1"/>
  <c r="AA14" i="1"/>
  <c r="AI14" i="1" s="1"/>
  <c r="AB14" i="1"/>
  <c r="AJ14" i="1" s="1"/>
  <c r="AC14" i="1"/>
  <c r="AK14" i="1" s="1"/>
  <c r="W15" i="1"/>
  <c r="AE15" i="1" s="1"/>
  <c r="X15" i="1"/>
  <c r="AF15" i="1" s="1"/>
  <c r="Y15" i="1"/>
  <c r="AG15" i="1" s="1"/>
  <c r="Z15" i="1"/>
  <c r="AH15" i="1" s="1"/>
  <c r="AA15" i="1"/>
  <c r="AI15" i="1" s="1"/>
  <c r="AB15" i="1"/>
  <c r="AJ15" i="1" s="1"/>
  <c r="AC15" i="1"/>
  <c r="AK15" i="1" s="1"/>
  <c r="W16" i="1"/>
  <c r="AE16" i="1" s="1"/>
  <c r="X16" i="1"/>
  <c r="AF16" i="1" s="1"/>
  <c r="Y16" i="1"/>
  <c r="AG16" i="1" s="1"/>
  <c r="Z16" i="1"/>
  <c r="AH16" i="1" s="1"/>
  <c r="AA16" i="1"/>
  <c r="AI16" i="1" s="1"/>
  <c r="AB16" i="1"/>
  <c r="AJ16" i="1" s="1"/>
  <c r="AC16" i="1"/>
  <c r="AK16" i="1" s="1"/>
  <c r="W17" i="1"/>
  <c r="AE17" i="1" s="1"/>
  <c r="X17" i="1"/>
  <c r="AF17" i="1" s="1"/>
  <c r="Y17" i="1"/>
  <c r="AG17" i="1" s="1"/>
  <c r="Z17" i="1"/>
  <c r="AH17" i="1" s="1"/>
  <c r="AA17" i="1"/>
  <c r="AI17" i="1" s="1"/>
  <c r="AB17" i="1"/>
  <c r="AC17" i="1"/>
  <c r="AK17" i="1" s="1"/>
  <c r="W18" i="1"/>
  <c r="AE18" i="1" s="1"/>
  <c r="X18" i="1"/>
  <c r="AF18" i="1" s="1"/>
  <c r="Y18" i="1"/>
  <c r="AG18" i="1" s="1"/>
  <c r="Z18" i="1"/>
  <c r="AH18" i="1" s="1"/>
  <c r="AA18" i="1"/>
  <c r="AB18" i="1"/>
  <c r="AJ18" i="1" s="1"/>
  <c r="AC18" i="1"/>
  <c r="AK18" i="1" s="1"/>
  <c r="W19" i="1"/>
  <c r="AE19" i="1" s="1"/>
  <c r="X19" i="1"/>
  <c r="AF19" i="1" s="1"/>
  <c r="Y19" i="1"/>
  <c r="AG19" i="1" s="1"/>
  <c r="Z19" i="1"/>
  <c r="AH19" i="1" s="1"/>
  <c r="AA19" i="1"/>
  <c r="AI19" i="1" s="1"/>
  <c r="AB19" i="1"/>
  <c r="AJ19" i="1" s="1"/>
  <c r="AC19" i="1"/>
  <c r="AK19" i="1" s="1"/>
  <c r="W20" i="1"/>
  <c r="AE20" i="1" s="1"/>
  <c r="X20" i="1"/>
  <c r="AF20" i="1" s="1"/>
  <c r="Y20" i="1"/>
  <c r="AG20" i="1" s="1"/>
  <c r="Z20" i="1"/>
  <c r="AH20" i="1" s="1"/>
  <c r="AA20" i="1"/>
  <c r="AI20" i="1" s="1"/>
  <c r="AB20" i="1"/>
  <c r="AJ20" i="1" s="1"/>
  <c r="AC20" i="1"/>
  <c r="AK20" i="1" s="1"/>
  <c r="W21" i="1"/>
  <c r="AE21" i="1" s="1"/>
  <c r="X21" i="1"/>
  <c r="AF21" i="1" s="1"/>
  <c r="Y21" i="1"/>
  <c r="AG21" i="1" s="1"/>
  <c r="Z21" i="1"/>
  <c r="AH21" i="1" s="1"/>
  <c r="AA21" i="1"/>
  <c r="AI21" i="1" s="1"/>
  <c r="AB21" i="1"/>
  <c r="AJ21" i="1" s="1"/>
  <c r="AC21" i="1"/>
  <c r="AK21" i="1" s="1"/>
  <c r="W22" i="1"/>
  <c r="AE22" i="1" s="1"/>
  <c r="X22" i="1"/>
  <c r="Y22" i="1"/>
  <c r="AG22" i="1" s="1"/>
  <c r="Z22" i="1"/>
  <c r="AH22" i="1" s="1"/>
  <c r="AA22" i="1"/>
  <c r="AI22" i="1" s="1"/>
  <c r="AB22" i="1"/>
  <c r="AJ22" i="1" s="1"/>
  <c r="AC22" i="1"/>
  <c r="AK22" i="1" s="1"/>
  <c r="W23" i="1"/>
  <c r="AE23" i="1" s="1"/>
  <c r="X23" i="1"/>
  <c r="AF23" i="1" s="1"/>
  <c r="Y23" i="1"/>
  <c r="AG23" i="1" s="1"/>
  <c r="Z23" i="1"/>
  <c r="AH23" i="1" s="1"/>
  <c r="AA23" i="1"/>
  <c r="AI23" i="1" s="1"/>
  <c r="AB23" i="1"/>
  <c r="AJ23" i="1" s="1"/>
  <c r="AC23" i="1"/>
  <c r="AK23" i="1" s="1"/>
  <c r="W24" i="1"/>
  <c r="AE24" i="1" s="1"/>
  <c r="X24" i="1"/>
  <c r="Y24" i="1"/>
  <c r="AG24" i="1" s="1"/>
  <c r="Z24" i="1"/>
  <c r="AH24" i="1" s="1"/>
  <c r="AA24" i="1"/>
  <c r="AI24" i="1" s="1"/>
  <c r="AB24" i="1"/>
  <c r="AJ24" i="1" s="1"/>
  <c r="AC24" i="1"/>
  <c r="AK24" i="1" s="1"/>
  <c r="W25" i="1"/>
  <c r="AE25" i="1" s="1"/>
  <c r="X25" i="1"/>
  <c r="Y25" i="1"/>
  <c r="AG25" i="1" s="1"/>
  <c r="Z25" i="1"/>
  <c r="AH25" i="1" s="1"/>
  <c r="AA25" i="1"/>
  <c r="AI25" i="1" s="1"/>
  <c r="AB25" i="1"/>
  <c r="AJ25" i="1" s="1"/>
  <c r="AC25" i="1"/>
  <c r="AK25" i="1" s="1"/>
  <c r="W26" i="1"/>
  <c r="AE26" i="1" s="1"/>
  <c r="X26" i="1"/>
  <c r="AF26" i="1" s="1"/>
  <c r="Y26" i="1"/>
  <c r="AG26" i="1" s="1"/>
  <c r="Z26" i="1"/>
  <c r="AH26" i="1" s="1"/>
  <c r="AA26" i="1"/>
  <c r="AI26" i="1" s="1"/>
  <c r="AB26" i="1"/>
  <c r="AJ26" i="1" s="1"/>
  <c r="AC26" i="1"/>
  <c r="AK26" i="1" s="1"/>
  <c r="W4" i="1"/>
  <c r="AE4" i="1" s="1"/>
  <c r="X4" i="1"/>
  <c r="AF4" i="1" s="1"/>
  <c r="Y4" i="1"/>
  <c r="AG4" i="1" s="1"/>
  <c r="Z4" i="1"/>
  <c r="AH4" i="1" s="1"/>
  <c r="AA4" i="1"/>
  <c r="AI4" i="1" s="1"/>
  <c r="AB4" i="1"/>
  <c r="AJ4" i="1" s="1"/>
  <c r="AC4" i="1"/>
  <c r="AK4" i="1" s="1"/>
  <c r="W5" i="1"/>
  <c r="AE5" i="1" s="1"/>
  <c r="X5" i="1"/>
  <c r="AF5" i="1" s="1"/>
  <c r="Y5" i="1"/>
  <c r="AG5" i="1" s="1"/>
  <c r="Z5" i="1"/>
  <c r="AH5" i="1" s="1"/>
  <c r="AA5" i="1"/>
  <c r="AI5" i="1" s="1"/>
  <c r="AB5" i="1"/>
  <c r="AJ5" i="1" s="1"/>
  <c r="AC5" i="1"/>
  <c r="AK5" i="1" s="1"/>
  <c r="W27" i="1"/>
  <c r="AE27" i="1" s="1"/>
  <c r="X27" i="1"/>
  <c r="AF27" i="1" s="1"/>
  <c r="Y27" i="1"/>
  <c r="AG27" i="1" s="1"/>
  <c r="Z27" i="1"/>
  <c r="AH27" i="1" s="1"/>
  <c r="AA27" i="1"/>
  <c r="AI27" i="1" s="1"/>
  <c r="AB27" i="1"/>
  <c r="AJ27" i="1" s="1"/>
  <c r="AC27" i="1"/>
  <c r="AK27" i="1" s="1"/>
  <c r="W28" i="1"/>
  <c r="AE28" i="1" s="1"/>
  <c r="X28" i="1"/>
  <c r="AF28" i="1" s="1"/>
  <c r="Y28" i="1"/>
  <c r="AG28" i="1" s="1"/>
  <c r="Z28" i="1"/>
  <c r="AH28" i="1" s="1"/>
  <c r="AA28" i="1"/>
  <c r="AI28" i="1" s="1"/>
  <c r="AB28" i="1"/>
  <c r="AJ28" i="1" s="1"/>
  <c r="AC28" i="1"/>
  <c r="AK28" i="1" s="1"/>
  <c r="E4" i="2"/>
  <c r="F4" i="2"/>
  <c r="G4" i="2"/>
  <c r="H4" i="2"/>
  <c r="I4" i="2"/>
  <c r="J4" i="2"/>
  <c r="D4" i="2"/>
  <c r="AN30" i="1" l="1"/>
  <c r="AQ29" i="1"/>
  <c r="AP29" i="1"/>
  <c r="AO30" i="1"/>
  <c r="AO29" i="1"/>
  <c r="AD6" i="1"/>
  <c r="AN7" i="1"/>
  <c r="AP7" i="1"/>
  <c r="AQ7" i="1"/>
  <c r="AH6" i="1"/>
  <c r="AM6" i="1" s="1"/>
  <c r="AN6" i="1" s="1"/>
  <c r="AO7" i="1"/>
  <c r="AO6" i="1"/>
  <c r="AL18" i="1"/>
  <c r="AD18" i="1"/>
  <c r="AD25" i="1"/>
  <c r="AM25" i="1"/>
  <c r="AD24" i="1"/>
  <c r="AL21" i="1"/>
  <c r="AM19" i="1"/>
  <c r="AD17" i="1"/>
  <c r="AL17" i="1"/>
  <c r="AL16" i="1"/>
  <c r="AD15" i="1"/>
  <c r="AL15" i="1"/>
  <c r="AD14" i="1"/>
  <c r="AL14" i="1"/>
  <c r="AM11" i="1"/>
  <c r="AL10" i="1"/>
  <c r="AL9" i="1"/>
  <c r="AM10" i="1"/>
  <c r="AO10" i="1" s="1"/>
  <c r="AL8" i="1"/>
  <c r="AL4" i="1"/>
  <c r="AM26" i="1"/>
  <c r="AD4" i="1"/>
  <c r="AM24" i="1"/>
  <c r="AM22" i="1"/>
  <c r="AD26" i="1"/>
  <c r="AL26" i="1"/>
  <c r="AD22" i="1"/>
  <c r="AF22" i="1"/>
  <c r="AL22" i="1" s="1"/>
  <c r="AM23" i="1"/>
  <c r="AF25" i="1"/>
  <c r="AL25" i="1" s="1"/>
  <c r="AF24" i="1"/>
  <c r="AL24" i="1" s="1"/>
  <c r="AD23" i="1"/>
  <c r="AL23" i="1"/>
  <c r="AD20" i="1"/>
  <c r="AL20" i="1"/>
  <c r="AD19" i="1"/>
  <c r="AM20" i="1"/>
  <c r="AL19" i="1"/>
  <c r="AI18" i="1"/>
  <c r="AM18" i="1" s="1"/>
  <c r="AJ17" i="1"/>
  <c r="AM17" i="1" s="1"/>
  <c r="AD16" i="1"/>
  <c r="AM16" i="1"/>
  <c r="AM15" i="1"/>
  <c r="AM14" i="1"/>
  <c r="AM13" i="1"/>
  <c r="AD13" i="1"/>
  <c r="AE13" i="1"/>
  <c r="AL13" i="1" s="1"/>
  <c r="AL12" i="1"/>
  <c r="AL11" i="1"/>
  <c r="AM12" i="1"/>
  <c r="AD11" i="1"/>
  <c r="AM9" i="1"/>
  <c r="AD10" i="1"/>
  <c r="AD9" i="1"/>
  <c r="AD8" i="1"/>
  <c r="AL5" i="1"/>
  <c r="AM4" i="1"/>
  <c r="AM21" i="1"/>
  <c r="AD21" i="1"/>
  <c r="AD12" i="1"/>
  <c r="AI8" i="1"/>
  <c r="AM8" i="1" s="1"/>
  <c r="AM5" i="1"/>
  <c r="AD5" i="1"/>
  <c r="AL27" i="1"/>
  <c r="AM27" i="1"/>
  <c r="AD27" i="1"/>
  <c r="AM28" i="1"/>
  <c r="AL28" i="1"/>
  <c r="AD28" i="1"/>
  <c r="AY29" i="1" l="1"/>
  <c r="BC29" i="1"/>
  <c r="BG29" i="1"/>
  <c r="BK29" i="1"/>
  <c r="BO29" i="1"/>
  <c r="BS29" i="1"/>
  <c r="BW29" i="1"/>
  <c r="CA29" i="1"/>
  <c r="CE29" i="1"/>
  <c r="CI29" i="1"/>
  <c r="CM29" i="1"/>
  <c r="CU29" i="1" s="1"/>
  <c r="CQ29" i="1"/>
  <c r="CY29" i="1" s="1"/>
  <c r="AZ29" i="1"/>
  <c r="BD29" i="1"/>
  <c r="BH29" i="1"/>
  <c r="BL29" i="1"/>
  <c r="BP29" i="1"/>
  <c r="BT29" i="1"/>
  <c r="BX29" i="1"/>
  <c r="CB29" i="1"/>
  <c r="CF29" i="1"/>
  <c r="CJ29" i="1"/>
  <c r="CN29" i="1"/>
  <c r="CV29" i="1" s="1"/>
  <c r="CR29" i="1"/>
  <c r="BA29" i="1"/>
  <c r="BE29" i="1"/>
  <c r="BI29" i="1"/>
  <c r="BM29" i="1"/>
  <c r="BQ29" i="1"/>
  <c r="BU29" i="1"/>
  <c r="BY29" i="1"/>
  <c r="CC29" i="1"/>
  <c r="CG29" i="1"/>
  <c r="CK29" i="1"/>
  <c r="CO29" i="1"/>
  <c r="CS29" i="1"/>
  <c r="DA29" i="1" s="1"/>
  <c r="BB29" i="1"/>
  <c r="BF29" i="1"/>
  <c r="BJ29" i="1"/>
  <c r="BN29" i="1"/>
  <c r="BR29" i="1"/>
  <c r="BV29" i="1"/>
  <c r="BZ29" i="1"/>
  <c r="CD29" i="1"/>
  <c r="CH29" i="1"/>
  <c r="CL29" i="1"/>
  <c r="CP29" i="1"/>
  <c r="CX29" i="1" s="1"/>
  <c r="AQ30" i="1"/>
  <c r="AP30" i="1"/>
  <c r="AU29" i="1"/>
  <c r="DS29" i="1"/>
  <c r="AR29" i="1"/>
  <c r="AV29" i="1"/>
  <c r="DT29" i="1"/>
  <c r="AS29" i="1"/>
  <c r="AW29" i="1"/>
  <c r="DQ29" i="1"/>
  <c r="AT29" i="1"/>
  <c r="AX29" i="1"/>
  <c r="DR29" i="1"/>
  <c r="AO15" i="1"/>
  <c r="AN18" i="1"/>
  <c r="AN25" i="1"/>
  <c r="AP25" i="1" s="1"/>
  <c r="AQ6" i="1"/>
  <c r="BD6" i="1" s="1"/>
  <c r="BN6" i="1" s="1"/>
  <c r="BX6" i="1" s="1"/>
  <c r="CH6" i="1" s="1"/>
  <c r="CR6" i="1" s="1"/>
  <c r="AP6" i="1"/>
  <c r="AU6" i="1" s="1"/>
  <c r="AO20" i="1"/>
  <c r="BC7" i="1"/>
  <c r="BD7" i="1"/>
  <c r="BN7" i="1" s="1"/>
  <c r="BX7" i="1" s="1"/>
  <c r="CH7" i="1" s="1"/>
  <c r="CR7" i="1" s="1"/>
  <c r="BL7" i="1"/>
  <c r="BE7" i="1"/>
  <c r="BM7" i="1"/>
  <c r="AY7" i="1"/>
  <c r="BF7" i="1" s="1"/>
  <c r="BB7" i="1"/>
  <c r="AZ7" i="1"/>
  <c r="BJ7" i="1" s="1"/>
  <c r="BT7" i="1" s="1"/>
  <c r="CD7" i="1" s="1"/>
  <c r="CN7" i="1" s="1"/>
  <c r="CV7" i="1" s="1"/>
  <c r="BA7" i="1"/>
  <c r="BK7" i="1" s="1"/>
  <c r="BU7" i="1" s="1"/>
  <c r="CE7" i="1" s="1"/>
  <c r="CO7" i="1" s="1"/>
  <c r="AU7" i="1"/>
  <c r="AV7" i="1"/>
  <c r="AW7" i="1"/>
  <c r="AX7" i="1"/>
  <c r="AT7" i="1"/>
  <c r="AR7" i="1"/>
  <c r="AS7" i="1"/>
  <c r="AV6" i="1"/>
  <c r="AX6" i="1"/>
  <c r="AO4" i="1"/>
  <c r="AN14" i="1"/>
  <c r="AQ14" i="1" s="1"/>
  <c r="AN24" i="1"/>
  <c r="AP24" i="1" s="1"/>
  <c r="AN11" i="1"/>
  <c r="AP11" i="1" s="1"/>
  <c r="AN16" i="1"/>
  <c r="AP16" i="1" s="1"/>
  <c r="AO23" i="1"/>
  <c r="AO14" i="1"/>
  <c r="AN10" i="1"/>
  <c r="AQ10" i="1" s="1"/>
  <c r="AN22" i="1"/>
  <c r="AQ22" i="1" s="1"/>
  <c r="AN19" i="1"/>
  <c r="AP19" i="1" s="1"/>
  <c r="AO13" i="1"/>
  <c r="AN9" i="1"/>
  <c r="AN12" i="1"/>
  <c r="AQ12" i="1" s="1"/>
  <c r="AN26" i="1"/>
  <c r="AP26" i="1" s="1"/>
  <c r="AO22" i="1"/>
  <c r="AN23" i="1"/>
  <c r="AQ23" i="1" s="1"/>
  <c r="AN20" i="1"/>
  <c r="AP20" i="1" s="1"/>
  <c r="AO24" i="1"/>
  <c r="AN15" i="1"/>
  <c r="AQ15" i="1" s="1"/>
  <c r="AO11" i="1"/>
  <c r="AO26" i="1"/>
  <c r="AO16" i="1"/>
  <c r="AO9" i="1"/>
  <c r="AO12" i="1"/>
  <c r="AO19" i="1"/>
  <c r="AO25" i="1"/>
  <c r="AN13" i="1"/>
  <c r="AQ13" i="1" s="1"/>
  <c r="AO18" i="1"/>
  <c r="AN4" i="1"/>
  <c r="AQ4" i="1" s="1"/>
  <c r="AO27" i="1"/>
  <c r="AO17" i="1"/>
  <c r="AN17" i="1"/>
  <c r="AP17" i="1" s="1"/>
  <c r="AN8" i="1"/>
  <c r="AO8" i="1"/>
  <c r="AN21" i="1"/>
  <c r="AO21" i="1"/>
  <c r="AQ11" i="1"/>
  <c r="AP18" i="1"/>
  <c r="AQ18" i="1"/>
  <c r="AN5" i="1"/>
  <c r="AO5" i="1"/>
  <c r="AN27" i="1"/>
  <c r="AQ27" i="1" s="1"/>
  <c r="AO28" i="1"/>
  <c r="AN28" i="1"/>
  <c r="DC29" i="1" l="1"/>
  <c r="DJ29" i="1" s="1"/>
  <c r="DU29" i="1"/>
  <c r="EB29" i="1" s="1"/>
  <c r="EE29" i="1" s="1"/>
  <c r="DB29" i="1"/>
  <c r="DX29" i="1"/>
  <c r="DF29" i="1"/>
  <c r="CZ29" i="1"/>
  <c r="CT29" i="1"/>
  <c r="ED29" i="1" s="1"/>
  <c r="DD29" i="1"/>
  <c r="DV29" i="1"/>
  <c r="EA29" i="1"/>
  <c r="DI29" i="1"/>
  <c r="AU30" i="1"/>
  <c r="AR30" i="1"/>
  <c r="AV30" i="1"/>
  <c r="DT30" i="1"/>
  <c r="DQ30" i="1"/>
  <c r="AS30" i="1"/>
  <c r="AW30" i="1"/>
  <c r="DS30" i="1"/>
  <c r="AT30" i="1"/>
  <c r="AX30" i="1"/>
  <c r="DR30" i="1"/>
  <c r="CW29" i="1"/>
  <c r="DG29" i="1"/>
  <c r="DY29" i="1"/>
  <c r="AY30" i="1"/>
  <c r="BC30" i="1"/>
  <c r="BG30" i="1"/>
  <c r="BK30" i="1"/>
  <c r="BO30" i="1"/>
  <c r="BS30" i="1"/>
  <c r="BW30" i="1"/>
  <c r="CA30" i="1"/>
  <c r="CE30" i="1"/>
  <c r="CI30" i="1"/>
  <c r="CM30" i="1"/>
  <c r="CU30" i="1" s="1"/>
  <c r="CQ30" i="1"/>
  <c r="CY30" i="1" s="1"/>
  <c r="AZ30" i="1"/>
  <c r="BD30" i="1"/>
  <c r="BH30" i="1"/>
  <c r="BL30" i="1"/>
  <c r="BP30" i="1"/>
  <c r="BT30" i="1"/>
  <c r="BX30" i="1"/>
  <c r="CB30" i="1"/>
  <c r="CF30" i="1"/>
  <c r="CJ30" i="1"/>
  <c r="CN30" i="1"/>
  <c r="CV30" i="1" s="1"/>
  <c r="CR30" i="1"/>
  <c r="BA30" i="1"/>
  <c r="BE30" i="1"/>
  <c r="BI30" i="1"/>
  <c r="BM30" i="1"/>
  <c r="BQ30" i="1"/>
  <c r="BU30" i="1"/>
  <c r="BY30" i="1"/>
  <c r="CC30" i="1"/>
  <c r="CG30" i="1"/>
  <c r="CK30" i="1"/>
  <c r="CO30" i="1"/>
  <c r="CS30" i="1"/>
  <c r="DA30" i="1" s="1"/>
  <c r="BB30" i="1"/>
  <c r="BF30" i="1"/>
  <c r="BJ30" i="1"/>
  <c r="BN30" i="1"/>
  <c r="BR30" i="1"/>
  <c r="BV30" i="1"/>
  <c r="BZ30" i="1"/>
  <c r="CD30" i="1"/>
  <c r="CH30" i="1"/>
  <c r="CL30" i="1"/>
  <c r="CP30" i="1"/>
  <c r="CX30" i="1" s="1"/>
  <c r="AQ25" i="1"/>
  <c r="AZ25" i="1" s="1"/>
  <c r="BJ25" i="1" s="1"/>
  <c r="BT25" i="1" s="1"/>
  <c r="CD25" i="1" s="1"/>
  <c r="CN25" i="1" s="1"/>
  <c r="CV25" i="1" s="1"/>
  <c r="AY6" i="1"/>
  <c r="BI6" i="1" s="1"/>
  <c r="BG7" i="1"/>
  <c r="BB6" i="1"/>
  <c r="BL6" i="1" s="1"/>
  <c r="BC6" i="1"/>
  <c r="BM6" i="1" s="1"/>
  <c r="BW6" i="1" s="1"/>
  <c r="BA6" i="1"/>
  <c r="BK6" i="1" s="1"/>
  <c r="BU6" i="1" s="1"/>
  <c r="CE6" i="1" s="1"/>
  <c r="CO6" i="1" s="1"/>
  <c r="AZ6" i="1"/>
  <c r="BJ6" i="1" s="1"/>
  <c r="BT6" i="1" s="1"/>
  <c r="CD6" i="1" s="1"/>
  <c r="CN6" i="1" s="1"/>
  <c r="CV6" i="1" s="1"/>
  <c r="DD6" i="1" s="1"/>
  <c r="BI7" i="1"/>
  <c r="AP4" i="1"/>
  <c r="BE6" i="1"/>
  <c r="DD7" i="1"/>
  <c r="DV7" i="1"/>
  <c r="BP7" i="1"/>
  <c r="CT7" i="1"/>
  <c r="ED7" i="1" s="1"/>
  <c r="DQ7" i="1"/>
  <c r="BH7" i="1"/>
  <c r="AT6" i="1"/>
  <c r="AP14" i="1"/>
  <c r="AS6" i="1"/>
  <c r="BS7" i="1"/>
  <c r="AR6" i="1"/>
  <c r="AW6" i="1"/>
  <c r="BW7" i="1"/>
  <c r="CT6" i="1"/>
  <c r="ED6" i="1" s="1"/>
  <c r="DQ6" i="1"/>
  <c r="AP15" i="1"/>
  <c r="DT15" i="1" s="1"/>
  <c r="AP13" i="1"/>
  <c r="AV13" i="1" s="1"/>
  <c r="AQ16" i="1"/>
  <c r="BB16" i="1" s="1"/>
  <c r="AP12" i="1"/>
  <c r="AS12" i="1" s="1"/>
  <c r="AQ24" i="1"/>
  <c r="BA24" i="1" s="1"/>
  <c r="AP10" i="1"/>
  <c r="AP23" i="1"/>
  <c r="AQ19" i="1"/>
  <c r="BD19" i="1" s="1"/>
  <c r="BN19" i="1" s="1"/>
  <c r="BX19" i="1" s="1"/>
  <c r="CH19" i="1" s="1"/>
  <c r="CR19" i="1" s="1"/>
  <c r="AP22" i="1"/>
  <c r="AV22" i="1" s="1"/>
  <c r="AQ17" i="1"/>
  <c r="BE17" i="1" s="1"/>
  <c r="AQ26" i="1"/>
  <c r="BD26" i="1" s="1"/>
  <c r="BN26" i="1" s="1"/>
  <c r="BX26" i="1" s="1"/>
  <c r="CH26" i="1" s="1"/>
  <c r="CR26" i="1" s="1"/>
  <c r="AQ9" i="1"/>
  <c r="AP9" i="1"/>
  <c r="AQ20" i="1"/>
  <c r="BC20" i="1" s="1"/>
  <c r="BM20" i="1" s="1"/>
  <c r="BW20" i="1" s="1"/>
  <c r="AP27" i="1"/>
  <c r="AS27" i="1" s="1"/>
  <c r="AX15" i="1"/>
  <c r="CS15" i="1" s="1"/>
  <c r="DA15" i="1" s="1"/>
  <c r="DS15" i="1"/>
  <c r="AR15" i="1"/>
  <c r="CM15" i="1" s="1"/>
  <c r="CU15" i="1" s="1"/>
  <c r="AW15" i="1"/>
  <c r="CR15" i="1" s="1"/>
  <c r="AV11" i="1"/>
  <c r="CQ11" i="1" s="1"/>
  <c r="CY11" i="1" s="1"/>
  <c r="AW11" i="1"/>
  <c r="CR11" i="1" s="1"/>
  <c r="DQ11" i="1"/>
  <c r="AX11" i="1"/>
  <c r="CS11" i="1" s="1"/>
  <c r="DA11" i="1" s="1"/>
  <c r="DR11" i="1"/>
  <c r="DS11" i="1"/>
  <c r="AR11" i="1"/>
  <c r="CM11" i="1" s="1"/>
  <c r="CU11" i="1" s="1"/>
  <c r="DT11" i="1"/>
  <c r="AS11" i="1"/>
  <c r="CN11" i="1" s="1"/>
  <c r="CV11" i="1" s="1"/>
  <c r="AT11" i="1"/>
  <c r="CO11" i="1" s="1"/>
  <c r="AU11" i="1"/>
  <c r="BD20" i="1"/>
  <c r="BN20" i="1" s="1"/>
  <c r="BX20" i="1" s="1"/>
  <c r="CH20" i="1" s="1"/>
  <c r="CR20" i="1" s="1"/>
  <c r="BE20" i="1"/>
  <c r="BJ16" i="1"/>
  <c r="CI16" i="1"/>
  <c r="CB16" i="1"/>
  <c r="CJ16" i="1"/>
  <c r="BF16" i="1"/>
  <c r="CD16" i="1"/>
  <c r="AY16" i="1"/>
  <c r="BX16" i="1"/>
  <c r="BA16" i="1"/>
  <c r="BI16" i="1"/>
  <c r="AY23" i="1"/>
  <c r="BI23" i="1" s="1"/>
  <c r="AZ23" i="1"/>
  <c r="BJ23" i="1" s="1"/>
  <c r="BT23" i="1" s="1"/>
  <c r="CD23" i="1" s="1"/>
  <c r="CN23" i="1" s="1"/>
  <c r="CV23" i="1" s="1"/>
  <c r="BA23" i="1"/>
  <c r="BK23" i="1" s="1"/>
  <c r="BU23" i="1" s="1"/>
  <c r="CE23" i="1" s="1"/>
  <c r="CO23" i="1" s="1"/>
  <c r="BB23" i="1"/>
  <c r="BL23" i="1" s="1"/>
  <c r="BC23" i="1"/>
  <c r="BM23" i="1" s="1"/>
  <c r="BW23" i="1" s="1"/>
  <c r="BD23" i="1"/>
  <c r="BE23" i="1"/>
  <c r="BE24" i="1"/>
  <c r="AZ24" i="1"/>
  <c r="BJ24" i="1" s="1"/>
  <c r="BT24" i="1" s="1"/>
  <c r="CD24" i="1" s="1"/>
  <c r="CN24" i="1" s="1"/>
  <c r="CV24" i="1" s="1"/>
  <c r="AP21" i="1"/>
  <c r="AQ21" i="1"/>
  <c r="AV20" i="1"/>
  <c r="AW20" i="1"/>
  <c r="AX20" i="1"/>
  <c r="AR20" i="1"/>
  <c r="AS20" i="1"/>
  <c r="AT20" i="1"/>
  <c r="AU20" i="1"/>
  <c r="AW17" i="1"/>
  <c r="AX17" i="1"/>
  <c r="AR17" i="1"/>
  <c r="AS17" i="1"/>
  <c r="AT17" i="1"/>
  <c r="AU17" i="1"/>
  <c r="AV17" i="1"/>
  <c r="AT16" i="1"/>
  <c r="AU16" i="1"/>
  <c r="AV16" i="1"/>
  <c r="CQ16" i="1" s="1"/>
  <c r="CY16" i="1" s="1"/>
  <c r="AW16" i="1"/>
  <c r="DQ16" i="1"/>
  <c r="AX16" i="1"/>
  <c r="CS16" i="1" s="1"/>
  <c r="DA16" i="1" s="1"/>
  <c r="DR16" i="1"/>
  <c r="DS16" i="1"/>
  <c r="AR16" i="1"/>
  <c r="DT16" i="1"/>
  <c r="AS16" i="1"/>
  <c r="CN16" i="1" s="1"/>
  <c r="CV16" i="1" s="1"/>
  <c r="BF14" i="1"/>
  <c r="BN14" i="1"/>
  <c r="BV14" i="1"/>
  <c r="CD14" i="1"/>
  <c r="CL14" i="1"/>
  <c r="AY14" i="1"/>
  <c r="BG14" i="1"/>
  <c r="BO14" i="1"/>
  <c r="BW14" i="1"/>
  <c r="CE14" i="1"/>
  <c r="AZ14" i="1"/>
  <c r="BH14" i="1"/>
  <c r="BP14" i="1"/>
  <c r="BX14" i="1"/>
  <c r="CF14" i="1"/>
  <c r="BA14" i="1"/>
  <c r="BI14" i="1"/>
  <c r="BQ14" i="1"/>
  <c r="BY14" i="1"/>
  <c r="CG14" i="1"/>
  <c r="BB14" i="1"/>
  <c r="BJ14" i="1"/>
  <c r="BR14" i="1"/>
  <c r="BZ14" i="1"/>
  <c r="CH14" i="1"/>
  <c r="BC14" i="1"/>
  <c r="BK14" i="1"/>
  <c r="BS14" i="1"/>
  <c r="CA14" i="1"/>
  <c r="CI14" i="1"/>
  <c r="BD14" i="1"/>
  <c r="BL14" i="1"/>
  <c r="BT14" i="1"/>
  <c r="CB14" i="1"/>
  <c r="CJ14" i="1"/>
  <c r="BE14" i="1"/>
  <c r="BM14" i="1"/>
  <c r="BU14" i="1"/>
  <c r="CC14" i="1"/>
  <c r="CK14" i="1"/>
  <c r="AX23" i="1"/>
  <c r="AR23" i="1"/>
  <c r="AS23" i="1"/>
  <c r="AT23" i="1"/>
  <c r="AU23" i="1"/>
  <c r="AV23" i="1"/>
  <c r="AW23" i="1"/>
  <c r="AT24" i="1"/>
  <c r="AU24" i="1"/>
  <c r="AV24" i="1"/>
  <c r="AW24" i="1"/>
  <c r="AX24" i="1"/>
  <c r="AR24" i="1"/>
  <c r="AS24" i="1"/>
  <c r="AX14" i="1"/>
  <c r="CS14" i="1" s="1"/>
  <c r="DA14" i="1" s="1"/>
  <c r="DR14" i="1"/>
  <c r="DS14" i="1"/>
  <c r="AR14" i="1"/>
  <c r="CM14" i="1" s="1"/>
  <c r="CU14" i="1" s="1"/>
  <c r="DT14" i="1"/>
  <c r="AS14" i="1"/>
  <c r="CN14" i="1" s="1"/>
  <c r="CV14" i="1" s="1"/>
  <c r="AT14" i="1"/>
  <c r="CO14" i="1" s="1"/>
  <c r="AU14" i="1"/>
  <c r="CP14" i="1" s="1"/>
  <c r="CX14" i="1" s="1"/>
  <c r="AV14" i="1"/>
  <c r="CQ14" i="1" s="1"/>
  <c r="CY14" i="1" s="1"/>
  <c r="AW14" i="1"/>
  <c r="CR14" i="1" s="1"/>
  <c r="DQ14" i="1"/>
  <c r="AP8" i="1"/>
  <c r="AQ8" i="1"/>
  <c r="BB13" i="1"/>
  <c r="BL13" i="1" s="1"/>
  <c r="BC13" i="1"/>
  <c r="BM13" i="1" s="1"/>
  <c r="BW13" i="1" s="1"/>
  <c r="BD13" i="1"/>
  <c r="BN13" i="1" s="1"/>
  <c r="BX13" i="1" s="1"/>
  <c r="CH13" i="1" s="1"/>
  <c r="CR13" i="1" s="1"/>
  <c r="BE13" i="1"/>
  <c r="AY13" i="1"/>
  <c r="BI13" i="1" s="1"/>
  <c r="AZ13" i="1"/>
  <c r="BJ13" i="1" s="1"/>
  <c r="BT13" i="1" s="1"/>
  <c r="CD13" i="1" s="1"/>
  <c r="CN13" i="1" s="1"/>
  <c r="CV13" i="1" s="1"/>
  <c r="BA13" i="1"/>
  <c r="BK13" i="1" s="1"/>
  <c r="BU13" i="1" s="1"/>
  <c r="CE13" i="1" s="1"/>
  <c r="CO13" i="1" s="1"/>
  <c r="BA18" i="1"/>
  <c r="BK18" i="1" s="1"/>
  <c r="BU18" i="1" s="1"/>
  <c r="CE18" i="1" s="1"/>
  <c r="CO18" i="1" s="1"/>
  <c r="BB18" i="1"/>
  <c r="BL18" i="1" s="1"/>
  <c r="BC18" i="1"/>
  <c r="BD18" i="1"/>
  <c r="BN18" i="1" s="1"/>
  <c r="BX18" i="1" s="1"/>
  <c r="CH18" i="1" s="1"/>
  <c r="CR18" i="1" s="1"/>
  <c r="BE18" i="1"/>
  <c r="AY18" i="1"/>
  <c r="AZ18" i="1"/>
  <c r="BJ18" i="1" s="1"/>
  <c r="BT18" i="1" s="1"/>
  <c r="CD18" i="1" s="1"/>
  <c r="CN18" i="1" s="1"/>
  <c r="CV18" i="1" s="1"/>
  <c r="BC25" i="1"/>
  <c r="BM25" i="1" s="1"/>
  <c r="BW25" i="1" s="1"/>
  <c r="BE25" i="1"/>
  <c r="AY25" i="1"/>
  <c r="BI25" i="1" s="1"/>
  <c r="BS25" i="1" s="1"/>
  <c r="BA25" i="1"/>
  <c r="BK25" i="1" s="1"/>
  <c r="BU25" i="1" s="1"/>
  <c r="CE25" i="1" s="1"/>
  <c r="CO25" i="1" s="1"/>
  <c r="AU26" i="1"/>
  <c r="AV26" i="1"/>
  <c r="AW26" i="1"/>
  <c r="AX26" i="1"/>
  <c r="AR26" i="1"/>
  <c r="AS26" i="1"/>
  <c r="AT26" i="1"/>
  <c r="AR10" i="1"/>
  <c r="AS10" i="1"/>
  <c r="AT10" i="1"/>
  <c r="AU10" i="1"/>
  <c r="AV10" i="1"/>
  <c r="AW10" i="1"/>
  <c r="AX10" i="1"/>
  <c r="AS18" i="1"/>
  <c r="AT18" i="1"/>
  <c r="AU18" i="1"/>
  <c r="AV18" i="1"/>
  <c r="AW18" i="1"/>
  <c r="AX18" i="1"/>
  <c r="AR18" i="1"/>
  <c r="AR19" i="1"/>
  <c r="AS19" i="1"/>
  <c r="AT19" i="1"/>
  <c r="AU19" i="1"/>
  <c r="AV19" i="1"/>
  <c r="AW19" i="1"/>
  <c r="AX19" i="1"/>
  <c r="AT25" i="1"/>
  <c r="AU25" i="1"/>
  <c r="AV25" i="1"/>
  <c r="AW25" i="1"/>
  <c r="AX25" i="1"/>
  <c r="AR25" i="1"/>
  <c r="AS25" i="1"/>
  <c r="AY10" i="1"/>
  <c r="AZ10" i="1"/>
  <c r="BJ10" i="1" s="1"/>
  <c r="BT10" i="1" s="1"/>
  <c r="CD10" i="1" s="1"/>
  <c r="CN10" i="1" s="1"/>
  <c r="CV10" i="1" s="1"/>
  <c r="BA10" i="1"/>
  <c r="BK10" i="1" s="1"/>
  <c r="BU10" i="1" s="1"/>
  <c r="CE10" i="1" s="1"/>
  <c r="CO10" i="1" s="1"/>
  <c r="BB10" i="1"/>
  <c r="BL10" i="1" s="1"/>
  <c r="BC10" i="1"/>
  <c r="BM10" i="1" s="1"/>
  <c r="BW10" i="1" s="1"/>
  <c r="BD10" i="1"/>
  <c r="BN10" i="1" s="1"/>
  <c r="BX10" i="1" s="1"/>
  <c r="CH10" i="1" s="1"/>
  <c r="CR10" i="1" s="1"/>
  <c r="BE10" i="1"/>
  <c r="AS22" i="1"/>
  <c r="AR12" i="1"/>
  <c r="AY22" i="1"/>
  <c r="BI22" i="1" s="1"/>
  <c r="BS22" i="1" s="1"/>
  <c r="AZ22" i="1"/>
  <c r="BJ22" i="1" s="1"/>
  <c r="BA22" i="1"/>
  <c r="BB22" i="1"/>
  <c r="BL22" i="1" s="1"/>
  <c r="BC22" i="1"/>
  <c r="BM22" i="1" s="1"/>
  <c r="BW22" i="1" s="1"/>
  <c r="BD22" i="1"/>
  <c r="BN22" i="1" s="1"/>
  <c r="BX22" i="1" s="1"/>
  <c r="CH22" i="1" s="1"/>
  <c r="CR22" i="1" s="1"/>
  <c r="BE22" i="1"/>
  <c r="BF15" i="1"/>
  <c r="BN15" i="1"/>
  <c r="BV15" i="1"/>
  <c r="CD15" i="1"/>
  <c r="CL15" i="1"/>
  <c r="AY15" i="1"/>
  <c r="BG15" i="1"/>
  <c r="BO15" i="1"/>
  <c r="BW15" i="1"/>
  <c r="CE15" i="1"/>
  <c r="AZ15" i="1"/>
  <c r="BH15" i="1"/>
  <c r="BP15" i="1"/>
  <c r="BX15" i="1"/>
  <c r="CF15" i="1"/>
  <c r="BA15" i="1"/>
  <c r="BI15" i="1"/>
  <c r="BQ15" i="1"/>
  <c r="BY15" i="1"/>
  <c r="CG15" i="1"/>
  <c r="BC15" i="1"/>
  <c r="BK15" i="1"/>
  <c r="BS15" i="1"/>
  <c r="CA15" i="1"/>
  <c r="CI15" i="1"/>
  <c r="BD15" i="1"/>
  <c r="BL15" i="1"/>
  <c r="BT15" i="1"/>
  <c r="CB15" i="1"/>
  <c r="CJ15" i="1"/>
  <c r="BZ15" i="1"/>
  <c r="CC15" i="1"/>
  <c r="BB15" i="1"/>
  <c r="CH15" i="1"/>
  <c r="BE15" i="1"/>
  <c r="CK15" i="1"/>
  <c r="BJ15" i="1"/>
  <c r="BM15" i="1"/>
  <c r="BR15" i="1"/>
  <c r="BU15" i="1"/>
  <c r="AY12" i="1"/>
  <c r="BI12" i="1" s="1"/>
  <c r="BS12" i="1" s="1"/>
  <c r="CC12" i="1" s="1"/>
  <c r="AZ12" i="1"/>
  <c r="BJ12" i="1" s="1"/>
  <c r="BT12" i="1" s="1"/>
  <c r="CD12" i="1" s="1"/>
  <c r="CN12" i="1" s="1"/>
  <c r="CV12" i="1" s="1"/>
  <c r="BA12" i="1"/>
  <c r="BK12" i="1" s="1"/>
  <c r="BU12" i="1" s="1"/>
  <c r="CE12" i="1" s="1"/>
  <c r="CO12" i="1" s="1"/>
  <c r="BB12" i="1"/>
  <c r="BL12" i="1" s="1"/>
  <c r="BC12" i="1"/>
  <c r="BM12" i="1" s="1"/>
  <c r="BW12" i="1" s="1"/>
  <c r="BD12" i="1"/>
  <c r="BN12" i="1" s="1"/>
  <c r="BX12" i="1" s="1"/>
  <c r="CH12" i="1" s="1"/>
  <c r="CR12" i="1" s="1"/>
  <c r="BE12" i="1"/>
  <c r="BD11" i="1"/>
  <c r="BL11" i="1"/>
  <c r="BT11" i="1"/>
  <c r="CB11" i="1"/>
  <c r="CJ11" i="1"/>
  <c r="BE11" i="1"/>
  <c r="BM11" i="1"/>
  <c r="BU11" i="1"/>
  <c r="CC11" i="1"/>
  <c r="CK11" i="1"/>
  <c r="BF11" i="1"/>
  <c r="BN11" i="1"/>
  <c r="BV11" i="1"/>
  <c r="CD11" i="1"/>
  <c r="CL11" i="1"/>
  <c r="AY11" i="1"/>
  <c r="BG11" i="1"/>
  <c r="BO11" i="1"/>
  <c r="BW11" i="1"/>
  <c r="CE11" i="1"/>
  <c r="AZ11" i="1"/>
  <c r="BH11" i="1"/>
  <c r="BP11" i="1"/>
  <c r="BX11" i="1"/>
  <c r="CF11" i="1"/>
  <c r="BA11" i="1"/>
  <c r="BI11" i="1"/>
  <c r="BQ11" i="1"/>
  <c r="BY11" i="1"/>
  <c r="CG11" i="1"/>
  <c r="BZ11" i="1"/>
  <c r="CA11" i="1"/>
  <c r="BB11" i="1"/>
  <c r="CH11" i="1"/>
  <c r="BC11" i="1"/>
  <c r="CI11" i="1"/>
  <c r="BJ11" i="1"/>
  <c r="CP11" i="1"/>
  <c r="CX11" i="1" s="1"/>
  <c r="BK11" i="1"/>
  <c r="BR11" i="1"/>
  <c r="BS11" i="1"/>
  <c r="AW4" i="1"/>
  <c r="CR4" i="1" s="1"/>
  <c r="DQ4" i="1"/>
  <c r="AX4" i="1"/>
  <c r="CS4" i="1" s="1"/>
  <c r="DA4" i="1" s="1"/>
  <c r="DR4" i="1"/>
  <c r="DS4" i="1"/>
  <c r="AR4" i="1"/>
  <c r="CM4" i="1" s="1"/>
  <c r="CU4" i="1" s="1"/>
  <c r="DT4" i="1"/>
  <c r="AS4" i="1"/>
  <c r="CN4" i="1" s="1"/>
  <c r="CV4" i="1" s="1"/>
  <c r="AU4" i="1"/>
  <c r="CP4" i="1" s="1"/>
  <c r="CX4" i="1" s="1"/>
  <c r="AT4" i="1"/>
  <c r="CO4" i="1" s="1"/>
  <c r="AV4" i="1"/>
  <c r="CQ4" i="1" s="1"/>
  <c r="CY4" i="1" s="1"/>
  <c r="AQ5" i="1"/>
  <c r="AP5" i="1"/>
  <c r="BE4" i="1"/>
  <c r="BM4" i="1"/>
  <c r="BU4" i="1"/>
  <c r="CC4" i="1"/>
  <c r="CK4" i="1"/>
  <c r="BF4" i="1"/>
  <c r="BN4" i="1"/>
  <c r="BV4" i="1"/>
  <c r="CD4" i="1"/>
  <c r="CL4" i="1"/>
  <c r="AY4" i="1"/>
  <c r="BG4" i="1"/>
  <c r="BO4" i="1"/>
  <c r="BW4" i="1"/>
  <c r="CE4" i="1"/>
  <c r="AZ4" i="1"/>
  <c r="BH4" i="1"/>
  <c r="BP4" i="1"/>
  <c r="BX4" i="1"/>
  <c r="CF4" i="1"/>
  <c r="BA4" i="1"/>
  <c r="BI4" i="1"/>
  <c r="BQ4" i="1"/>
  <c r="BY4" i="1"/>
  <c r="CG4" i="1"/>
  <c r="BC4" i="1"/>
  <c r="BK4" i="1"/>
  <c r="BS4" i="1"/>
  <c r="CA4" i="1"/>
  <c r="CI4" i="1"/>
  <c r="BL4" i="1"/>
  <c r="BR4" i="1"/>
  <c r="BT4" i="1"/>
  <c r="BZ4" i="1"/>
  <c r="CB4" i="1"/>
  <c r="BD4" i="1"/>
  <c r="CJ4" i="1"/>
  <c r="BB4" i="1"/>
  <c r="BJ4" i="1"/>
  <c r="CH4" i="1"/>
  <c r="BD27" i="1"/>
  <c r="BN27" i="1" s="1"/>
  <c r="BX27" i="1" s="1"/>
  <c r="CH27" i="1" s="1"/>
  <c r="CR27" i="1" s="1"/>
  <c r="BE27" i="1"/>
  <c r="AZ27" i="1"/>
  <c r="BA27" i="1"/>
  <c r="BK27" i="1" s="1"/>
  <c r="BU27" i="1" s="1"/>
  <c r="CE27" i="1" s="1"/>
  <c r="CO27" i="1" s="1"/>
  <c r="BB27" i="1"/>
  <c r="BL27" i="1" s="1"/>
  <c r="BC27" i="1"/>
  <c r="BM27" i="1" s="1"/>
  <c r="BW27" i="1" s="1"/>
  <c r="AY27" i="1"/>
  <c r="BI27" i="1" s="1"/>
  <c r="AV27" i="1"/>
  <c r="AX27" i="1"/>
  <c r="AR27" i="1"/>
  <c r="AQ28" i="1"/>
  <c r="AP28" i="1"/>
  <c r="DP29" i="1" l="1"/>
  <c r="DX30" i="1"/>
  <c r="DF30" i="1"/>
  <c r="CZ30" i="1"/>
  <c r="CT30" i="1"/>
  <c r="ED30" i="1" s="1"/>
  <c r="DD30" i="1"/>
  <c r="DV30" i="1"/>
  <c r="DN29" i="1"/>
  <c r="DK29" i="1"/>
  <c r="EA30" i="1"/>
  <c r="DI30" i="1"/>
  <c r="DW29" i="1"/>
  <c r="DE29" i="1"/>
  <c r="DL29" i="1" s="1"/>
  <c r="CW30" i="1"/>
  <c r="DH29" i="1"/>
  <c r="DO29" i="1" s="1"/>
  <c r="DZ29" i="1"/>
  <c r="DG30" i="1"/>
  <c r="DY30" i="1"/>
  <c r="DM29" i="1"/>
  <c r="DC30" i="1"/>
  <c r="DJ30" i="1" s="1"/>
  <c r="DU30" i="1"/>
  <c r="EB30" i="1" s="1"/>
  <c r="EE30" i="1" s="1"/>
  <c r="DB30" i="1"/>
  <c r="BS6" i="1"/>
  <c r="BP6" i="1"/>
  <c r="BD25" i="1"/>
  <c r="BN25" i="1" s="1"/>
  <c r="BX25" i="1" s="1"/>
  <c r="CH25" i="1" s="1"/>
  <c r="CR25" i="1" s="1"/>
  <c r="CT25" i="1" s="1"/>
  <c r="ED25" i="1" s="1"/>
  <c r="CR16" i="1"/>
  <c r="CF16" i="1"/>
  <c r="BN16" i="1"/>
  <c r="BT16" i="1"/>
  <c r="BC17" i="1"/>
  <c r="BM17" i="1" s="1"/>
  <c r="BW17" i="1" s="1"/>
  <c r="DQ15" i="1"/>
  <c r="DR15" i="1"/>
  <c r="BB17" i="1"/>
  <c r="BL17" i="1" s="1"/>
  <c r="BB25" i="1"/>
  <c r="BL25" i="1" s="1"/>
  <c r="CP16" i="1"/>
  <c r="CX16" i="1" s="1"/>
  <c r="AZ16" i="1"/>
  <c r="BS16" i="1"/>
  <c r="BA17" i="1"/>
  <c r="BK17" i="1" s="1"/>
  <c r="BU17" i="1" s="1"/>
  <c r="CE17" i="1" s="1"/>
  <c r="CO17" i="1" s="1"/>
  <c r="CT17" i="1" s="1"/>
  <c r="ED17" i="1" s="1"/>
  <c r="AT15" i="1"/>
  <c r="CO15" i="1" s="1"/>
  <c r="CT15" i="1" s="1"/>
  <c r="ED15" i="1" s="1"/>
  <c r="BF6" i="1"/>
  <c r="BH6" i="1" s="1"/>
  <c r="BO6" i="1" s="1"/>
  <c r="BG6" i="1"/>
  <c r="BC19" i="1"/>
  <c r="BM19" i="1" s="1"/>
  <c r="BW19" i="1" s="1"/>
  <c r="AU13" i="1"/>
  <c r="CM16" i="1"/>
  <c r="CU16" i="1" s="1"/>
  <c r="CO16" i="1"/>
  <c r="BW16" i="1"/>
  <c r="CK16" i="1"/>
  <c r="BK16" i="1"/>
  <c r="AV15" i="1"/>
  <c r="CQ15" i="1" s="1"/>
  <c r="CY15" i="1" s="1"/>
  <c r="DV6" i="1"/>
  <c r="CW7" i="1"/>
  <c r="DW7" i="1" s="1"/>
  <c r="BD17" i="1"/>
  <c r="BN17" i="1" s="1"/>
  <c r="BX17" i="1" s="1"/>
  <c r="CH17" i="1" s="1"/>
  <c r="CR17" i="1" s="1"/>
  <c r="BO16" i="1"/>
  <c r="BM16" i="1"/>
  <c r="BC16" i="1"/>
  <c r="AU15" i="1"/>
  <c r="CP15" i="1" s="1"/>
  <c r="CX15" i="1" s="1"/>
  <c r="DX15" i="1" s="1"/>
  <c r="BY16" i="1"/>
  <c r="BG16" i="1"/>
  <c r="CH16" i="1"/>
  <c r="AS15" i="1"/>
  <c r="CN15" i="1" s="1"/>
  <c r="CV15" i="1" s="1"/>
  <c r="BD24" i="1"/>
  <c r="BN24" i="1" s="1"/>
  <c r="BX24" i="1" s="1"/>
  <c r="CH24" i="1" s="1"/>
  <c r="CR24" i="1" s="1"/>
  <c r="BB20" i="1"/>
  <c r="BL20" i="1" s="1"/>
  <c r="AX12" i="1"/>
  <c r="BC24" i="1"/>
  <c r="BM24" i="1" s="1"/>
  <c r="BW24" i="1" s="1"/>
  <c r="BA20" i="1"/>
  <c r="BK20" i="1" s="1"/>
  <c r="BU20" i="1" s="1"/>
  <c r="CE20" i="1" s="1"/>
  <c r="CO20" i="1" s="1"/>
  <c r="CC7" i="1"/>
  <c r="BZ7" i="1"/>
  <c r="AW12" i="1"/>
  <c r="BB24" i="1"/>
  <c r="BL24" i="1" s="1"/>
  <c r="AZ20" i="1"/>
  <c r="BJ20" i="1" s="1"/>
  <c r="BT20" i="1" s="1"/>
  <c r="CD20" i="1" s="1"/>
  <c r="CN20" i="1" s="1"/>
  <c r="CV20" i="1" s="1"/>
  <c r="DD20" i="1" s="1"/>
  <c r="CZ6" i="1"/>
  <c r="DH6" i="1" s="1"/>
  <c r="AV12" i="1"/>
  <c r="BB26" i="1"/>
  <c r="AY20" i="1"/>
  <c r="BI20" i="1" s="1"/>
  <c r="BP20" i="1" s="1"/>
  <c r="CZ7" i="1"/>
  <c r="AU12" i="1"/>
  <c r="BA26" i="1"/>
  <c r="BK26" i="1" s="1"/>
  <c r="BU26" i="1" s="1"/>
  <c r="CE26" i="1" s="1"/>
  <c r="CO26" i="1" s="1"/>
  <c r="AT12" i="1"/>
  <c r="AZ26" i="1"/>
  <c r="BJ26" i="1" s="1"/>
  <c r="BT26" i="1" s="1"/>
  <c r="CD26" i="1" s="1"/>
  <c r="CN26" i="1" s="1"/>
  <c r="CV26" i="1" s="1"/>
  <c r="DV26" i="1" s="1"/>
  <c r="BO7" i="1"/>
  <c r="BC26" i="1"/>
  <c r="BM26" i="1" s="1"/>
  <c r="BW26" i="1" s="1"/>
  <c r="AY24" i="1"/>
  <c r="BI24" i="1" s="1"/>
  <c r="BS24" i="1" s="1"/>
  <c r="DE7" i="1"/>
  <c r="BB19" i="1"/>
  <c r="AT13" i="1"/>
  <c r="DQ13" i="1"/>
  <c r="BP16" i="1"/>
  <c r="CC16" i="1"/>
  <c r="BL16" i="1"/>
  <c r="BZ16" i="1"/>
  <c r="AZ17" i="1"/>
  <c r="BJ17" i="1" s="1"/>
  <c r="BT17" i="1" s="1"/>
  <c r="CD17" i="1" s="1"/>
  <c r="CN17" i="1" s="1"/>
  <c r="CV17" i="1" s="1"/>
  <c r="BA19" i="1"/>
  <c r="BK19" i="1" s="1"/>
  <c r="BU19" i="1" s="1"/>
  <c r="CE19" i="1" s="1"/>
  <c r="CO19" i="1" s="1"/>
  <c r="CT19" i="1" s="1"/>
  <c r="ED19" i="1" s="1"/>
  <c r="CG16" i="1"/>
  <c r="BH16" i="1"/>
  <c r="CL16" i="1"/>
  <c r="BU16" i="1"/>
  <c r="BD16" i="1"/>
  <c r="BR16" i="1"/>
  <c r="AY17" i="1"/>
  <c r="BI17" i="1" s="1"/>
  <c r="BS17" i="1" s="1"/>
  <c r="AZ19" i="1"/>
  <c r="BJ19" i="1" s="1"/>
  <c r="BT19" i="1" s="1"/>
  <c r="CD19" i="1" s="1"/>
  <c r="CN19" i="1" s="1"/>
  <c r="CV19" i="1" s="1"/>
  <c r="DV19" i="1" s="1"/>
  <c r="AS13" i="1"/>
  <c r="AR13" i="1"/>
  <c r="BQ16" i="1"/>
  <c r="CE16" i="1"/>
  <c r="BV16" i="1"/>
  <c r="BE16" i="1"/>
  <c r="CA16" i="1"/>
  <c r="CW6" i="1"/>
  <c r="AY19" i="1"/>
  <c r="BI19" i="1" s="1"/>
  <c r="BS19" i="1" s="1"/>
  <c r="AX13" i="1"/>
  <c r="BE19" i="1"/>
  <c r="AW13" i="1"/>
  <c r="AU22" i="1"/>
  <c r="AT22" i="1"/>
  <c r="AR22" i="1"/>
  <c r="AX22" i="1"/>
  <c r="AY26" i="1"/>
  <c r="BI26" i="1" s="1"/>
  <c r="BP26" i="1" s="1"/>
  <c r="AW22" i="1"/>
  <c r="BE26" i="1"/>
  <c r="BG26" i="1" s="1"/>
  <c r="AW9" i="1"/>
  <c r="AR9" i="1"/>
  <c r="AS9" i="1"/>
  <c r="AT9" i="1"/>
  <c r="AV9" i="1"/>
  <c r="AU9" i="1"/>
  <c r="AX9" i="1"/>
  <c r="AZ9" i="1"/>
  <c r="BJ9" i="1" s="1"/>
  <c r="BT9" i="1" s="1"/>
  <c r="CD9" i="1" s="1"/>
  <c r="CN9" i="1" s="1"/>
  <c r="CV9" i="1" s="1"/>
  <c r="BA9" i="1"/>
  <c r="BK9" i="1" s="1"/>
  <c r="BU9" i="1" s="1"/>
  <c r="CE9" i="1" s="1"/>
  <c r="CO9" i="1" s="1"/>
  <c r="BB9" i="1"/>
  <c r="BC9" i="1"/>
  <c r="BM9" i="1" s="1"/>
  <c r="BW9" i="1" s="1"/>
  <c r="BD9" i="1"/>
  <c r="BN9" i="1" s="1"/>
  <c r="BX9" i="1" s="1"/>
  <c r="CH9" i="1" s="1"/>
  <c r="CR9" i="1" s="1"/>
  <c r="DQ9" i="1" s="1"/>
  <c r="AY9" i="1"/>
  <c r="BE9" i="1"/>
  <c r="AW27" i="1"/>
  <c r="AU27" i="1"/>
  <c r="AT27" i="1"/>
  <c r="BG18" i="1"/>
  <c r="BF12" i="1"/>
  <c r="BG10" i="1"/>
  <c r="BG25" i="1"/>
  <c r="BG13" i="1"/>
  <c r="CC22" i="1"/>
  <c r="CM22" i="1" s="1"/>
  <c r="CU22" i="1" s="1"/>
  <c r="DC22" i="1" s="1"/>
  <c r="BK22" i="1"/>
  <c r="BU22" i="1" s="1"/>
  <c r="CE22" i="1" s="1"/>
  <c r="CO22" i="1" s="1"/>
  <c r="CT22" i="1" s="1"/>
  <c r="BF22" i="1"/>
  <c r="BT22" i="1"/>
  <c r="CD22" i="1" s="1"/>
  <c r="CN22" i="1" s="1"/>
  <c r="CV22" i="1" s="1"/>
  <c r="DD22" i="1" s="1"/>
  <c r="BP12" i="1"/>
  <c r="BF10" i="1"/>
  <c r="BZ12" i="1"/>
  <c r="BG22" i="1"/>
  <c r="BL19" i="1"/>
  <c r="BM18" i="1"/>
  <c r="BW18" i="1" s="1"/>
  <c r="BF18" i="1"/>
  <c r="BH18" i="1" s="1"/>
  <c r="BO18" i="1" s="1"/>
  <c r="BY18" i="1" s="1"/>
  <c r="CI18" i="1" s="1"/>
  <c r="CS18" i="1" s="1"/>
  <c r="BG24" i="1"/>
  <c r="BF23" i="1"/>
  <c r="BK24" i="1"/>
  <c r="BU24" i="1" s="1"/>
  <c r="CE24" i="1" s="1"/>
  <c r="CO24" i="1" s="1"/>
  <c r="CT24" i="1" s="1"/>
  <c r="ED24" i="1" s="1"/>
  <c r="BG23" i="1"/>
  <c r="BP23" i="1"/>
  <c r="CJ12" i="1"/>
  <c r="CT10" i="1"/>
  <c r="ED10" i="1" s="1"/>
  <c r="DQ10" i="1"/>
  <c r="DD10" i="1"/>
  <c r="DV10" i="1"/>
  <c r="DQ22" i="1"/>
  <c r="DD12" i="1"/>
  <c r="DV12" i="1"/>
  <c r="CT12" i="1"/>
  <c r="ED12" i="1" s="1"/>
  <c r="DQ12" i="1"/>
  <c r="DY11" i="1"/>
  <c r="DG11" i="1"/>
  <c r="DD11" i="1"/>
  <c r="DV11" i="1"/>
  <c r="EA15" i="1"/>
  <c r="DI15" i="1"/>
  <c r="BS26" i="1"/>
  <c r="CM12" i="1"/>
  <c r="CU12" i="1" s="1"/>
  <c r="DG15" i="1"/>
  <c r="DY15" i="1"/>
  <c r="CT26" i="1"/>
  <c r="ED26" i="1" s="1"/>
  <c r="DQ26" i="1"/>
  <c r="DX11" i="1"/>
  <c r="DF11" i="1"/>
  <c r="CT11" i="1"/>
  <c r="CT18" i="1"/>
  <c r="ED18" i="1" s="1"/>
  <c r="DQ18" i="1"/>
  <c r="DD26" i="1"/>
  <c r="DI11" i="1"/>
  <c r="EA11" i="1"/>
  <c r="DC15" i="1"/>
  <c r="DU15" i="1"/>
  <c r="CC25" i="1"/>
  <c r="BZ25" i="1"/>
  <c r="DV18" i="1"/>
  <c r="DD18" i="1"/>
  <c r="BG12" i="1"/>
  <c r="DD15" i="1"/>
  <c r="DV15" i="1"/>
  <c r="BI10" i="1"/>
  <c r="DQ25" i="1"/>
  <c r="DC11" i="1"/>
  <c r="DU11" i="1"/>
  <c r="DV25" i="1"/>
  <c r="DD25" i="1"/>
  <c r="DQ19" i="1"/>
  <c r="BL26" i="1"/>
  <c r="DI16" i="1"/>
  <c r="EA16" i="1"/>
  <c r="DQ17" i="1"/>
  <c r="DD14" i="1"/>
  <c r="DV14" i="1"/>
  <c r="CC24" i="1"/>
  <c r="DD23" i="1"/>
  <c r="DV23" i="1"/>
  <c r="CT16" i="1"/>
  <c r="ED16" i="1" s="1"/>
  <c r="BS20" i="1"/>
  <c r="BF25" i="1"/>
  <c r="BI18" i="1"/>
  <c r="DC14" i="1"/>
  <c r="DU14" i="1"/>
  <c r="DV16" i="1"/>
  <c r="DD16" i="1"/>
  <c r="DG16" i="1"/>
  <c r="DY16" i="1"/>
  <c r="DV24" i="1"/>
  <c r="DD24" i="1"/>
  <c r="DV13" i="1"/>
  <c r="DD13" i="1"/>
  <c r="DF16" i="1"/>
  <c r="DX16" i="1"/>
  <c r="BP25" i="1"/>
  <c r="CT14" i="1"/>
  <c r="ED14" i="1" s="1"/>
  <c r="DC16" i="1"/>
  <c r="DU16" i="1"/>
  <c r="CT20" i="1"/>
  <c r="ED20" i="1" s="1"/>
  <c r="DQ20" i="1"/>
  <c r="BS13" i="1"/>
  <c r="BP13" i="1"/>
  <c r="DG14" i="1"/>
  <c r="DY14" i="1"/>
  <c r="EA14" i="1"/>
  <c r="DI14" i="1"/>
  <c r="CT13" i="1"/>
  <c r="ED13" i="1" s="1"/>
  <c r="DF14" i="1"/>
  <c r="DX14" i="1"/>
  <c r="DD17" i="1"/>
  <c r="DV17" i="1"/>
  <c r="AZ8" i="1"/>
  <c r="BJ8" i="1" s="1"/>
  <c r="BT8" i="1" s="1"/>
  <c r="CD8" i="1" s="1"/>
  <c r="CN8" i="1" s="1"/>
  <c r="CV8" i="1" s="1"/>
  <c r="BA8" i="1"/>
  <c r="BK8" i="1" s="1"/>
  <c r="BU8" i="1" s="1"/>
  <c r="CE8" i="1" s="1"/>
  <c r="CO8" i="1" s="1"/>
  <c r="BB8" i="1"/>
  <c r="BL8" i="1" s="1"/>
  <c r="BC8" i="1"/>
  <c r="BM8" i="1" s="1"/>
  <c r="BW8" i="1" s="1"/>
  <c r="BD8" i="1"/>
  <c r="BN8" i="1" s="1"/>
  <c r="BX8" i="1" s="1"/>
  <c r="CH8" i="1" s="1"/>
  <c r="CR8" i="1" s="1"/>
  <c r="BE8" i="1"/>
  <c r="AY8" i="1"/>
  <c r="BI8" i="1" s="1"/>
  <c r="AR8" i="1"/>
  <c r="AS8" i="1"/>
  <c r="AT8" i="1"/>
  <c r="AU8" i="1"/>
  <c r="AV8" i="1"/>
  <c r="AW8" i="1"/>
  <c r="AX8" i="1"/>
  <c r="BF20" i="1"/>
  <c r="BF13" i="1"/>
  <c r="BB21" i="1"/>
  <c r="BC21" i="1"/>
  <c r="BM21" i="1" s="1"/>
  <c r="BW21" i="1" s="1"/>
  <c r="BD21" i="1"/>
  <c r="BN21" i="1" s="1"/>
  <c r="BX21" i="1" s="1"/>
  <c r="CH21" i="1" s="1"/>
  <c r="CR21" i="1" s="1"/>
  <c r="BE21" i="1"/>
  <c r="AY21" i="1"/>
  <c r="AZ21" i="1"/>
  <c r="BJ21" i="1" s="1"/>
  <c r="BT21" i="1" s="1"/>
  <c r="CD21" i="1" s="1"/>
  <c r="CN21" i="1" s="1"/>
  <c r="CV21" i="1" s="1"/>
  <c r="BA21" i="1"/>
  <c r="BK21" i="1" s="1"/>
  <c r="BU21" i="1" s="1"/>
  <c r="CE21" i="1" s="1"/>
  <c r="CO21" i="1" s="1"/>
  <c r="BN23" i="1"/>
  <c r="BX23" i="1" s="1"/>
  <c r="CH23" i="1" s="1"/>
  <c r="CR23" i="1" s="1"/>
  <c r="BG17" i="1"/>
  <c r="AT21" i="1"/>
  <c r="AU21" i="1"/>
  <c r="AV21" i="1"/>
  <c r="AW21" i="1"/>
  <c r="AX21" i="1"/>
  <c r="AR21" i="1"/>
  <c r="AS21" i="1"/>
  <c r="BS23" i="1"/>
  <c r="DC4" i="1"/>
  <c r="DU4" i="1"/>
  <c r="DX4" i="1"/>
  <c r="DF4" i="1"/>
  <c r="DD4" i="1"/>
  <c r="DV4" i="1"/>
  <c r="CT4" i="1"/>
  <c r="ED4" i="1" s="1"/>
  <c r="DI4" i="1"/>
  <c r="EA4" i="1"/>
  <c r="DY4" i="1"/>
  <c r="DG4" i="1"/>
  <c r="AS5" i="1"/>
  <c r="AT5" i="1"/>
  <c r="AU5" i="1"/>
  <c r="AV5" i="1"/>
  <c r="AW5" i="1"/>
  <c r="AR5" i="1"/>
  <c r="AX5" i="1"/>
  <c r="BA5" i="1"/>
  <c r="BK5" i="1" s="1"/>
  <c r="BU5" i="1" s="1"/>
  <c r="CE5" i="1" s="1"/>
  <c r="CO5" i="1" s="1"/>
  <c r="BB5" i="1"/>
  <c r="BC5" i="1"/>
  <c r="BM5" i="1" s="1"/>
  <c r="BW5" i="1" s="1"/>
  <c r="BD5" i="1"/>
  <c r="BN5" i="1" s="1"/>
  <c r="BX5" i="1" s="1"/>
  <c r="CH5" i="1" s="1"/>
  <c r="CR5" i="1" s="1"/>
  <c r="BE5" i="1"/>
  <c r="AY5" i="1"/>
  <c r="BI5" i="1" s="1"/>
  <c r="AZ5" i="1"/>
  <c r="BJ5" i="1" s="1"/>
  <c r="BT5" i="1" s="1"/>
  <c r="CD5" i="1" s="1"/>
  <c r="CN5" i="1" s="1"/>
  <c r="CV5" i="1" s="1"/>
  <c r="BF27" i="1"/>
  <c r="CT27" i="1"/>
  <c r="ED27" i="1" s="1"/>
  <c r="DQ27" i="1"/>
  <c r="BS27" i="1"/>
  <c r="BJ27" i="1"/>
  <c r="BT27" i="1" s="1"/>
  <c r="CD27" i="1" s="1"/>
  <c r="CN27" i="1" s="1"/>
  <c r="CV27" i="1" s="1"/>
  <c r="BG27" i="1"/>
  <c r="AS28" i="1"/>
  <c r="AT28" i="1"/>
  <c r="AR28" i="1"/>
  <c r="AV28" i="1"/>
  <c r="AW28" i="1"/>
  <c r="AX28" i="1"/>
  <c r="AU28" i="1"/>
  <c r="BB28" i="1"/>
  <c r="BL28" i="1" s="1"/>
  <c r="AY28" i="1"/>
  <c r="BD28" i="1"/>
  <c r="BN28" i="1" s="1"/>
  <c r="BX28" i="1" s="1"/>
  <c r="CH28" i="1" s="1"/>
  <c r="CR28" i="1" s="1"/>
  <c r="AZ28" i="1"/>
  <c r="BJ28" i="1" s="1"/>
  <c r="BT28" i="1" s="1"/>
  <c r="CD28" i="1" s="1"/>
  <c r="CN28" i="1" s="1"/>
  <c r="CV28" i="1" s="1"/>
  <c r="BE28" i="1"/>
  <c r="BA28" i="1"/>
  <c r="BK28" i="1" s="1"/>
  <c r="BU28" i="1" s="1"/>
  <c r="CE28" i="1" s="1"/>
  <c r="CO28" i="1" s="1"/>
  <c r="BC28" i="1"/>
  <c r="BM28" i="1" s="1"/>
  <c r="BW28" i="1" s="1"/>
  <c r="DP30" i="1" l="1"/>
  <c r="DM30" i="1"/>
  <c r="DN30" i="1"/>
  <c r="DK30" i="1"/>
  <c r="DW30" i="1"/>
  <c r="DE30" i="1"/>
  <c r="DL30" i="1" s="1"/>
  <c r="DH30" i="1"/>
  <c r="DO30" i="1" s="1"/>
  <c r="DZ30" i="1"/>
  <c r="CW18" i="1"/>
  <c r="DF15" i="1"/>
  <c r="BF26" i="1"/>
  <c r="BF24" i="1"/>
  <c r="BH24" i="1" s="1"/>
  <c r="BO24" i="1" s="1"/>
  <c r="DZ6" i="1"/>
  <c r="DD19" i="1"/>
  <c r="BG20" i="1"/>
  <c r="BH20" i="1" s="1"/>
  <c r="BO20" i="1" s="1"/>
  <c r="DQ24" i="1"/>
  <c r="DV20" i="1"/>
  <c r="DV22" i="1"/>
  <c r="BF17" i="1"/>
  <c r="BF19" i="1"/>
  <c r="BP19" i="1"/>
  <c r="BP17" i="1"/>
  <c r="CC6" i="1"/>
  <c r="BZ6" i="1"/>
  <c r="DH7" i="1"/>
  <c r="DZ7" i="1"/>
  <c r="BH12" i="1"/>
  <c r="BO12" i="1" s="1"/>
  <c r="CM7" i="1"/>
  <c r="CU7" i="1" s="1"/>
  <c r="CJ7" i="1"/>
  <c r="BG19" i="1"/>
  <c r="BY7" i="1"/>
  <c r="CI7" i="1" s="1"/>
  <c r="CS7" i="1" s="1"/>
  <c r="BQ7" i="1"/>
  <c r="BR7" i="1" s="1"/>
  <c r="DW6" i="1"/>
  <c r="DE6" i="1"/>
  <c r="BP24" i="1"/>
  <c r="BY6" i="1"/>
  <c r="CI6" i="1" s="1"/>
  <c r="CS6" i="1" s="1"/>
  <c r="BQ6" i="1"/>
  <c r="BR6" i="1" s="1"/>
  <c r="BZ24" i="1"/>
  <c r="DV9" i="1"/>
  <c r="DD9" i="1"/>
  <c r="BI9" i="1"/>
  <c r="BF9" i="1"/>
  <c r="CT9" i="1"/>
  <c r="BL9" i="1"/>
  <c r="BG9" i="1"/>
  <c r="BH13" i="1"/>
  <c r="BO13" i="1" s="1"/>
  <c r="BH25" i="1"/>
  <c r="BO25" i="1" s="1"/>
  <c r="BH17" i="1"/>
  <c r="BO17" i="1" s="1"/>
  <c r="ED22" i="1"/>
  <c r="CW22" i="1"/>
  <c r="DW22" i="1" s="1"/>
  <c r="CW15" i="1"/>
  <c r="DE15" i="1" s="1"/>
  <c r="CW26" i="1"/>
  <c r="DW26" i="1" s="1"/>
  <c r="CW10" i="1"/>
  <c r="DE10" i="1" s="1"/>
  <c r="CW16" i="1"/>
  <c r="DW16" i="1" s="1"/>
  <c r="DU22" i="1"/>
  <c r="CJ22" i="1"/>
  <c r="BH10" i="1"/>
  <c r="BO10" i="1" s="1"/>
  <c r="BQ10" i="1" s="1"/>
  <c r="BH26" i="1"/>
  <c r="BO26" i="1" s="1"/>
  <c r="BY26" i="1" s="1"/>
  <c r="CI26" i="1" s="1"/>
  <c r="CS26" i="1" s="1"/>
  <c r="DR26" i="1" s="1"/>
  <c r="CW17" i="1"/>
  <c r="DE17" i="1" s="1"/>
  <c r="BP22" i="1"/>
  <c r="BH23" i="1"/>
  <c r="BO23" i="1" s="1"/>
  <c r="BY23" i="1" s="1"/>
  <c r="CI23" i="1" s="1"/>
  <c r="CS23" i="1" s="1"/>
  <c r="BH22" i="1"/>
  <c r="BO22" i="1" s="1"/>
  <c r="BQ22" i="1" s="1"/>
  <c r="BF21" i="1"/>
  <c r="CZ17" i="1"/>
  <c r="DH17" i="1" s="1"/>
  <c r="BG21" i="1"/>
  <c r="CW4" i="1"/>
  <c r="DE4" i="1" s="1"/>
  <c r="BF8" i="1"/>
  <c r="CZ22" i="1"/>
  <c r="DZ22" i="1" s="1"/>
  <c r="CZ10" i="1"/>
  <c r="DH10" i="1" s="1"/>
  <c r="CZ11" i="1"/>
  <c r="DH11" i="1" s="1"/>
  <c r="BH19" i="1"/>
  <c r="BO19" i="1" s="1"/>
  <c r="BZ22" i="1"/>
  <c r="CT21" i="1"/>
  <c r="ED21" i="1" s="1"/>
  <c r="DQ21" i="1"/>
  <c r="DD8" i="1"/>
  <c r="DV8" i="1"/>
  <c r="DV21" i="1"/>
  <c r="DD21" i="1"/>
  <c r="CT8" i="1"/>
  <c r="ED8" i="1" s="1"/>
  <c r="DQ8" i="1"/>
  <c r="BP8" i="1"/>
  <c r="BS18" i="1"/>
  <c r="BP18" i="1"/>
  <c r="CZ25" i="1"/>
  <c r="CZ12" i="1"/>
  <c r="CW12" i="1"/>
  <c r="CT23" i="1"/>
  <c r="CZ23" i="1" s="1"/>
  <c r="DQ23" i="1"/>
  <c r="CZ14" i="1"/>
  <c r="CW20" i="1"/>
  <c r="CW13" i="1"/>
  <c r="CZ18" i="1"/>
  <c r="BG5" i="1"/>
  <c r="CZ16" i="1"/>
  <c r="CZ19" i="1"/>
  <c r="BI21" i="1"/>
  <c r="BL21" i="1"/>
  <c r="BS8" i="1"/>
  <c r="CC17" i="1"/>
  <c r="BZ17" i="1"/>
  <c r="BZ20" i="1"/>
  <c r="CC20" i="1"/>
  <c r="DA18" i="1"/>
  <c r="DR18" i="1"/>
  <c r="CW11" i="1"/>
  <c r="CW24" i="1"/>
  <c r="CM24" i="1"/>
  <c r="CU24" i="1" s="1"/>
  <c r="CJ24" i="1"/>
  <c r="BQ18" i="1"/>
  <c r="DC12" i="1"/>
  <c r="DU12" i="1"/>
  <c r="CC26" i="1"/>
  <c r="BZ26" i="1"/>
  <c r="CZ13" i="1"/>
  <c r="DE18" i="1"/>
  <c r="DW18" i="1"/>
  <c r="CC19" i="1"/>
  <c r="BZ19" i="1"/>
  <c r="CZ15" i="1"/>
  <c r="CZ26" i="1"/>
  <c r="CC23" i="1"/>
  <c r="BZ23" i="1"/>
  <c r="BG8" i="1"/>
  <c r="CZ24" i="1"/>
  <c r="CC13" i="1"/>
  <c r="BZ13" i="1"/>
  <c r="CZ20" i="1"/>
  <c r="CW14" i="1"/>
  <c r="CW25" i="1"/>
  <c r="CJ25" i="1"/>
  <c r="CM25" i="1"/>
  <c r="CU25" i="1" s="1"/>
  <c r="CW19" i="1"/>
  <c r="DW15" i="1"/>
  <c r="BP10" i="1"/>
  <c r="BS10" i="1"/>
  <c r="CT5" i="1"/>
  <c r="ED5" i="1" s="1"/>
  <c r="DQ5" i="1"/>
  <c r="BS5" i="1"/>
  <c r="BP5" i="1"/>
  <c r="DV5" i="1"/>
  <c r="DD5" i="1"/>
  <c r="BF5" i="1"/>
  <c r="BL5" i="1"/>
  <c r="CZ4" i="1"/>
  <c r="BH27" i="1"/>
  <c r="BO27" i="1" s="1"/>
  <c r="CW27" i="1"/>
  <c r="DE27" i="1" s="1"/>
  <c r="CZ27" i="1"/>
  <c r="DH27" i="1" s="1"/>
  <c r="BZ27" i="1"/>
  <c r="CC27" i="1"/>
  <c r="DD27" i="1"/>
  <c r="DV27" i="1"/>
  <c r="BP27" i="1"/>
  <c r="DQ28" i="1"/>
  <c r="CT28" i="1"/>
  <c r="ED28" i="1" s="1"/>
  <c r="DV28" i="1"/>
  <c r="DD28" i="1"/>
  <c r="BG28" i="1"/>
  <c r="BF28" i="1"/>
  <c r="BI28" i="1"/>
  <c r="BY24" i="1" l="1"/>
  <c r="CI24" i="1" s="1"/>
  <c r="CS24" i="1" s="1"/>
  <c r="BQ24" i="1"/>
  <c r="BR24" i="1" s="1"/>
  <c r="CM6" i="1"/>
  <c r="CU6" i="1" s="1"/>
  <c r="CJ6" i="1"/>
  <c r="DW4" i="1"/>
  <c r="DW17" i="1"/>
  <c r="DA7" i="1"/>
  <c r="DR7" i="1"/>
  <c r="BV7" i="1"/>
  <c r="DC7" i="1"/>
  <c r="DU7" i="1"/>
  <c r="DE26" i="1"/>
  <c r="DA6" i="1"/>
  <c r="DR6" i="1"/>
  <c r="DB4" i="1"/>
  <c r="DZ17" i="1"/>
  <c r="BV6" i="1"/>
  <c r="DZ10" i="1"/>
  <c r="DW10" i="1"/>
  <c r="BQ23" i="1"/>
  <c r="BR23" i="1" s="1"/>
  <c r="BY22" i="1"/>
  <c r="CI22" i="1" s="1"/>
  <c r="CS22" i="1" s="1"/>
  <c r="DA22" i="1" s="1"/>
  <c r="DE16" i="1"/>
  <c r="DE22" i="1"/>
  <c r="BQ26" i="1"/>
  <c r="BR26" i="1" s="1"/>
  <c r="BV26" i="1" s="1"/>
  <c r="CF26" i="1" s="1"/>
  <c r="BH9" i="1"/>
  <c r="BO9" i="1" s="1"/>
  <c r="BY9" i="1" s="1"/>
  <c r="CI9" i="1" s="1"/>
  <c r="CS9" i="1" s="1"/>
  <c r="ED9" i="1"/>
  <c r="CZ9" i="1"/>
  <c r="CW9" i="1"/>
  <c r="DA26" i="1"/>
  <c r="EA26" i="1" s="1"/>
  <c r="BS9" i="1"/>
  <c r="BP9" i="1"/>
  <c r="BH21" i="1"/>
  <c r="BO21" i="1" s="1"/>
  <c r="BY21" i="1" s="1"/>
  <c r="CI21" i="1" s="1"/>
  <c r="CS21" i="1" s="1"/>
  <c r="DA21" i="1" s="1"/>
  <c r="BY10" i="1"/>
  <c r="CI10" i="1" s="1"/>
  <c r="CS10" i="1" s="1"/>
  <c r="DZ11" i="1"/>
  <c r="BH5" i="1"/>
  <c r="BO5" i="1" s="1"/>
  <c r="BY5" i="1" s="1"/>
  <c r="CI5" i="1" s="1"/>
  <c r="CS5" i="1" s="1"/>
  <c r="DH22" i="1"/>
  <c r="BR18" i="1"/>
  <c r="BV18" i="1" s="1"/>
  <c r="BR10" i="1"/>
  <c r="BV10" i="1" s="1"/>
  <c r="BR22" i="1"/>
  <c r="BV22" i="1" s="1"/>
  <c r="BH8" i="1"/>
  <c r="BO8" i="1" s="1"/>
  <c r="BY8" i="1" s="1"/>
  <c r="CI8" i="1" s="1"/>
  <c r="CS8" i="1" s="1"/>
  <c r="DW27" i="1"/>
  <c r="DA23" i="1"/>
  <c r="DR23" i="1"/>
  <c r="CW8" i="1"/>
  <c r="DW8" i="1" s="1"/>
  <c r="CZ21" i="1"/>
  <c r="DH21" i="1" s="1"/>
  <c r="BY19" i="1"/>
  <c r="CI19" i="1" s="1"/>
  <c r="CS19" i="1" s="1"/>
  <c r="BQ19" i="1"/>
  <c r="BR19" i="1" s="1"/>
  <c r="BV19" i="1" s="1"/>
  <c r="BQ8" i="1"/>
  <c r="BR8" i="1" s="1"/>
  <c r="BV8" i="1" s="1"/>
  <c r="DW24" i="1"/>
  <c r="DE24" i="1"/>
  <c r="DH19" i="1"/>
  <c r="DZ19" i="1"/>
  <c r="BY17" i="1"/>
  <c r="CI17" i="1" s="1"/>
  <c r="CS17" i="1" s="1"/>
  <c r="BQ17" i="1"/>
  <c r="BR17" i="1" s="1"/>
  <c r="DZ15" i="1"/>
  <c r="EB15" i="1" s="1"/>
  <c r="EE15" i="1" s="1"/>
  <c r="DH15" i="1"/>
  <c r="DO15" i="1" s="1"/>
  <c r="DC24" i="1"/>
  <c r="DU24" i="1"/>
  <c r="BQ25" i="1"/>
  <c r="BR25" i="1" s="1"/>
  <c r="BY25" i="1"/>
  <c r="CI25" i="1" s="1"/>
  <c r="CS25" i="1" s="1"/>
  <c r="BV24" i="1"/>
  <c r="CM20" i="1"/>
  <c r="CU20" i="1" s="1"/>
  <c r="CJ20" i="1"/>
  <c r="DH12" i="1"/>
  <c r="DZ12" i="1"/>
  <c r="DH25" i="1"/>
  <c r="DZ25" i="1"/>
  <c r="BZ10" i="1"/>
  <c r="CC10" i="1"/>
  <c r="DI26" i="1"/>
  <c r="DH13" i="1"/>
  <c r="DZ13" i="1"/>
  <c r="BV23" i="1"/>
  <c r="DW13" i="1"/>
  <c r="DE13" i="1"/>
  <c r="BY13" i="1"/>
  <c r="CI13" i="1" s="1"/>
  <c r="CS13" i="1" s="1"/>
  <c r="BQ13" i="1"/>
  <c r="BR13" i="1" s="1"/>
  <c r="DB15" i="1"/>
  <c r="DE14" i="1"/>
  <c r="DW14" i="1"/>
  <c r="DB14" i="1"/>
  <c r="CM13" i="1"/>
  <c r="CU13" i="1" s="1"/>
  <c r="CJ13" i="1"/>
  <c r="DH26" i="1"/>
  <c r="DZ26" i="1"/>
  <c r="BY20" i="1"/>
  <c r="CI20" i="1" s="1"/>
  <c r="CS20" i="1" s="1"/>
  <c r="BQ20" i="1"/>
  <c r="BR20" i="1" s="1"/>
  <c r="DH16" i="1"/>
  <c r="DZ16" i="1"/>
  <c r="EB16" i="1" s="1"/>
  <c r="EE16" i="1" s="1"/>
  <c r="DB16" i="1"/>
  <c r="DH18" i="1"/>
  <c r="DZ18" i="1"/>
  <c r="BY12" i="1"/>
  <c r="CI12" i="1" s="1"/>
  <c r="CS12" i="1" s="1"/>
  <c r="BQ12" i="1"/>
  <c r="BR12" i="1" s="1"/>
  <c r="DC25" i="1"/>
  <c r="DU25" i="1"/>
  <c r="CJ19" i="1"/>
  <c r="CM19" i="1"/>
  <c r="CU19" i="1" s="1"/>
  <c r="CJ17" i="1"/>
  <c r="CM17" i="1"/>
  <c r="CU17" i="1" s="1"/>
  <c r="BS21" i="1"/>
  <c r="BP21" i="1"/>
  <c r="DZ14" i="1"/>
  <c r="DH14" i="1"/>
  <c r="CZ8" i="1"/>
  <c r="CW21" i="1"/>
  <c r="DE19" i="1"/>
  <c r="DW19" i="1"/>
  <c r="CJ23" i="1"/>
  <c r="CM23" i="1"/>
  <c r="CU23" i="1" s="1"/>
  <c r="DE11" i="1"/>
  <c r="DW11" i="1"/>
  <c r="DB11" i="1"/>
  <c r="DE20" i="1"/>
  <c r="DW20" i="1"/>
  <c r="DZ23" i="1"/>
  <c r="DH23" i="1"/>
  <c r="BZ18" i="1"/>
  <c r="CC18" i="1"/>
  <c r="DW25" i="1"/>
  <c r="DE25" i="1"/>
  <c r="DH20" i="1"/>
  <c r="DZ20" i="1"/>
  <c r="DH24" i="1"/>
  <c r="DZ24" i="1"/>
  <c r="DA9" i="1"/>
  <c r="DR9" i="1"/>
  <c r="CJ26" i="1"/>
  <c r="CM26" i="1"/>
  <c r="CU26" i="1" s="1"/>
  <c r="DI18" i="1"/>
  <c r="EA18" i="1"/>
  <c r="CC8" i="1"/>
  <c r="BZ8" i="1"/>
  <c r="ED23" i="1"/>
  <c r="CW23" i="1"/>
  <c r="DE12" i="1"/>
  <c r="DW12" i="1"/>
  <c r="DZ27" i="1"/>
  <c r="CZ5" i="1"/>
  <c r="CW5" i="1"/>
  <c r="BZ5" i="1"/>
  <c r="CC5" i="1"/>
  <c r="DZ4" i="1"/>
  <c r="EB4" i="1" s="1"/>
  <c r="EC4" i="1" s="1"/>
  <c r="EE4" i="1" s="1"/>
  <c r="DH4" i="1"/>
  <c r="DL4" i="1" s="1"/>
  <c r="BY27" i="1"/>
  <c r="CI27" i="1" s="1"/>
  <c r="CS27" i="1" s="1"/>
  <c r="BQ27" i="1"/>
  <c r="BR27" i="1" s="1"/>
  <c r="CJ27" i="1"/>
  <c r="CM27" i="1"/>
  <c r="CU27" i="1" s="1"/>
  <c r="CW28" i="1"/>
  <c r="DE28" i="1" s="1"/>
  <c r="CZ28" i="1"/>
  <c r="DZ28" i="1" s="1"/>
  <c r="BS28" i="1"/>
  <c r="BP28" i="1"/>
  <c r="BH28" i="1"/>
  <c r="BO28" i="1" s="1"/>
  <c r="DC6" i="1" l="1"/>
  <c r="DU6" i="1"/>
  <c r="DR21" i="1"/>
  <c r="DR24" i="1"/>
  <c r="DA24" i="1"/>
  <c r="CF7" i="1"/>
  <c r="CA7" i="1"/>
  <c r="CB7" i="1" s="1"/>
  <c r="DI7" i="1"/>
  <c r="EA7" i="1"/>
  <c r="DI6" i="1"/>
  <c r="EA6" i="1"/>
  <c r="CA6" i="1"/>
  <c r="CB6" i="1" s="1"/>
  <c r="CF6" i="1"/>
  <c r="BQ9" i="1"/>
  <c r="BR9" i="1" s="1"/>
  <c r="BV9" i="1" s="1"/>
  <c r="CA26" i="1"/>
  <c r="CB26" i="1" s="1"/>
  <c r="CG26" i="1" s="1"/>
  <c r="CQ26" i="1" s="1"/>
  <c r="DZ21" i="1"/>
  <c r="DK16" i="1"/>
  <c r="DE8" i="1"/>
  <c r="DR22" i="1"/>
  <c r="BZ9" i="1"/>
  <c r="CC9" i="1"/>
  <c r="DW9" i="1"/>
  <c r="DE9" i="1"/>
  <c r="DZ9" i="1"/>
  <c r="DH9" i="1"/>
  <c r="DL15" i="1"/>
  <c r="EB11" i="1"/>
  <c r="EC11" i="1" s="1"/>
  <c r="EE11" i="1" s="1"/>
  <c r="DJ15" i="1"/>
  <c r="BQ21" i="1"/>
  <c r="BR21" i="1" s="1"/>
  <c r="DA10" i="1"/>
  <c r="DR10" i="1"/>
  <c r="DK15" i="1"/>
  <c r="DM15" i="1"/>
  <c r="CF22" i="1"/>
  <c r="CA22" i="1"/>
  <c r="CB22" i="1" s="1"/>
  <c r="CG22" i="1" s="1"/>
  <c r="CQ22" i="1" s="1"/>
  <c r="DO14" i="1"/>
  <c r="EA23" i="1"/>
  <c r="DI23" i="1"/>
  <c r="CF19" i="1"/>
  <c r="CP19" i="1" s="1"/>
  <c r="DS19" i="1" s="1"/>
  <c r="CA19" i="1"/>
  <c r="CB19" i="1" s="1"/>
  <c r="CG19" i="1" s="1"/>
  <c r="DA19" i="1"/>
  <c r="DR19" i="1"/>
  <c r="BQ5" i="1"/>
  <c r="BR5" i="1" s="1"/>
  <c r="BV5" i="1" s="1"/>
  <c r="CF5" i="1" s="1"/>
  <c r="EA22" i="1"/>
  <c r="DI22" i="1"/>
  <c r="DO16" i="1"/>
  <c r="DP16" i="1"/>
  <c r="DJ16" i="1"/>
  <c r="DC13" i="1"/>
  <c r="DU13" i="1"/>
  <c r="BV13" i="1"/>
  <c r="DM16" i="1"/>
  <c r="CA10" i="1"/>
  <c r="CB10" i="1" s="1"/>
  <c r="CF10" i="1"/>
  <c r="CJ8" i="1"/>
  <c r="CM8" i="1"/>
  <c r="CU8" i="1" s="1"/>
  <c r="CJ18" i="1"/>
  <c r="CM18" i="1"/>
  <c r="CU18" i="1" s="1"/>
  <c r="DL11" i="1"/>
  <c r="DJ11" i="1"/>
  <c r="DK11" i="1"/>
  <c r="DP11" i="1"/>
  <c r="DN11" i="1"/>
  <c r="DM11" i="1"/>
  <c r="CA18" i="1"/>
  <c r="CB18" i="1" s="1"/>
  <c r="CF18" i="1"/>
  <c r="DH8" i="1"/>
  <c r="DZ8" i="1"/>
  <c r="BV12" i="1"/>
  <c r="DA13" i="1"/>
  <c r="DR13" i="1"/>
  <c r="BV17" i="1"/>
  <c r="CF8" i="1"/>
  <c r="CA8" i="1"/>
  <c r="CB8" i="1" s="1"/>
  <c r="DI21" i="1"/>
  <c r="EA21" i="1"/>
  <c r="DA12" i="1"/>
  <c r="DR12" i="1"/>
  <c r="CF23" i="1"/>
  <c r="CA23" i="1"/>
  <c r="CB23" i="1" s="1"/>
  <c r="DA17" i="1"/>
  <c r="DR17" i="1"/>
  <c r="DP15" i="1"/>
  <c r="DA8" i="1"/>
  <c r="DR8" i="1"/>
  <c r="DE23" i="1"/>
  <c r="DW23" i="1"/>
  <c r="DI9" i="1"/>
  <c r="EA9" i="1"/>
  <c r="DW21" i="1"/>
  <c r="DE21" i="1"/>
  <c r="BZ21" i="1"/>
  <c r="CC21" i="1"/>
  <c r="BV20" i="1"/>
  <c r="CK26" i="1"/>
  <c r="CL26" i="1" s="1"/>
  <c r="CP26" i="1"/>
  <c r="DC20" i="1"/>
  <c r="DU20" i="1"/>
  <c r="DU19" i="1"/>
  <c r="DC19" i="1"/>
  <c r="DA20" i="1"/>
  <c r="DR20" i="1"/>
  <c r="CY26" i="1"/>
  <c r="DT26" i="1"/>
  <c r="CM10" i="1"/>
  <c r="CU10" i="1" s="1"/>
  <c r="CJ10" i="1"/>
  <c r="DN16" i="1"/>
  <c r="EB14" i="1"/>
  <c r="EE14" i="1" s="1"/>
  <c r="CA24" i="1"/>
  <c r="CB24" i="1" s="1"/>
  <c r="CF24" i="1"/>
  <c r="DA25" i="1"/>
  <c r="DR25" i="1"/>
  <c r="DO11" i="1"/>
  <c r="DL14" i="1"/>
  <c r="DJ14" i="1"/>
  <c r="DM14" i="1"/>
  <c r="DP14" i="1"/>
  <c r="DN14" i="1"/>
  <c r="DK14" i="1"/>
  <c r="BV25" i="1"/>
  <c r="DL16" i="1"/>
  <c r="DC26" i="1"/>
  <c r="DU26" i="1"/>
  <c r="DC23" i="1"/>
  <c r="DU23" i="1"/>
  <c r="DC17" i="1"/>
  <c r="DU17" i="1"/>
  <c r="DN15" i="1"/>
  <c r="DO4" i="1"/>
  <c r="DM4" i="1"/>
  <c r="DK4" i="1"/>
  <c r="DJ4" i="1"/>
  <c r="DN4" i="1"/>
  <c r="DH5" i="1"/>
  <c r="DZ5" i="1"/>
  <c r="DP4" i="1"/>
  <c r="DA5" i="1"/>
  <c r="DR5" i="1"/>
  <c r="DE5" i="1"/>
  <c r="DW5" i="1"/>
  <c r="CJ5" i="1"/>
  <c r="CM5" i="1"/>
  <c r="CU5" i="1" s="1"/>
  <c r="BV27" i="1"/>
  <c r="DA27" i="1"/>
  <c r="DR27" i="1"/>
  <c r="DU27" i="1"/>
  <c r="DC27" i="1"/>
  <c r="DW28" i="1"/>
  <c r="DH28" i="1"/>
  <c r="BY28" i="1"/>
  <c r="CI28" i="1" s="1"/>
  <c r="CS28" i="1" s="1"/>
  <c r="BQ28" i="1"/>
  <c r="BR28" i="1" s="1"/>
  <c r="BV28" i="1" s="1"/>
  <c r="BZ28" i="1"/>
  <c r="CC28" i="1"/>
  <c r="DI24" i="1" l="1"/>
  <c r="EA24" i="1"/>
  <c r="CG7" i="1"/>
  <c r="CQ7" i="1" s="1"/>
  <c r="CP7" i="1"/>
  <c r="CA9" i="1"/>
  <c r="CB9" i="1" s="1"/>
  <c r="CF9" i="1"/>
  <c r="CP6" i="1"/>
  <c r="CG6" i="1"/>
  <c r="CQ6" i="1" s="1"/>
  <c r="CM9" i="1"/>
  <c r="CU9" i="1" s="1"/>
  <c r="CJ9" i="1"/>
  <c r="EA10" i="1"/>
  <c r="DI10" i="1"/>
  <c r="CA5" i="1"/>
  <c r="CB5" i="1" s="1"/>
  <c r="CG5" i="1" s="1"/>
  <c r="CQ5" i="1" s="1"/>
  <c r="CY5" i="1" s="1"/>
  <c r="DT22" i="1"/>
  <c r="CY22" i="1"/>
  <c r="CP22" i="1"/>
  <c r="CK22" i="1"/>
  <c r="CL22" i="1" s="1"/>
  <c r="CX19" i="1"/>
  <c r="DF19" i="1" s="1"/>
  <c r="EA19" i="1"/>
  <c r="DI19" i="1"/>
  <c r="CG24" i="1"/>
  <c r="CQ24" i="1" s="1"/>
  <c r="DC10" i="1"/>
  <c r="DU10" i="1"/>
  <c r="CX26" i="1"/>
  <c r="DS26" i="1"/>
  <c r="CP18" i="1"/>
  <c r="DU8" i="1"/>
  <c r="DC8" i="1"/>
  <c r="DI20" i="1"/>
  <c r="EA20" i="1"/>
  <c r="DI8" i="1"/>
  <c r="EA8" i="1"/>
  <c r="CG18" i="1"/>
  <c r="CQ18" i="1" s="1"/>
  <c r="CP10" i="1"/>
  <c r="DI25" i="1"/>
  <c r="EA25" i="1"/>
  <c r="CF20" i="1"/>
  <c r="CA20" i="1"/>
  <c r="CB20" i="1" s="1"/>
  <c r="CG10" i="1"/>
  <c r="CQ10" i="1" s="1"/>
  <c r="CM21" i="1"/>
  <c r="CU21" i="1" s="1"/>
  <c r="CJ21" i="1"/>
  <c r="DI17" i="1"/>
  <c r="EA17" i="1"/>
  <c r="EA12" i="1"/>
  <c r="DI12" i="1"/>
  <c r="CG23" i="1"/>
  <c r="CQ23" i="1" s="1"/>
  <c r="CG8" i="1"/>
  <c r="CQ8" i="1" s="1"/>
  <c r="DU18" i="1"/>
  <c r="DC18" i="1"/>
  <c r="CA25" i="1"/>
  <c r="CB25" i="1" s="1"/>
  <c r="CF25" i="1"/>
  <c r="CP23" i="1"/>
  <c r="CP8" i="1"/>
  <c r="CF17" i="1"/>
  <c r="CA17" i="1"/>
  <c r="CB17" i="1" s="1"/>
  <c r="CF12" i="1"/>
  <c r="CA12" i="1"/>
  <c r="CB12" i="1" s="1"/>
  <c r="CQ19" i="1"/>
  <c r="CK19" i="1"/>
  <c r="CL19" i="1" s="1"/>
  <c r="DG26" i="1"/>
  <c r="DY26" i="1"/>
  <c r="CP9" i="1"/>
  <c r="DI13" i="1"/>
  <c r="EA13" i="1"/>
  <c r="CA13" i="1"/>
  <c r="CB13" i="1" s="1"/>
  <c r="CF13" i="1"/>
  <c r="BV21" i="1"/>
  <c r="CP24" i="1"/>
  <c r="CG9" i="1"/>
  <c r="CQ9" i="1" s="1"/>
  <c r="DU5" i="1"/>
  <c r="DC5" i="1"/>
  <c r="DI5" i="1"/>
  <c r="EA5" i="1"/>
  <c r="CP5" i="1"/>
  <c r="DI27" i="1"/>
  <c r="EA27" i="1"/>
  <c r="CA27" i="1"/>
  <c r="CB27" i="1" s="1"/>
  <c r="CF27" i="1"/>
  <c r="CA28" i="1"/>
  <c r="CB28" i="1" s="1"/>
  <c r="CG28" i="1" s="1"/>
  <c r="CQ28" i="1" s="1"/>
  <c r="CY28" i="1" s="1"/>
  <c r="CF28" i="1"/>
  <c r="DA28" i="1"/>
  <c r="DR28" i="1"/>
  <c r="CM28" i="1"/>
  <c r="CU28" i="1" s="1"/>
  <c r="CJ28" i="1"/>
  <c r="CX7" i="1" l="1"/>
  <c r="DS7" i="1"/>
  <c r="CK7" i="1"/>
  <c r="CL7" i="1" s="1"/>
  <c r="CY7" i="1"/>
  <c r="DT7" i="1"/>
  <c r="CY6" i="1"/>
  <c r="DT6" i="1"/>
  <c r="CX6" i="1"/>
  <c r="DS6" i="1"/>
  <c r="CK6" i="1"/>
  <c r="CL6" i="1" s="1"/>
  <c r="DT5" i="1"/>
  <c r="CK24" i="1"/>
  <c r="CL24" i="1" s="1"/>
  <c r="CK5" i="1"/>
  <c r="CL5" i="1" s="1"/>
  <c r="DU9" i="1"/>
  <c r="DC9" i="1"/>
  <c r="DX19" i="1"/>
  <c r="CK8" i="1"/>
  <c r="CL8" i="1" s="1"/>
  <c r="DG22" i="1"/>
  <c r="DY22" i="1"/>
  <c r="CX22" i="1"/>
  <c r="DS22" i="1"/>
  <c r="CK23" i="1"/>
  <c r="CL23" i="1" s="1"/>
  <c r="CX24" i="1"/>
  <c r="DS24" i="1"/>
  <c r="CP12" i="1"/>
  <c r="CY10" i="1"/>
  <c r="DT10" i="1"/>
  <c r="CX10" i="1"/>
  <c r="DS10" i="1"/>
  <c r="CY24" i="1"/>
  <c r="DT24" i="1"/>
  <c r="CK9" i="1"/>
  <c r="CL9" i="1" s="1"/>
  <c r="CX23" i="1"/>
  <c r="DS23" i="1"/>
  <c r="CY23" i="1"/>
  <c r="DT23" i="1"/>
  <c r="DC21" i="1"/>
  <c r="DU21" i="1"/>
  <c r="DX26" i="1"/>
  <c r="DF26" i="1"/>
  <c r="DB26" i="1"/>
  <c r="CA21" i="1"/>
  <c r="CB21" i="1" s="1"/>
  <c r="CF21" i="1"/>
  <c r="CP13" i="1"/>
  <c r="CX9" i="1"/>
  <c r="DS9" i="1"/>
  <c r="CG13" i="1"/>
  <c r="CQ13" i="1" s="1"/>
  <c r="CG17" i="1"/>
  <c r="CQ17" i="1" s="1"/>
  <c r="CX8" i="1"/>
  <c r="DS8" i="1"/>
  <c r="CY8" i="1"/>
  <c r="DT8" i="1"/>
  <c r="CY9" i="1"/>
  <c r="DT9" i="1"/>
  <c r="CY19" i="1"/>
  <c r="DT19" i="1"/>
  <c r="CP17" i="1"/>
  <c r="CY18" i="1"/>
  <c r="DT18" i="1"/>
  <c r="CX18" i="1"/>
  <c r="DS18" i="1"/>
  <c r="CP25" i="1"/>
  <c r="CG20" i="1"/>
  <c r="CQ20" i="1" s="1"/>
  <c r="CK18" i="1"/>
  <c r="CL18" i="1" s="1"/>
  <c r="CG12" i="1"/>
  <c r="CQ12" i="1" s="1"/>
  <c r="CG25" i="1"/>
  <c r="CQ25" i="1" s="1"/>
  <c r="CP20" i="1"/>
  <c r="CK10" i="1"/>
  <c r="CL10" i="1" s="1"/>
  <c r="CX5" i="1"/>
  <c r="DS5" i="1"/>
  <c r="DG5" i="1"/>
  <c r="DY5" i="1"/>
  <c r="CP27" i="1"/>
  <c r="CG27" i="1"/>
  <c r="CQ27" i="1" s="1"/>
  <c r="DT28" i="1"/>
  <c r="DI28" i="1"/>
  <c r="EA28" i="1"/>
  <c r="CP28" i="1"/>
  <c r="CK28" i="1"/>
  <c r="CL28" i="1" s="1"/>
  <c r="DU28" i="1"/>
  <c r="DC28" i="1"/>
  <c r="DY28" i="1"/>
  <c r="DG28" i="1"/>
  <c r="DG7" i="1" l="1"/>
  <c r="DY7" i="1"/>
  <c r="DX7" i="1"/>
  <c r="DF7" i="1"/>
  <c r="DB7" i="1"/>
  <c r="DX6" i="1"/>
  <c r="DF6" i="1"/>
  <c r="DB6" i="1"/>
  <c r="DG6" i="1"/>
  <c r="DY6" i="1"/>
  <c r="CK17" i="1"/>
  <c r="CL17" i="1" s="1"/>
  <c r="DF22" i="1"/>
  <c r="DX22" i="1"/>
  <c r="DB22" i="1"/>
  <c r="CK20" i="1"/>
  <c r="CL20" i="1" s="1"/>
  <c r="CY25" i="1"/>
  <c r="DT25" i="1"/>
  <c r="DG24" i="1"/>
  <c r="DY24" i="1"/>
  <c r="CY12" i="1"/>
  <c r="DT12" i="1"/>
  <c r="CX25" i="1"/>
  <c r="DS25" i="1"/>
  <c r="CP21" i="1"/>
  <c r="CK25" i="1"/>
  <c r="CL25" i="1" s="1"/>
  <c r="DF18" i="1"/>
  <c r="DX18" i="1"/>
  <c r="DB18" i="1"/>
  <c r="DG19" i="1"/>
  <c r="DY19" i="1"/>
  <c r="DB19" i="1"/>
  <c r="DF8" i="1"/>
  <c r="DX8" i="1"/>
  <c r="DB8" i="1"/>
  <c r="CG21" i="1"/>
  <c r="CQ21" i="1" s="1"/>
  <c r="DG23" i="1"/>
  <c r="DY23" i="1"/>
  <c r="DF23" i="1"/>
  <c r="DX23" i="1"/>
  <c r="DB23" i="1"/>
  <c r="DG10" i="1"/>
  <c r="DY10" i="1"/>
  <c r="DF24" i="1"/>
  <c r="DX24" i="1"/>
  <c r="DB24" i="1"/>
  <c r="CY20" i="1"/>
  <c r="DT20" i="1"/>
  <c r="DG18" i="1"/>
  <c r="DY18" i="1"/>
  <c r="CK13" i="1"/>
  <c r="CL13" i="1" s="1"/>
  <c r="DM26" i="1"/>
  <c r="DP26" i="1"/>
  <c r="DJ26" i="1"/>
  <c r="DK26" i="1"/>
  <c r="DO26" i="1"/>
  <c r="DL26" i="1"/>
  <c r="CX20" i="1"/>
  <c r="DS20" i="1"/>
  <c r="CY17" i="1"/>
  <c r="DT17" i="1"/>
  <c r="CY13" i="1"/>
  <c r="DT13" i="1"/>
  <c r="CX13" i="1"/>
  <c r="DS13" i="1"/>
  <c r="EB26" i="1"/>
  <c r="EE26" i="1" s="1"/>
  <c r="CX17" i="1"/>
  <c r="DS17" i="1"/>
  <c r="DG8" i="1"/>
  <c r="DY8" i="1"/>
  <c r="DN26" i="1"/>
  <c r="CK12" i="1"/>
  <c r="CL12" i="1" s="1"/>
  <c r="DG9" i="1"/>
  <c r="DY9" i="1"/>
  <c r="DF9" i="1"/>
  <c r="DX9" i="1"/>
  <c r="DB9" i="1"/>
  <c r="DF10" i="1"/>
  <c r="DX10" i="1"/>
  <c r="DB10" i="1"/>
  <c r="CX12" i="1"/>
  <c r="DS12" i="1"/>
  <c r="DF5" i="1"/>
  <c r="DN5" i="1" s="1"/>
  <c r="DX5" i="1"/>
  <c r="DB5" i="1"/>
  <c r="CY27" i="1"/>
  <c r="DT27" i="1"/>
  <c r="CX27" i="1"/>
  <c r="DS27" i="1"/>
  <c r="CK27" i="1"/>
  <c r="CL27" i="1" s="1"/>
  <c r="CX28" i="1"/>
  <c r="DS28" i="1"/>
  <c r="DN8" i="1" l="1"/>
  <c r="DM7" i="1"/>
  <c r="DO7" i="1"/>
  <c r="DJ7" i="1"/>
  <c r="DK7" i="1"/>
  <c r="DL7" i="1"/>
  <c r="DP7" i="1"/>
  <c r="EB7" i="1"/>
  <c r="EC7" i="1" s="1"/>
  <c r="EE7" i="1" s="1"/>
  <c r="DN6" i="1"/>
  <c r="DN7" i="1"/>
  <c r="DM6" i="1"/>
  <c r="DO6" i="1"/>
  <c r="DL6" i="1"/>
  <c r="DJ6" i="1"/>
  <c r="DK6" i="1"/>
  <c r="DP6" i="1"/>
  <c r="EB6" i="1"/>
  <c r="EC6" i="1" s="1"/>
  <c r="EE6" i="1" s="1"/>
  <c r="DN18" i="1"/>
  <c r="EB22" i="1"/>
  <c r="EE22" i="1" s="1"/>
  <c r="DL22" i="1"/>
  <c r="DJ22" i="1"/>
  <c r="DM22" i="1"/>
  <c r="DP22" i="1"/>
  <c r="DO22" i="1"/>
  <c r="DN22" i="1"/>
  <c r="DK22" i="1"/>
  <c r="DF13" i="1"/>
  <c r="DX13" i="1"/>
  <c r="DB13" i="1"/>
  <c r="DY20" i="1"/>
  <c r="DG20" i="1"/>
  <c r="EB24" i="1"/>
  <c r="EE24" i="1" s="1"/>
  <c r="DN23" i="1"/>
  <c r="DM8" i="1"/>
  <c r="DO8" i="1"/>
  <c r="DL8" i="1"/>
  <c r="DP8" i="1"/>
  <c r="DJ8" i="1"/>
  <c r="DK8" i="1"/>
  <c r="DM18" i="1"/>
  <c r="DJ18" i="1"/>
  <c r="DK18" i="1"/>
  <c r="DL18" i="1"/>
  <c r="DO18" i="1"/>
  <c r="DP18" i="1"/>
  <c r="EB9" i="1"/>
  <c r="EC9" i="1" s="1"/>
  <c r="EE9" i="1" s="1"/>
  <c r="DM24" i="1"/>
  <c r="DJ24" i="1"/>
  <c r="DK24" i="1"/>
  <c r="DO24" i="1"/>
  <c r="DL24" i="1"/>
  <c r="DP24" i="1"/>
  <c r="CK21" i="1"/>
  <c r="CL21" i="1" s="1"/>
  <c r="DM9" i="1"/>
  <c r="DL9" i="1"/>
  <c r="DJ9" i="1"/>
  <c r="DK9" i="1"/>
  <c r="DO9" i="1"/>
  <c r="DP9" i="1"/>
  <c r="DF17" i="1"/>
  <c r="DX17" i="1"/>
  <c r="DB17" i="1"/>
  <c r="DG13" i="1"/>
  <c r="DY13" i="1"/>
  <c r="DN10" i="1"/>
  <c r="EB19" i="1"/>
  <c r="EE19" i="1" s="1"/>
  <c r="CX21" i="1"/>
  <c r="DS21" i="1"/>
  <c r="DF25" i="1"/>
  <c r="DX25" i="1"/>
  <c r="DB25" i="1"/>
  <c r="DY17" i="1"/>
  <c r="DG17" i="1"/>
  <c r="EB23" i="1"/>
  <c r="EE23" i="1" s="1"/>
  <c r="DN19" i="1"/>
  <c r="DJ19" i="1"/>
  <c r="DK19" i="1"/>
  <c r="DO19" i="1"/>
  <c r="DL19" i="1"/>
  <c r="DP19" i="1"/>
  <c r="DM19" i="1"/>
  <c r="DN9" i="1"/>
  <c r="DM23" i="1"/>
  <c r="DO23" i="1"/>
  <c r="DJ23" i="1"/>
  <c r="DK23" i="1"/>
  <c r="DL23" i="1"/>
  <c r="DP23" i="1"/>
  <c r="CY21" i="1"/>
  <c r="DT21" i="1"/>
  <c r="DG25" i="1"/>
  <c r="DY25" i="1"/>
  <c r="EB10" i="1"/>
  <c r="EC10" i="1" s="1"/>
  <c r="EE10" i="1" s="1"/>
  <c r="DM10" i="1"/>
  <c r="DK10" i="1"/>
  <c r="DO10" i="1"/>
  <c r="DL10" i="1"/>
  <c r="DP10" i="1"/>
  <c r="DJ10" i="1"/>
  <c r="DX20" i="1"/>
  <c r="DF20" i="1"/>
  <c r="DB20" i="1"/>
  <c r="DG12" i="1"/>
  <c r="DY12" i="1"/>
  <c r="DF12" i="1"/>
  <c r="DX12" i="1"/>
  <c r="DB12" i="1"/>
  <c r="EB8" i="1"/>
  <c r="EC8" i="1" s="1"/>
  <c r="EE8" i="1" s="1"/>
  <c r="EB18" i="1"/>
  <c r="EE18" i="1" s="1"/>
  <c r="DN24" i="1"/>
  <c r="EB5" i="1"/>
  <c r="EC5" i="1" s="1"/>
  <c r="EE5" i="1" s="1"/>
  <c r="DM5" i="1"/>
  <c r="DO5" i="1"/>
  <c r="DL5" i="1"/>
  <c r="DJ5" i="1"/>
  <c r="DK5" i="1"/>
  <c r="DP5" i="1"/>
  <c r="DX27" i="1"/>
  <c r="DF27" i="1"/>
  <c r="DB27" i="1"/>
  <c r="DY27" i="1"/>
  <c r="DG27" i="1"/>
  <c r="DX28" i="1"/>
  <c r="DF28" i="1"/>
  <c r="DB28" i="1"/>
  <c r="DN17" i="1" l="1"/>
  <c r="DN25" i="1"/>
  <c r="DN13" i="1"/>
  <c r="DM12" i="1"/>
  <c r="DJ12" i="1"/>
  <c r="DO12" i="1"/>
  <c r="DL12" i="1"/>
  <c r="DP12" i="1"/>
  <c r="DK12" i="1"/>
  <c r="EB25" i="1"/>
  <c r="EE25" i="1" s="1"/>
  <c r="DG21" i="1"/>
  <c r="DY21" i="1"/>
  <c r="DM25" i="1"/>
  <c r="DJ25" i="1"/>
  <c r="DK25" i="1"/>
  <c r="DL25" i="1"/>
  <c r="DO25" i="1"/>
  <c r="DP25" i="1"/>
  <c r="DM20" i="1"/>
  <c r="DL20" i="1"/>
  <c r="DO20" i="1"/>
  <c r="DJ20" i="1"/>
  <c r="DK20" i="1"/>
  <c r="DP20" i="1"/>
  <c r="EB13" i="1"/>
  <c r="EE13" i="1" s="1"/>
  <c r="EB20" i="1"/>
  <c r="EE20" i="1" s="1"/>
  <c r="DF21" i="1"/>
  <c r="DX21" i="1"/>
  <c r="DB21" i="1"/>
  <c r="DN20" i="1"/>
  <c r="DM13" i="1"/>
  <c r="DL13" i="1"/>
  <c r="DO13" i="1"/>
  <c r="DJ13" i="1"/>
  <c r="DK13" i="1"/>
  <c r="DP13" i="1"/>
  <c r="DN12" i="1"/>
  <c r="EB17" i="1"/>
  <c r="EE17" i="1" s="1"/>
  <c r="DM17" i="1"/>
  <c r="DJ17" i="1"/>
  <c r="DK17" i="1"/>
  <c r="DO17" i="1"/>
  <c r="DL17" i="1"/>
  <c r="DP17" i="1"/>
  <c r="EB12" i="1"/>
  <c r="EC12" i="1" s="1"/>
  <c r="EE12" i="1" s="1"/>
  <c r="DN27" i="1"/>
  <c r="DM27" i="1"/>
  <c r="DK27" i="1"/>
  <c r="DJ27" i="1"/>
  <c r="DL27" i="1"/>
  <c r="DO27" i="1"/>
  <c r="DP27" i="1"/>
  <c r="EB27" i="1"/>
  <c r="EE27" i="1" s="1"/>
  <c r="DN28" i="1"/>
  <c r="DM28" i="1"/>
  <c r="DJ28" i="1"/>
  <c r="DK28" i="1"/>
  <c r="DO28" i="1"/>
  <c r="DL28" i="1"/>
  <c r="DP28" i="1"/>
  <c r="EB28" i="1"/>
  <c r="EE28" i="1" s="1"/>
  <c r="DN21" i="1" l="1"/>
  <c r="EB21" i="1"/>
  <c r="EE21" i="1" s="1"/>
  <c r="DM21" i="1"/>
  <c r="DJ21" i="1"/>
  <c r="DK21" i="1"/>
  <c r="DO21" i="1"/>
  <c r="DL21" i="1"/>
  <c r="DP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Sebastiaan</author>
  </authors>
  <commentList>
    <comment ref="ED3" authorId="0" shapeId="0" xr:uid="{BDC053D0-CDBB-4253-AF3C-05E455130F22}">
      <text>
        <r>
          <rPr>
            <b/>
            <sz val="9"/>
            <color indexed="81"/>
            <rFont val="Tahoma"/>
            <family val="2"/>
          </rPr>
          <t>Sebastiaan:</t>
        </r>
        <r>
          <rPr>
            <sz val="9"/>
            <color indexed="81"/>
            <rFont val="Tahoma"/>
            <family val="2"/>
          </rPr>
          <t xml:space="preserve">
Sebastiaan:
limited to the solubility with respect to the analytical method (Vw, ms and time of dissolution). In certain cases the solution was dilluted to determine the correct gypsum content, not specified)</t>
        </r>
      </text>
    </comment>
  </commentList>
</comments>
</file>

<file path=xl/sharedStrings.xml><?xml version="1.0" encoding="utf-8"?>
<sst xmlns="http://schemas.openxmlformats.org/spreadsheetml/2006/main" count="744" uniqueCount="428">
  <si>
    <t>Metadata</t>
  </si>
  <si>
    <t>IC Parameters</t>
  </si>
  <si>
    <t>Raw Ion Chromotgraphy Data (IC)</t>
  </si>
  <si>
    <t>Weight fractions (displayed as weight percents) (Eq. 1)</t>
  </si>
  <si>
    <r>
      <t>Amount of substance (Eq. 2)</t>
    </r>
    <r>
      <rPr>
        <b/>
        <sz val="10"/>
        <color rgb="FFFF0000"/>
        <rFont val="Arial"/>
        <family val="2"/>
      </rPr>
      <t xml:space="preserve"> </t>
    </r>
    <r>
      <rPr>
        <b/>
        <sz val="10"/>
        <color rgb="FF0070C0"/>
        <rFont val="Arial"/>
        <family val="2"/>
      </rPr>
      <t>converted to mEq for readability (not required for the data adjustments)</t>
    </r>
  </si>
  <si>
    <t>Initial Balance (Equation 3)</t>
  </si>
  <si>
    <t>Pathway Selection</t>
  </si>
  <si>
    <t>Pathway I (Eq. 4) - Adjustment of all ions equally</t>
  </si>
  <si>
    <t>Pathway II (Eq. 5) - Excess is assumed to relate to the least soluble salt: Calcium adjustment (Eq. 5a)</t>
  </si>
  <si>
    <t>Pathway II (Eq. 5) - Excess is assumed to relate to the least soluble salt: Magnesium adjustment (Eq. 5b)</t>
  </si>
  <si>
    <t>Pathway II (Eq. 5) - Excess is assumed to relate to the least soluble salt: Sodium adjustment (Eq. 5c)</t>
  </si>
  <si>
    <t>Pathway II (Eq. 5) - Excess is assumed to relate to the least soluble salt: Correct Potassium (Eq. 5d)</t>
  </si>
  <si>
    <t>Adjusted Values (after either Pathway I or Pathway II)</t>
  </si>
  <si>
    <t>Determination of gypsum content (Eq. 6) and Removal of gypsum ECOS/Runsalt model specific (Eq. 7)</t>
  </si>
  <si>
    <t>Balance check</t>
  </si>
  <si>
    <t>Balanced Molar Concentrations excluding gypsum (part 1 Eq.8)</t>
  </si>
  <si>
    <t>ECOS INPUTS: Adjusted amounts excluding gypsum as mole fraction (part 2 Eq. 8)</t>
  </si>
  <si>
    <t>Assessment of Correction Degree as a Fraction of Initial Cation Sum (Eq. 9), displayed as percent</t>
  </si>
  <si>
    <t>Evaluation of the corrected Ion and Gypsum Content (Eq. 11) displayed as a weight percent</t>
  </si>
  <si>
    <t>Sample ID</t>
  </si>
  <si>
    <t>Institute Country Code</t>
  </si>
  <si>
    <t>Institutional Lagacy  Sample ID</t>
  </si>
  <si>
    <t>Month</t>
  </si>
  <si>
    <t>Year</t>
  </si>
  <si>
    <t>Sample Location Country Code</t>
  </si>
  <si>
    <t>Object location postcode (if applicable)</t>
  </si>
  <si>
    <t>Sample City</t>
  </si>
  <si>
    <t>Sample (site) Name</t>
  </si>
  <si>
    <t>GPS coordinates</t>
  </si>
  <si>
    <t>Sample Material</t>
  </si>
  <si>
    <t>Sample Height</t>
  </si>
  <si>
    <t>Sample depth from surface of specific material</t>
  </si>
  <si>
    <t>Dry Sample Mass</t>
  </si>
  <si>
    <t>Amount of water added to sample for IC</t>
  </si>
  <si>
    <r>
      <t>Chlorine (Cl</t>
    </r>
    <r>
      <rPr>
        <b/>
        <vertAlign val="superscript"/>
        <sz val="10"/>
        <color theme="1"/>
        <rFont val="Arial"/>
        <family val="2"/>
      </rPr>
      <t>-</t>
    </r>
    <r>
      <rPr>
        <b/>
        <sz val="10"/>
        <color theme="1"/>
        <rFont val="Arial"/>
        <family val="2"/>
      </rPr>
      <t>)</t>
    </r>
  </si>
  <si>
    <r>
      <t>Nitrate (NO3</t>
    </r>
    <r>
      <rPr>
        <b/>
        <vertAlign val="superscript"/>
        <sz val="10"/>
        <color theme="1"/>
        <rFont val="Arial"/>
        <family val="2"/>
      </rPr>
      <t>-</t>
    </r>
    <r>
      <rPr>
        <b/>
        <sz val="10"/>
        <color theme="1"/>
        <rFont val="Arial"/>
        <family val="2"/>
      </rPr>
      <t>)</t>
    </r>
  </si>
  <si>
    <r>
      <t>Sulfate (SO</t>
    </r>
    <r>
      <rPr>
        <b/>
        <vertAlign val="subscript"/>
        <sz val="10"/>
        <color theme="1"/>
        <rFont val="Arial"/>
        <family val="2"/>
      </rPr>
      <t>4</t>
    </r>
    <r>
      <rPr>
        <b/>
        <vertAlign val="superscript"/>
        <sz val="10"/>
        <color theme="1"/>
        <rFont val="Arial"/>
        <family val="2"/>
      </rPr>
      <t>2-</t>
    </r>
    <r>
      <rPr>
        <b/>
        <sz val="10"/>
        <color theme="1"/>
        <rFont val="Arial"/>
        <family val="2"/>
      </rPr>
      <t>)</t>
    </r>
  </si>
  <si>
    <r>
      <t>Sodium (Na</t>
    </r>
    <r>
      <rPr>
        <b/>
        <vertAlign val="superscript"/>
        <sz val="10"/>
        <color theme="1"/>
        <rFont val="Arial"/>
        <family val="2"/>
      </rPr>
      <t>+</t>
    </r>
    <r>
      <rPr>
        <b/>
        <sz val="10"/>
        <color theme="1"/>
        <rFont val="Arial"/>
        <family val="2"/>
      </rPr>
      <t>)</t>
    </r>
  </si>
  <si>
    <r>
      <t>Potassium (K</t>
    </r>
    <r>
      <rPr>
        <b/>
        <vertAlign val="superscript"/>
        <sz val="10"/>
        <color theme="1"/>
        <rFont val="Arial"/>
        <family val="2"/>
      </rPr>
      <t>+</t>
    </r>
    <r>
      <rPr>
        <b/>
        <sz val="10"/>
        <color theme="1"/>
        <rFont val="Arial"/>
        <family val="2"/>
      </rPr>
      <t>)</t>
    </r>
  </si>
  <si>
    <r>
      <t>Calcium (Ca</t>
    </r>
    <r>
      <rPr>
        <b/>
        <vertAlign val="superscript"/>
        <sz val="10"/>
        <color theme="1"/>
        <rFont val="Arial"/>
        <family val="2"/>
      </rPr>
      <t>2+</t>
    </r>
    <r>
      <rPr>
        <b/>
        <sz val="10"/>
        <color theme="1"/>
        <rFont val="Arial"/>
        <family val="2"/>
      </rPr>
      <t>)</t>
    </r>
  </si>
  <si>
    <r>
      <t>Magnesium (Mg</t>
    </r>
    <r>
      <rPr>
        <b/>
        <vertAlign val="superscript"/>
        <sz val="10"/>
        <color theme="1"/>
        <rFont val="Arial"/>
        <family val="2"/>
      </rPr>
      <t>2+</t>
    </r>
    <r>
      <rPr>
        <b/>
        <sz val="10"/>
        <color theme="1"/>
        <rFont val="Arial"/>
        <family val="2"/>
      </rPr>
      <t>)</t>
    </r>
  </si>
  <si>
    <t xml:space="preserve">Total </t>
  </si>
  <si>
    <t>Total Anions</t>
  </si>
  <si>
    <t>Total Cations</t>
  </si>
  <si>
    <t>Generalised</t>
  </si>
  <si>
    <t>Allocation</t>
  </si>
  <si>
    <t>Pathway I</t>
  </si>
  <si>
    <t>Pathway II</t>
  </si>
  <si>
    <r>
      <t>Calcium (Ca</t>
    </r>
    <r>
      <rPr>
        <b/>
        <vertAlign val="superscript"/>
        <sz val="10"/>
        <color rgb="FFC00000"/>
        <rFont val="Arial"/>
        <family val="2"/>
      </rPr>
      <t>2+</t>
    </r>
    <r>
      <rPr>
        <b/>
        <sz val="10"/>
        <color rgb="FFC00000"/>
        <rFont val="Arial"/>
        <family val="2"/>
      </rPr>
      <t>)</t>
    </r>
  </si>
  <si>
    <t>Balance after Calcium adjustment</t>
  </si>
  <si>
    <r>
      <t>Magnesium (Mg</t>
    </r>
    <r>
      <rPr>
        <b/>
        <vertAlign val="superscript"/>
        <sz val="10"/>
        <color rgb="FFC00000"/>
        <rFont val="Arial"/>
        <family val="2"/>
      </rPr>
      <t>2+</t>
    </r>
    <r>
      <rPr>
        <b/>
        <sz val="10"/>
        <color rgb="FFC00000"/>
        <rFont val="Arial"/>
        <family val="2"/>
      </rPr>
      <t>)</t>
    </r>
  </si>
  <si>
    <t>Balance after Magnesium adjustment</t>
  </si>
  <si>
    <r>
      <t>Sodium (Na</t>
    </r>
    <r>
      <rPr>
        <b/>
        <vertAlign val="superscript"/>
        <sz val="10"/>
        <color rgb="FFC00000"/>
        <rFont val="Arial"/>
        <family val="2"/>
      </rPr>
      <t>+</t>
    </r>
    <r>
      <rPr>
        <b/>
        <sz val="10"/>
        <color rgb="FFC00000"/>
        <rFont val="Arial"/>
        <family val="2"/>
      </rPr>
      <t>)</t>
    </r>
  </si>
  <si>
    <t>Balance after Sodium adjustment</t>
  </si>
  <si>
    <r>
      <t>Potassium (K</t>
    </r>
    <r>
      <rPr>
        <b/>
        <vertAlign val="superscript"/>
        <sz val="10"/>
        <color rgb="FFC00000"/>
        <rFont val="Arial"/>
        <family val="2"/>
      </rPr>
      <t>+</t>
    </r>
    <r>
      <rPr>
        <b/>
        <sz val="10"/>
        <color rgb="FFC00000"/>
        <rFont val="Arial"/>
        <family val="2"/>
      </rPr>
      <t>)</t>
    </r>
  </si>
  <si>
    <t>Balance after Potassium adjustment</t>
  </si>
  <si>
    <r>
      <t>Amount of Calcium or Sulfate that limits CaSO</t>
    </r>
    <r>
      <rPr>
        <b/>
        <vertAlign val="subscript"/>
        <sz val="10"/>
        <color theme="1"/>
        <rFont val="Arial"/>
        <family val="2"/>
      </rPr>
      <t xml:space="preserve">4 </t>
    </r>
    <r>
      <rPr>
        <b/>
        <sz val="10"/>
        <color theme="1"/>
        <rFont val="Arial"/>
        <family val="2"/>
      </rPr>
      <t>production (Eq. 6)</t>
    </r>
  </si>
  <si>
    <t>Final Balance</t>
  </si>
  <si>
    <t>Calcium (Ca2+)</t>
  </si>
  <si>
    <t>Magnesium (Mg2+)</t>
  </si>
  <si>
    <t>Sodium (Na+)</t>
  </si>
  <si>
    <t>Potassium (K+)</t>
  </si>
  <si>
    <t>Chlorine (Cl-)</t>
  </si>
  <si>
    <t>Nitrate (NO3-)</t>
  </si>
  <si>
    <t>Sulfate (SO42-)</t>
  </si>
  <si>
    <t>Total</t>
  </si>
  <si>
    <t>Total amount of the adjusted ion content (incl. gypsum)</t>
  </si>
  <si>
    <t>Gypsum content</t>
  </si>
  <si>
    <t>Total amount of the adjusted ion content (excluding gypsum)</t>
  </si>
  <si>
    <t>adjusted content Ca2+</t>
  </si>
  <si>
    <t>SID</t>
  </si>
  <si>
    <t>ICC</t>
  </si>
  <si>
    <t>ILSID</t>
  </si>
  <si>
    <t>MM</t>
  </si>
  <si>
    <t>YYYY</t>
  </si>
  <si>
    <t>SLCC</t>
  </si>
  <si>
    <t>SC</t>
  </si>
  <si>
    <t>SN</t>
  </si>
  <si>
    <t>GPS</t>
  </si>
  <si>
    <t>SM</t>
  </si>
  <si>
    <r>
      <rPr>
        <b/>
        <sz val="10"/>
        <rFont val="Arial"/>
        <family val="2"/>
      </rPr>
      <t xml:space="preserve">H </t>
    </r>
    <r>
      <rPr>
        <sz val="10"/>
        <rFont val="Arial"/>
        <family val="2"/>
      </rPr>
      <t>(cm)</t>
    </r>
  </si>
  <si>
    <r>
      <rPr>
        <b/>
        <sz val="10"/>
        <rFont val="Arial"/>
        <family val="2"/>
      </rPr>
      <t xml:space="preserve">D </t>
    </r>
    <r>
      <rPr>
        <sz val="10"/>
        <rFont val="Arial"/>
        <family val="2"/>
      </rPr>
      <t>(cm to cm)</t>
    </r>
  </si>
  <si>
    <r>
      <t>m</t>
    </r>
    <r>
      <rPr>
        <b/>
        <vertAlign val="subscript"/>
        <sz val="10"/>
        <rFont val="Arial"/>
        <family val="2"/>
      </rPr>
      <t>s</t>
    </r>
    <r>
      <rPr>
        <sz val="10"/>
        <rFont val="Arial"/>
        <family val="2"/>
      </rPr>
      <t xml:space="preserve"> (g)</t>
    </r>
  </si>
  <si>
    <r>
      <t>V</t>
    </r>
    <r>
      <rPr>
        <b/>
        <vertAlign val="subscript"/>
        <sz val="10"/>
        <rFont val="Arial"/>
        <family val="2"/>
      </rPr>
      <t>w</t>
    </r>
    <r>
      <rPr>
        <b/>
        <sz val="10"/>
        <rFont val="Arial"/>
        <family val="2"/>
      </rPr>
      <t xml:space="preserve"> </t>
    </r>
    <r>
      <rPr>
        <sz val="10"/>
        <rFont val="Arial"/>
        <family val="2"/>
      </rPr>
      <t>(mL)</t>
    </r>
  </si>
  <si>
    <r>
      <t>c</t>
    </r>
    <r>
      <rPr>
        <b/>
        <vertAlign val="subscript"/>
        <sz val="10"/>
        <color theme="1"/>
        <rFont val="Arial"/>
        <family val="2"/>
      </rPr>
      <t>Cl</t>
    </r>
    <r>
      <rPr>
        <b/>
        <sz val="10"/>
        <color theme="1"/>
        <rFont val="Arial"/>
        <family val="2"/>
      </rPr>
      <t xml:space="preserve"> </t>
    </r>
    <r>
      <rPr>
        <sz val="10"/>
        <color theme="1"/>
        <rFont val="Arial"/>
        <family val="2"/>
      </rPr>
      <t>(mg L</t>
    </r>
    <r>
      <rPr>
        <vertAlign val="superscript"/>
        <sz val="10"/>
        <color theme="1"/>
        <rFont val="Arial"/>
        <family val="2"/>
      </rPr>
      <t>-1</t>
    </r>
    <r>
      <rPr>
        <sz val="10"/>
        <color theme="1"/>
        <rFont val="Arial"/>
        <family val="2"/>
      </rPr>
      <t>)</t>
    </r>
  </si>
  <si>
    <r>
      <t>c</t>
    </r>
    <r>
      <rPr>
        <b/>
        <vertAlign val="subscript"/>
        <sz val="10"/>
        <color theme="1"/>
        <rFont val="Arial"/>
        <family val="2"/>
      </rPr>
      <t>NO3</t>
    </r>
    <r>
      <rPr>
        <b/>
        <sz val="10"/>
        <color theme="1"/>
        <rFont val="Arial"/>
        <family val="2"/>
      </rPr>
      <t xml:space="preserve"> </t>
    </r>
    <r>
      <rPr>
        <sz val="10"/>
        <color theme="1"/>
        <rFont val="Arial"/>
        <family val="2"/>
      </rPr>
      <t>(mg L-1)</t>
    </r>
  </si>
  <si>
    <r>
      <t>c</t>
    </r>
    <r>
      <rPr>
        <b/>
        <vertAlign val="subscript"/>
        <sz val="10"/>
        <color theme="1"/>
        <rFont val="Arial"/>
        <family val="2"/>
      </rPr>
      <t>SO4</t>
    </r>
    <r>
      <rPr>
        <b/>
        <sz val="10"/>
        <color theme="1"/>
        <rFont val="Arial"/>
        <family val="2"/>
      </rPr>
      <t xml:space="preserve">  </t>
    </r>
    <r>
      <rPr>
        <sz val="10"/>
        <color theme="1"/>
        <rFont val="Arial"/>
        <family val="2"/>
      </rPr>
      <t>(mg L-1)</t>
    </r>
  </si>
  <si>
    <r>
      <t>c</t>
    </r>
    <r>
      <rPr>
        <b/>
        <vertAlign val="subscript"/>
        <sz val="10"/>
        <color theme="1"/>
        <rFont val="Arial"/>
        <family val="2"/>
      </rPr>
      <t>Na</t>
    </r>
    <r>
      <rPr>
        <b/>
        <sz val="10"/>
        <color theme="1"/>
        <rFont val="Arial"/>
        <family val="2"/>
      </rPr>
      <t xml:space="preserve"> </t>
    </r>
    <r>
      <rPr>
        <sz val="10"/>
        <color theme="1"/>
        <rFont val="Arial"/>
        <family val="2"/>
      </rPr>
      <t xml:space="preserve"> (mg L-1)</t>
    </r>
  </si>
  <si>
    <r>
      <t>c</t>
    </r>
    <r>
      <rPr>
        <b/>
        <vertAlign val="subscript"/>
        <sz val="10"/>
        <color theme="1"/>
        <rFont val="Arial"/>
        <family val="2"/>
      </rPr>
      <t>K</t>
    </r>
    <r>
      <rPr>
        <b/>
        <sz val="10"/>
        <color theme="1"/>
        <rFont val="Arial"/>
        <family val="2"/>
      </rPr>
      <t xml:space="preserve"> </t>
    </r>
    <r>
      <rPr>
        <sz val="10"/>
        <color theme="1"/>
        <rFont val="Arial"/>
        <family val="2"/>
      </rPr>
      <t xml:space="preserve"> (mg L-1)</t>
    </r>
  </si>
  <si>
    <r>
      <t>c</t>
    </r>
    <r>
      <rPr>
        <b/>
        <vertAlign val="subscript"/>
        <sz val="10"/>
        <color theme="1"/>
        <rFont val="Arial"/>
        <family val="2"/>
      </rPr>
      <t>Ca</t>
    </r>
    <r>
      <rPr>
        <b/>
        <sz val="10"/>
        <color theme="1"/>
        <rFont val="Arial"/>
        <family val="2"/>
      </rPr>
      <t xml:space="preserve"> </t>
    </r>
    <r>
      <rPr>
        <sz val="10"/>
        <color theme="1"/>
        <rFont val="Arial"/>
        <family val="2"/>
      </rPr>
      <t xml:space="preserve"> (mg L-1)</t>
    </r>
  </si>
  <si>
    <r>
      <t>c</t>
    </r>
    <r>
      <rPr>
        <b/>
        <vertAlign val="subscript"/>
        <sz val="10"/>
        <color theme="1"/>
        <rFont val="Arial"/>
        <family val="2"/>
      </rPr>
      <t>Mg</t>
    </r>
    <r>
      <rPr>
        <sz val="10"/>
        <color theme="1"/>
        <rFont val="Arial"/>
        <family val="2"/>
      </rPr>
      <t xml:space="preserve">  (mg L-1)</t>
    </r>
  </si>
  <si>
    <r>
      <t>w</t>
    </r>
    <r>
      <rPr>
        <b/>
        <vertAlign val="subscript"/>
        <sz val="10"/>
        <color theme="1"/>
        <rFont val="Arial"/>
        <family val="2"/>
      </rPr>
      <t>Cl</t>
    </r>
    <r>
      <rPr>
        <vertAlign val="subscript"/>
        <sz val="10"/>
        <color theme="1"/>
        <rFont val="Arial"/>
        <family val="2"/>
      </rPr>
      <t xml:space="preserve"> </t>
    </r>
    <r>
      <rPr>
        <sz val="10"/>
        <color theme="1"/>
        <rFont val="Arial"/>
        <family val="2"/>
      </rPr>
      <t>(kg/kg (-))</t>
    </r>
  </si>
  <si>
    <r>
      <t>w</t>
    </r>
    <r>
      <rPr>
        <b/>
        <vertAlign val="subscript"/>
        <sz val="10"/>
        <color theme="1"/>
        <rFont val="Arial"/>
        <family val="2"/>
      </rPr>
      <t>NO3</t>
    </r>
    <r>
      <rPr>
        <sz val="10"/>
        <color theme="1"/>
        <rFont val="Arial"/>
        <family val="2"/>
      </rPr>
      <t xml:space="preserve">  (kg/kg (-))</t>
    </r>
  </si>
  <si>
    <r>
      <t>w</t>
    </r>
    <r>
      <rPr>
        <b/>
        <vertAlign val="subscript"/>
        <sz val="10"/>
        <color theme="1"/>
        <rFont val="Arial"/>
        <family val="2"/>
      </rPr>
      <t>SO4</t>
    </r>
    <r>
      <rPr>
        <sz val="10"/>
        <color theme="1"/>
        <rFont val="Arial"/>
        <family val="2"/>
      </rPr>
      <t xml:space="preserve">  (kg/kg (-))</t>
    </r>
  </si>
  <si>
    <r>
      <t>w</t>
    </r>
    <r>
      <rPr>
        <b/>
        <vertAlign val="subscript"/>
        <sz val="10"/>
        <color theme="1"/>
        <rFont val="Arial"/>
        <family val="2"/>
      </rPr>
      <t>Na</t>
    </r>
    <r>
      <rPr>
        <b/>
        <sz val="10"/>
        <color theme="1"/>
        <rFont val="Arial"/>
        <family val="2"/>
      </rPr>
      <t xml:space="preserve"> </t>
    </r>
    <r>
      <rPr>
        <sz val="10"/>
        <color theme="1"/>
        <rFont val="Arial"/>
        <family val="2"/>
      </rPr>
      <t xml:space="preserve"> (kg/kg (-))</t>
    </r>
  </si>
  <si>
    <r>
      <t>w</t>
    </r>
    <r>
      <rPr>
        <b/>
        <vertAlign val="subscript"/>
        <sz val="10"/>
        <color theme="1"/>
        <rFont val="Arial"/>
        <family val="2"/>
      </rPr>
      <t xml:space="preserve">K  </t>
    </r>
    <r>
      <rPr>
        <sz val="10"/>
        <color theme="1"/>
        <rFont val="Arial"/>
        <family val="2"/>
      </rPr>
      <t>(kg/kg (-))</t>
    </r>
  </si>
  <si>
    <r>
      <t>w</t>
    </r>
    <r>
      <rPr>
        <b/>
        <vertAlign val="subscript"/>
        <sz val="10"/>
        <color theme="1"/>
        <rFont val="Arial"/>
        <family val="2"/>
      </rPr>
      <t>Ca</t>
    </r>
    <r>
      <rPr>
        <b/>
        <sz val="10"/>
        <color theme="1"/>
        <rFont val="Arial"/>
        <family val="2"/>
      </rPr>
      <t xml:space="preserve">  </t>
    </r>
    <r>
      <rPr>
        <sz val="10"/>
        <color theme="1"/>
        <rFont val="Arial"/>
        <family val="2"/>
      </rPr>
      <t>(kg/kg (-))</t>
    </r>
  </si>
  <si>
    <r>
      <t>w</t>
    </r>
    <r>
      <rPr>
        <b/>
        <vertAlign val="subscript"/>
        <sz val="10"/>
        <color theme="1"/>
        <rFont val="Arial"/>
        <family val="2"/>
      </rPr>
      <t>Mg</t>
    </r>
    <r>
      <rPr>
        <sz val="10"/>
        <color theme="1"/>
        <rFont val="Arial"/>
        <family val="2"/>
      </rPr>
      <t xml:space="preserve">  (kg/kg (-))</t>
    </r>
  </si>
  <si>
    <r>
      <t>w</t>
    </r>
    <r>
      <rPr>
        <b/>
        <vertAlign val="subscript"/>
        <sz val="10"/>
        <color theme="1"/>
        <rFont val="Arial"/>
        <family val="2"/>
      </rPr>
      <t>tot</t>
    </r>
    <r>
      <rPr>
        <b/>
        <sz val="10"/>
        <color theme="1"/>
        <rFont val="Arial"/>
        <family val="2"/>
      </rPr>
      <t xml:space="preserve"> </t>
    </r>
    <r>
      <rPr>
        <sz val="10"/>
        <color theme="1"/>
        <rFont val="Arial"/>
        <family val="2"/>
      </rPr>
      <t xml:space="preserve"> (kg/kg (-))</t>
    </r>
  </si>
  <si>
    <r>
      <t>e</t>
    </r>
    <r>
      <rPr>
        <b/>
        <vertAlign val="subscript"/>
        <sz val="10"/>
        <color theme="1"/>
        <rFont val="Arial"/>
        <family val="2"/>
      </rPr>
      <t xml:space="preserve">Cl </t>
    </r>
    <r>
      <rPr>
        <sz val="10"/>
        <color theme="1"/>
        <rFont val="Arial"/>
        <family val="2"/>
      </rPr>
      <t>(mEq/kg)</t>
    </r>
  </si>
  <si>
    <r>
      <t>e</t>
    </r>
    <r>
      <rPr>
        <b/>
        <vertAlign val="subscript"/>
        <sz val="10"/>
        <color theme="1"/>
        <rFont val="Arial"/>
        <family val="2"/>
      </rPr>
      <t>NO3</t>
    </r>
    <r>
      <rPr>
        <sz val="10"/>
        <color theme="1"/>
        <rFont val="Arial"/>
        <family val="2"/>
      </rPr>
      <t xml:space="preserve"> (mEq/kg)</t>
    </r>
  </si>
  <si>
    <r>
      <t>e</t>
    </r>
    <r>
      <rPr>
        <b/>
        <vertAlign val="subscript"/>
        <sz val="10"/>
        <color theme="1"/>
        <rFont val="Arial"/>
        <family val="2"/>
      </rPr>
      <t>SO4</t>
    </r>
    <r>
      <rPr>
        <b/>
        <sz val="10"/>
        <color theme="1"/>
        <rFont val="Arial"/>
        <family val="2"/>
      </rPr>
      <t xml:space="preserve"> </t>
    </r>
    <r>
      <rPr>
        <sz val="10"/>
        <color theme="1"/>
        <rFont val="Arial"/>
        <family val="2"/>
      </rPr>
      <t>(mEq/kg)</t>
    </r>
  </si>
  <si>
    <r>
      <t>e</t>
    </r>
    <r>
      <rPr>
        <b/>
        <vertAlign val="subscript"/>
        <sz val="10"/>
        <color theme="1"/>
        <rFont val="Arial"/>
        <family val="2"/>
      </rPr>
      <t>Na</t>
    </r>
    <r>
      <rPr>
        <sz val="10"/>
        <color theme="1"/>
        <rFont val="Arial"/>
        <family val="2"/>
      </rPr>
      <t xml:space="preserve"> (mEq/kg)</t>
    </r>
  </si>
  <si>
    <r>
      <t>e</t>
    </r>
    <r>
      <rPr>
        <b/>
        <vertAlign val="subscript"/>
        <sz val="10"/>
        <color theme="1"/>
        <rFont val="Arial"/>
        <family val="2"/>
      </rPr>
      <t>K</t>
    </r>
    <r>
      <rPr>
        <b/>
        <sz val="10"/>
        <color theme="1"/>
        <rFont val="Arial"/>
        <family val="2"/>
      </rPr>
      <t xml:space="preserve"> </t>
    </r>
    <r>
      <rPr>
        <sz val="10"/>
        <color theme="1"/>
        <rFont val="Arial"/>
        <family val="2"/>
      </rPr>
      <t>(mEq/kg)</t>
    </r>
  </si>
  <si>
    <r>
      <t>e</t>
    </r>
    <r>
      <rPr>
        <b/>
        <vertAlign val="subscript"/>
        <sz val="10"/>
        <color theme="1"/>
        <rFont val="Arial"/>
        <family val="2"/>
      </rPr>
      <t>Ca</t>
    </r>
    <r>
      <rPr>
        <sz val="10"/>
        <color theme="1"/>
        <rFont val="Arial"/>
        <family val="2"/>
      </rPr>
      <t xml:space="preserve"> (mEq/kg)</t>
    </r>
  </si>
  <si>
    <r>
      <t>e</t>
    </r>
    <r>
      <rPr>
        <b/>
        <vertAlign val="subscript"/>
        <sz val="10"/>
        <color theme="1"/>
        <rFont val="Arial"/>
        <family val="2"/>
      </rPr>
      <t>Mg</t>
    </r>
    <r>
      <rPr>
        <sz val="10"/>
        <color theme="1"/>
        <rFont val="Arial"/>
        <family val="2"/>
      </rPr>
      <t xml:space="preserve">  (mEq/kg)</t>
    </r>
  </si>
  <si>
    <r>
      <t>e</t>
    </r>
    <r>
      <rPr>
        <b/>
        <vertAlign val="subscript"/>
        <sz val="10"/>
        <color theme="1"/>
        <rFont val="Arial"/>
        <family val="2"/>
      </rPr>
      <t>ani</t>
    </r>
    <r>
      <rPr>
        <b/>
        <sz val="10"/>
        <color theme="1"/>
        <rFont val="Arial"/>
        <family val="2"/>
      </rPr>
      <t xml:space="preserve"> </t>
    </r>
    <r>
      <rPr>
        <sz val="10"/>
        <color theme="1"/>
        <rFont val="Arial"/>
        <family val="2"/>
      </rPr>
      <t xml:space="preserve"> (mEq/kg)</t>
    </r>
  </si>
  <si>
    <r>
      <t>e</t>
    </r>
    <r>
      <rPr>
        <b/>
        <vertAlign val="subscript"/>
        <sz val="10"/>
        <color theme="1"/>
        <rFont val="Arial"/>
        <family val="2"/>
      </rPr>
      <t>cat</t>
    </r>
    <r>
      <rPr>
        <b/>
        <sz val="10"/>
        <color theme="1"/>
        <rFont val="Arial"/>
        <family val="2"/>
      </rPr>
      <t xml:space="preserve"> </t>
    </r>
    <r>
      <rPr>
        <sz val="10"/>
        <color theme="1"/>
        <rFont val="Arial"/>
        <family val="2"/>
      </rPr>
      <t xml:space="preserve"> (mEq/kg)</t>
    </r>
  </si>
  <si>
    <r>
      <rPr>
        <b/>
        <sz val="10"/>
        <color theme="1"/>
        <rFont val="Calibri"/>
        <family val="2"/>
      </rPr>
      <t>Δ</t>
    </r>
    <r>
      <rPr>
        <b/>
        <sz val="10"/>
        <color theme="1"/>
        <rFont val="Arial"/>
        <family val="2"/>
      </rPr>
      <t xml:space="preserve">e </t>
    </r>
    <r>
      <rPr>
        <sz val="10"/>
        <color theme="1"/>
        <rFont val="Arial"/>
        <family val="2"/>
      </rPr>
      <t xml:space="preserve"> (mEq/kg)</t>
    </r>
  </si>
  <si>
    <r>
      <rPr>
        <b/>
        <sz val="10"/>
        <color theme="1"/>
        <rFont val="Arial"/>
        <family val="2"/>
      </rPr>
      <t>Δe</t>
    </r>
    <r>
      <rPr>
        <b/>
        <vertAlign val="subscript"/>
        <sz val="10"/>
        <color theme="1"/>
        <rFont val="Arial"/>
        <family val="2"/>
      </rPr>
      <t>cat</t>
    </r>
    <r>
      <rPr>
        <sz val="10"/>
        <color theme="1"/>
        <rFont val="Arial"/>
        <family val="2"/>
      </rPr>
      <t xml:space="preserve"> or </t>
    </r>
    <r>
      <rPr>
        <b/>
        <sz val="10"/>
        <color theme="1"/>
        <rFont val="Arial"/>
        <family val="2"/>
      </rPr>
      <t>Δe</t>
    </r>
    <r>
      <rPr>
        <b/>
        <vertAlign val="subscript"/>
        <sz val="10"/>
        <color theme="1"/>
        <rFont val="Arial"/>
        <family val="2"/>
      </rPr>
      <t>ani</t>
    </r>
  </si>
  <si>
    <t>pI</t>
  </si>
  <si>
    <t>pII</t>
  </si>
  <si>
    <r>
      <t>e</t>
    </r>
    <r>
      <rPr>
        <b/>
        <vertAlign val="subscript"/>
        <sz val="10"/>
        <color theme="1"/>
        <rFont val="Arial"/>
        <family val="2"/>
      </rPr>
      <t>Cl,adj</t>
    </r>
    <r>
      <rPr>
        <b/>
        <sz val="10"/>
        <color theme="1"/>
        <rFont val="Arial"/>
        <family val="2"/>
      </rPr>
      <t xml:space="preserve"> </t>
    </r>
    <r>
      <rPr>
        <sz val="10"/>
        <color theme="1"/>
        <rFont val="Arial"/>
        <family val="2"/>
      </rPr>
      <t>(mEq/kg)</t>
    </r>
    <r>
      <rPr>
        <b/>
        <sz val="10"/>
        <color theme="1"/>
        <rFont val="Arial"/>
        <family val="2"/>
      </rPr>
      <t xml:space="preserve"> </t>
    </r>
    <r>
      <rPr>
        <sz val="10"/>
        <color theme="1"/>
        <rFont val="Arial"/>
        <family val="2"/>
      </rPr>
      <t>eq4</t>
    </r>
  </si>
  <si>
    <r>
      <t>e</t>
    </r>
    <r>
      <rPr>
        <b/>
        <vertAlign val="subscript"/>
        <sz val="10"/>
        <color theme="1"/>
        <rFont val="Arial"/>
        <family val="2"/>
      </rPr>
      <t>NO3,adj</t>
    </r>
    <r>
      <rPr>
        <b/>
        <sz val="10"/>
        <color theme="1"/>
        <rFont val="Arial"/>
        <family val="2"/>
      </rPr>
      <t xml:space="preserve"> </t>
    </r>
    <r>
      <rPr>
        <sz val="10"/>
        <color theme="1"/>
        <rFont val="Arial"/>
        <family val="2"/>
      </rPr>
      <t>(mEq/kg)</t>
    </r>
    <r>
      <rPr>
        <b/>
        <sz val="10"/>
        <color theme="1"/>
        <rFont val="Arial"/>
        <family val="2"/>
      </rPr>
      <t xml:space="preserve"> </t>
    </r>
    <r>
      <rPr>
        <sz val="10"/>
        <color theme="1"/>
        <rFont val="Arial"/>
        <family val="2"/>
      </rPr>
      <t>eq4</t>
    </r>
  </si>
  <si>
    <r>
      <t>e</t>
    </r>
    <r>
      <rPr>
        <b/>
        <vertAlign val="subscript"/>
        <sz val="10"/>
        <color theme="1"/>
        <rFont val="Arial"/>
        <family val="2"/>
      </rPr>
      <t>SO4,adj</t>
    </r>
    <r>
      <rPr>
        <sz val="10"/>
        <color theme="1"/>
        <rFont val="Arial"/>
        <family val="2"/>
      </rPr>
      <t xml:space="preserve"> (mEq/kg) eq4</t>
    </r>
  </si>
  <si>
    <r>
      <t>e</t>
    </r>
    <r>
      <rPr>
        <b/>
        <vertAlign val="subscript"/>
        <sz val="10"/>
        <color theme="1"/>
        <rFont val="Arial"/>
        <family val="2"/>
      </rPr>
      <t xml:space="preserve">Na,adj </t>
    </r>
    <r>
      <rPr>
        <sz val="10"/>
        <color theme="1"/>
        <rFont val="Arial"/>
        <family val="2"/>
      </rPr>
      <t>(mEq/kg)</t>
    </r>
    <r>
      <rPr>
        <b/>
        <sz val="10"/>
        <color theme="1"/>
        <rFont val="Arial"/>
        <family val="2"/>
      </rPr>
      <t xml:space="preserve"> </t>
    </r>
    <r>
      <rPr>
        <sz val="10"/>
        <color theme="1"/>
        <rFont val="Arial"/>
        <family val="2"/>
      </rPr>
      <t>eq4</t>
    </r>
  </si>
  <si>
    <r>
      <t>e</t>
    </r>
    <r>
      <rPr>
        <b/>
        <vertAlign val="subscript"/>
        <sz val="10"/>
        <color theme="1"/>
        <rFont val="Arial"/>
        <family val="2"/>
      </rPr>
      <t>K,adj</t>
    </r>
    <r>
      <rPr>
        <sz val="10"/>
        <color theme="1"/>
        <rFont val="Arial"/>
        <family val="2"/>
      </rPr>
      <t xml:space="preserve"> (mEq/kg)</t>
    </r>
    <r>
      <rPr>
        <b/>
        <sz val="10"/>
        <color theme="1"/>
        <rFont val="Arial"/>
        <family val="2"/>
      </rPr>
      <t xml:space="preserve"> </t>
    </r>
    <r>
      <rPr>
        <sz val="10"/>
        <color theme="1"/>
        <rFont val="Arial"/>
        <family val="2"/>
      </rPr>
      <t>eq4</t>
    </r>
  </si>
  <si>
    <r>
      <t>e</t>
    </r>
    <r>
      <rPr>
        <b/>
        <vertAlign val="subscript"/>
        <sz val="10"/>
        <color theme="1"/>
        <rFont val="Arial"/>
        <family val="2"/>
      </rPr>
      <t>Ca,adj</t>
    </r>
    <r>
      <rPr>
        <b/>
        <sz val="10"/>
        <color theme="1"/>
        <rFont val="Arial"/>
        <family val="2"/>
      </rPr>
      <t xml:space="preserve"> </t>
    </r>
    <r>
      <rPr>
        <sz val="10"/>
        <color theme="1"/>
        <rFont val="Arial"/>
        <family val="2"/>
      </rPr>
      <t>(mEq/kg)</t>
    </r>
    <r>
      <rPr>
        <b/>
        <sz val="10"/>
        <color theme="1"/>
        <rFont val="Arial"/>
        <family val="2"/>
      </rPr>
      <t xml:space="preserve"> </t>
    </r>
    <r>
      <rPr>
        <sz val="10"/>
        <color theme="1"/>
        <rFont val="Arial"/>
        <family val="2"/>
      </rPr>
      <t>eq4</t>
    </r>
  </si>
  <si>
    <r>
      <t>e</t>
    </r>
    <r>
      <rPr>
        <b/>
        <vertAlign val="subscript"/>
        <sz val="10"/>
        <color theme="1"/>
        <rFont val="Arial"/>
        <family val="2"/>
      </rPr>
      <t>Mg,adj</t>
    </r>
    <r>
      <rPr>
        <b/>
        <sz val="10"/>
        <color theme="1"/>
        <rFont val="Arial"/>
        <family val="2"/>
      </rPr>
      <t xml:space="preserve"> </t>
    </r>
    <r>
      <rPr>
        <sz val="10"/>
        <color theme="1"/>
        <rFont val="Arial"/>
        <family val="2"/>
      </rPr>
      <t>(mEq/kg) eq4</t>
    </r>
  </si>
  <si>
    <r>
      <t>e</t>
    </r>
    <r>
      <rPr>
        <b/>
        <vertAlign val="subscript"/>
        <sz val="10"/>
        <color theme="1"/>
        <rFont val="Arial"/>
        <family val="2"/>
      </rPr>
      <t>Cl</t>
    </r>
    <r>
      <rPr>
        <sz val="10"/>
        <color theme="1"/>
        <rFont val="Arial"/>
        <family val="2"/>
      </rPr>
      <t xml:space="preserve"> (mEq/kg) eq5a</t>
    </r>
  </si>
  <si>
    <r>
      <t>e</t>
    </r>
    <r>
      <rPr>
        <b/>
        <vertAlign val="subscript"/>
        <sz val="10"/>
        <color theme="1"/>
        <rFont val="Arial"/>
        <family val="2"/>
      </rPr>
      <t>NO3</t>
    </r>
    <r>
      <rPr>
        <b/>
        <sz val="10"/>
        <color theme="1"/>
        <rFont val="Arial"/>
        <family val="2"/>
      </rPr>
      <t xml:space="preserve"> </t>
    </r>
    <r>
      <rPr>
        <sz val="10"/>
        <color theme="1"/>
        <rFont val="Arial"/>
        <family val="2"/>
      </rPr>
      <t>(mEq/kg) eq5a</t>
    </r>
  </si>
  <si>
    <r>
      <t>e</t>
    </r>
    <r>
      <rPr>
        <b/>
        <vertAlign val="subscript"/>
        <sz val="10"/>
        <color theme="1"/>
        <rFont val="Arial"/>
        <family val="2"/>
      </rPr>
      <t xml:space="preserve">SO4 </t>
    </r>
    <r>
      <rPr>
        <sz val="10"/>
        <color theme="1"/>
        <rFont val="Arial"/>
        <family val="2"/>
      </rPr>
      <t>(mEq/kg) eq5a</t>
    </r>
  </si>
  <si>
    <r>
      <t>e</t>
    </r>
    <r>
      <rPr>
        <b/>
        <vertAlign val="subscript"/>
        <sz val="10"/>
        <color theme="1"/>
        <rFont val="Arial"/>
        <family val="2"/>
      </rPr>
      <t>Na</t>
    </r>
    <r>
      <rPr>
        <b/>
        <sz val="10"/>
        <color theme="1"/>
        <rFont val="Arial"/>
        <family val="2"/>
      </rPr>
      <t xml:space="preserve"> </t>
    </r>
    <r>
      <rPr>
        <sz val="10"/>
        <color theme="1"/>
        <rFont val="Arial"/>
        <family val="2"/>
      </rPr>
      <t>(mEq/kg) eq5a</t>
    </r>
  </si>
  <si>
    <r>
      <t>e</t>
    </r>
    <r>
      <rPr>
        <b/>
        <vertAlign val="subscript"/>
        <sz val="10"/>
        <color theme="1"/>
        <rFont val="Arial"/>
        <family val="2"/>
      </rPr>
      <t>K</t>
    </r>
    <r>
      <rPr>
        <b/>
        <sz val="10"/>
        <color theme="1"/>
        <rFont val="Arial"/>
        <family val="2"/>
      </rPr>
      <t xml:space="preserve"> </t>
    </r>
    <r>
      <rPr>
        <sz val="10"/>
        <color theme="1"/>
        <rFont val="Arial"/>
        <family val="2"/>
      </rPr>
      <t>(mEq/kg) eq5a</t>
    </r>
  </si>
  <si>
    <r>
      <t>e</t>
    </r>
    <r>
      <rPr>
        <b/>
        <vertAlign val="subscript"/>
        <sz val="10"/>
        <color rgb="FFC00000"/>
        <rFont val="Arial"/>
        <family val="2"/>
      </rPr>
      <t>Ca,adj</t>
    </r>
    <r>
      <rPr>
        <b/>
        <sz val="10"/>
        <color rgb="FFC00000"/>
        <rFont val="Arial"/>
        <family val="2"/>
      </rPr>
      <t xml:space="preserve"> </t>
    </r>
    <r>
      <rPr>
        <sz val="10"/>
        <color rgb="FFC00000"/>
        <rFont val="Arial"/>
        <family val="2"/>
      </rPr>
      <t>(mEq/kg) eq5a</t>
    </r>
  </si>
  <si>
    <r>
      <t>e</t>
    </r>
    <r>
      <rPr>
        <b/>
        <vertAlign val="subscript"/>
        <sz val="10"/>
        <color theme="1"/>
        <rFont val="Arial"/>
        <family val="2"/>
      </rPr>
      <t>Mg</t>
    </r>
    <r>
      <rPr>
        <sz val="10"/>
        <color theme="1"/>
        <rFont val="Arial"/>
        <family val="2"/>
      </rPr>
      <t xml:space="preserve"> (mEq/kg) eq5a</t>
    </r>
  </si>
  <si>
    <r>
      <t>e</t>
    </r>
    <r>
      <rPr>
        <b/>
        <vertAlign val="subscript"/>
        <sz val="10"/>
        <color theme="1"/>
        <rFont val="Arial"/>
        <family val="2"/>
      </rPr>
      <t>ani</t>
    </r>
    <r>
      <rPr>
        <b/>
        <sz val="10"/>
        <color theme="1"/>
        <rFont val="Arial"/>
        <family val="2"/>
      </rPr>
      <t xml:space="preserve"> </t>
    </r>
    <r>
      <rPr>
        <sz val="10"/>
        <color theme="1"/>
        <rFont val="Arial"/>
        <family val="2"/>
      </rPr>
      <t>(mEq/kg) eq5a</t>
    </r>
  </si>
  <si>
    <r>
      <t>e</t>
    </r>
    <r>
      <rPr>
        <b/>
        <vertAlign val="subscript"/>
        <sz val="10"/>
        <color theme="1"/>
        <rFont val="Arial"/>
        <family val="2"/>
      </rPr>
      <t>cat</t>
    </r>
    <r>
      <rPr>
        <b/>
        <sz val="10"/>
        <color theme="1"/>
        <rFont val="Arial"/>
        <family val="2"/>
      </rPr>
      <t xml:space="preserve"> </t>
    </r>
    <r>
      <rPr>
        <sz val="10"/>
        <color theme="1"/>
        <rFont val="Arial"/>
        <family val="2"/>
      </rPr>
      <t>(mEq/kg) eq5a</t>
    </r>
  </si>
  <si>
    <r>
      <t>Δe</t>
    </r>
    <r>
      <rPr>
        <b/>
        <vertAlign val="subscript"/>
        <sz val="10"/>
        <color theme="1"/>
        <rFont val="Arial"/>
        <family val="2"/>
      </rPr>
      <t>Ca</t>
    </r>
    <r>
      <rPr>
        <vertAlign val="subscript"/>
        <sz val="10"/>
        <color theme="1"/>
        <rFont val="Arial"/>
        <family val="2"/>
      </rPr>
      <t xml:space="preserve"> </t>
    </r>
    <r>
      <rPr>
        <sz val="10"/>
        <color theme="1"/>
        <rFont val="Arial"/>
        <family val="2"/>
      </rPr>
      <t>(mEq/kg) eq5a</t>
    </r>
  </si>
  <si>
    <r>
      <t>e</t>
    </r>
    <r>
      <rPr>
        <b/>
        <vertAlign val="subscript"/>
        <sz val="10"/>
        <color theme="1"/>
        <rFont val="Arial"/>
        <family val="2"/>
      </rPr>
      <t>Cl</t>
    </r>
    <r>
      <rPr>
        <b/>
        <sz val="10"/>
        <color theme="1"/>
        <rFont val="Arial"/>
        <family val="2"/>
      </rPr>
      <t xml:space="preserve"> </t>
    </r>
    <r>
      <rPr>
        <sz val="10"/>
        <color theme="1"/>
        <rFont val="Arial"/>
        <family val="2"/>
      </rPr>
      <t>(mEq/kg) eq5b</t>
    </r>
  </si>
  <si>
    <r>
      <t>e</t>
    </r>
    <r>
      <rPr>
        <b/>
        <vertAlign val="subscript"/>
        <sz val="10"/>
        <color theme="1"/>
        <rFont val="Arial"/>
        <family val="2"/>
      </rPr>
      <t>NO3</t>
    </r>
    <r>
      <rPr>
        <vertAlign val="subscript"/>
        <sz val="10"/>
        <color theme="1"/>
        <rFont val="Arial"/>
        <family val="2"/>
      </rPr>
      <t xml:space="preserve"> </t>
    </r>
    <r>
      <rPr>
        <sz val="10"/>
        <color theme="1"/>
        <rFont val="Arial"/>
        <family val="2"/>
      </rPr>
      <t>(mEq/kg) eq5b</t>
    </r>
  </si>
  <si>
    <r>
      <t>e</t>
    </r>
    <r>
      <rPr>
        <b/>
        <vertAlign val="subscript"/>
        <sz val="10"/>
        <color theme="1"/>
        <rFont val="Arial"/>
        <family val="2"/>
      </rPr>
      <t>SO4</t>
    </r>
    <r>
      <rPr>
        <b/>
        <sz val="10"/>
        <color theme="1"/>
        <rFont val="Arial"/>
        <family val="2"/>
      </rPr>
      <t xml:space="preserve"> </t>
    </r>
    <r>
      <rPr>
        <sz val="10"/>
        <color theme="1"/>
        <rFont val="Arial"/>
        <family val="2"/>
      </rPr>
      <t>(mEq/kg) eq5b</t>
    </r>
  </si>
  <si>
    <r>
      <t>e</t>
    </r>
    <r>
      <rPr>
        <b/>
        <vertAlign val="subscript"/>
        <sz val="10"/>
        <color theme="1"/>
        <rFont val="Arial"/>
        <family val="2"/>
      </rPr>
      <t>Na</t>
    </r>
    <r>
      <rPr>
        <sz val="10"/>
        <color theme="1"/>
        <rFont val="Arial"/>
        <family val="2"/>
      </rPr>
      <t xml:space="preserve"> (mEq/kg) eq5b</t>
    </r>
  </si>
  <si>
    <r>
      <t>e</t>
    </r>
    <r>
      <rPr>
        <b/>
        <vertAlign val="subscript"/>
        <sz val="10"/>
        <color theme="1"/>
        <rFont val="Arial"/>
        <family val="2"/>
      </rPr>
      <t>K</t>
    </r>
    <r>
      <rPr>
        <sz val="10"/>
        <color theme="1"/>
        <rFont val="Arial"/>
        <family val="2"/>
      </rPr>
      <t xml:space="preserve"> (mEq/kg) eq5b</t>
    </r>
  </si>
  <si>
    <r>
      <t>e</t>
    </r>
    <r>
      <rPr>
        <b/>
        <vertAlign val="subscript"/>
        <sz val="10"/>
        <color theme="1"/>
        <rFont val="Arial"/>
        <family val="2"/>
      </rPr>
      <t>Ca,adj</t>
    </r>
    <r>
      <rPr>
        <b/>
        <sz val="10"/>
        <color theme="1"/>
        <rFont val="Arial"/>
        <family val="2"/>
      </rPr>
      <t xml:space="preserve"> </t>
    </r>
    <r>
      <rPr>
        <sz val="10"/>
        <color theme="1"/>
        <rFont val="Arial"/>
        <family val="2"/>
      </rPr>
      <t>(mEq/kg) eq5b</t>
    </r>
  </si>
  <si>
    <r>
      <t>e</t>
    </r>
    <r>
      <rPr>
        <b/>
        <vertAlign val="subscript"/>
        <sz val="10"/>
        <color theme="1"/>
        <rFont val="Arial"/>
        <family val="2"/>
      </rPr>
      <t xml:space="preserve">Mg,adj </t>
    </r>
    <r>
      <rPr>
        <sz val="10"/>
        <color theme="1"/>
        <rFont val="Arial"/>
        <family val="2"/>
      </rPr>
      <t>(mEq/kg) eq5b</t>
    </r>
  </si>
  <si>
    <r>
      <t>e</t>
    </r>
    <r>
      <rPr>
        <b/>
        <vertAlign val="subscript"/>
        <sz val="10"/>
        <color theme="1"/>
        <rFont val="Arial"/>
        <family val="2"/>
      </rPr>
      <t xml:space="preserve">ani </t>
    </r>
    <r>
      <rPr>
        <sz val="10"/>
        <color theme="1"/>
        <rFont val="Arial"/>
        <family val="2"/>
      </rPr>
      <t>(mEq/kg) eq5b</t>
    </r>
  </si>
  <si>
    <r>
      <t>e</t>
    </r>
    <r>
      <rPr>
        <b/>
        <vertAlign val="subscript"/>
        <sz val="10"/>
        <color theme="1"/>
        <rFont val="Arial"/>
        <family val="2"/>
      </rPr>
      <t>cat</t>
    </r>
    <r>
      <rPr>
        <sz val="10"/>
        <color theme="1"/>
        <rFont val="Arial"/>
        <family val="2"/>
      </rPr>
      <t xml:space="preserve"> (mEq/kg) eq5b</t>
    </r>
  </si>
  <si>
    <r>
      <t>Δe</t>
    </r>
    <r>
      <rPr>
        <b/>
        <vertAlign val="subscript"/>
        <sz val="10"/>
        <color theme="1"/>
        <rFont val="Arial"/>
        <family val="2"/>
      </rPr>
      <t>Mg</t>
    </r>
    <r>
      <rPr>
        <sz val="10"/>
        <color theme="1"/>
        <rFont val="Arial"/>
        <family val="2"/>
      </rPr>
      <t xml:space="preserve"> (mEq/kg) eq5b</t>
    </r>
  </si>
  <si>
    <r>
      <t>e</t>
    </r>
    <r>
      <rPr>
        <b/>
        <vertAlign val="subscript"/>
        <sz val="10"/>
        <color theme="1"/>
        <rFont val="Arial"/>
        <family val="2"/>
      </rPr>
      <t>Cl</t>
    </r>
    <r>
      <rPr>
        <b/>
        <sz val="10"/>
        <color theme="1"/>
        <rFont val="Arial"/>
        <family val="2"/>
      </rPr>
      <t xml:space="preserve"> </t>
    </r>
    <r>
      <rPr>
        <sz val="10"/>
        <color theme="1"/>
        <rFont val="Arial"/>
        <family val="2"/>
      </rPr>
      <t>(mEq/kg) eq5c</t>
    </r>
  </si>
  <si>
    <r>
      <t>e</t>
    </r>
    <r>
      <rPr>
        <b/>
        <vertAlign val="subscript"/>
        <sz val="10"/>
        <color theme="1"/>
        <rFont val="Arial"/>
        <family val="2"/>
      </rPr>
      <t xml:space="preserve">NO3 </t>
    </r>
    <r>
      <rPr>
        <sz val="10"/>
        <color theme="1"/>
        <rFont val="Arial"/>
        <family val="2"/>
      </rPr>
      <t>(mEq/kg) eq5c</t>
    </r>
  </si>
  <si>
    <r>
      <t>e</t>
    </r>
    <r>
      <rPr>
        <b/>
        <vertAlign val="subscript"/>
        <sz val="10"/>
        <color theme="1"/>
        <rFont val="Arial"/>
        <family val="2"/>
      </rPr>
      <t>SO4</t>
    </r>
    <r>
      <rPr>
        <b/>
        <sz val="10"/>
        <color theme="1"/>
        <rFont val="Arial"/>
        <family val="2"/>
      </rPr>
      <t xml:space="preserve"> </t>
    </r>
    <r>
      <rPr>
        <sz val="10"/>
        <color theme="1"/>
        <rFont val="Arial"/>
        <family val="2"/>
      </rPr>
      <t>(mEq/kg) eq5c</t>
    </r>
  </si>
  <si>
    <r>
      <t>e</t>
    </r>
    <r>
      <rPr>
        <b/>
        <vertAlign val="subscript"/>
        <sz val="10"/>
        <color rgb="FFC00000"/>
        <rFont val="Arial"/>
        <family val="2"/>
      </rPr>
      <t>Na,adj</t>
    </r>
    <r>
      <rPr>
        <vertAlign val="subscript"/>
        <sz val="10"/>
        <color rgb="FFC00000"/>
        <rFont val="Arial"/>
        <family val="2"/>
      </rPr>
      <t xml:space="preserve"> </t>
    </r>
    <r>
      <rPr>
        <sz val="10"/>
        <color rgb="FFC00000"/>
        <rFont val="Arial"/>
        <family val="2"/>
      </rPr>
      <t>(mEq/kg) eq5c</t>
    </r>
  </si>
  <si>
    <r>
      <t>e</t>
    </r>
    <r>
      <rPr>
        <b/>
        <vertAlign val="subscript"/>
        <sz val="10"/>
        <color theme="1"/>
        <rFont val="Arial"/>
        <family val="2"/>
      </rPr>
      <t>K</t>
    </r>
    <r>
      <rPr>
        <b/>
        <sz val="10"/>
        <color theme="1"/>
        <rFont val="Arial"/>
        <family val="2"/>
      </rPr>
      <t xml:space="preserve"> </t>
    </r>
    <r>
      <rPr>
        <sz val="10"/>
        <color theme="1"/>
        <rFont val="Arial"/>
        <family val="2"/>
      </rPr>
      <t>(mEq/kg) eq5c</t>
    </r>
  </si>
  <si>
    <r>
      <t>e</t>
    </r>
    <r>
      <rPr>
        <b/>
        <vertAlign val="subscript"/>
        <sz val="10"/>
        <color theme="1"/>
        <rFont val="Arial"/>
        <family val="2"/>
      </rPr>
      <t xml:space="preserve">Ca,adj </t>
    </r>
    <r>
      <rPr>
        <sz val="10"/>
        <color theme="1"/>
        <rFont val="Arial"/>
        <family val="2"/>
      </rPr>
      <t>(mEq/kg) eq5c</t>
    </r>
  </si>
  <si>
    <r>
      <t>e</t>
    </r>
    <r>
      <rPr>
        <b/>
        <vertAlign val="subscript"/>
        <sz val="10"/>
        <color theme="1"/>
        <rFont val="Arial"/>
        <family val="2"/>
      </rPr>
      <t>Mg,adj</t>
    </r>
    <r>
      <rPr>
        <b/>
        <sz val="10"/>
        <color theme="1"/>
        <rFont val="Arial"/>
        <family val="2"/>
      </rPr>
      <t xml:space="preserve"> </t>
    </r>
    <r>
      <rPr>
        <sz val="10"/>
        <color theme="1"/>
        <rFont val="Arial"/>
        <family val="2"/>
      </rPr>
      <t>(mEq/kg) eq5c</t>
    </r>
  </si>
  <si>
    <r>
      <t>e</t>
    </r>
    <r>
      <rPr>
        <b/>
        <vertAlign val="subscript"/>
        <sz val="10"/>
        <color theme="1"/>
        <rFont val="Arial"/>
        <family val="2"/>
      </rPr>
      <t xml:space="preserve">ani </t>
    </r>
    <r>
      <rPr>
        <sz val="10"/>
        <color theme="1"/>
        <rFont val="Arial"/>
        <family val="2"/>
      </rPr>
      <t>(mEq/kg) eq5c</t>
    </r>
  </si>
  <si>
    <r>
      <t>e</t>
    </r>
    <r>
      <rPr>
        <b/>
        <vertAlign val="subscript"/>
        <sz val="10"/>
        <color theme="1"/>
        <rFont val="Arial"/>
        <family val="2"/>
      </rPr>
      <t>cat</t>
    </r>
    <r>
      <rPr>
        <sz val="10"/>
        <color theme="1"/>
        <rFont val="Arial"/>
        <family val="2"/>
      </rPr>
      <t xml:space="preserve"> (mEq/kg) eq5c</t>
    </r>
  </si>
  <si>
    <r>
      <t>Δe</t>
    </r>
    <r>
      <rPr>
        <b/>
        <vertAlign val="subscript"/>
        <sz val="10"/>
        <color theme="1"/>
        <rFont val="Arial"/>
        <family val="2"/>
      </rPr>
      <t>Na</t>
    </r>
    <r>
      <rPr>
        <sz val="10"/>
        <color theme="1"/>
        <rFont val="Arial"/>
        <family val="2"/>
      </rPr>
      <t xml:space="preserve"> (mEq/kg) eq5c</t>
    </r>
  </si>
  <si>
    <r>
      <t>e</t>
    </r>
    <r>
      <rPr>
        <b/>
        <vertAlign val="subscript"/>
        <sz val="10"/>
        <color theme="1"/>
        <rFont val="Arial"/>
        <family val="2"/>
      </rPr>
      <t>Cl</t>
    </r>
    <r>
      <rPr>
        <b/>
        <sz val="10"/>
        <color theme="1"/>
        <rFont val="Arial"/>
        <family val="2"/>
      </rPr>
      <t xml:space="preserve"> </t>
    </r>
    <r>
      <rPr>
        <sz val="10"/>
        <color theme="1"/>
        <rFont val="Arial"/>
        <family val="2"/>
      </rPr>
      <t>(mEq/kg) eq5d</t>
    </r>
  </si>
  <si>
    <r>
      <t>e</t>
    </r>
    <r>
      <rPr>
        <b/>
        <vertAlign val="subscript"/>
        <sz val="10"/>
        <color theme="1"/>
        <rFont val="Arial"/>
        <family val="2"/>
      </rPr>
      <t xml:space="preserve">NO3 </t>
    </r>
    <r>
      <rPr>
        <sz val="10"/>
        <color theme="1"/>
        <rFont val="Arial"/>
        <family val="2"/>
      </rPr>
      <t>(mEq/kg) eq5d</t>
    </r>
  </si>
  <si>
    <r>
      <t>e</t>
    </r>
    <r>
      <rPr>
        <b/>
        <vertAlign val="subscript"/>
        <sz val="10"/>
        <rFont val="Arial"/>
        <family val="2"/>
      </rPr>
      <t>SO4</t>
    </r>
    <r>
      <rPr>
        <b/>
        <sz val="10"/>
        <rFont val="Arial"/>
        <family val="2"/>
      </rPr>
      <t xml:space="preserve"> </t>
    </r>
    <r>
      <rPr>
        <sz val="10"/>
        <rFont val="Arial"/>
        <family val="2"/>
      </rPr>
      <t>(mEq/kg) eq5d</t>
    </r>
  </si>
  <si>
    <r>
      <t>e</t>
    </r>
    <r>
      <rPr>
        <b/>
        <vertAlign val="subscript"/>
        <sz val="10"/>
        <rFont val="Arial"/>
        <family val="2"/>
      </rPr>
      <t>Na,adj</t>
    </r>
    <r>
      <rPr>
        <vertAlign val="subscript"/>
        <sz val="10"/>
        <rFont val="Arial"/>
        <family val="2"/>
      </rPr>
      <t xml:space="preserve"> </t>
    </r>
    <r>
      <rPr>
        <sz val="10"/>
        <rFont val="Arial"/>
        <family val="2"/>
      </rPr>
      <t>(mEq/kg) eq5d</t>
    </r>
  </si>
  <si>
    <r>
      <t>e</t>
    </r>
    <r>
      <rPr>
        <b/>
        <vertAlign val="subscript"/>
        <sz val="10"/>
        <color rgb="FFC00000"/>
        <rFont val="Arial"/>
        <family val="2"/>
      </rPr>
      <t>K,adj</t>
    </r>
    <r>
      <rPr>
        <b/>
        <sz val="10"/>
        <color rgb="FFC00000"/>
        <rFont val="Arial"/>
        <family val="2"/>
      </rPr>
      <t xml:space="preserve"> </t>
    </r>
    <r>
      <rPr>
        <sz val="10"/>
        <color rgb="FFC00000"/>
        <rFont val="Arial"/>
        <family val="2"/>
      </rPr>
      <t>(mEq/kg) eq5d</t>
    </r>
  </si>
  <si>
    <r>
      <t>e</t>
    </r>
    <r>
      <rPr>
        <b/>
        <vertAlign val="subscript"/>
        <sz val="10"/>
        <color theme="1"/>
        <rFont val="Arial"/>
        <family val="2"/>
      </rPr>
      <t xml:space="preserve">Ca,adj </t>
    </r>
    <r>
      <rPr>
        <sz val="10"/>
        <color theme="1"/>
        <rFont val="Arial"/>
        <family val="2"/>
      </rPr>
      <t>(mEq/kg) eq5d</t>
    </r>
  </si>
  <si>
    <r>
      <t>e</t>
    </r>
    <r>
      <rPr>
        <b/>
        <vertAlign val="subscript"/>
        <sz val="10"/>
        <color theme="1"/>
        <rFont val="Arial"/>
        <family val="2"/>
      </rPr>
      <t>Mg,adj</t>
    </r>
    <r>
      <rPr>
        <b/>
        <sz val="10"/>
        <color theme="1"/>
        <rFont val="Arial"/>
        <family val="2"/>
      </rPr>
      <t xml:space="preserve"> </t>
    </r>
    <r>
      <rPr>
        <sz val="10"/>
        <color theme="1"/>
        <rFont val="Arial"/>
        <family val="2"/>
      </rPr>
      <t>(mEq/kg) eq5d</t>
    </r>
  </si>
  <si>
    <r>
      <t>e</t>
    </r>
    <r>
      <rPr>
        <b/>
        <vertAlign val="subscript"/>
        <sz val="10"/>
        <color theme="1"/>
        <rFont val="Arial"/>
        <family val="2"/>
      </rPr>
      <t xml:space="preserve">ani </t>
    </r>
    <r>
      <rPr>
        <sz val="10"/>
        <color theme="1"/>
        <rFont val="Arial"/>
        <family val="2"/>
      </rPr>
      <t>(mEq/kg) eq5d</t>
    </r>
  </si>
  <si>
    <r>
      <t>e</t>
    </r>
    <r>
      <rPr>
        <b/>
        <vertAlign val="subscript"/>
        <sz val="10"/>
        <color theme="1"/>
        <rFont val="Arial"/>
        <family val="2"/>
      </rPr>
      <t>cat</t>
    </r>
    <r>
      <rPr>
        <sz val="10"/>
        <color theme="1"/>
        <rFont val="Arial"/>
        <family val="2"/>
      </rPr>
      <t xml:space="preserve"> (mEq/kg) eq5d</t>
    </r>
  </si>
  <si>
    <r>
      <t>Δe</t>
    </r>
    <r>
      <rPr>
        <b/>
        <vertAlign val="subscript"/>
        <sz val="10"/>
        <color theme="1"/>
        <rFont val="Arial"/>
        <family val="2"/>
      </rPr>
      <t>K</t>
    </r>
    <r>
      <rPr>
        <sz val="10"/>
        <color theme="1"/>
        <rFont val="Arial"/>
        <family val="2"/>
      </rPr>
      <t xml:space="preserve"> (mEq/kg) eq5d</t>
    </r>
  </si>
  <si>
    <r>
      <t>e</t>
    </r>
    <r>
      <rPr>
        <b/>
        <vertAlign val="subscript"/>
        <sz val="10"/>
        <color theme="1"/>
        <rFont val="Arial"/>
        <family val="2"/>
      </rPr>
      <t>Cl,adj</t>
    </r>
    <r>
      <rPr>
        <b/>
        <sz val="10"/>
        <color theme="1"/>
        <rFont val="Arial"/>
        <family val="2"/>
      </rPr>
      <t xml:space="preserve"> </t>
    </r>
    <r>
      <rPr>
        <sz val="10"/>
        <color theme="1"/>
        <rFont val="Arial"/>
        <family val="2"/>
      </rPr>
      <t>(mEq/kg) pI or pII</t>
    </r>
  </si>
  <si>
    <r>
      <t>e</t>
    </r>
    <r>
      <rPr>
        <b/>
        <vertAlign val="subscript"/>
        <sz val="10"/>
        <color theme="1"/>
        <rFont val="Arial"/>
        <family val="2"/>
      </rPr>
      <t xml:space="preserve">NO3,adj </t>
    </r>
    <r>
      <rPr>
        <sz val="10"/>
        <color theme="1"/>
        <rFont val="Arial"/>
        <family val="2"/>
      </rPr>
      <t>(mEq/kg) pI or pII</t>
    </r>
  </si>
  <si>
    <r>
      <t>e</t>
    </r>
    <r>
      <rPr>
        <b/>
        <vertAlign val="subscript"/>
        <sz val="10"/>
        <rFont val="Arial"/>
        <family val="2"/>
      </rPr>
      <t>SO4,adj</t>
    </r>
    <r>
      <rPr>
        <b/>
        <sz val="10"/>
        <rFont val="Arial"/>
        <family val="2"/>
      </rPr>
      <t xml:space="preserve"> </t>
    </r>
    <r>
      <rPr>
        <sz val="10"/>
        <rFont val="Arial"/>
        <family val="2"/>
      </rPr>
      <t>(mEq/kg) pI or pII</t>
    </r>
  </si>
  <si>
    <r>
      <t>e</t>
    </r>
    <r>
      <rPr>
        <b/>
        <vertAlign val="subscript"/>
        <sz val="10"/>
        <rFont val="Arial"/>
        <family val="2"/>
      </rPr>
      <t>Na,adj</t>
    </r>
    <r>
      <rPr>
        <vertAlign val="subscript"/>
        <sz val="10"/>
        <rFont val="Arial"/>
        <family val="2"/>
      </rPr>
      <t xml:space="preserve"> </t>
    </r>
    <r>
      <rPr>
        <sz val="10"/>
        <rFont val="Arial"/>
        <family val="2"/>
      </rPr>
      <t>(mEq/kg) pI or pII</t>
    </r>
  </si>
  <si>
    <r>
      <t>e</t>
    </r>
    <r>
      <rPr>
        <b/>
        <vertAlign val="subscript"/>
        <sz val="10"/>
        <rFont val="Arial"/>
        <family val="2"/>
      </rPr>
      <t>K,adj</t>
    </r>
    <r>
      <rPr>
        <b/>
        <sz val="10"/>
        <rFont val="Arial"/>
        <family val="2"/>
      </rPr>
      <t xml:space="preserve"> </t>
    </r>
    <r>
      <rPr>
        <sz val="10"/>
        <rFont val="Arial"/>
        <family val="2"/>
      </rPr>
      <t>(mEq/kg) pI or pII</t>
    </r>
  </si>
  <si>
    <r>
      <t>e</t>
    </r>
    <r>
      <rPr>
        <b/>
        <vertAlign val="subscript"/>
        <sz val="10"/>
        <color theme="1"/>
        <rFont val="Arial"/>
        <family val="2"/>
      </rPr>
      <t xml:space="preserve">Ca,adj </t>
    </r>
    <r>
      <rPr>
        <sz val="10"/>
        <color theme="1"/>
        <rFont val="Arial"/>
        <family val="2"/>
      </rPr>
      <t>(mEq/kg) pI or pII</t>
    </r>
  </si>
  <si>
    <r>
      <t>e</t>
    </r>
    <r>
      <rPr>
        <b/>
        <vertAlign val="subscript"/>
        <sz val="10"/>
        <color theme="1"/>
        <rFont val="Arial"/>
        <family val="2"/>
      </rPr>
      <t>Mg,adj</t>
    </r>
    <r>
      <rPr>
        <b/>
        <sz val="10"/>
        <color theme="1"/>
        <rFont val="Arial"/>
        <family val="2"/>
      </rPr>
      <t xml:space="preserve"> </t>
    </r>
    <r>
      <rPr>
        <sz val="10"/>
        <color theme="1"/>
        <rFont val="Arial"/>
        <family val="2"/>
      </rPr>
      <t>(mEq/kg) pI or pII</t>
    </r>
  </si>
  <si>
    <r>
      <t>e</t>
    </r>
    <r>
      <rPr>
        <b/>
        <vertAlign val="subscript"/>
        <sz val="10"/>
        <color theme="1"/>
        <rFont val="Arial"/>
        <family val="2"/>
      </rPr>
      <t>lim</t>
    </r>
    <r>
      <rPr>
        <b/>
        <sz val="10"/>
        <color theme="1"/>
        <rFont val="Arial"/>
        <family val="2"/>
      </rPr>
      <t>,</t>
    </r>
    <r>
      <rPr>
        <b/>
        <vertAlign val="subscript"/>
        <sz val="10"/>
        <color theme="1"/>
        <rFont val="Arial"/>
        <family val="2"/>
      </rPr>
      <t>CaSO4</t>
    </r>
    <r>
      <rPr>
        <sz val="10"/>
        <color theme="1"/>
        <rFont val="Arial"/>
        <family val="2"/>
      </rPr>
      <t xml:space="preserve"> (mEq/kg) eq6</t>
    </r>
  </si>
  <si>
    <r>
      <t>e</t>
    </r>
    <r>
      <rPr>
        <b/>
        <vertAlign val="subscript"/>
        <sz val="10"/>
        <color theme="1"/>
        <rFont val="Arial"/>
        <family val="2"/>
      </rPr>
      <t>Cl,adj</t>
    </r>
    <r>
      <rPr>
        <b/>
        <sz val="10"/>
        <color theme="1"/>
        <rFont val="Arial"/>
        <family val="2"/>
      </rPr>
      <t xml:space="preserve"> </t>
    </r>
    <r>
      <rPr>
        <sz val="10"/>
        <color theme="1"/>
        <rFont val="Arial"/>
        <family val="2"/>
      </rPr>
      <t>(mEq/kg) eq7</t>
    </r>
  </si>
  <si>
    <r>
      <t>e</t>
    </r>
    <r>
      <rPr>
        <b/>
        <vertAlign val="subscript"/>
        <sz val="10"/>
        <color theme="1"/>
        <rFont val="Arial"/>
        <family val="2"/>
      </rPr>
      <t>NO3,adj</t>
    </r>
    <r>
      <rPr>
        <sz val="10"/>
        <color theme="1"/>
        <rFont val="Arial"/>
        <family val="2"/>
      </rPr>
      <t xml:space="preserve"> (mEq/kg) eq7</t>
    </r>
  </si>
  <si>
    <r>
      <t>e</t>
    </r>
    <r>
      <rPr>
        <b/>
        <i/>
        <vertAlign val="subscript"/>
        <sz val="10"/>
        <rFont val="Arial"/>
        <family val="2"/>
      </rPr>
      <t>SO4,adj,f</t>
    </r>
    <r>
      <rPr>
        <b/>
        <i/>
        <sz val="10"/>
        <rFont val="Arial"/>
        <family val="2"/>
      </rPr>
      <t xml:space="preserve"> </t>
    </r>
    <r>
      <rPr>
        <i/>
        <sz val="10"/>
        <rFont val="Arial"/>
        <family val="2"/>
      </rPr>
      <t>(mEq/kg) eq7</t>
    </r>
  </si>
  <si>
    <r>
      <t>e</t>
    </r>
    <r>
      <rPr>
        <b/>
        <vertAlign val="subscript"/>
        <sz val="10"/>
        <rFont val="Arial"/>
        <family val="2"/>
      </rPr>
      <t>Na,adj</t>
    </r>
    <r>
      <rPr>
        <vertAlign val="subscript"/>
        <sz val="10"/>
        <rFont val="Arial"/>
        <family val="2"/>
      </rPr>
      <t xml:space="preserve"> </t>
    </r>
    <r>
      <rPr>
        <sz val="10"/>
        <rFont val="Arial"/>
        <family val="2"/>
      </rPr>
      <t>(mEq/kg) eq7</t>
    </r>
  </si>
  <si>
    <r>
      <t>e</t>
    </r>
    <r>
      <rPr>
        <b/>
        <vertAlign val="subscript"/>
        <sz val="10"/>
        <rFont val="Arial"/>
        <family val="2"/>
      </rPr>
      <t>K,adj</t>
    </r>
    <r>
      <rPr>
        <b/>
        <sz val="10"/>
        <rFont val="Arial"/>
        <family val="2"/>
      </rPr>
      <t xml:space="preserve"> </t>
    </r>
    <r>
      <rPr>
        <sz val="10"/>
        <rFont val="Arial"/>
        <family val="2"/>
      </rPr>
      <t>(mEq/kg) eq7</t>
    </r>
  </si>
  <si>
    <r>
      <t>e</t>
    </r>
    <r>
      <rPr>
        <b/>
        <i/>
        <vertAlign val="subscript"/>
        <sz val="10"/>
        <color rgb="FFC00000"/>
        <rFont val="Arial"/>
        <family val="2"/>
      </rPr>
      <t xml:space="preserve">Ca,adj,f </t>
    </r>
    <r>
      <rPr>
        <i/>
        <sz val="10"/>
        <color rgb="FFC00000"/>
        <rFont val="Arial"/>
        <family val="2"/>
      </rPr>
      <t>(mEq/kg) eq7</t>
    </r>
  </si>
  <si>
    <r>
      <t>e</t>
    </r>
    <r>
      <rPr>
        <b/>
        <vertAlign val="subscript"/>
        <sz val="10"/>
        <color theme="1"/>
        <rFont val="Arial"/>
        <family val="2"/>
      </rPr>
      <t>Mg,adj</t>
    </r>
    <r>
      <rPr>
        <b/>
        <sz val="10"/>
        <color theme="1"/>
        <rFont val="Arial"/>
        <family val="2"/>
      </rPr>
      <t xml:space="preserve"> </t>
    </r>
    <r>
      <rPr>
        <sz val="10"/>
        <color theme="1"/>
        <rFont val="Arial"/>
        <family val="2"/>
      </rPr>
      <t>(mEq/kg) eq7</t>
    </r>
  </si>
  <si>
    <r>
      <t>Δe</t>
    </r>
    <r>
      <rPr>
        <b/>
        <vertAlign val="subscript"/>
        <sz val="10"/>
        <color theme="1"/>
        <rFont val="Arial"/>
        <family val="2"/>
      </rPr>
      <t xml:space="preserve">f </t>
    </r>
    <r>
      <rPr>
        <sz val="10"/>
        <color theme="1"/>
        <rFont val="Arial"/>
        <family val="2"/>
      </rPr>
      <t>(mEq/kg)</t>
    </r>
  </si>
  <si>
    <r>
      <t>c</t>
    </r>
    <r>
      <rPr>
        <b/>
        <vertAlign val="subscript"/>
        <sz val="10"/>
        <color theme="1"/>
        <rFont val="Arial"/>
        <family val="2"/>
      </rPr>
      <t xml:space="preserve">Cl,adj </t>
    </r>
    <r>
      <rPr>
        <sz val="10"/>
        <color theme="1"/>
        <rFont val="Arial"/>
        <family val="2"/>
      </rPr>
      <t>(mol/kg) eq 8 part 1</t>
    </r>
  </si>
  <si>
    <r>
      <t>c</t>
    </r>
    <r>
      <rPr>
        <b/>
        <vertAlign val="subscript"/>
        <sz val="10"/>
        <color theme="1"/>
        <rFont val="Arial"/>
        <family val="2"/>
      </rPr>
      <t xml:space="preserve">NO3,adj </t>
    </r>
    <r>
      <rPr>
        <sz val="10"/>
        <color theme="1"/>
        <rFont val="Arial"/>
        <family val="2"/>
      </rPr>
      <t>(mol/kg) eq 8 part 1</t>
    </r>
  </si>
  <si>
    <r>
      <t>c</t>
    </r>
    <r>
      <rPr>
        <b/>
        <vertAlign val="subscript"/>
        <sz val="10"/>
        <color theme="1"/>
        <rFont val="Arial"/>
        <family val="2"/>
      </rPr>
      <t xml:space="preserve">SO4,adj </t>
    </r>
    <r>
      <rPr>
        <sz val="10"/>
        <color theme="1"/>
        <rFont val="Arial"/>
        <family val="2"/>
      </rPr>
      <t>(mol/kg) eq 8 part 1</t>
    </r>
  </si>
  <si>
    <r>
      <t>c</t>
    </r>
    <r>
      <rPr>
        <b/>
        <vertAlign val="subscript"/>
        <sz val="10"/>
        <color theme="1"/>
        <rFont val="Arial"/>
        <family val="2"/>
      </rPr>
      <t xml:space="preserve">Na,adj </t>
    </r>
    <r>
      <rPr>
        <sz val="10"/>
        <color theme="1"/>
        <rFont val="Arial"/>
        <family val="2"/>
      </rPr>
      <t>(mol/kg) eq 8 part 1</t>
    </r>
  </si>
  <si>
    <r>
      <t>c</t>
    </r>
    <r>
      <rPr>
        <b/>
        <vertAlign val="subscript"/>
        <sz val="10"/>
        <color theme="1"/>
        <rFont val="Arial"/>
        <family val="2"/>
      </rPr>
      <t xml:space="preserve">K,adj </t>
    </r>
    <r>
      <rPr>
        <sz val="10"/>
        <color theme="1"/>
        <rFont val="Arial"/>
        <family val="2"/>
      </rPr>
      <t>(mol/kg) eq 8 part 1</t>
    </r>
  </si>
  <si>
    <r>
      <t>c</t>
    </r>
    <r>
      <rPr>
        <b/>
        <vertAlign val="subscript"/>
        <sz val="10"/>
        <color theme="1"/>
        <rFont val="Arial"/>
        <family val="2"/>
      </rPr>
      <t xml:space="preserve">Ca,adj </t>
    </r>
    <r>
      <rPr>
        <sz val="10"/>
        <color theme="1"/>
        <rFont val="Arial"/>
        <family val="2"/>
      </rPr>
      <t>(mol/kg) eq 8 part 1</t>
    </r>
  </si>
  <si>
    <r>
      <t>cMg</t>
    </r>
    <r>
      <rPr>
        <b/>
        <vertAlign val="subscript"/>
        <sz val="10"/>
        <color theme="1"/>
        <rFont val="Arial"/>
        <family val="2"/>
      </rPr>
      <t xml:space="preserve">,adj </t>
    </r>
    <r>
      <rPr>
        <sz val="10"/>
        <color theme="1"/>
        <rFont val="Arial"/>
        <family val="2"/>
      </rPr>
      <t>(mol/kg) eq 8 part 1</t>
    </r>
  </si>
  <si>
    <r>
      <t>x</t>
    </r>
    <r>
      <rPr>
        <b/>
        <vertAlign val="subscript"/>
        <sz val="10"/>
        <color theme="1"/>
        <rFont val="Arial"/>
        <family val="2"/>
      </rPr>
      <t>Cl,adj</t>
    </r>
    <r>
      <rPr>
        <b/>
        <sz val="10"/>
        <color theme="1"/>
        <rFont val="Arial"/>
        <family val="2"/>
      </rPr>
      <t xml:space="preserve"> </t>
    </r>
    <r>
      <rPr>
        <sz val="10"/>
        <color theme="1"/>
        <rFont val="Arial"/>
        <family val="2"/>
      </rPr>
      <t>(-) eq8</t>
    </r>
  </si>
  <si>
    <r>
      <t>x</t>
    </r>
    <r>
      <rPr>
        <b/>
        <vertAlign val="subscript"/>
        <sz val="10"/>
        <color theme="1"/>
        <rFont val="Arial"/>
        <family val="2"/>
      </rPr>
      <t xml:space="preserve">NO3,adj </t>
    </r>
    <r>
      <rPr>
        <sz val="10"/>
        <color theme="1"/>
        <rFont val="Arial"/>
        <family val="2"/>
      </rPr>
      <t>(-) eq8</t>
    </r>
  </si>
  <si>
    <r>
      <t>x</t>
    </r>
    <r>
      <rPr>
        <b/>
        <vertAlign val="subscript"/>
        <sz val="10"/>
        <rFont val="Arial"/>
        <family val="2"/>
      </rPr>
      <t>SO4,adj</t>
    </r>
    <r>
      <rPr>
        <b/>
        <sz val="10"/>
        <rFont val="Arial"/>
        <family val="2"/>
      </rPr>
      <t xml:space="preserve"> </t>
    </r>
    <r>
      <rPr>
        <sz val="10"/>
        <rFont val="Arial"/>
        <family val="2"/>
      </rPr>
      <t>(-) eq8</t>
    </r>
  </si>
  <si>
    <r>
      <t>x</t>
    </r>
    <r>
      <rPr>
        <b/>
        <vertAlign val="subscript"/>
        <sz val="10"/>
        <rFont val="Arial"/>
        <family val="2"/>
      </rPr>
      <t>Na,adj</t>
    </r>
    <r>
      <rPr>
        <b/>
        <sz val="10"/>
        <rFont val="Arial"/>
        <family val="2"/>
      </rPr>
      <t xml:space="preserve"> </t>
    </r>
    <r>
      <rPr>
        <sz val="10"/>
        <rFont val="Arial"/>
        <family val="2"/>
      </rPr>
      <t>(-) eq8</t>
    </r>
  </si>
  <si>
    <r>
      <t>x</t>
    </r>
    <r>
      <rPr>
        <b/>
        <vertAlign val="subscript"/>
        <sz val="10"/>
        <rFont val="Arial"/>
        <family val="2"/>
      </rPr>
      <t>K,adj</t>
    </r>
    <r>
      <rPr>
        <b/>
        <sz val="10"/>
        <rFont val="Arial"/>
        <family val="2"/>
      </rPr>
      <t xml:space="preserve"> </t>
    </r>
    <r>
      <rPr>
        <sz val="10"/>
        <rFont val="Arial"/>
        <family val="2"/>
      </rPr>
      <t>(-) eq8</t>
    </r>
  </si>
  <si>
    <r>
      <t>x</t>
    </r>
    <r>
      <rPr>
        <b/>
        <vertAlign val="subscript"/>
        <sz val="10"/>
        <rFont val="Arial"/>
        <family val="2"/>
      </rPr>
      <t>Ca,adj</t>
    </r>
    <r>
      <rPr>
        <b/>
        <sz val="10"/>
        <rFont val="Arial"/>
        <family val="2"/>
      </rPr>
      <t xml:space="preserve"> </t>
    </r>
    <r>
      <rPr>
        <sz val="10"/>
        <rFont val="Arial"/>
        <family val="2"/>
      </rPr>
      <t>(-) eq8</t>
    </r>
  </si>
  <si>
    <r>
      <t>x</t>
    </r>
    <r>
      <rPr>
        <b/>
        <vertAlign val="subscript"/>
        <sz val="10"/>
        <rFont val="Arial"/>
        <family val="2"/>
      </rPr>
      <t>Mg,adj</t>
    </r>
    <r>
      <rPr>
        <b/>
        <sz val="10"/>
        <rFont val="Arial"/>
        <family val="2"/>
      </rPr>
      <t xml:space="preserve"> </t>
    </r>
    <r>
      <rPr>
        <sz val="10"/>
        <rFont val="Arial"/>
        <family val="2"/>
      </rPr>
      <t>(-) eq8</t>
    </r>
  </si>
  <si>
    <r>
      <t>fΔe</t>
    </r>
    <r>
      <rPr>
        <b/>
        <vertAlign val="subscript"/>
        <sz val="10"/>
        <color theme="1"/>
        <rFont val="Arial"/>
        <family val="2"/>
      </rPr>
      <t>Ca</t>
    </r>
    <r>
      <rPr>
        <sz val="10"/>
        <color theme="1"/>
        <rFont val="Arial"/>
        <family val="2"/>
      </rPr>
      <t xml:space="preserve"> (-) eq9</t>
    </r>
  </si>
  <si>
    <r>
      <t>fΔe</t>
    </r>
    <r>
      <rPr>
        <b/>
        <vertAlign val="subscript"/>
        <sz val="10"/>
        <color theme="1"/>
        <rFont val="Arial"/>
        <family val="2"/>
      </rPr>
      <t>Mg</t>
    </r>
    <r>
      <rPr>
        <b/>
        <sz val="10"/>
        <color theme="1"/>
        <rFont val="Arial"/>
        <family val="2"/>
      </rPr>
      <t xml:space="preserve"> </t>
    </r>
    <r>
      <rPr>
        <sz val="10"/>
        <color theme="1"/>
        <rFont val="Arial"/>
        <family val="2"/>
      </rPr>
      <t>(-) eq9</t>
    </r>
  </si>
  <si>
    <r>
      <t>fΔe</t>
    </r>
    <r>
      <rPr>
        <b/>
        <vertAlign val="subscript"/>
        <sz val="10"/>
        <color theme="1"/>
        <rFont val="Arial"/>
        <family val="2"/>
      </rPr>
      <t>Na</t>
    </r>
    <r>
      <rPr>
        <sz val="10"/>
        <color theme="1"/>
        <rFont val="Arial"/>
        <family val="2"/>
      </rPr>
      <t xml:space="preserve"> (-) eq9</t>
    </r>
  </si>
  <si>
    <r>
      <t>fΔe</t>
    </r>
    <r>
      <rPr>
        <b/>
        <vertAlign val="subscript"/>
        <sz val="10"/>
        <color theme="1"/>
        <rFont val="Arial"/>
        <family val="2"/>
      </rPr>
      <t>K</t>
    </r>
    <r>
      <rPr>
        <b/>
        <sz val="10"/>
        <color theme="1"/>
        <rFont val="Arial"/>
        <family val="2"/>
      </rPr>
      <t xml:space="preserve"> </t>
    </r>
    <r>
      <rPr>
        <sz val="10"/>
        <color theme="1"/>
        <rFont val="Arial"/>
        <family val="2"/>
      </rPr>
      <t>(-) eq9</t>
    </r>
  </si>
  <si>
    <r>
      <t>w</t>
    </r>
    <r>
      <rPr>
        <vertAlign val="subscript"/>
        <sz val="10"/>
        <color theme="1"/>
        <rFont val="Arial"/>
        <family val="2"/>
      </rPr>
      <t>Cl,f</t>
    </r>
    <r>
      <rPr>
        <sz val="10"/>
        <color theme="1"/>
        <rFont val="Arial"/>
        <family val="2"/>
      </rPr>
      <t xml:space="preserve"> (-) eq10</t>
    </r>
  </si>
  <si>
    <r>
      <t>w</t>
    </r>
    <r>
      <rPr>
        <vertAlign val="subscript"/>
        <sz val="10"/>
        <color theme="1"/>
        <rFont val="Arial"/>
        <family val="2"/>
      </rPr>
      <t>NO3,f</t>
    </r>
    <r>
      <rPr>
        <sz val="10"/>
        <color theme="1"/>
        <rFont val="Arial"/>
        <family val="2"/>
      </rPr>
      <t xml:space="preserve"> (-) eq10</t>
    </r>
  </si>
  <si>
    <r>
      <t>w</t>
    </r>
    <r>
      <rPr>
        <vertAlign val="subscript"/>
        <sz val="10"/>
        <color theme="1"/>
        <rFont val="Arial"/>
        <family val="2"/>
      </rPr>
      <t>SO4,f</t>
    </r>
    <r>
      <rPr>
        <sz val="10"/>
        <color theme="1"/>
        <rFont val="Arial"/>
        <family val="2"/>
      </rPr>
      <t xml:space="preserve"> (-) eq10</t>
    </r>
  </si>
  <si>
    <r>
      <t>w</t>
    </r>
    <r>
      <rPr>
        <vertAlign val="subscript"/>
        <sz val="10"/>
        <color theme="1"/>
        <rFont val="Arial"/>
        <family val="2"/>
      </rPr>
      <t>Na,f</t>
    </r>
    <r>
      <rPr>
        <sz val="10"/>
        <color theme="1"/>
        <rFont val="Arial"/>
        <family val="2"/>
      </rPr>
      <t xml:space="preserve"> (-) eq10</t>
    </r>
  </si>
  <si>
    <r>
      <t>w</t>
    </r>
    <r>
      <rPr>
        <vertAlign val="subscript"/>
        <sz val="10"/>
        <color theme="1"/>
        <rFont val="Arial"/>
        <family val="2"/>
      </rPr>
      <t>K,f</t>
    </r>
    <r>
      <rPr>
        <sz val="10"/>
        <color theme="1"/>
        <rFont val="Arial"/>
        <family val="2"/>
      </rPr>
      <t xml:space="preserve"> (-) eq10</t>
    </r>
  </si>
  <si>
    <r>
      <t>w</t>
    </r>
    <r>
      <rPr>
        <vertAlign val="subscript"/>
        <sz val="10"/>
        <color theme="1"/>
        <rFont val="Arial"/>
        <family val="2"/>
      </rPr>
      <t>Ca,f</t>
    </r>
    <r>
      <rPr>
        <sz val="10"/>
        <color theme="1"/>
        <rFont val="Arial"/>
        <family val="2"/>
      </rPr>
      <t xml:space="preserve"> (-) eq10</t>
    </r>
  </si>
  <si>
    <r>
      <t>w</t>
    </r>
    <r>
      <rPr>
        <vertAlign val="subscript"/>
        <sz val="10"/>
        <color theme="1"/>
        <rFont val="Arial"/>
        <family val="2"/>
      </rPr>
      <t>Mg,f</t>
    </r>
    <r>
      <rPr>
        <sz val="10"/>
        <color theme="1"/>
        <rFont val="Arial"/>
        <family val="2"/>
      </rPr>
      <t xml:space="preserve"> (-) eq10</t>
    </r>
  </si>
  <si>
    <r>
      <t>w</t>
    </r>
    <r>
      <rPr>
        <vertAlign val="subscript"/>
        <sz val="10"/>
        <color theme="1"/>
        <rFont val="Arial"/>
        <family val="2"/>
      </rPr>
      <t>tot,f</t>
    </r>
    <r>
      <rPr>
        <sz val="10"/>
        <color theme="1"/>
        <rFont val="Arial"/>
        <family val="2"/>
      </rPr>
      <t xml:space="preserve"> (-) eq10</t>
    </r>
  </si>
  <si>
    <r>
      <t>w</t>
    </r>
    <r>
      <rPr>
        <i/>
        <vertAlign val="subscript"/>
        <sz val="10"/>
        <color theme="1"/>
        <rFont val="Arial"/>
        <family val="2"/>
      </rPr>
      <t>tot</t>
    </r>
    <r>
      <rPr>
        <vertAlign val="subscript"/>
        <sz val="10"/>
        <color theme="1"/>
        <rFont val="Arial"/>
        <family val="2"/>
      </rPr>
      <t>,adj</t>
    </r>
    <r>
      <rPr>
        <sz val="10"/>
        <color theme="1"/>
        <rFont val="Arial"/>
        <family val="2"/>
      </rPr>
      <t xml:space="preserve"> + w</t>
    </r>
    <r>
      <rPr>
        <vertAlign val="subscript"/>
        <sz val="10"/>
        <color theme="1"/>
        <rFont val="Arial"/>
        <family val="2"/>
      </rPr>
      <t>CaSO4</t>
    </r>
    <r>
      <rPr>
        <sz val="10"/>
        <color theme="1"/>
        <rFont val="Arial"/>
        <family val="2"/>
      </rPr>
      <t>(-) eq11</t>
    </r>
  </si>
  <si>
    <r>
      <t>w</t>
    </r>
    <r>
      <rPr>
        <vertAlign val="subscript"/>
        <sz val="10"/>
        <color theme="1"/>
        <rFont val="Arial"/>
        <family val="2"/>
      </rPr>
      <t>CaSO4</t>
    </r>
    <r>
      <rPr>
        <sz val="10"/>
        <color theme="1"/>
        <rFont val="Arial"/>
        <family val="2"/>
      </rPr>
      <t xml:space="preserve"> (-)</t>
    </r>
  </si>
  <si>
    <r>
      <t>w</t>
    </r>
    <r>
      <rPr>
        <i/>
        <vertAlign val="subscript"/>
        <sz val="10"/>
        <color rgb="FFFF0000"/>
        <rFont val="Arial"/>
        <family val="2"/>
      </rPr>
      <t>tot</t>
    </r>
    <r>
      <rPr>
        <vertAlign val="subscript"/>
        <sz val="10"/>
        <color rgb="FFFF0000"/>
        <rFont val="Arial"/>
        <family val="2"/>
      </rPr>
      <t xml:space="preserve">,adj </t>
    </r>
    <r>
      <rPr>
        <sz val="10"/>
        <color rgb="FFFF0000"/>
        <rFont val="Arial"/>
        <family val="2"/>
      </rPr>
      <t>(-) eq11</t>
    </r>
  </si>
  <si>
    <r>
      <t>w</t>
    </r>
    <r>
      <rPr>
        <vertAlign val="subscript"/>
        <sz val="10"/>
        <color theme="1"/>
        <rFont val="Arial"/>
        <family val="2"/>
      </rPr>
      <t>Mg,Na,K,adj</t>
    </r>
    <r>
      <rPr>
        <sz val="10"/>
        <color theme="1"/>
        <rFont val="Arial"/>
        <family val="2"/>
      </rPr>
      <t xml:space="preserve"> (-)</t>
    </r>
  </si>
  <si>
    <r>
      <t>w</t>
    </r>
    <r>
      <rPr>
        <vertAlign val="subscript"/>
        <sz val="10"/>
        <color theme="1"/>
        <rFont val="Arial"/>
        <family val="2"/>
      </rPr>
      <t xml:space="preserve">Ca,adj </t>
    </r>
    <r>
      <rPr>
        <sz val="10"/>
        <color theme="1"/>
        <rFont val="Arial"/>
        <family val="2"/>
      </rPr>
      <t>(-)</t>
    </r>
  </si>
  <si>
    <r>
      <rPr>
        <sz val="11"/>
        <rFont val="Calibri"/>
        <family val="2"/>
        <scheme val="minor"/>
      </rPr>
      <t>w</t>
    </r>
    <r>
      <rPr>
        <vertAlign val="subscript"/>
        <sz val="11"/>
        <rFont val="Calibri"/>
        <family val="2"/>
        <scheme val="minor"/>
      </rPr>
      <t>CO3,h</t>
    </r>
    <r>
      <rPr>
        <sz val="10"/>
        <color theme="1"/>
        <rFont val="Arial"/>
        <family val="2"/>
      </rPr>
      <t xml:space="preserve"> (-)</t>
    </r>
  </si>
  <si>
    <t>BE</t>
  </si>
  <si>
    <t>N/A</t>
  </si>
  <si>
    <t>E</t>
  </si>
  <si>
    <t>P</t>
  </si>
  <si>
    <t>0to1</t>
  </si>
  <si>
    <t>1to3</t>
  </si>
  <si>
    <t>IRPA-000010</t>
  </si>
  <si>
    <t>Brussel</t>
  </si>
  <si>
    <t>Zavelkerk</t>
  </si>
  <si>
    <t>S</t>
  </si>
  <si>
    <t>3to5</t>
  </si>
  <si>
    <t>0to3</t>
  </si>
  <si>
    <t>B</t>
  </si>
  <si>
    <t>0to2</t>
  </si>
  <si>
    <t>2to5</t>
  </si>
  <si>
    <t>M</t>
  </si>
  <si>
    <t>Antwerpen</t>
  </si>
  <si>
    <t>St-Joriskerk</t>
  </si>
  <si>
    <t>IRPA-000098</t>
  </si>
  <si>
    <t>Leuven</t>
  </si>
  <si>
    <t>Oudergem</t>
  </si>
  <si>
    <t>Ijskelder</t>
  </si>
  <si>
    <t>IRPA-000280</t>
  </si>
  <si>
    <t>Tongeren</t>
  </si>
  <si>
    <t>Gent</t>
  </si>
  <si>
    <t>Lier</t>
  </si>
  <si>
    <t>Mechelen</t>
  </si>
  <si>
    <t>EWP</t>
  </si>
  <si>
    <t>EB</t>
  </si>
  <si>
    <t>WP</t>
  </si>
  <si>
    <t>ES</t>
  </si>
  <si>
    <t>D</t>
  </si>
  <si>
    <t>C</t>
  </si>
  <si>
    <t>Stadhuis</t>
  </si>
  <si>
    <t>EP</t>
  </si>
  <si>
    <t>ST</t>
  </si>
  <si>
    <t>PB</t>
  </si>
  <si>
    <t>PS</t>
  </si>
  <si>
    <t>Ternat</t>
  </si>
  <si>
    <t>St-Gertruidiskerk</t>
  </si>
  <si>
    <t>IRPA-002608</t>
  </si>
  <si>
    <t>Bruxelles</t>
  </si>
  <si>
    <t>Coudenberg</t>
  </si>
  <si>
    <t>6</t>
  </si>
  <si>
    <t>IRPA-003138</t>
  </si>
  <si>
    <t>Doornik</t>
  </si>
  <si>
    <t>St Jacques</t>
  </si>
  <si>
    <t>IRPA-003707</t>
  </si>
  <si>
    <t xml:space="preserve">Gravenvoeren </t>
  </si>
  <si>
    <t>St Lambert</t>
  </si>
  <si>
    <t>IRPA-003741</t>
  </si>
  <si>
    <t>Halle</t>
  </si>
  <si>
    <t>IRPA-003821</t>
  </si>
  <si>
    <t>Ostende</t>
  </si>
  <si>
    <t>Museum De Platen</t>
  </si>
  <si>
    <t>IRPA-003949</t>
  </si>
  <si>
    <t>Sint Martinusbasiliek</t>
  </si>
  <si>
    <t>IRPA-004843</t>
  </si>
  <si>
    <t>Kessel</t>
  </si>
  <si>
    <t>Saint Lambertuskerk</t>
  </si>
  <si>
    <t>IRPA-004950</t>
  </si>
  <si>
    <t>SintGeertruijAbdij</t>
  </si>
  <si>
    <t>IRPA-004986</t>
  </si>
  <si>
    <t>Begijnhof Kalvariberg</t>
  </si>
  <si>
    <t>IRPA-005023</t>
  </si>
  <si>
    <t>Pa</t>
  </si>
  <si>
    <t>PM</t>
  </si>
  <si>
    <t>7</t>
  </si>
  <si>
    <t>4</t>
  </si>
  <si>
    <t>Sint_Pieters en Pauluskerk</t>
  </si>
  <si>
    <t>IRPA-005433</t>
  </si>
  <si>
    <t>8</t>
  </si>
  <si>
    <t>Sint Truiden</t>
  </si>
  <si>
    <t>Sint-Martinuskerk</t>
  </si>
  <si>
    <t>IRPA-005496</t>
  </si>
  <si>
    <t>R</t>
  </si>
  <si>
    <t>MS</t>
  </si>
  <si>
    <t>2014</t>
  </si>
  <si>
    <t>Sint-Pieterskerk</t>
  </si>
  <si>
    <t>12to14</t>
  </si>
  <si>
    <t>IRPA-006025</t>
  </si>
  <si>
    <t>Museumkerk</t>
  </si>
  <si>
    <t>Rekem</t>
  </si>
  <si>
    <t>IRPA-006082</t>
  </si>
  <si>
    <t>Kasteel</t>
  </si>
  <si>
    <t>2015</t>
  </si>
  <si>
    <t>W</t>
  </si>
  <si>
    <t>Po</t>
  </si>
  <si>
    <t>Mariakerke</t>
  </si>
  <si>
    <t>Duinenkerk</t>
  </si>
  <si>
    <t>IRPA-007481</t>
  </si>
  <si>
    <t>plus 400</t>
  </si>
  <si>
    <t xml:space="preserve">P </t>
  </si>
  <si>
    <t>Diepenbeek</t>
  </si>
  <si>
    <t>IRPA-009298</t>
  </si>
  <si>
    <t>Oostend</t>
  </si>
  <si>
    <t>Sint Petrus &amp; Paulus kerk</t>
  </si>
  <si>
    <t>IRPA-009623</t>
  </si>
  <si>
    <t>X340</t>
  </si>
  <si>
    <t>Flémalle</t>
  </si>
  <si>
    <t>Kasteel van Aigremont</t>
  </si>
  <si>
    <t>IRPA-009750</t>
  </si>
  <si>
    <t>X141</t>
  </si>
  <si>
    <t>Agnetenklooster</t>
  </si>
  <si>
    <t>IRPA-009866</t>
  </si>
  <si>
    <t>X450</t>
  </si>
  <si>
    <t>Sint Agatha Rode</t>
  </si>
  <si>
    <t>Kerk Sint Agatha</t>
  </si>
  <si>
    <t>X220</t>
  </si>
  <si>
    <t>IRPA-010217</t>
  </si>
  <si>
    <t>X260</t>
  </si>
  <si>
    <t>X486</t>
  </si>
  <si>
    <t>Adinkerke</t>
  </si>
  <si>
    <t>Sint-Audomaruskerk</t>
  </si>
  <si>
    <t>IRPA-011319</t>
  </si>
  <si>
    <t>IRPA-011405</t>
  </si>
  <si>
    <t>Rijke-Klarenkerk</t>
  </si>
  <si>
    <t>category/sub</t>
  </si>
  <si>
    <t>Code</t>
  </si>
  <si>
    <t xml:space="preserve">Material </t>
  </si>
  <si>
    <t>Efflorescence</t>
  </si>
  <si>
    <t>Plaster</t>
  </si>
  <si>
    <t>Render</t>
  </si>
  <si>
    <t>Wallpainting</t>
  </si>
  <si>
    <t>Wallpainting &amp; Plastar</t>
  </si>
  <si>
    <t>Efflo &amp; wallpainting</t>
  </si>
  <si>
    <t>EW</t>
  </si>
  <si>
    <t>Brick</t>
  </si>
  <si>
    <t>Mortar/Joint</t>
  </si>
  <si>
    <t>Stone</t>
  </si>
  <si>
    <t>Earth/Soil/Dirt</t>
  </si>
  <si>
    <t>Concrete</t>
  </si>
  <si>
    <t>Plaster+Brick</t>
  </si>
  <si>
    <t>Plaster+Stone</t>
  </si>
  <si>
    <t>Mortar+Brick</t>
  </si>
  <si>
    <t>MB</t>
  </si>
  <si>
    <t>Mortar+Stone</t>
  </si>
  <si>
    <t>Stuc</t>
  </si>
  <si>
    <t>Efflorescence on stuc</t>
  </si>
  <si>
    <t>EST</t>
  </si>
  <si>
    <t>Efflorescence on cement</t>
  </si>
  <si>
    <t>EC</t>
  </si>
  <si>
    <t>Abbreviations</t>
  </si>
  <si>
    <t>Efflorescence on brick</t>
  </si>
  <si>
    <t xml:space="preserve">wi </t>
  </si>
  <si>
    <t xml:space="preserve"> weight fraction of each individual ion</t>
  </si>
  <si>
    <t>Extraction material</t>
  </si>
  <si>
    <t>EXT</t>
  </si>
  <si>
    <t xml:space="preserve">ci </t>
  </si>
  <si>
    <t xml:space="preserve"> concentration of the ion (mg/L)</t>
  </si>
  <si>
    <t>Efflorescence on stone</t>
  </si>
  <si>
    <t xml:space="preserve">Vw </t>
  </si>
  <si>
    <t xml:space="preserve"> volume of water (L)</t>
  </si>
  <si>
    <t>Efflorescence on wallpainting</t>
  </si>
  <si>
    <t xml:space="preserve">ms </t>
  </si>
  <si>
    <t xml:space="preserve"> the dry sample mass (mg)</t>
  </si>
  <si>
    <t>Efflorescence on plaster</t>
  </si>
  <si>
    <t xml:space="preserve">ei </t>
  </si>
  <si>
    <t xml:space="preserve"> initial amount of substance per ion (Eq/kg)</t>
  </si>
  <si>
    <t>Poultice</t>
  </si>
  <si>
    <t xml:space="preserve">zi </t>
  </si>
  <si>
    <t xml:space="preserve"> absolute charge of ion</t>
  </si>
  <si>
    <t>Poultice on mortar</t>
  </si>
  <si>
    <t>PoM</t>
  </si>
  <si>
    <t xml:space="preserve">M </t>
  </si>
  <si>
    <t xml:space="preserve"> molar mass of ion (kg/mol)</t>
  </si>
  <si>
    <t>Poultice on brick</t>
  </si>
  <si>
    <t>PoB</t>
  </si>
  <si>
    <t xml:space="preserve">wt.% </t>
  </si>
  <si>
    <t xml:space="preserve"> weight percent of ion</t>
  </si>
  <si>
    <t>Poultice on stone</t>
  </si>
  <si>
    <t>PoS</t>
  </si>
  <si>
    <t>Δe</t>
  </si>
  <si>
    <t xml:space="preserve"> charge imbalance</t>
  </si>
  <si>
    <t>Plaster &amp; mortar</t>
  </si>
  <si>
    <t xml:space="preserve">ecat </t>
  </si>
  <si>
    <t xml:space="preserve"> total sum of amount of all cations</t>
  </si>
  <si>
    <t>Paint</t>
  </si>
  <si>
    <t xml:space="preserve">eani </t>
  </si>
  <si>
    <t xml:space="preserve"> total sum of amount of all anions</t>
  </si>
  <si>
    <t>Height</t>
  </si>
  <si>
    <t xml:space="preserve">ei,adj </t>
  </si>
  <si>
    <t xml:space="preserve"> adjusted concentration of ion</t>
  </si>
  <si>
    <t>… cm (example)</t>
  </si>
  <si>
    <t>ei*</t>
  </si>
  <si>
    <t xml:space="preserve"> the adjusted ion content (limited to 0)</t>
  </si>
  <si>
    <t>vault or high wall not measured</t>
  </si>
  <si>
    <t xml:space="preserve">Δe,I </t>
  </si>
  <si>
    <t xml:space="preserve"> charge imbalance related to specific ion</t>
  </si>
  <si>
    <t>Depth</t>
  </si>
  <si>
    <t xml:space="preserve"> adjusted ion content</t>
  </si>
  <si>
    <t>efflo</t>
  </si>
  <si>
    <t>0E</t>
  </si>
  <si>
    <t xml:space="preserve">elim,CaSO4 </t>
  </si>
  <si>
    <t xml:space="preserve"> limited content of Ca and SO4 related to each other in Eq/kg to determine the theoretical gypsum content</t>
  </si>
  <si>
    <t>efflo &amp; &lt;1 cm</t>
  </si>
  <si>
    <t>1E</t>
  </si>
  <si>
    <t xml:space="preserve">eCa,adj,f </t>
  </si>
  <si>
    <t xml:space="preserve"> final adjusted calcium content</t>
  </si>
  <si>
    <t>… cm to … cm (example)</t>
  </si>
  <si>
    <t xml:space="preserve">eSO4,adj,f </t>
  </si>
  <si>
    <t xml:space="preserve"> final adjusted sulfate content</t>
  </si>
  <si>
    <t xml:space="preserve">xi,adj </t>
  </si>
  <si>
    <t xml:space="preserve"> ion values as mole fraction</t>
  </si>
  <si>
    <t xml:space="preserve">f Δe </t>
  </si>
  <si>
    <t xml:space="preserve"> amount of substance in excess as a fraction</t>
  </si>
  <si>
    <t xml:space="preserve">wi,f </t>
  </si>
  <si>
    <t xml:space="preserve"> final corrected amount of substance as weight fraction per individual ion in the dry sample mass</t>
  </si>
  <si>
    <t xml:space="preserve">wtot,adj </t>
  </si>
  <si>
    <t xml:space="preserve"> total ion content adjusted as a fraction compared to the dry sample mass</t>
  </si>
  <si>
    <t>Absolute Charge</t>
  </si>
  <si>
    <t>|zi|</t>
  </si>
  <si>
    <t>(-)</t>
  </si>
  <si>
    <t>Molar Mass</t>
  </si>
  <si>
    <t>kg/mol</t>
  </si>
  <si>
    <t>mol</t>
  </si>
  <si>
    <t>Pasword to unlock tab : 1234</t>
  </si>
  <si>
    <t>Adjusted contents as Weight Fraction Relative to the Dry Sample Mass (Eq. 10), displayed as a weight percent</t>
  </si>
  <si>
    <t>OLPC</t>
  </si>
  <si>
    <t>adjusted content sum Na+, K+</t>
  </si>
  <si>
    <r>
      <t>hypothetical CO</t>
    </r>
    <r>
      <rPr>
        <b/>
        <vertAlign val="subscript"/>
        <sz val="11"/>
        <color theme="1"/>
        <rFont val="Calibri"/>
        <family val="2"/>
        <scheme val="minor"/>
      </rPr>
      <t>3</t>
    </r>
    <r>
      <rPr>
        <b/>
        <vertAlign val="superscript"/>
        <sz val="11"/>
        <color theme="1"/>
        <rFont val="Calibri"/>
        <family val="2"/>
        <scheme val="minor"/>
      </rPr>
      <t>2-</t>
    </r>
    <r>
      <rPr>
        <b/>
        <vertAlign val="subscript"/>
        <sz val="11"/>
        <color theme="1"/>
        <rFont val="Calibri"/>
        <family val="2"/>
        <scheme val="minor"/>
      </rPr>
      <t xml:space="preserve"> </t>
    </r>
    <r>
      <rPr>
        <b/>
        <sz val="11"/>
        <color theme="1"/>
        <rFont val="Calibri"/>
        <family val="2"/>
        <scheme val="minor"/>
      </rPr>
      <t>content related to Na+, 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</si>
</sst>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00"/>
    <numFmt numFmtId="166" formatCode="0.00\ \w\t.%"/>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i/>
      <sz val="10"/>
      <name val="Arial"/>
      <family val="2"/>
    </font>
    <font>
      <b/>
      <sz val="10"/>
      <name val="Arial"/>
      <family val="2"/>
    </font>
    <font>
      <b/>
      <i/>
      <vertAlign val="subscript"/>
      <sz val="10"/>
      <name val="Arial"/>
      <family val="2"/>
    </font>
    <font>
      <b/>
      <sz val="10"/>
      <color theme="1"/>
      <name val="Arial"/>
      <family val="2"/>
    </font>
    <font>
      <b/>
      <vertAlign val="superscript"/>
      <sz val="10"/>
      <color theme="1"/>
      <name val="Arial"/>
      <family val="2"/>
    </font>
    <font>
      <b/>
      <vertAlign val="subscript"/>
      <sz val="10"/>
      <color theme="1"/>
      <name val="Arial"/>
      <family val="2"/>
    </font>
    <font>
      <sz val="9"/>
      <color indexed="81"/>
      <name val="Tahoma"/>
      <family val="2"/>
    </font>
    <font>
      <b/>
      <sz val="9"/>
      <color indexed="81"/>
      <name val="Tahoma"/>
      <family val="2"/>
    </font>
    <font>
      <sz val="8"/>
      <name val="Calibri"/>
      <family val="2"/>
      <scheme val="minor"/>
    </font>
    <font>
      <b/>
      <sz val="10"/>
      <color rgb="FFFF0000"/>
      <name val="Arial"/>
      <family val="2"/>
    </font>
    <font>
      <b/>
      <vertAlign val="subscript"/>
      <sz val="11"/>
      <color theme="1"/>
      <name val="Calibri"/>
      <family val="2"/>
      <scheme val="minor"/>
    </font>
    <font>
      <b/>
      <vertAlign val="superscript"/>
      <sz val="11"/>
      <color theme="1"/>
      <name val="Calibri"/>
      <family val="2"/>
      <scheme val="minor"/>
    </font>
    <font>
      <b/>
      <sz val="10"/>
      <color rgb="FFC00000"/>
      <name val="Arial"/>
      <family val="2"/>
    </font>
    <font>
      <vertAlign val="superscript"/>
      <sz val="10"/>
      <color theme="1"/>
      <name val="Arial"/>
      <family val="2"/>
    </font>
    <font>
      <sz val="10"/>
      <name val="Arial"/>
      <family val="2"/>
    </font>
    <font>
      <i/>
      <sz val="10"/>
      <name val="Arial"/>
      <family val="2"/>
    </font>
    <font>
      <vertAlign val="subscript"/>
      <sz val="10"/>
      <color theme="1"/>
      <name val="Arial"/>
      <family val="2"/>
    </font>
    <font>
      <sz val="10"/>
      <color rgb="FFC00000"/>
      <name val="Arial"/>
      <family val="2"/>
    </font>
    <font>
      <b/>
      <i/>
      <sz val="10"/>
      <color rgb="FFC00000"/>
      <name val="Arial"/>
      <family val="2"/>
    </font>
    <font>
      <b/>
      <i/>
      <vertAlign val="subscript"/>
      <sz val="10"/>
      <color rgb="FFC00000"/>
      <name val="Arial"/>
      <family val="2"/>
    </font>
    <font>
      <vertAlign val="subscript"/>
      <sz val="10"/>
      <color rgb="FFC00000"/>
      <name val="Arial"/>
      <family val="2"/>
    </font>
    <font>
      <b/>
      <vertAlign val="subscript"/>
      <sz val="10"/>
      <color rgb="FFC00000"/>
      <name val="Arial"/>
      <family val="2"/>
    </font>
    <font>
      <i/>
      <sz val="10"/>
      <color rgb="FFC00000"/>
      <name val="Arial"/>
      <family val="2"/>
    </font>
    <font>
      <b/>
      <vertAlign val="subscript"/>
      <sz val="10"/>
      <name val="Arial"/>
      <family val="2"/>
    </font>
    <font>
      <vertAlign val="subscript"/>
      <sz val="10"/>
      <name val="Arial"/>
      <family val="2"/>
    </font>
    <font>
      <vertAlign val="subscript"/>
      <sz val="11"/>
      <name val="Calibri"/>
      <family val="2"/>
      <scheme val="minor"/>
    </font>
    <font>
      <b/>
      <sz val="10"/>
      <color theme="1"/>
      <name val="Calibri"/>
      <family val="2"/>
    </font>
    <font>
      <b/>
      <vertAlign val="superscript"/>
      <sz val="10"/>
      <color rgb="FFC00000"/>
      <name val="Arial"/>
      <family val="2"/>
    </font>
    <font>
      <b/>
      <sz val="11"/>
      <color rgb="FFFF0000"/>
      <name val="Calibri"/>
      <family val="2"/>
      <scheme val="minor"/>
    </font>
    <font>
      <b/>
      <sz val="12"/>
      <color rgb="FFFF0000"/>
      <name val="Calibri"/>
      <family val="2"/>
      <scheme val="minor"/>
    </font>
    <font>
      <sz val="11"/>
      <name val="Calibri"/>
      <family val="2"/>
      <scheme val="minor"/>
    </font>
    <font>
      <b/>
      <sz val="10"/>
      <color rgb="FF0070C0"/>
      <name val="Arial"/>
      <family val="2"/>
    </font>
    <font>
      <i/>
      <vertAlign val="subscript"/>
      <sz val="10"/>
      <color theme="1"/>
      <name val="Arial"/>
      <family val="2"/>
    </font>
    <font>
      <sz val="10"/>
      <color rgb="FFFF0000"/>
      <name val="Arial"/>
      <family val="2"/>
    </font>
    <font>
      <i/>
      <vertAlign val="subscript"/>
      <sz val="10"/>
      <color rgb="FFFF0000"/>
      <name val="Arial"/>
      <family val="2"/>
    </font>
    <font>
      <vertAlign val="subscript"/>
      <sz val="10"/>
      <color rgb="FFFF0000"/>
      <name val="Arial"/>
      <family val="2"/>
    </font>
    <font>
      <sz val="11"/>
      <color theme="1"/>
      <name val="Calibri Light"/>
      <family val="2"/>
    </font>
    <font>
      <i/>
      <sz val="11"/>
      <color theme="1"/>
      <name val="Calibri"/>
      <family val="2"/>
      <scheme val="minor"/>
    </font>
    <font>
      <i/>
      <sz val="11"/>
      <color theme="1"/>
      <name val="Calibri Light"/>
      <family val="2"/>
    </font>
    <font>
      <b/>
      <sz val="12"/>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tint="-9.9978637043366805E-2"/>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s>
  <cellStyleXfs count="2">
    <xf numFmtId="0" fontId="0" fillId="0" borderId="0"/>
    <xf numFmtId="166" fontId="1" fillId="0" borderId="0" applyFont="0" applyFill="0" applyBorder="0" applyAlignment="0" applyProtection="0"/>
  </cellStyleXfs>
  <cellXfs count="189">
    <xf numFmtId="0" fontId="0" fillId="0" borderId="0" xfId="0"/>
    <xf numFmtId="0" fontId="3" fillId="0" borderId="3" xfId="0" applyFont="1" applyBorder="1" applyAlignment="1">
      <alignment horizontal="left"/>
    </xf>
    <xf numFmtId="0" fontId="3" fillId="0" borderId="4" xfId="0" applyFont="1" applyBorder="1" applyAlignment="1">
      <alignment horizontal="left"/>
    </xf>
    <xf numFmtId="0" fontId="5" fillId="0" borderId="9" xfId="0" applyFont="1" applyBorder="1" applyAlignment="1">
      <alignment horizontal="left" wrapText="1"/>
    </xf>
    <xf numFmtId="0" fontId="2" fillId="0" borderId="0" xfId="0" applyFont="1"/>
    <xf numFmtId="0" fontId="7" fillId="0" borderId="9" xfId="0" applyFont="1" applyBorder="1" applyAlignment="1">
      <alignment wrapText="1"/>
    </xf>
    <xf numFmtId="0" fontId="7" fillId="0" borderId="1" xfId="0" applyFont="1" applyBorder="1" applyAlignment="1">
      <alignment horizontal="left"/>
    </xf>
    <xf numFmtId="0" fontId="3" fillId="0" borderId="2" xfId="0" applyFont="1" applyBorder="1" applyAlignment="1">
      <alignment horizontal="left"/>
    </xf>
    <xf numFmtId="0" fontId="3" fillId="0" borderId="10" xfId="0" applyFont="1" applyBorder="1" applyAlignment="1">
      <alignment horizontal="left"/>
    </xf>
    <xf numFmtId="0" fontId="7" fillId="0" borderId="10" xfId="0" applyFont="1" applyBorder="1" applyAlignment="1">
      <alignment horizontal="left"/>
    </xf>
    <xf numFmtId="0" fontId="7" fillId="3" borderId="1" xfId="0" applyFont="1" applyFill="1" applyBorder="1" applyAlignment="1">
      <alignment horizontal="left"/>
    </xf>
    <xf numFmtId="0" fontId="3" fillId="3" borderId="2" xfId="0" applyFont="1" applyFill="1" applyBorder="1" applyAlignment="1">
      <alignment horizontal="left"/>
    </xf>
    <xf numFmtId="0" fontId="7" fillId="7" borderId="1" xfId="0" applyFont="1" applyFill="1" applyBorder="1" applyAlignment="1">
      <alignment horizontal="left"/>
    </xf>
    <xf numFmtId="0" fontId="3" fillId="7" borderId="2" xfId="0" applyFont="1" applyFill="1" applyBorder="1" applyAlignment="1">
      <alignment horizontal="left"/>
    </xf>
    <xf numFmtId="0" fontId="3" fillId="8" borderId="2" xfId="0" applyFont="1" applyFill="1" applyBorder="1" applyAlignment="1">
      <alignment horizontal="left"/>
    </xf>
    <xf numFmtId="0" fontId="3" fillId="8" borderId="10" xfId="0" applyFont="1" applyFill="1" applyBorder="1" applyAlignment="1">
      <alignment horizontal="left"/>
    </xf>
    <xf numFmtId="0" fontId="7" fillId="3" borderId="9" xfId="0" applyFont="1" applyFill="1" applyBorder="1" applyAlignment="1">
      <alignment horizontal="left" wrapText="1"/>
    </xf>
    <xf numFmtId="0" fontId="7" fillId="4" borderId="9" xfId="0" applyFont="1" applyFill="1" applyBorder="1" applyAlignment="1">
      <alignment horizontal="left" wrapText="1"/>
    </xf>
    <xf numFmtId="0" fontId="7" fillId="5" borderId="9" xfId="0" applyFont="1" applyFill="1" applyBorder="1" applyAlignment="1">
      <alignment horizontal="left" wrapText="1"/>
    </xf>
    <xf numFmtId="0" fontId="7" fillId="7" borderId="9" xfId="0" applyFont="1" applyFill="1" applyBorder="1" applyAlignment="1">
      <alignment horizontal="left" wrapText="1"/>
    </xf>
    <xf numFmtId="0" fontId="7" fillId="8" borderId="9" xfId="0" applyFont="1" applyFill="1" applyBorder="1" applyAlignment="1">
      <alignment horizontal="left" wrapText="1"/>
    </xf>
    <xf numFmtId="0" fontId="7" fillId="2" borderId="9" xfId="0" applyFont="1" applyFill="1" applyBorder="1" applyAlignment="1">
      <alignment horizontal="left" wrapText="1"/>
    </xf>
    <xf numFmtId="0" fontId="3" fillId="0" borderId="9" xfId="0" applyFont="1" applyBorder="1" applyAlignment="1">
      <alignment horizontal="left" wrapText="1"/>
    </xf>
    <xf numFmtId="1" fontId="3" fillId="7" borderId="4" xfId="0" applyNumberFormat="1" applyFont="1" applyFill="1" applyBorder="1" applyAlignment="1">
      <alignment horizontal="left"/>
    </xf>
    <xf numFmtId="0" fontId="3" fillId="6" borderId="4" xfId="0" applyFont="1" applyFill="1" applyBorder="1" applyAlignment="1">
      <alignment horizontal="left"/>
    </xf>
    <xf numFmtId="0" fontId="3" fillId="2" borderId="4" xfId="0" applyFont="1" applyFill="1" applyBorder="1" applyAlignment="1">
      <alignment horizontal="left"/>
    </xf>
    <xf numFmtId="0" fontId="3" fillId="3" borderId="3" xfId="0" applyFont="1" applyFill="1" applyBorder="1" applyAlignment="1">
      <alignment horizontal="left"/>
    </xf>
    <xf numFmtId="0" fontId="3" fillId="4" borderId="3" xfId="0" applyFont="1" applyFill="1" applyBorder="1" applyAlignment="1">
      <alignment horizontal="left"/>
    </xf>
    <xf numFmtId="0" fontId="3" fillId="5" borderId="3" xfId="0" applyFont="1" applyFill="1" applyBorder="1" applyAlignment="1">
      <alignment horizontal="left"/>
    </xf>
    <xf numFmtId="0" fontId="3" fillId="7" borderId="3" xfId="0" applyFont="1" applyFill="1" applyBorder="1" applyAlignment="1">
      <alignment horizontal="left"/>
    </xf>
    <xf numFmtId="0" fontId="3" fillId="8" borderId="3" xfId="0" applyFont="1" applyFill="1" applyBorder="1" applyAlignment="1">
      <alignment horizontal="left"/>
    </xf>
    <xf numFmtId="0" fontId="3" fillId="6" borderId="3" xfId="0" applyFont="1" applyFill="1" applyBorder="1" applyAlignment="1">
      <alignment horizontal="left"/>
    </xf>
    <xf numFmtId="0" fontId="3" fillId="2" borderId="3" xfId="0" applyFont="1" applyFill="1" applyBorder="1" applyAlignment="1">
      <alignment horizontal="left"/>
    </xf>
    <xf numFmtId="0" fontId="5" fillId="0" borderId="8" xfId="0" applyFont="1" applyBorder="1" applyAlignment="1">
      <alignment horizontal="left" wrapText="1"/>
    </xf>
    <xf numFmtId="2" fontId="7" fillId="4" borderId="9" xfId="0" applyNumberFormat="1" applyFont="1" applyFill="1" applyBorder="1" applyAlignment="1">
      <alignment horizontal="left" wrapText="1"/>
    </xf>
    <xf numFmtId="2" fontId="7" fillId="3" borderId="9" xfId="0" applyNumberFormat="1" applyFont="1" applyFill="1" applyBorder="1" applyAlignment="1">
      <alignment horizontal="left" wrapText="1"/>
    </xf>
    <xf numFmtId="2" fontId="3" fillId="3" borderId="3" xfId="0" applyNumberFormat="1" applyFont="1" applyFill="1" applyBorder="1" applyAlignment="1">
      <alignment horizontal="left"/>
    </xf>
    <xf numFmtId="2" fontId="7" fillId="7" borderId="9" xfId="0" applyNumberFormat="1" applyFont="1" applyFill="1" applyBorder="1" applyAlignment="1">
      <alignment horizontal="left" wrapText="1"/>
    </xf>
    <xf numFmtId="2" fontId="7" fillId="8" borderId="6" xfId="0" applyNumberFormat="1" applyFont="1" applyFill="1" applyBorder="1" applyAlignment="1">
      <alignment horizontal="left" wrapText="1"/>
    </xf>
    <xf numFmtId="164" fontId="7" fillId="8" borderId="6" xfId="0" applyNumberFormat="1" applyFont="1" applyFill="1" applyBorder="1" applyAlignment="1">
      <alignment horizontal="left" wrapText="1"/>
    </xf>
    <xf numFmtId="164" fontId="3" fillId="8" borderId="4" xfId="0" applyNumberFormat="1" applyFont="1" applyFill="1" applyBorder="1" applyAlignment="1">
      <alignment horizontal="left"/>
    </xf>
    <xf numFmtId="164" fontId="3" fillId="8" borderId="3" xfId="0" applyNumberFormat="1" applyFont="1" applyFill="1" applyBorder="1" applyAlignment="1">
      <alignment horizontal="left"/>
    </xf>
    <xf numFmtId="2" fontId="7" fillId="2" borderId="9" xfId="0" applyNumberFormat="1" applyFont="1" applyFill="1" applyBorder="1" applyAlignment="1">
      <alignment horizontal="left" wrapText="1"/>
    </xf>
    <xf numFmtId="2" fontId="3" fillId="2" borderId="3" xfId="0" applyNumberFormat="1" applyFont="1" applyFill="1" applyBorder="1" applyAlignment="1">
      <alignment horizontal="left"/>
    </xf>
    <xf numFmtId="165" fontId="3" fillId="4" borderId="4" xfId="0" applyNumberFormat="1" applyFont="1" applyFill="1" applyBorder="1" applyAlignment="1">
      <alignment horizontal="left"/>
    </xf>
    <xf numFmtId="9" fontId="7" fillId="6" borderId="9" xfId="0" applyNumberFormat="1" applyFont="1" applyFill="1" applyBorder="1" applyAlignment="1">
      <alignment horizontal="left" wrapText="1"/>
    </xf>
    <xf numFmtId="9" fontId="3" fillId="6" borderId="4" xfId="0" applyNumberFormat="1" applyFont="1" applyFill="1" applyBorder="1" applyAlignment="1">
      <alignment horizontal="left"/>
    </xf>
    <xf numFmtId="9" fontId="3" fillId="6" borderId="3" xfId="0" applyNumberFormat="1" applyFont="1" applyFill="1" applyBorder="1" applyAlignment="1">
      <alignment horizontal="left"/>
    </xf>
    <xf numFmtId="0" fontId="7" fillId="2" borderId="5" xfId="0" applyFont="1" applyFill="1" applyBorder="1" applyAlignment="1">
      <alignment horizontal="left"/>
    </xf>
    <xf numFmtId="0" fontId="7" fillId="8" borderId="11" xfId="0" applyFont="1" applyFill="1" applyBorder="1" applyAlignment="1">
      <alignment horizontal="left" wrapText="1"/>
    </xf>
    <xf numFmtId="2" fontId="7" fillId="7" borderId="12" xfId="0" applyNumberFormat="1" applyFont="1" applyFill="1" applyBorder="1" applyAlignment="1">
      <alignment horizontal="left" wrapText="1"/>
    </xf>
    <xf numFmtId="2" fontId="7" fillId="8" borderId="5" xfId="0" applyNumberFormat="1" applyFont="1" applyFill="1" applyBorder="1" applyAlignment="1">
      <alignment horizontal="left" wrapText="1"/>
    </xf>
    <xf numFmtId="0" fontId="7" fillId="3" borderId="11" xfId="0" applyFont="1" applyFill="1" applyBorder="1" applyAlignment="1">
      <alignment horizontal="left" wrapText="1"/>
    </xf>
    <xf numFmtId="0" fontId="7" fillId="7" borderId="8" xfId="0" applyFont="1" applyFill="1" applyBorder="1" applyAlignment="1">
      <alignment horizontal="left" wrapText="1"/>
    </xf>
    <xf numFmtId="0" fontId="7" fillId="8" borderId="13" xfId="0" applyFont="1" applyFill="1" applyBorder="1" applyAlignment="1">
      <alignment horizontal="left" wrapText="1"/>
    </xf>
    <xf numFmtId="0" fontId="7" fillId="6" borderId="8" xfId="0" applyFont="1" applyFill="1" applyBorder="1" applyAlignment="1">
      <alignment horizontal="left" wrapText="1"/>
    </xf>
    <xf numFmtId="0" fontId="7" fillId="6" borderId="13" xfId="0" applyFont="1" applyFill="1" applyBorder="1" applyAlignment="1">
      <alignment horizontal="left" wrapText="1"/>
    </xf>
    <xf numFmtId="2" fontId="7" fillId="3" borderId="12" xfId="0" applyNumberFormat="1" applyFont="1" applyFill="1" applyBorder="1" applyAlignment="1">
      <alignment horizontal="left" wrapText="1"/>
    </xf>
    <xf numFmtId="0" fontId="7" fillId="2" borderId="8" xfId="0" applyFont="1" applyFill="1" applyBorder="1" applyAlignment="1">
      <alignment horizontal="left" wrapText="1"/>
    </xf>
    <xf numFmtId="0" fontId="7" fillId="2" borderId="13" xfId="0" applyFont="1" applyFill="1" applyBorder="1" applyAlignment="1">
      <alignment horizontal="left" wrapText="1"/>
    </xf>
    <xf numFmtId="10" fontId="7" fillId="4" borderId="1" xfId="0" applyNumberFormat="1" applyFont="1" applyFill="1" applyBorder="1" applyAlignment="1">
      <alignment horizontal="left"/>
    </xf>
    <xf numFmtId="10" fontId="3" fillId="4" borderId="2" xfId="0" applyNumberFormat="1" applyFont="1" applyFill="1" applyBorder="1" applyAlignment="1">
      <alignment horizontal="left"/>
    </xf>
    <xf numFmtId="10" fontId="3" fillId="5" borderId="10" xfId="0" applyNumberFormat="1" applyFont="1" applyFill="1" applyBorder="1" applyAlignment="1">
      <alignment horizontal="left"/>
    </xf>
    <xf numFmtId="10" fontId="7" fillId="4" borderId="8" xfId="0" applyNumberFormat="1" applyFont="1" applyFill="1" applyBorder="1" applyAlignment="1">
      <alignment horizontal="left" wrapText="1"/>
    </xf>
    <xf numFmtId="10" fontId="7" fillId="4" borderId="9" xfId="0" applyNumberFormat="1" applyFont="1" applyFill="1" applyBorder="1" applyAlignment="1">
      <alignment horizontal="left" wrapText="1"/>
    </xf>
    <xf numFmtId="10" fontId="7" fillId="5" borderId="13" xfId="0" applyNumberFormat="1" applyFont="1" applyFill="1" applyBorder="1" applyAlignment="1">
      <alignment horizontal="left" wrapText="1"/>
    </xf>
    <xf numFmtId="10" fontId="3" fillId="4" borderId="3" xfId="0" applyNumberFormat="1" applyFont="1" applyFill="1" applyBorder="1" applyAlignment="1">
      <alignment horizontal="left"/>
    </xf>
    <xf numFmtId="10" fontId="3" fillId="5" borderId="3" xfId="0" applyNumberFormat="1" applyFont="1" applyFill="1" applyBorder="1" applyAlignment="1">
      <alignment horizontal="left"/>
    </xf>
    <xf numFmtId="166" fontId="3" fillId="7" borderId="14" xfId="1" applyFont="1" applyFill="1" applyBorder="1" applyAlignment="1">
      <alignment horizontal="left"/>
    </xf>
    <xf numFmtId="166" fontId="3" fillId="4" borderId="4" xfId="1" applyFont="1" applyFill="1" applyBorder="1" applyAlignment="1">
      <alignment horizontal="left"/>
    </xf>
    <xf numFmtId="166" fontId="3" fillId="5" borderId="4" xfId="1" applyFont="1" applyFill="1" applyBorder="1" applyAlignment="1">
      <alignment horizontal="left"/>
    </xf>
    <xf numFmtId="164" fontId="3" fillId="7" borderId="4" xfId="0" applyNumberFormat="1" applyFont="1" applyFill="1" applyBorder="1" applyAlignment="1">
      <alignment horizontal="left"/>
    </xf>
    <xf numFmtId="164" fontId="3" fillId="6" borderId="4" xfId="0" applyNumberFormat="1" applyFont="1" applyFill="1" applyBorder="1" applyAlignment="1">
      <alignment horizontal="left"/>
    </xf>
    <xf numFmtId="164" fontId="3" fillId="3" borderId="4" xfId="0" applyNumberFormat="1" applyFont="1" applyFill="1" applyBorder="1" applyAlignment="1">
      <alignment horizontal="left"/>
    </xf>
    <xf numFmtId="164" fontId="3" fillId="2" borderId="4" xfId="0" applyNumberFormat="1" applyFont="1" applyFill="1" applyBorder="1" applyAlignment="1">
      <alignment horizontal="left"/>
    </xf>
    <xf numFmtId="0" fontId="19" fillId="0" borderId="7" xfId="0" applyFont="1" applyBorder="1" applyAlignment="1">
      <alignment horizontal="left"/>
    </xf>
    <xf numFmtId="2" fontId="7" fillId="9" borderId="9" xfId="0" applyNumberFormat="1" applyFont="1" applyFill="1" applyBorder="1" applyAlignment="1">
      <alignment horizontal="left" wrapText="1"/>
    </xf>
    <xf numFmtId="0" fontId="7" fillId="9" borderId="9" xfId="0" applyFont="1" applyFill="1" applyBorder="1" applyAlignment="1">
      <alignment horizontal="left" wrapText="1"/>
    </xf>
    <xf numFmtId="164" fontId="3" fillId="9" borderId="4" xfId="0" applyNumberFormat="1" applyFont="1" applyFill="1" applyBorder="1" applyAlignment="1">
      <alignment horizontal="left"/>
    </xf>
    <xf numFmtId="0" fontId="3" fillId="9" borderId="3" xfId="0" applyFont="1" applyFill="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18" fillId="0" borderId="9" xfId="0" applyFont="1" applyBorder="1" applyAlignment="1">
      <alignment horizontal="left"/>
    </xf>
    <xf numFmtId="0" fontId="7" fillId="3" borderId="9" xfId="0" applyFont="1" applyFill="1" applyBorder="1" applyAlignment="1">
      <alignment horizontal="left"/>
    </xf>
    <xf numFmtId="10" fontId="7" fillId="4" borderId="9" xfId="0" applyNumberFormat="1" applyFont="1" applyFill="1" applyBorder="1" applyAlignment="1">
      <alignment horizontal="left"/>
    </xf>
    <xf numFmtId="10" fontId="7" fillId="5" borderId="9" xfId="0" applyNumberFormat="1" applyFont="1" applyFill="1" applyBorder="1" applyAlignment="1">
      <alignment horizontal="left"/>
    </xf>
    <xf numFmtId="0" fontId="7" fillId="7" borderId="9" xfId="0" applyFont="1" applyFill="1" applyBorder="1" applyAlignment="1">
      <alignment horizontal="left"/>
    </xf>
    <xf numFmtId="0" fontId="7" fillId="8" borderId="9" xfId="0" applyFont="1" applyFill="1" applyBorder="1" applyAlignment="1">
      <alignment horizontal="left"/>
    </xf>
    <xf numFmtId="0" fontId="7" fillId="6" borderId="9" xfId="0" applyFont="1" applyFill="1" applyBorder="1" applyAlignment="1">
      <alignment horizontal="left"/>
    </xf>
    <xf numFmtId="0" fontId="3" fillId="6" borderId="9" xfId="0" applyFont="1" applyFill="1" applyBorder="1" applyAlignment="1">
      <alignment horizontal="left"/>
    </xf>
    <xf numFmtId="0" fontId="7" fillId="2" borderId="9" xfId="0" applyFont="1" applyFill="1" applyBorder="1" applyAlignment="1">
      <alignment horizontal="left"/>
    </xf>
    <xf numFmtId="2" fontId="7" fillId="3" borderId="9" xfId="0" applyNumberFormat="1" applyFont="1" applyFill="1" applyBorder="1" applyAlignment="1">
      <alignment horizontal="left"/>
    </xf>
    <xf numFmtId="2" fontId="7" fillId="7" borderId="9" xfId="0" applyNumberFormat="1" applyFont="1" applyFill="1" applyBorder="1" applyAlignment="1">
      <alignment horizontal="left"/>
    </xf>
    <xf numFmtId="164" fontId="7" fillId="8" borderId="9" xfId="0" applyNumberFormat="1" applyFont="1" applyFill="1" applyBorder="1" applyAlignment="1">
      <alignment horizontal="left"/>
    </xf>
    <xf numFmtId="2" fontId="16" fillId="7" borderId="9" xfId="0" applyNumberFormat="1" applyFont="1" applyFill="1" applyBorder="1" applyAlignment="1">
      <alignment horizontal="left"/>
    </xf>
    <xf numFmtId="2" fontId="5" fillId="7" borderId="9" xfId="0" applyNumberFormat="1" applyFont="1" applyFill="1" applyBorder="1" applyAlignment="1">
      <alignment horizontal="left"/>
    </xf>
    <xf numFmtId="2" fontId="7" fillId="2" borderId="9" xfId="0" applyNumberFormat="1" applyFont="1" applyFill="1" applyBorder="1" applyAlignment="1">
      <alignment horizontal="left"/>
    </xf>
    <xf numFmtId="2" fontId="5" fillId="2" borderId="9" xfId="0" applyNumberFormat="1" applyFont="1" applyFill="1" applyBorder="1" applyAlignment="1">
      <alignment horizontal="left"/>
    </xf>
    <xf numFmtId="0" fontId="7" fillId="9" borderId="9" xfId="0" applyFont="1" applyFill="1" applyBorder="1" applyAlignment="1">
      <alignment horizontal="left"/>
    </xf>
    <xf numFmtId="2" fontId="7" fillId="9" borderId="9" xfId="0" applyNumberFormat="1" applyFont="1" applyFill="1" applyBorder="1" applyAlignment="1">
      <alignment horizontal="left"/>
    </xf>
    <xf numFmtId="2" fontId="4" fillId="9" borderId="9" xfId="0" applyNumberFormat="1" applyFont="1" applyFill="1" applyBorder="1" applyAlignment="1">
      <alignment horizontal="left"/>
    </xf>
    <xf numFmtId="2" fontId="5" fillId="9" borderId="9" xfId="0" applyNumberFormat="1" applyFont="1" applyFill="1" applyBorder="1" applyAlignment="1">
      <alignment horizontal="left"/>
    </xf>
    <xf numFmtId="2" fontId="22" fillId="9" borderId="9" xfId="0" applyNumberFormat="1" applyFont="1" applyFill="1" applyBorder="1" applyAlignment="1">
      <alignment horizontal="left"/>
    </xf>
    <xf numFmtId="2" fontId="7" fillId="4" borderId="9" xfId="0" applyNumberFormat="1" applyFont="1" applyFill="1" applyBorder="1" applyAlignment="1">
      <alignment horizontal="left"/>
    </xf>
    <xf numFmtId="9" fontId="7" fillId="6" borderId="9" xfId="0" applyNumberFormat="1" applyFont="1" applyFill="1" applyBorder="1" applyAlignment="1">
      <alignment horizontal="left"/>
    </xf>
    <xf numFmtId="0" fontId="3" fillId="4" borderId="9" xfId="0" applyFont="1" applyFill="1" applyBorder="1" applyAlignment="1">
      <alignment horizontal="left"/>
    </xf>
    <xf numFmtId="0" fontId="3" fillId="5" borderId="9" xfId="0" applyFont="1" applyFill="1" applyBorder="1" applyAlignment="1">
      <alignment horizontal="left"/>
    </xf>
    <xf numFmtId="0" fontId="3" fillId="7" borderId="9" xfId="0" applyFont="1" applyFill="1" applyBorder="1" applyAlignment="1">
      <alignment horizontal="left"/>
    </xf>
    <xf numFmtId="0" fontId="2" fillId="0" borderId="0" xfId="0" applyFont="1" applyAlignment="1">
      <alignment horizontal="right"/>
    </xf>
    <xf numFmtId="0" fontId="2" fillId="0" borderId="15" xfId="0" applyFont="1" applyBorder="1" applyAlignment="1">
      <alignment horizontal="center"/>
    </xf>
    <xf numFmtId="0" fontId="0" fillId="0" borderId="16" xfId="0" applyBorder="1" applyAlignment="1">
      <alignment horizontal="right"/>
    </xf>
    <xf numFmtId="0" fontId="0" fillId="0" borderId="17" xfId="0" applyBorder="1"/>
    <xf numFmtId="0" fontId="0" fillId="0" borderId="18" xfId="0" applyBorder="1" applyAlignment="1">
      <alignment horizontal="right"/>
    </xf>
    <xf numFmtId="0" fontId="0" fillId="0" borderId="19" xfId="0" applyBorder="1"/>
    <xf numFmtId="0" fontId="0" fillId="0" borderId="20" xfId="0" applyBorder="1" applyAlignment="1">
      <alignment horizontal="right"/>
    </xf>
    <xf numFmtId="0" fontId="3" fillId="7" borderId="4" xfId="0" applyFont="1" applyFill="1" applyBorder="1" applyAlignment="1">
      <alignment horizontal="left"/>
    </xf>
    <xf numFmtId="2" fontId="16" fillId="7" borderId="9" xfId="0" applyNumberFormat="1" applyFont="1" applyFill="1" applyBorder="1" applyAlignment="1">
      <alignment horizontal="left" wrapText="1"/>
    </xf>
    <xf numFmtId="0" fontId="16" fillId="7" borderId="9" xfId="0" applyFont="1" applyFill="1" applyBorder="1" applyAlignment="1">
      <alignment horizontal="left" wrapText="1"/>
    </xf>
    <xf numFmtId="0" fontId="16" fillId="7" borderId="9" xfId="0" applyFont="1" applyFill="1" applyBorder="1" applyAlignment="1">
      <alignment horizontal="left"/>
    </xf>
    <xf numFmtId="0" fontId="32" fillId="0" borderId="0" xfId="0" applyFont="1"/>
    <xf numFmtId="0" fontId="33" fillId="0" borderId="0" xfId="0" applyFont="1"/>
    <xf numFmtId="0" fontId="13" fillId="7" borderId="9" xfId="0" applyFont="1" applyFill="1" applyBorder="1" applyAlignment="1">
      <alignment horizontal="left" wrapText="1"/>
    </xf>
    <xf numFmtId="0" fontId="37" fillId="7" borderId="9" xfId="0" applyFont="1" applyFill="1" applyBorder="1" applyAlignment="1">
      <alignment horizontal="left"/>
    </xf>
    <xf numFmtId="0" fontId="40" fillId="0" borderId="0" xfId="0" applyFont="1" applyAlignment="1">
      <alignment horizontal="justify" vertical="center"/>
    </xf>
    <xf numFmtId="0" fontId="0" fillId="0" borderId="0" xfId="0" applyAlignment="1">
      <alignment horizontal="justify" vertical="center"/>
    </xf>
    <xf numFmtId="0" fontId="42" fillId="0" borderId="0" xfId="0" applyFont="1" applyAlignment="1">
      <alignment horizontal="justify" vertical="center"/>
    </xf>
    <xf numFmtId="0" fontId="41" fillId="0" borderId="0" xfId="0" applyFont="1" applyAlignment="1">
      <alignment horizontal="justify" vertical="center"/>
    </xf>
    <xf numFmtId="49" fontId="3" fillId="0" borderId="3" xfId="0" applyNumberFormat="1" applyFont="1" applyBorder="1" applyAlignment="1">
      <alignment horizontal="left"/>
    </xf>
    <xf numFmtId="0" fontId="3" fillId="0" borderId="3" xfId="0" applyFont="1" applyFill="1" applyBorder="1" applyAlignment="1">
      <alignment horizontal="left"/>
    </xf>
    <xf numFmtId="49" fontId="3" fillId="0" borderId="3" xfId="0" applyNumberFormat="1" applyFont="1" applyFill="1" applyBorder="1" applyAlignment="1">
      <alignment horizontal="left"/>
    </xf>
    <xf numFmtId="10" fontId="3" fillId="4" borderId="4" xfId="0" applyNumberFormat="1" applyFont="1" applyFill="1" applyBorder="1" applyAlignment="1">
      <alignment horizontal="left"/>
    </xf>
    <xf numFmtId="10" fontId="3" fillId="5" borderId="4" xfId="0" applyNumberFormat="1" applyFont="1" applyFill="1" applyBorder="1" applyAlignment="1">
      <alignment horizontal="left"/>
    </xf>
    <xf numFmtId="0" fontId="3" fillId="6" borderId="4" xfId="0" applyNumberFormat="1" applyFont="1" applyFill="1" applyBorder="1" applyAlignment="1">
      <alignment horizontal="left"/>
    </xf>
    <xf numFmtId="0" fontId="3" fillId="7" borderId="4" xfId="0" applyNumberFormat="1" applyFont="1" applyFill="1" applyBorder="1" applyAlignment="1">
      <alignment horizontal="left"/>
    </xf>
    <xf numFmtId="0" fontId="3" fillId="4" borderId="4" xfId="0" applyFont="1" applyFill="1" applyBorder="1" applyAlignment="1">
      <alignment horizontal="left"/>
    </xf>
    <xf numFmtId="0" fontId="3" fillId="5" borderId="4" xfId="0" applyFont="1" applyFill="1" applyBorder="1" applyAlignment="1">
      <alignment horizontal="left"/>
    </xf>
    <xf numFmtId="0" fontId="3" fillId="7" borderId="14" xfId="0" applyFont="1" applyFill="1" applyBorder="1" applyAlignment="1">
      <alignment horizontal="left"/>
    </xf>
    <xf numFmtId="166" fontId="3" fillId="7" borderId="4" xfId="0" applyNumberFormat="1" applyFont="1" applyFill="1" applyBorder="1" applyAlignment="1">
      <alignment horizontal="left"/>
    </xf>
    <xf numFmtId="166" fontId="3" fillId="7" borderId="14" xfId="0" applyNumberFormat="1" applyFont="1" applyFill="1" applyBorder="1" applyAlignment="1">
      <alignment horizontal="left"/>
    </xf>
    <xf numFmtId="0" fontId="3" fillId="0" borderId="21" xfId="0" applyFont="1" applyFill="1" applyBorder="1" applyAlignment="1">
      <alignment horizontal="left"/>
    </xf>
    <xf numFmtId="49" fontId="3" fillId="0" borderId="21" xfId="0" applyNumberFormat="1" applyFont="1" applyFill="1" applyBorder="1" applyAlignment="1">
      <alignment horizontal="left"/>
    </xf>
    <xf numFmtId="0" fontId="3" fillId="3" borderId="21" xfId="0" applyFont="1" applyFill="1" applyBorder="1" applyAlignment="1">
      <alignment horizontal="left"/>
    </xf>
    <xf numFmtId="10" fontId="3" fillId="4" borderId="21" xfId="0" applyNumberFormat="1" applyFont="1" applyFill="1" applyBorder="1" applyAlignment="1">
      <alignment horizontal="left"/>
    </xf>
    <xf numFmtId="10" fontId="3" fillId="5" borderId="22" xfId="0" applyNumberFormat="1" applyFont="1" applyFill="1" applyBorder="1" applyAlignment="1">
      <alignment horizontal="left"/>
    </xf>
    <xf numFmtId="164" fontId="3" fillId="7" borderId="22" xfId="0" applyNumberFormat="1" applyFont="1" applyFill="1" applyBorder="1" applyAlignment="1">
      <alignment horizontal="left"/>
    </xf>
    <xf numFmtId="164" fontId="3" fillId="8" borderId="22" xfId="0" applyNumberFormat="1" applyFont="1" applyFill="1" applyBorder="1" applyAlignment="1">
      <alignment horizontal="left"/>
    </xf>
    <xf numFmtId="164" fontId="3" fillId="6" borderId="22" xfId="0" applyNumberFormat="1" applyFont="1" applyFill="1" applyBorder="1" applyAlignment="1">
      <alignment horizontal="left"/>
    </xf>
    <xf numFmtId="0" fontId="3" fillId="6" borderId="21" xfId="0" applyNumberFormat="1" applyFont="1" applyFill="1" applyBorder="1" applyAlignment="1">
      <alignment horizontal="left"/>
    </xf>
    <xf numFmtId="0" fontId="3" fillId="2" borderId="21" xfId="0" applyFont="1" applyFill="1" applyBorder="1" applyAlignment="1">
      <alignment horizontal="left"/>
    </xf>
    <xf numFmtId="0" fontId="3" fillId="2" borderId="22" xfId="0" applyFont="1" applyFill="1" applyBorder="1" applyAlignment="1">
      <alignment horizontal="left"/>
    </xf>
    <xf numFmtId="164" fontId="3" fillId="3" borderId="22" xfId="0" applyNumberFormat="1" applyFont="1" applyFill="1" applyBorder="1" applyAlignment="1">
      <alignment horizontal="left"/>
    </xf>
    <xf numFmtId="164" fontId="3" fillId="2" borderId="22" xfId="0" applyNumberFormat="1" applyFont="1" applyFill="1" applyBorder="1" applyAlignment="1">
      <alignment horizontal="left"/>
    </xf>
    <xf numFmtId="164" fontId="3" fillId="9" borderId="21" xfId="0" applyNumberFormat="1" applyFont="1" applyFill="1" applyBorder="1" applyAlignment="1">
      <alignment horizontal="left"/>
    </xf>
    <xf numFmtId="164" fontId="3" fillId="9" borderId="22" xfId="0" applyNumberFormat="1" applyFont="1" applyFill="1" applyBorder="1" applyAlignment="1">
      <alignment horizontal="left"/>
    </xf>
    <xf numFmtId="0" fontId="3" fillId="7" borderId="21" xfId="0" applyNumberFormat="1" applyFont="1" applyFill="1" applyBorder="1" applyAlignment="1">
      <alignment horizontal="left"/>
    </xf>
    <xf numFmtId="0" fontId="3" fillId="7" borderId="22" xfId="0" applyFont="1" applyFill="1" applyBorder="1" applyAlignment="1">
      <alignment horizontal="left"/>
    </xf>
    <xf numFmtId="165" fontId="3" fillId="4" borderId="21" xfId="0" applyNumberFormat="1" applyFont="1" applyFill="1" applyBorder="1" applyAlignment="1">
      <alignment horizontal="left"/>
    </xf>
    <xf numFmtId="165" fontId="3" fillId="4" borderId="22" xfId="0" applyNumberFormat="1" applyFont="1" applyFill="1" applyBorder="1" applyAlignment="1">
      <alignment horizontal="left"/>
    </xf>
    <xf numFmtId="9" fontId="3" fillId="6" borderId="21" xfId="0" applyNumberFormat="1" applyFont="1" applyFill="1" applyBorder="1" applyAlignment="1">
      <alignment horizontal="left"/>
    </xf>
    <xf numFmtId="9" fontId="3" fillId="6" borderId="22" xfId="0" applyNumberFormat="1" applyFont="1" applyFill="1" applyBorder="1" applyAlignment="1">
      <alignment horizontal="left"/>
    </xf>
    <xf numFmtId="0" fontId="3" fillId="4" borderId="22" xfId="0" applyFont="1" applyFill="1" applyBorder="1" applyAlignment="1">
      <alignment horizontal="left"/>
    </xf>
    <xf numFmtId="0" fontId="3" fillId="4" borderId="21" xfId="0" applyFont="1" applyFill="1" applyBorder="1" applyAlignment="1">
      <alignment horizontal="left"/>
    </xf>
    <xf numFmtId="0" fontId="3" fillId="5" borderId="21" xfId="0" applyFont="1" applyFill="1" applyBorder="1" applyAlignment="1">
      <alignment horizontal="left"/>
    </xf>
    <xf numFmtId="0" fontId="3" fillId="7" borderId="23" xfId="0" applyFont="1" applyFill="1" applyBorder="1" applyAlignment="1">
      <alignment horizontal="left"/>
    </xf>
    <xf numFmtId="166" fontId="3" fillId="7" borderId="21" xfId="0" applyNumberFormat="1" applyFont="1" applyFill="1" applyBorder="1" applyAlignment="1">
      <alignment horizontal="left"/>
    </xf>
    <xf numFmtId="166" fontId="3" fillId="7" borderId="23" xfId="0" applyNumberFormat="1" applyFont="1" applyFill="1" applyBorder="1" applyAlignment="1">
      <alignment horizontal="left"/>
    </xf>
    <xf numFmtId="0" fontId="43" fillId="0" borderId="0" xfId="0" applyFont="1" applyFill="1" applyBorder="1"/>
    <xf numFmtId="0" fontId="0" fillId="0" borderId="0" xfId="0" applyFill="1" applyBorder="1"/>
    <xf numFmtId="2" fontId="7" fillId="3" borderId="1" xfId="0" applyNumberFormat="1" applyFont="1" applyFill="1" applyBorder="1" applyAlignment="1">
      <alignment horizontal="left"/>
    </xf>
    <xf numFmtId="2" fontId="7" fillId="3" borderId="2" xfId="0" applyNumberFormat="1" applyFont="1" applyFill="1" applyBorder="1" applyAlignment="1">
      <alignment horizontal="left"/>
    </xf>
    <xf numFmtId="0" fontId="7" fillId="2" borderId="1" xfId="0" applyFont="1" applyFill="1" applyBorder="1" applyAlignment="1">
      <alignment horizontal="left"/>
    </xf>
    <xf numFmtId="0" fontId="7" fillId="2" borderId="10" xfId="0" applyFont="1" applyFill="1" applyBorder="1" applyAlignment="1">
      <alignment horizontal="left"/>
    </xf>
    <xf numFmtId="0" fontId="7" fillId="6" borderId="1" xfId="0" applyFont="1" applyFill="1" applyBorder="1" applyAlignment="1">
      <alignment horizontal="left"/>
    </xf>
    <xf numFmtId="0" fontId="7" fillId="6" borderId="10" xfId="0" applyFont="1" applyFill="1" applyBorder="1" applyAlignment="1">
      <alignment horizontal="left"/>
    </xf>
    <xf numFmtId="0" fontId="7" fillId="7" borderId="1" xfId="0" applyFont="1" applyFill="1" applyBorder="1" applyAlignment="1">
      <alignment horizontal="left"/>
    </xf>
    <xf numFmtId="0" fontId="7" fillId="7" borderId="2" xfId="0" applyFont="1" applyFill="1" applyBorder="1" applyAlignment="1">
      <alignment horizontal="left"/>
    </xf>
    <xf numFmtId="0" fontId="7" fillId="7" borderId="10" xfId="0" applyFont="1" applyFill="1" applyBorder="1" applyAlignment="1">
      <alignment horizontal="left"/>
    </xf>
    <xf numFmtId="0" fontId="7" fillId="4" borderId="1" xfId="0" applyFont="1" applyFill="1" applyBorder="1" applyAlignment="1">
      <alignment horizontal="left"/>
    </xf>
    <xf numFmtId="0" fontId="7" fillId="4" borderId="2" xfId="0" applyFont="1" applyFill="1" applyBorder="1" applyAlignment="1">
      <alignment horizontal="left"/>
    </xf>
    <xf numFmtId="2" fontId="7" fillId="2" borderId="1" xfId="0" applyNumberFormat="1" applyFont="1" applyFill="1" applyBorder="1" applyAlignment="1">
      <alignment horizontal="left"/>
    </xf>
    <xf numFmtId="2" fontId="7" fillId="2" borderId="2" xfId="0" applyNumberFormat="1" applyFont="1" applyFill="1" applyBorder="1" applyAlignment="1">
      <alignment horizontal="left"/>
    </xf>
    <xf numFmtId="2" fontId="7" fillId="2" borderId="10" xfId="0" applyNumberFormat="1" applyFont="1" applyFill="1" applyBorder="1" applyAlignment="1">
      <alignment horizontal="left"/>
    </xf>
    <xf numFmtId="0" fontId="7" fillId="9" borderId="1" xfId="0" applyFont="1" applyFill="1" applyBorder="1" applyAlignment="1">
      <alignment horizontal="left"/>
    </xf>
    <xf numFmtId="0" fontId="7" fillId="9" borderId="2" xfId="0" applyFont="1" applyFill="1" applyBorder="1" applyAlignment="1">
      <alignment horizontal="left"/>
    </xf>
    <xf numFmtId="0" fontId="7" fillId="9" borderId="10" xfId="0" applyFont="1" applyFill="1" applyBorder="1" applyAlignment="1">
      <alignment horizontal="left"/>
    </xf>
    <xf numFmtId="9" fontId="7" fillId="6" borderId="1" xfId="0" applyNumberFormat="1" applyFont="1" applyFill="1" applyBorder="1" applyAlignment="1">
      <alignment horizontal="left"/>
    </xf>
    <xf numFmtId="9" fontId="7" fillId="6" borderId="2" xfId="0" applyNumberFormat="1" applyFont="1" applyFill="1" applyBorder="1" applyAlignment="1">
      <alignment horizontal="left"/>
    </xf>
    <xf numFmtId="9" fontId="7" fillId="6" borderId="10" xfId="0" applyNumberFormat="1" applyFont="1" applyFill="1" applyBorder="1" applyAlignment="1">
      <alignment horizontal="left"/>
    </xf>
    <xf numFmtId="0" fontId="7" fillId="4" borderId="10" xfId="0" applyFont="1" applyFill="1" applyBorder="1" applyAlignment="1">
      <alignment horizontal="left"/>
    </xf>
  </cellXfs>
  <cellStyles count="2">
    <cellStyle name="Normal" xfId="0" builtinId="0"/>
    <cellStyle name="Percent" xfId="1" builtinId="5" customBuiltin="1"/>
  </cellStyles>
  <dxfs count="170">
    <dxf>
      <font>
        <b val="0"/>
        <i val="0"/>
        <strike val="0"/>
        <condense val="0"/>
        <extend val="0"/>
        <outline val="0"/>
        <shadow val="0"/>
        <u val="none"/>
        <vertAlign val="baseline"/>
        <sz val="10"/>
        <color theme="1"/>
        <name val="Arial"/>
        <family val="2"/>
        <scheme val="none"/>
      </font>
      <numFmt numFmtId="166" formatCode="0.00\ \w\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6" formatCode="0.00\ \w\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6" formatCode="0.00\ \w\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6" formatCode="0.00\ \w\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59999389629810485"/>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3" formatCode="0%"/>
      <fill>
        <patternFill patternType="solid">
          <fgColor indexed="64"/>
          <bgColor theme="7"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3" formatCode="0%"/>
      <fill>
        <patternFill patternType="solid">
          <fgColor indexed="64"/>
          <bgColor theme="7"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3" formatCode="0%"/>
      <fill>
        <patternFill patternType="solid">
          <fgColor indexed="64"/>
          <bgColor theme="7"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3" formatCode="0%"/>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165" formatCode="0.00000000"/>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tint="-9.9978637043366805E-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5"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7"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7"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numFmt numFmtId="164" formatCode="0.0000"/>
      <fill>
        <patternFill patternType="solid">
          <fgColor indexed="64"/>
          <bgColor theme="9" tint="0.79998168889431442"/>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8"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5"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left" vertical="bottom" textRotation="0" wrapText="0" indent="0" justifyLastLine="0" shrinkToFit="0" readingOrder="0"/>
    </dxf>
    <dxf>
      <border>
        <bottom style="medium">
          <color indexed="64"/>
        </bottom>
      </border>
    </dxf>
    <dxf>
      <font>
        <b val="0"/>
        <i val="0"/>
        <strike val="0"/>
        <condense val="0"/>
        <extend val="0"/>
        <outline val="0"/>
        <shadow val="0"/>
        <u val="none"/>
        <vertAlign val="baseline"/>
        <sz val="10"/>
        <color theme="1"/>
        <name val="Arial"/>
        <family val="2"/>
        <scheme val="none"/>
      </font>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bottom/>
        <vertical style="thin">
          <color indexed="64"/>
        </vertical>
        <horizontal/>
      </border>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val="0"/>
        <i val="0"/>
        <color theme="5" tint="-0.499984740745262"/>
      </font>
    </dxf>
    <dxf>
      <font>
        <b/>
        <i val="0"/>
        <color theme="9" tint="-0.499984740745262"/>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val="0"/>
        <i val="0"/>
        <color theme="5" tint="-0.499984740745262"/>
      </font>
    </dxf>
    <dxf>
      <font>
        <b/>
        <i val="0"/>
        <color theme="9"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9524</xdr:colOff>
      <xdr:row>1</xdr:row>
      <xdr:rowOff>38100</xdr:rowOff>
    </xdr:from>
    <xdr:to>
      <xdr:col>10</xdr:col>
      <xdr:colOff>466724</xdr:colOff>
      <xdr:row>26</xdr:row>
      <xdr:rowOff>76200</xdr:rowOff>
    </xdr:to>
    <xdr:pic>
      <xdr:nvPicPr>
        <xdr:cNvPr id="2" name="Picture 1">
          <a:extLst>
            <a:ext uri="{FF2B5EF4-FFF2-40B4-BE49-F238E27FC236}">
              <a16:creationId xmlns:a16="http://schemas.microsoft.com/office/drawing/2014/main" id="{790CE5D9-2AB2-40E2-B12F-B258721987D6}"/>
            </a:ext>
          </a:extLst>
        </xdr:cNvPr>
        <xdr:cNvPicPr/>
      </xdr:nvPicPr>
      <xdr:blipFill>
        <a:blip xmlns:r="http://schemas.openxmlformats.org/officeDocument/2006/relationships" r:embed="rId1"/>
        <a:stretch>
          <a:fillRect/>
        </a:stretch>
      </xdr:blipFill>
      <xdr:spPr>
        <a:xfrm>
          <a:off x="3095624" y="238125"/>
          <a:ext cx="7934325" cy="4791075"/>
        </a:xfrm>
        <a:prstGeom prst="rect">
          <a:avLst/>
        </a:prstGeom>
        <a:ln>
          <a:solidFill>
            <a:schemeClr val="tx1">
              <a:lumMod val="50000"/>
              <a:lumOff val="50000"/>
            </a:schemeClr>
          </a:solidFill>
        </a:ln>
      </xdr:spPr>
    </xdr:pic>
    <xdr:clientData/>
  </xdr:twoCellAnchor>
  <xdr:twoCellAnchor editAs="oneCell">
    <xdr:from>
      <xdr:col>1</xdr:col>
      <xdr:colOff>0</xdr:colOff>
      <xdr:row>26</xdr:row>
      <xdr:rowOff>114300</xdr:rowOff>
    </xdr:from>
    <xdr:to>
      <xdr:col>6</xdr:col>
      <xdr:colOff>505599</xdr:colOff>
      <xdr:row>31</xdr:row>
      <xdr:rowOff>57274</xdr:rowOff>
    </xdr:to>
    <xdr:pic>
      <xdr:nvPicPr>
        <xdr:cNvPr id="3" name="Picture 2">
          <a:extLst>
            <a:ext uri="{FF2B5EF4-FFF2-40B4-BE49-F238E27FC236}">
              <a16:creationId xmlns:a16="http://schemas.microsoft.com/office/drawing/2014/main" id="{7451D544-94E9-4775-A881-089F6998997C}"/>
            </a:ext>
          </a:extLst>
        </xdr:cNvPr>
        <xdr:cNvPicPr>
          <a:picLocks noChangeAspect="1"/>
        </xdr:cNvPicPr>
      </xdr:nvPicPr>
      <xdr:blipFill>
        <a:blip xmlns:r="http://schemas.openxmlformats.org/officeDocument/2006/relationships" r:embed="rId2"/>
        <a:stretch>
          <a:fillRect/>
        </a:stretch>
      </xdr:blipFill>
      <xdr:spPr>
        <a:xfrm>
          <a:off x="3086100" y="5086350"/>
          <a:ext cx="5544324" cy="885949"/>
        </a:xfrm>
        <a:prstGeom prst="rect">
          <a:avLst/>
        </a:prstGeom>
        <a:ln>
          <a:solidFill>
            <a:schemeClr val="tx1">
              <a:lumMod val="50000"/>
              <a:lumOff val="50000"/>
            </a:schemeClr>
          </a:solidFill>
        </a:ln>
      </xdr:spPr>
    </xdr:pic>
    <xdr:clientData/>
  </xdr:twoCellAnchor>
  <xdr:twoCellAnchor editAs="oneCell">
    <xdr:from>
      <xdr:col>1</xdr:col>
      <xdr:colOff>0</xdr:colOff>
      <xdr:row>31</xdr:row>
      <xdr:rowOff>95250</xdr:rowOff>
    </xdr:from>
    <xdr:to>
      <xdr:col>6</xdr:col>
      <xdr:colOff>257914</xdr:colOff>
      <xdr:row>35</xdr:row>
      <xdr:rowOff>76302</xdr:rowOff>
    </xdr:to>
    <xdr:pic>
      <xdr:nvPicPr>
        <xdr:cNvPr id="4" name="Picture 3">
          <a:extLst>
            <a:ext uri="{FF2B5EF4-FFF2-40B4-BE49-F238E27FC236}">
              <a16:creationId xmlns:a16="http://schemas.microsoft.com/office/drawing/2014/main" id="{882E0CAA-0CEE-42DE-AB98-491DC5D1F257}"/>
            </a:ext>
          </a:extLst>
        </xdr:cNvPr>
        <xdr:cNvPicPr>
          <a:picLocks noChangeAspect="1"/>
        </xdr:cNvPicPr>
      </xdr:nvPicPr>
      <xdr:blipFill>
        <a:blip xmlns:r="http://schemas.openxmlformats.org/officeDocument/2006/relationships" r:embed="rId3"/>
        <a:stretch>
          <a:fillRect/>
        </a:stretch>
      </xdr:blipFill>
      <xdr:spPr>
        <a:xfrm>
          <a:off x="3086100" y="6029325"/>
          <a:ext cx="5296639" cy="733527"/>
        </a:xfrm>
        <a:prstGeom prst="rect">
          <a:avLst/>
        </a:prstGeom>
        <a:ln>
          <a:solidFill>
            <a:schemeClr val="tx1">
              <a:lumMod val="50000"/>
              <a:lumOff val="50000"/>
            </a:schemeClr>
          </a:solidFill>
        </a:ln>
      </xdr:spPr>
    </xdr:pic>
    <xdr:clientData/>
  </xdr:twoCellAnchor>
  <xdr:twoCellAnchor editAs="oneCell">
    <xdr:from>
      <xdr:col>0</xdr:col>
      <xdr:colOff>600075</xdr:colOff>
      <xdr:row>35</xdr:row>
      <xdr:rowOff>114300</xdr:rowOff>
    </xdr:from>
    <xdr:to>
      <xdr:col>6</xdr:col>
      <xdr:colOff>438916</xdr:colOff>
      <xdr:row>38</xdr:row>
      <xdr:rowOff>57220</xdr:rowOff>
    </xdr:to>
    <xdr:pic>
      <xdr:nvPicPr>
        <xdr:cNvPr id="5" name="Picture 4">
          <a:extLst>
            <a:ext uri="{FF2B5EF4-FFF2-40B4-BE49-F238E27FC236}">
              <a16:creationId xmlns:a16="http://schemas.microsoft.com/office/drawing/2014/main" id="{D91685CF-C1C7-49D0-AA3D-FA4A81B8A18B}"/>
            </a:ext>
          </a:extLst>
        </xdr:cNvPr>
        <xdr:cNvPicPr>
          <a:picLocks noChangeAspect="1"/>
        </xdr:cNvPicPr>
      </xdr:nvPicPr>
      <xdr:blipFill>
        <a:blip xmlns:r="http://schemas.openxmlformats.org/officeDocument/2006/relationships" r:embed="rId4"/>
        <a:stretch>
          <a:fillRect/>
        </a:stretch>
      </xdr:blipFill>
      <xdr:spPr>
        <a:xfrm>
          <a:off x="3076575" y="6819900"/>
          <a:ext cx="5487166" cy="504895"/>
        </a:xfrm>
        <a:prstGeom prst="rect">
          <a:avLst/>
        </a:prstGeom>
        <a:ln>
          <a:solidFill>
            <a:schemeClr val="tx1">
              <a:lumMod val="50000"/>
              <a:lumOff val="50000"/>
            </a:schemeClr>
          </a:solidFill>
        </a:ln>
      </xdr:spPr>
    </xdr:pic>
    <xdr:clientData/>
  </xdr:twoCellAnchor>
  <xdr:twoCellAnchor editAs="oneCell">
    <xdr:from>
      <xdr:col>1</xdr:col>
      <xdr:colOff>0</xdr:colOff>
      <xdr:row>38</xdr:row>
      <xdr:rowOff>95250</xdr:rowOff>
    </xdr:from>
    <xdr:to>
      <xdr:col>6</xdr:col>
      <xdr:colOff>515125</xdr:colOff>
      <xdr:row>44</xdr:row>
      <xdr:rowOff>57304</xdr:rowOff>
    </xdr:to>
    <xdr:pic>
      <xdr:nvPicPr>
        <xdr:cNvPr id="6" name="Picture 5">
          <a:extLst>
            <a:ext uri="{FF2B5EF4-FFF2-40B4-BE49-F238E27FC236}">
              <a16:creationId xmlns:a16="http://schemas.microsoft.com/office/drawing/2014/main" id="{BB1702F6-2016-4960-B12C-DAA07F041AC0}"/>
            </a:ext>
          </a:extLst>
        </xdr:cNvPr>
        <xdr:cNvPicPr>
          <a:picLocks noChangeAspect="1"/>
        </xdr:cNvPicPr>
      </xdr:nvPicPr>
      <xdr:blipFill>
        <a:blip xmlns:r="http://schemas.openxmlformats.org/officeDocument/2006/relationships" r:embed="rId5"/>
        <a:stretch>
          <a:fillRect/>
        </a:stretch>
      </xdr:blipFill>
      <xdr:spPr>
        <a:xfrm>
          <a:off x="3086100" y="7381875"/>
          <a:ext cx="5553850" cy="1105054"/>
        </a:xfrm>
        <a:prstGeom prst="rect">
          <a:avLst/>
        </a:prstGeom>
        <a:ln>
          <a:solidFill>
            <a:schemeClr val="tx1">
              <a:lumMod val="50000"/>
              <a:lumOff val="50000"/>
            </a:schemeClr>
          </a:solidFill>
        </a:ln>
      </xdr:spPr>
    </xdr:pic>
    <xdr:clientData/>
  </xdr:twoCellAnchor>
  <xdr:twoCellAnchor editAs="oneCell">
    <xdr:from>
      <xdr:col>0</xdr:col>
      <xdr:colOff>600075</xdr:colOff>
      <xdr:row>44</xdr:row>
      <xdr:rowOff>104775</xdr:rowOff>
    </xdr:from>
    <xdr:to>
      <xdr:col>8</xdr:col>
      <xdr:colOff>458139</xdr:colOff>
      <xdr:row>53</xdr:row>
      <xdr:rowOff>162172</xdr:rowOff>
    </xdr:to>
    <xdr:pic>
      <xdr:nvPicPr>
        <xdr:cNvPr id="7" name="Picture 6">
          <a:extLst>
            <a:ext uri="{FF2B5EF4-FFF2-40B4-BE49-F238E27FC236}">
              <a16:creationId xmlns:a16="http://schemas.microsoft.com/office/drawing/2014/main" id="{0A46CCD1-B9F3-4EAA-8509-820B3D169126}"/>
            </a:ext>
          </a:extLst>
        </xdr:cNvPr>
        <xdr:cNvPicPr>
          <a:picLocks noChangeAspect="1"/>
        </xdr:cNvPicPr>
      </xdr:nvPicPr>
      <xdr:blipFill>
        <a:blip xmlns:r="http://schemas.openxmlformats.org/officeDocument/2006/relationships" r:embed="rId6"/>
        <a:stretch>
          <a:fillRect/>
        </a:stretch>
      </xdr:blipFill>
      <xdr:spPr>
        <a:xfrm>
          <a:off x="3076575" y="8534400"/>
          <a:ext cx="6725589" cy="1771897"/>
        </a:xfrm>
        <a:prstGeom prst="rect">
          <a:avLst/>
        </a:prstGeom>
        <a:ln>
          <a:solidFill>
            <a:schemeClr val="tx1">
              <a:lumMod val="50000"/>
              <a:lumOff val="50000"/>
            </a:schemeClr>
          </a:solidFill>
        </a:ln>
      </xdr:spPr>
    </xdr:pic>
    <xdr:clientData/>
  </xdr:twoCellAnchor>
  <xdr:twoCellAnchor editAs="oneCell">
    <xdr:from>
      <xdr:col>0</xdr:col>
      <xdr:colOff>600075</xdr:colOff>
      <xdr:row>54</xdr:row>
      <xdr:rowOff>28575</xdr:rowOff>
    </xdr:from>
    <xdr:to>
      <xdr:col>6</xdr:col>
      <xdr:colOff>429389</xdr:colOff>
      <xdr:row>57</xdr:row>
      <xdr:rowOff>9602</xdr:rowOff>
    </xdr:to>
    <xdr:pic>
      <xdr:nvPicPr>
        <xdr:cNvPr id="8" name="Picture 7">
          <a:extLst>
            <a:ext uri="{FF2B5EF4-FFF2-40B4-BE49-F238E27FC236}">
              <a16:creationId xmlns:a16="http://schemas.microsoft.com/office/drawing/2014/main" id="{AF378D3E-A424-4C72-B63F-03E14FFA2063}"/>
            </a:ext>
          </a:extLst>
        </xdr:cNvPr>
        <xdr:cNvPicPr>
          <a:picLocks noChangeAspect="1"/>
        </xdr:cNvPicPr>
      </xdr:nvPicPr>
      <xdr:blipFill>
        <a:blip xmlns:r="http://schemas.openxmlformats.org/officeDocument/2006/relationships" r:embed="rId7"/>
        <a:stretch>
          <a:fillRect/>
        </a:stretch>
      </xdr:blipFill>
      <xdr:spPr>
        <a:xfrm>
          <a:off x="3076575" y="10363200"/>
          <a:ext cx="5477639" cy="552527"/>
        </a:xfrm>
        <a:prstGeom prst="rect">
          <a:avLst/>
        </a:prstGeom>
        <a:ln>
          <a:solidFill>
            <a:schemeClr val="tx1">
              <a:lumMod val="50000"/>
              <a:lumOff val="50000"/>
            </a:schemeClr>
          </a:solidFill>
        </a:ln>
      </xdr:spPr>
    </xdr:pic>
    <xdr:clientData/>
  </xdr:twoCellAnchor>
  <xdr:twoCellAnchor editAs="oneCell">
    <xdr:from>
      <xdr:col>1</xdr:col>
      <xdr:colOff>0</xdr:colOff>
      <xdr:row>57</xdr:row>
      <xdr:rowOff>76200</xdr:rowOff>
    </xdr:from>
    <xdr:to>
      <xdr:col>6</xdr:col>
      <xdr:colOff>438914</xdr:colOff>
      <xdr:row>61</xdr:row>
      <xdr:rowOff>95359</xdr:rowOff>
    </xdr:to>
    <xdr:pic>
      <xdr:nvPicPr>
        <xdr:cNvPr id="9" name="Picture 8">
          <a:extLst>
            <a:ext uri="{FF2B5EF4-FFF2-40B4-BE49-F238E27FC236}">
              <a16:creationId xmlns:a16="http://schemas.microsoft.com/office/drawing/2014/main" id="{234661D9-3E9D-4F6F-94ED-FF89E5D9986A}"/>
            </a:ext>
          </a:extLst>
        </xdr:cNvPr>
        <xdr:cNvPicPr>
          <a:picLocks noChangeAspect="1"/>
        </xdr:cNvPicPr>
      </xdr:nvPicPr>
      <xdr:blipFill>
        <a:blip xmlns:r="http://schemas.openxmlformats.org/officeDocument/2006/relationships" r:embed="rId8"/>
        <a:stretch>
          <a:fillRect/>
        </a:stretch>
      </xdr:blipFill>
      <xdr:spPr>
        <a:xfrm>
          <a:off x="3086100" y="10982325"/>
          <a:ext cx="5477639" cy="781159"/>
        </a:xfrm>
        <a:prstGeom prst="rect">
          <a:avLst/>
        </a:prstGeom>
        <a:ln>
          <a:solidFill>
            <a:schemeClr val="tx1">
              <a:lumMod val="50000"/>
              <a:lumOff val="50000"/>
            </a:schemeClr>
          </a:solidFill>
        </a:ln>
      </xdr:spPr>
    </xdr:pic>
    <xdr:clientData/>
  </xdr:twoCellAnchor>
  <xdr:twoCellAnchor editAs="oneCell">
    <xdr:from>
      <xdr:col>0</xdr:col>
      <xdr:colOff>600075</xdr:colOff>
      <xdr:row>61</xdr:row>
      <xdr:rowOff>142875</xdr:rowOff>
    </xdr:from>
    <xdr:to>
      <xdr:col>6</xdr:col>
      <xdr:colOff>477021</xdr:colOff>
      <xdr:row>68</xdr:row>
      <xdr:rowOff>57324</xdr:rowOff>
    </xdr:to>
    <xdr:pic>
      <xdr:nvPicPr>
        <xdr:cNvPr id="10" name="Picture 9">
          <a:extLst>
            <a:ext uri="{FF2B5EF4-FFF2-40B4-BE49-F238E27FC236}">
              <a16:creationId xmlns:a16="http://schemas.microsoft.com/office/drawing/2014/main" id="{CBDF67A4-FD98-4BBB-B8C6-3A976B5243E0}"/>
            </a:ext>
          </a:extLst>
        </xdr:cNvPr>
        <xdr:cNvPicPr>
          <a:picLocks noChangeAspect="1"/>
        </xdr:cNvPicPr>
      </xdr:nvPicPr>
      <xdr:blipFill>
        <a:blip xmlns:r="http://schemas.openxmlformats.org/officeDocument/2006/relationships" r:embed="rId9"/>
        <a:stretch>
          <a:fillRect/>
        </a:stretch>
      </xdr:blipFill>
      <xdr:spPr>
        <a:xfrm>
          <a:off x="3076575" y="11811000"/>
          <a:ext cx="5525271" cy="1247949"/>
        </a:xfrm>
        <a:prstGeom prst="rect">
          <a:avLst/>
        </a:prstGeom>
        <a:ln>
          <a:solidFill>
            <a:schemeClr val="tx1">
              <a:lumMod val="50000"/>
              <a:lumOff val="50000"/>
            </a:schemeClr>
          </a:solidFill>
        </a:ln>
      </xdr:spPr>
    </xdr:pic>
    <xdr:clientData/>
  </xdr:twoCellAnchor>
  <xdr:twoCellAnchor editAs="oneCell">
    <xdr:from>
      <xdr:col>1</xdr:col>
      <xdr:colOff>0</xdr:colOff>
      <xdr:row>68</xdr:row>
      <xdr:rowOff>114300</xdr:rowOff>
    </xdr:from>
    <xdr:to>
      <xdr:col>6</xdr:col>
      <xdr:colOff>477020</xdr:colOff>
      <xdr:row>72</xdr:row>
      <xdr:rowOff>85827</xdr:rowOff>
    </xdr:to>
    <xdr:pic>
      <xdr:nvPicPr>
        <xdr:cNvPr id="11" name="Picture 10">
          <a:extLst>
            <a:ext uri="{FF2B5EF4-FFF2-40B4-BE49-F238E27FC236}">
              <a16:creationId xmlns:a16="http://schemas.microsoft.com/office/drawing/2014/main" id="{7EBE1A95-AFED-4FDA-91E0-C8414C7BD9A4}"/>
            </a:ext>
          </a:extLst>
        </xdr:cNvPr>
        <xdr:cNvPicPr>
          <a:picLocks noChangeAspect="1"/>
        </xdr:cNvPicPr>
      </xdr:nvPicPr>
      <xdr:blipFill>
        <a:blip xmlns:r="http://schemas.openxmlformats.org/officeDocument/2006/relationships" r:embed="rId10"/>
        <a:stretch>
          <a:fillRect/>
        </a:stretch>
      </xdr:blipFill>
      <xdr:spPr>
        <a:xfrm>
          <a:off x="3086100" y="13115925"/>
          <a:ext cx="5515745" cy="733527"/>
        </a:xfrm>
        <a:prstGeom prst="rect">
          <a:avLst/>
        </a:prstGeom>
        <a:ln>
          <a:solidFill>
            <a:schemeClr val="tx1">
              <a:lumMod val="50000"/>
              <a:lumOff val="50000"/>
            </a:schemeClr>
          </a:solidFill>
        </a:ln>
      </xdr:spPr>
    </xdr:pic>
    <xdr:clientData/>
  </xdr:twoCellAnchor>
  <xdr:twoCellAnchor editAs="oneCell">
    <xdr:from>
      <xdr:col>1</xdr:col>
      <xdr:colOff>9525</xdr:colOff>
      <xdr:row>72</xdr:row>
      <xdr:rowOff>152400</xdr:rowOff>
    </xdr:from>
    <xdr:to>
      <xdr:col>6</xdr:col>
      <xdr:colOff>572282</xdr:colOff>
      <xdr:row>77</xdr:row>
      <xdr:rowOff>76322</xdr:rowOff>
    </xdr:to>
    <xdr:pic>
      <xdr:nvPicPr>
        <xdr:cNvPr id="12" name="Picture 11">
          <a:extLst>
            <a:ext uri="{FF2B5EF4-FFF2-40B4-BE49-F238E27FC236}">
              <a16:creationId xmlns:a16="http://schemas.microsoft.com/office/drawing/2014/main" id="{93B36654-B8B4-4F73-8AC6-BCE235BC3EED}"/>
            </a:ext>
          </a:extLst>
        </xdr:cNvPr>
        <xdr:cNvPicPr>
          <a:picLocks noChangeAspect="1"/>
        </xdr:cNvPicPr>
      </xdr:nvPicPr>
      <xdr:blipFill>
        <a:blip xmlns:r="http://schemas.openxmlformats.org/officeDocument/2006/relationships" r:embed="rId11"/>
        <a:stretch>
          <a:fillRect/>
        </a:stretch>
      </xdr:blipFill>
      <xdr:spPr>
        <a:xfrm>
          <a:off x="3095625" y="13916025"/>
          <a:ext cx="5601482" cy="876422"/>
        </a:xfrm>
        <a:prstGeom prst="rect">
          <a:avLst/>
        </a:prstGeom>
        <a:ln>
          <a:solidFill>
            <a:schemeClr val="tx1">
              <a:lumMod val="50000"/>
              <a:lumOff val="50000"/>
            </a:schemeClr>
          </a:solidFill>
        </a:ln>
      </xdr:spPr>
    </xdr:pic>
    <xdr:clientData/>
  </xdr:twoCellAnchor>
  <xdr:twoCellAnchor editAs="oneCell">
    <xdr:from>
      <xdr:col>1</xdr:col>
      <xdr:colOff>28575</xdr:colOff>
      <xdr:row>77</xdr:row>
      <xdr:rowOff>142875</xdr:rowOff>
    </xdr:from>
    <xdr:to>
      <xdr:col>6</xdr:col>
      <xdr:colOff>515121</xdr:colOff>
      <xdr:row>81</xdr:row>
      <xdr:rowOff>152508</xdr:rowOff>
    </xdr:to>
    <xdr:pic>
      <xdr:nvPicPr>
        <xdr:cNvPr id="13" name="Picture 12">
          <a:extLst>
            <a:ext uri="{FF2B5EF4-FFF2-40B4-BE49-F238E27FC236}">
              <a16:creationId xmlns:a16="http://schemas.microsoft.com/office/drawing/2014/main" id="{C7B5E32C-7896-412B-8D31-594B0DB81385}"/>
            </a:ext>
          </a:extLst>
        </xdr:cNvPr>
        <xdr:cNvPicPr>
          <a:picLocks noChangeAspect="1"/>
        </xdr:cNvPicPr>
      </xdr:nvPicPr>
      <xdr:blipFill>
        <a:blip xmlns:r="http://schemas.openxmlformats.org/officeDocument/2006/relationships" r:embed="rId12"/>
        <a:stretch>
          <a:fillRect/>
        </a:stretch>
      </xdr:blipFill>
      <xdr:spPr>
        <a:xfrm>
          <a:off x="3114675" y="14859000"/>
          <a:ext cx="5525271" cy="771633"/>
        </a:xfrm>
        <a:prstGeom prst="rect">
          <a:avLst/>
        </a:prstGeom>
        <a:ln>
          <a:solidFill>
            <a:schemeClr val="tx1">
              <a:lumMod val="50000"/>
              <a:lumOff val="50000"/>
            </a:schemeClr>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65943B-FF2C-446F-9E3D-87A44D5B262F}" name="Table1" displayName="Table1" ref="A3:EH30" totalsRowShown="0" headerRowDxfId="141" dataDxfId="139" headerRowBorderDxfId="140" tableBorderDxfId="138">
  <autoFilter ref="A3:EH30" xr:uid="{7FE98266-96EA-4C5B-B2CC-C99B1DAA92EB}"/>
  <tableColumns count="138">
    <tableColumn id="1" xr3:uid="{134D94EB-1BD9-4EE2-A3E9-C1FB5E5DEBFC}" name="SID" dataDxfId="137"/>
    <tableColumn id="2" xr3:uid="{3807BE9C-F8B9-40A0-B85D-4830AEF018A3}" name="ICC" dataDxfId="136"/>
    <tableColumn id="3" xr3:uid="{DA93107F-7B77-437F-BE8E-75AEFCAEDF2D}" name="ILSID" dataDxfId="135"/>
    <tableColumn id="4" xr3:uid="{26887EAF-1341-4451-B5C9-75BA49FEE59A}" name="MM" dataDxfId="134"/>
    <tableColumn id="5" xr3:uid="{D2FC8A52-7C2E-4298-900A-A208BB9028D3}" name="YYYY" dataDxfId="133"/>
    <tableColumn id="6" xr3:uid="{4A86176B-0D72-4264-9676-6034B4EC850A}" name="SLCC" dataDxfId="132"/>
    <tableColumn id="7" xr3:uid="{74E7A9C2-6490-479F-915D-3E4447AFE868}" name="OLPC" dataDxfId="131"/>
    <tableColumn id="8" xr3:uid="{40D96651-CE80-4392-A7FA-8C7D09F7ED57}" name="SC" dataDxfId="130"/>
    <tableColumn id="9" xr3:uid="{7170073A-CA16-4091-808E-AB57E4459CE1}" name="SN" dataDxfId="129"/>
    <tableColumn id="10" xr3:uid="{271E6EB3-097D-43BD-B9E1-F3BC718C63FA}" name="GPS" dataDxfId="128"/>
    <tableColumn id="11" xr3:uid="{217CD450-DF49-41C3-A440-F668DCF1C159}" name="SM" dataDxfId="127"/>
    <tableColumn id="12" xr3:uid="{D1AFABD8-628F-4F78-A58F-6B90DE250229}" name="H (cm)" dataDxfId="126"/>
    <tableColumn id="13" xr3:uid="{ED593516-327E-4780-982D-CB6ECC1AF8EC}" name="D (cm to cm)" dataDxfId="125"/>
    <tableColumn id="14" xr3:uid="{35B1A117-DCC7-41C2-AF05-FD2DC60C08F7}" name="ms (g)" dataDxfId="124"/>
    <tableColumn id="16" xr3:uid="{99E2B98C-0D40-47FA-9004-D9BFE6660316}" name="Vw (mL)" dataDxfId="123"/>
    <tableColumn id="18" xr3:uid="{1B6750EA-13DA-47F5-8ED3-CAB658303666}" name="cCl (mg L-1)" dataDxfId="122"/>
    <tableColumn id="19" xr3:uid="{C43987D2-C79E-4AA0-A3FF-22BBF06CE60F}" name="cNO3 (mg L-1)" dataDxfId="121"/>
    <tableColumn id="20" xr3:uid="{2E54075D-17E6-4357-968E-53E2C78EDDDA}" name="cSO4  (mg L-1)" dataDxfId="120"/>
    <tableColumn id="21" xr3:uid="{658DF256-2F26-4D01-970C-A9EE2DB510FC}" name="cNa  (mg L-1)" dataDxfId="119"/>
    <tableColumn id="22" xr3:uid="{61B348E5-7E86-4104-968B-90ED28FCB411}" name="cK  (mg L-1)" dataDxfId="118"/>
    <tableColumn id="23" xr3:uid="{A62AE13C-CEAE-4007-8665-A601C7838281}" name="cCa  (mg L-1)" dataDxfId="117"/>
    <tableColumn id="24" xr3:uid="{AE14DDB8-5E9A-4DC1-A1D9-FA15C319BFAC}" name="cMg  (mg L-1)" dataDxfId="116"/>
    <tableColumn id="25" xr3:uid="{E6F736D8-B2FE-4E8F-B290-31B545F8E1EE}" name="wCl (kg/kg (-))" dataDxfId="115">
      <calculatedColumnFormula>(P4*($O4/1000))/($N4*1000)</calculatedColumnFormula>
    </tableColumn>
    <tableColumn id="26" xr3:uid="{99DAA62E-CF07-43DE-9C97-597C3CBF3FCB}" name="wNO3  (kg/kg (-))" dataDxfId="114">
      <calculatedColumnFormula>(Q4*($O4/1000))/($N4*1000)</calculatedColumnFormula>
    </tableColumn>
    <tableColumn id="27" xr3:uid="{42671BBC-048A-4D63-99F5-86DAF4CCD782}" name="wSO4  (kg/kg (-))" dataDxfId="113">
      <calculatedColumnFormula>(R4*($O4/1000))/($N4*1000)</calculatedColumnFormula>
    </tableColumn>
    <tableColumn id="28" xr3:uid="{9A5E68BA-08C7-42EA-9B2E-EFD09266B000}" name="wNa  (kg/kg (-))" dataDxfId="112">
      <calculatedColumnFormula>(S4*($O4/1000))/($N4*1000)</calculatedColumnFormula>
    </tableColumn>
    <tableColumn id="29" xr3:uid="{D00B7169-DEAC-4C02-80F1-DF307647458A}" name="wK  (kg/kg (-))" dataDxfId="111">
      <calculatedColumnFormula>(T4*($O4/1000))/($N4*1000)</calculatedColumnFormula>
    </tableColumn>
    <tableColumn id="30" xr3:uid="{21CD4F33-DA3E-4BC8-9993-52428CFF3A9D}" name="wCa  (kg/kg (-))" dataDxfId="110">
      <calculatedColumnFormula>(U4*($O4/1000))/($N4*1000)</calculatedColumnFormula>
    </tableColumn>
    <tableColumn id="31" xr3:uid="{307CE6F5-42A4-47CB-B197-B213A7CEB1B1}" name="wMg  (kg/kg (-))" dataDxfId="109">
      <calculatedColumnFormula>(V4*($O4/1000))/($N4*1000)</calculatedColumnFormula>
    </tableColumn>
    <tableColumn id="32" xr3:uid="{B907E39C-6CD2-475B-AB40-01373CB0A523}" name="wtot  (kg/kg (-))" dataDxfId="108">
      <calculatedColumnFormula>SUM(W4:AC4)</calculatedColumnFormula>
    </tableColumn>
    <tableColumn id="33" xr3:uid="{A1101C97-EDB0-4F9D-949E-480391825CEE}" name="eCl (mEq/kg)" dataDxfId="107">
      <calculatedColumnFormula>((W4*Reference!D$2)/Reference!D$3)*1000</calculatedColumnFormula>
    </tableColumn>
    <tableColumn id="34" xr3:uid="{6B4B3584-5C05-494F-90EC-FB6A63749948}" name="eNO3 (mEq/kg)" dataDxfId="106">
      <calculatedColumnFormula>((X4*Reference!E$2)/Reference!E$3)*1000</calculatedColumnFormula>
    </tableColumn>
    <tableColumn id="35" xr3:uid="{288AACCD-4BD0-4CED-B0FF-6517641A7DA2}" name="eSO4 (mEq/kg)" dataDxfId="105">
      <calculatedColumnFormula>((Y4*Reference!F$2)/Reference!F$3)*1000</calculatedColumnFormula>
    </tableColumn>
    <tableColumn id="36" xr3:uid="{0DD4F212-64F8-4CA9-9954-6895F1AD20D3}" name="eNa (mEq/kg)" dataDxfId="104">
      <calculatedColumnFormula>((Z4*Reference!G$2)/Reference!G$3)*1000</calculatedColumnFormula>
    </tableColumn>
    <tableColumn id="37" xr3:uid="{9EEEF45D-60A8-4EA9-854A-B7F0997BCFE1}" name="eK (mEq/kg)" dataDxfId="103">
      <calculatedColumnFormula>((AA4*Reference!H$2)/Reference!H$3)*1000</calculatedColumnFormula>
    </tableColumn>
    <tableColumn id="38" xr3:uid="{616D260B-7D06-43A0-813A-4B5A3D8EFBA7}" name="eCa (mEq/kg)" dataDxfId="102">
      <calculatedColumnFormula>((AB4*Reference!I$2)/Reference!I$3)*1000</calculatedColumnFormula>
    </tableColumn>
    <tableColumn id="39" xr3:uid="{35E08EB4-935D-4150-A356-0F0DDA0E7AFE}" name="eMg  (mEq/kg)" dataDxfId="101">
      <calculatedColumnFormula>((AC4*Reference!J$2)/Reference!J$3)*1000</calculatedColumnFormula>
    </tableColumn>
    <tableColumn id="40" xr3:uid="{90A241A5-E27B-4E55-8972-60A27DED35AD}" name="eani  (mEq/kg)" dataDxfId="100">
      <calculatedColumnFormula>SUM(AE4:AG4)</calculatedColumnFormula>
    </tableColumn>
    <tableColumn id="41" xr3:uid="{ED61FBA1-F90C-46CE-9A0F-862F043C23DF}" name="ecat  (mEq/kg)" dataDxfId="99">
      <calculatedColumnFormula>SUM(AH4:AK4)</calculatedColumnFormula>
    </tableColumn>
    <tableColumn id="42" xr3:uid="{34931635-8DF9-4CE9-9CED-AD6A7A364D64}" name="Δe  (mEq/kg)" dataDxfId="98">
      <calculatedColumnFormula>ABS(AM4-AL4)</calculatedColumnFormula>
    </tableColumn>
    <tableColumn id="43" xr3:uid="{C431AF0E-D173-46E4-85AD-38163493AE9A}" name="Δecat or Δeani" dataDxfId="97">
      <calculatedColumnFormula>IF(AM4&gt;AL4, "Δe,cat", "Δe,ani")</calculatedColumnFormula>
    </tableColumn>
    <tableColumn id="44" xr3:uid="{F166E6C7-16B1-4D12-86A8-BAFFA4227C17}" name="pI" dataDxfId="96">
      <calculatedColumnFormula>IF(OR(AN4&lt;=MAX(AL4,AM4)*0.02, AL4&gt;AM4), TRUE)</calculatedColumnFormula>
    </tableColumn>
    <tableColumn id="45" xr3:uid="{C67F733A-365B-44AD-AD72-36A9D81D5170}" name="pII" dataDxfId="95">
      <calculatedColumnFormula>IF(AND(AN4&gt;AM4*0.02, AM4&gt;AL4), TRUE)</calculatedColumnFormula>
    </tableColumn>
    <tableColumn id="46" xr3:uid="{FDEA028E-60B7-4E5C-B3E4-0288225C4C04}" name="eCl,adj (mEq/kg) eq4" dataDxfId="94">
      <calculatedColumnFormula>IF($AP4=TRUE, (AE4*($AL4+$AM4)/(2*$AL4)), "-")</calculatedColumnFormula>
    </tableColumn>
    <tableColumn id="47" xr3:uid="{E68B3EE0-C034-4DBB-9FA4-D6EF57A42ED7}" name="eNO3,adj (mEq/kg) eq4" dataDxfId="93">
      <calculatedColumnFormula>IF($AP4=TRUE, (AF4*($AL4+$AM4)/(2*$AL4)), "-")</calculatedColumnFormula>
    </tableColumn>
    <tableColumn id="48" xr3:uid="{A394D235-FB02-4DCC-B8EB-3CDA10EFCB09}" name="eSO4,adj (mEq/kg) eq4" dataDxfId="92">
      <calculatedColumnFormula>IF($AP4=TRUE, (AG4*($AL4+$AM4)/(2*$AL4)), "-")</calculatedColumnFormula>
    </tableColumn>
    <tableColumn id="49" xr3:uid="{92B4B397-60C9-42CC-A2F3-DA3AA9228E16}" name="eNa,adj (mEq/kg) eq4" dataDxfId="91">
      <calculatedColumnFormula>IF($AP4=TRUE, (AH4*($AL4+$AM4)/(2*$AM4)), "-")</calculatedColumnFormula>
    </tableColumn>
    <tableColumn id="50" xr3:uid="{CD499D8C-4A54-4D25-B257-14D33609773B}" name="eK,adj (mEq/kg) eq4" dataDxfId="90">
      <calculatedColumnFormula>IF($AP4=TRUE, (AI4*($AL4+$AM4)/(2*$AM4)), "-")</calculatedColumnFormula>
    </tableColumn>
    <tableColumn id="51" xr3:uid="{FF1E8B54-9706-4244-8818-C53786B4AD79}" name="eCa,adj (mEq/kg) eq4" dataDxfId="89">
      <calculatedColumnFormula>IF($AP4=TRUE, (AJ4*($AL4+$AM4)/(2*$AM4)), "-")</calculatedColumnFormula>
    </tableColumn>
    <tableColumn id="52" xr3:uid="{D80646A0-C631-43F5-A335-B456B6685997}" name="eMg,adj (mEq/kg) eq4" dataDxfId="88">
      <calculatedColumnFormula>IF($AP4=TRUE, (AK4*($AL4+$AM4)/(2*$AM4)), "-")</calculatedColumnFormula>
    </tableColumn>
    <tableColumn id="53" xr3:uid="{47AE3DFB-9CB2-434C-A5EB-8D26F0C06FEB}" name="eCl (mEq/kg) eq5a" dataDxfId="87">
      <calculatedColumnFormula>IF($AQ4=TRUE, AE4, "-")</calculatedColumnFormula>
    </tableColumn>
    <tableColumn id="54" xr3:uid="{CF1107FA-A02C-4782-880F-851BED434924}" name="eNO3 (mEq/kg) eq5a" dataDxfId="86">
      <calculatedColumnFormula>IF($AQ4=TRUE, AF4, "-")</calculatedColumnFormula>
    </tableColumn>
    <tableColumn id="55" xr3:uid="{53D51694-C20F-40F6-94D0-110BBE19B533}" name="eSO4 (mEq/kg) eq5a" dataDxfId="85">
      <calculatedColumnFormula>IF($AQ4=TRUE, AG4, "-")</calculatedColumnFormula>
    </tableColumn>
    <tableColumn id="56" xr3:uid="{BC4A7A46-B37B-4F41-9FCA-730409D26F1C}" name="eNa (mEq/kg) eq5a" dataDxfId="84">
      <calculatedColumnFormula>IF($AQ4=TRUE, AH4, "-")</calculatedColumnFormula>
    </tableColumn>
    <tableColumn id="57" xr3:uid="{5AA9910E-09FE-4E70-A0C4-8D78D715EBCC}" name="eK (mEq/kg) eq5a" dataDxfId="83">
      <calculatedColumnFormula>IF($AQ4=TRUE, AI4, "-")</calculatedColumnFormula>
    </tableColumn>
    <tableColumn id="58" xr3:uid="{448AD7D4-B417-4E84-94DB-B74AE7368DC7}" name="eCa,adj (mEq/kg) eq5a" dataDxfId="82">
      <calculatedColumnFormula>IF($AQ4=TRUE, IF(AJ4-AN4 &gt;= 0, AJ4-AN4, 0), "-")</calculatedColumnFormula>
    </tableColumn>
    <tableColumn id="59" xr3:uid="{9621B4AD-4A85-4877-A1DF-C86A8B5B2635}" name="eMg (mEq/kg) eq5a" dataDxfId="81">
      <calculatedColumnFormula>IF($AQ4=TRUE, AK4, "-")</calculatedColumnFormula>
    </tableColumn>
    <tableColumn id="60" xr3:uid="{12280214-871A-41E0-810E-8D8421B637F8}" name="eani (mEq/kg) eq5a" dataDxfId="80">
      <calculatedColumnFormula>IF($AQ4=TRUE, SUM(AY4:BA4), "")</calculatedColumnFormula>
    </tableColumn>
    <tableColumn id="61" xr3:uid="{768548DB-3617-4CBB-9147-57200019608D}" name="ecat (mEq/kg) eq5a" dataDxfId="79">
      <calculatedColumnFormula>IF($AQ4=TRUE, SUM(BB4:BE4), "")</calculatedColumnFormula>
    </tableColumn>
    <tableColumn id="62" xr3:uid="{850AE440-6317-4BDC-88A9-4D15339C6CAE}" name="ΔeCa (mEq/kg) eq5a" dataDxfId="78">
      <calculatedColumnFormula>IF($AQ4=TRUE,IF(ABS(BG4-BF4)&lt; 0.000001, 0, ABS(BG4-BF4)), "")</calculatedColumnFormula>
    </tableColumn>
    <tableColumn id="63" xr3:uid="{74010A14-1F14-4A5F-BDA8-B2E9966B2740}" name="eCl (mEq/kg) eq5b" dataDxfId="77">
      <calculatedColumnFormula>IF($AQ4=TRUE, AY4, "-")</calculatedColumnFormula>
    </tableColumn>
    <tableColumn id="64" xr3:uid="{B4286E40-800D-47CD-BBB7-423DEE017DB7}" name="eNO3 (mEq/kg) eq5b" dataDxfId="76">
      <calculatedColumnFormula>IF($AQ4=TRUE, AZ4, "-")</calculatedColumnFormula>
    </tableColumn>
    <tableColumn id="65" xr3:uid="{17B948C8-0B14-459E-A0C7-3DCAF6F3D1D8}" name="eSO4 (mEq/kg) eq5b" dataDxfId="75">
      <calculatedColumnFormula>IF($AQ4=TRUE, BA4, "-")</calculatedColumnFormula>
    </tableColumn>
    <tableColumn id="66" xr3:uid="{156638CC-FC9F-4EFC-A498-CF3403E40D55}" name="eNa (mEq/kg) eq5b" dataDxfId="74">
      <calculatedColumnFormula>IF($AQ4=TRUE, BB4, "-")</calculatedColumnFormula>
    </tableColumn>
    <tableColumn id="67" xr3:uid="{AF4A488C-3CB1-4D8B-B99F-6E009D0FB5FF}" name="eK (mEq/kg) eq5b" dataDxfId="73">
      <calculatedColumnFormula>IF($AQ4=TRUE, BC4, "-")</calculatedColumnFormula>
    </tableColumn>
    <tableColumn id="68" xr3:uid="{F75AC771-7C39-4685-9DB3-E926D08228D4}" name="eCa,adj (mEq/kg) eq5b" dataDxfId="72">
      <calculatedColumnFormula>IF($AQ4=TRUE, BD4, "-")</calculatedColumnFormula>
    </tableColumn>
    <tableColumn id="69" xr3:uid="{2015C488-D845-43E8-A239-6E5A50C17D2F}" name="eMg,adj (mEq/kg) eq5b" dataDxfId="71">
      <calculatedColumnFormula>IF($AQ4=TRUE, IF(BE4 -BH4 &gt;= 0, BE4 -BH4, 0), "-")</calculatedColumnFormula>
    </tableColumn>
    <tableColumn id="70" xr3:uid="{74B06B62-A4C7-4EE0-974F-7DF6376BF36B}" name="eani (mEq/kg) eq5b" dataDxfId="70">
      <calculatedColumnFormula>IF($AQ4=TRUE, SUM(BI4:BK4), "")</calculatedColumnFormula>
    </tableColumn>
    <tableColumn id="71" xr3:uid="{92EB2934-08FF-4FB3-9F7B-DAB2A8381676}" name="ecat (mEq/kg) eq5b" dataDxfId="69">
      <calculatedColumnFormula>IF($AQ4=TRUE, SUM(BL4:BO4), "")</calculatedColumnFormula>
    </tableColumn>
    <tableColumn id="72" xr3:uid="{CE45CB59-02D9-475B-8552-A8EEE4F28FBA}" name="ΔeMg (mEq/kg) eq5b" dataDxfId="68">
      <calculatedColumnFormula>IF($AQ4=TRUE,IF(ABS(BQ4-BP4)&lt; 0.000001, 0, ABS(BQ4-BP4)), "")</calculatedColumnFormula>
    </tableColumn>
    <tableColumn id="73" xr3:uid="{C7A7F060-D826-4252-BE21-813F150C3168}" name="eCl (mEq/kg) eq5c" dataDxfId="67">
      <calculatedColumnFormula>IF($AQ4=TRUE, BI4, "-")</calculatedColumnFormula>
    </tableColumn>
    <tableColumn id="74" xr3:uid="{CC71479E-271A-48AC-8CBD-8E3ACE749D59}" name="eNO3 (mEq/kg) eq5c" dataDxfId="66">
      <calculatedColumnFormula>IF($AQ4=TRUE, BJ4, "-")</calculatedColumnFormula>
    </tableColumn>
    <tableColumn id="75" xr3:uid="{5CE900CA-804E-4227-A97E-ECB6F6D02A05}" name="eSO4 (mEq/kg) eq5c" dataDxfId="65">
      <calculatedColumnFormula>IF($AQ4=TRUE, BK4, "-")</calculatedColumnFormula>
    </tableColumn>
    <tableColumn id="76" xr3:uid="{7CB0C0F0-9CB6-4088-A4D8-2762063CBA30}" name="eNa,adj (mEq/kg) eq5c" dataDxfId="64">
      <calculatedColumnFormula>IF($AQ4=TRUE, IF(BL4 -BR4 &gt;= 0, BL4 -BR4, 0), "-")</calculatedColumnFormula>
    </tableColumn>
    <tableColumn id="77" xr3:uid="{C54F8A75-B8EE-4191-A0B8-CEAF83147B65}" name="eK (mEq/kg) eq5c" dataDxfId="63">
      <calculatedColumnFormula>IF($AQ4=TRUE, BM4, "-")</calculatedColumnFormula>
    </tableColumn>
    <tableColumn id="78" xr3:uid="{08E4B23A-595A-4821-870E-B436322200FF}" name="eCa,adj (mEq/kg) eq5c" dataDxfId="62">
      <calculatedColumnFormula>IF($AQ4=TRUE, BN4, "-")</calculatedColumnFormula>
    </tableColumn>
    <tableColumn id="79" xr3:uid="{A4E88B7D-E3BC-4308-96A2-1FF79B7AAF2D}" name="eMg,adj (mEq/kg) eq5c" dataDxfId="61">
      <calculatedColumnFormula>IF($AQ4=TRUE, BO4, "-")</calculatedColumnFormula>
    </tableColumn>
    <tableColumn id="80" xr3:uid="{5938B244-FE92-4B86-B014-82A76E71F84A}" name="eani (mEq/kg) eq5c" dataDxfId="60">
      <calculatedColumnFormula>IF($AQ4=TRUE, SUM(BS4:BU4), "")</calculatedColumnFormula>
    </tableColumn>
    <tableColumn id="81" xr3:uid="{FC5389AC-C3F4-425A-BDAA-A3C9A2539596}" name="ecat (mEq/kg) eq5c" dataDxfId="59">
      <calculatedColumnFormula>IF($AQ4=TRUE, SUM(BV4:BY4), "")</calculatedColumnFormula>
    </tableColumn>
    <tableColumn id="82" xr3:uid="{7B3EEEA2-CEAA-4C29-B7A5-C1C922E92DB7}" name="ΔeNa (mEq/kg) eq5c" dataDxfId="58">
      <calculatedColumnFormula>IF($AQ4=TRUE,IF(ABS(CA4-BZ4)&lt; 0.000001, 0, ABS(CA4-BZ4)), "")</calculatedColumnFormula>
    </tableColumn>
    <tableColumn id="83" xr3:uid="{4EFF894A-4830-4934-BE8C-3C551C511132}" name="eCl (mEq/kg) eq5d" dataDxfId="57">
      <calculatedColumnFormula>IF($AQ4=TRUE, BS4, "-")</calculatedColumnFormula>
    </tableColumn>
    <tableColumn id="84" xr3:uid="{039D6AAA-5E13-4BA2-B00D-E7C45FC71310}" name="eNO3 (mEq/kg) eq5d" dataDxfId="56">
      <calculatedColumnFormula>IF($AQ4=TRUE, BT4, "-")</calculatedColumnFormula>
    </tableColumn>
    <tableColumn id="85" xr3:uid="{60164E93-37B9-4753-9B54-72241DDBC206}" name="eSO4 (mEq/kg) eq5d" dataDxfId="55">
      <calculatedColumnFormula>IF($AQ4=TRUE, BU4, "-")</calculatedColumnFormula>
    </tableColumn>
    <tableColumn id="86" xr3:uid="{B6DF3DA8-6DCA-456C-BCB6-5FCF5DA34A4E}" name="eNa,adj (mEq/kg) eq5d" dataDxfId="54">
      <calculatedColumnFormula>IF($AQ4=TRUE, BV4, "-")</calculatedColumnFormula>
    </tableColumn>
    <tableColumn id="87" xr3:uid="{905276EF-64EA-4A08-A7B2-8DF5AAAEBCE5}" name="eK,adj (mEq/kg) eq5d" dataDxfId="53">
      <calculatedColumnFormula>IF($AQ4=TRUE,  IF(BW4 -CB4 &gt;= 0, BW4 -CB4, 0), "-")</calculatedColumnFormula>
    </tableColumn>
    <tableColumn id="88" xr3:uid="{5516ED54-F266-4009-AEAE-21A2AA5C5BC5}" name="eCa,adj (mEq/kg) eq5d" dataDxfId="52">
      <calculatedColumnFormula>IF($AQ4=TRUE, BX4, "-")</calculatedColumnFormula>
    </tableColumn>
    <tableColumn id="89" xr3:uid="{DBEC8B78-09D4-480F-BB80-0F41422FE82B}" name="eMg,adj (mEq/kg) eq5d" dataDxfId="51">
      <calculatedColumnFormula>IF($AQ4=TRUE, BY4, "-")</calculatedColumnFormula>
    </tableColumn>
    <tableColumn id="90" xr3:uid="{D64FA432-D648-4D21-88C8-73F56F61D5B6}" name="eani (mEq/kg) eq5d" dataDxfId="50">
      <calculatedColumnFormula>IF($AQ4=TRUE, SUM(CC4:CE4), "")</calculatedColumnFormula>
    </tableColumn>
    <tableColumn id="91" xr3:uid="{AF4A77AA-0BE7-4F38-B316-18B3A7711343}" name="ecat (mEq/kg) eq5d" dataDxfId="49">
      <calculatedColumnFormula>IF($AQ4=TRUE, SUM(CF4:CI4), "")</calculatedColumnFormula>
    </tableColumn>
    <tableColumn id="92" xr3:uid="{3672C9D9-6992-465A-BD0A-F934DD877665}" name="ΔeK (mEq/kg) eq5d" dataDxfId="48">
      <calculatedColumnFormula>IF($AQ4=TRUE,IF(ABS(CK4-CJ4)&lt; 0.000001, 0, ABS(CK4-CJ4)), "")</calculatedColumnFormula>
    </tableColumn>
    <tableColumn id="93" xr3:uid="{BA469ACD-8F49-4FFC-AFAD-0C5A044E6B9F}" name="eCl,adj (mEq/kg) pI or pII" dataDxfId="47">
      <calculatedColumnFormula>IF($AQ4 = TRUE, CC4, AR4)</calculatedColumnFormula>
    </tableColumn>
    <tableColumn id="94" xr3:uid="{8582366D-296C-4134-840D-AC7D9871BD94}" name="eNO3,adj (mEq/kg) pI or pII" dataDxfId="46">
      <calculatedColumnFormula>IF($AQ4 = TRUE, CD4, AS4)</calculatedColumnFormula>
    </tableColumn>
    <tableColumn id="95" xr3:uid="{E2E6B5F8-E44E-420B-93E6-D9C3CF137B5F}" name="eSO4,adj (mEq/kg) pI or pII" dataDxfId="45">
      <calculatedColumnFormula>IF($AQ4 = TRUE, CE4, AT4)</calculatedColumnFormula>
    </tableColumn>
    <tableColumn id="96" xr3:uid="{665750C0-6423-4A1E-B023-37B00C3F5EEB}" name="eNa,adj (mEq/kg) pI or pII" dataDxfId="44">
      <calculatedColumnFormula>IF($AQ4 = TRUE, CF4, AU4)</calculatedColumnFormula>
    </tableColumn>
    <tableColumn id="97" xr3:uid="{EA582BD2-BBB4-41BF-AF0D-7742C5B46F33}" name="eK,adj (mEq/kg) pI or pII" dataDxfId="43">
      <calculatedColumnFormula>IF($AQ4 = TRUE, CG4, AV4)</calculatedColumnFormula>
    </tableColumn>
    <tableColumn id="98" xr3:uid="{AD7322E8-91DB-46F1-AA62-13EDFB403805}" name="eCa,adj (mEq/kg) pI or pII" dataDxfId="42">
      <calculatedColumnFormula>IF($AQ4 = TRUE, CH4, AW4)</calculatedColumnFormula>
    </tableColumn>
    <tableColumn id="99" xr3:uid="{B75C96FE-B9B6-4BC1-B01F-AB8AB85075E8}" name="eMg,adj (mEq/kg) pI or pII" dataDxfId="41">
      <calculatedColumnFormula>IF($AQ4 = TRUE, CI4, AX4)</calculatedColumnFormula>
    </tableColumn>
    <tableColumn id="100" xr3:uid="{E27B7D02-BE09-48BB-A753-8C96142BDBD2}" name="elim,CaSO4 (mEq/kg) eq6" dataDxfId="40">
      <calculatedColumnFormula>MIN(CR4,CO4)</calculatedColumnFormula>
    </tableColumn>
    <tableColumn id="101" xr3:uid="{F1841CDA-B5A3-47FA-9940-7D653069BF03}" name="eCl,adj (mEq/kg) eq7" dataDxfId="39">
      <calculatedColumnFormula>CM4</calculatedColumnFormula>
    </tableColumn>
    <tableColumn id="102" xr3:uid="{1F463B75-EC7D-4735-9EB1-8A569EBD60D2}" name="eNO3,adj (mEq/kg) eq7" dataDxfId="38">
      <calculatedColumnFormula>CN4</calculatedColumnFormula>
    </tableColumn>
    <tableColumn id="103" xr3:uid="{91757AA9-475A-4B4D-A9D7-EFAB146A866C}" name="eSO4,adj,f (mEq/kg) eq7" dataDxfId="37">
      <calculatedColumnFormula>CO4-CT4</calculatedColumnFormula>
    </tableColumn>
    <tableColumn id="104" xr3:uid="{B8B95132-97E0-4D2A-AECA-73BF94C6652D}" name="eNa,adj (mEq/kg) eq7" dataDxfId="36">
      <calculatedColumnFormula>CP4</calculatedColumnFormula>
    </tableColumn>
    <tableColumn id="105" xr3:uid="{7147B318-F919-4154-BE88-5A85778DA8A9}" name="eK,adj (mEq/kg) eq7" dataDxfId="35">
      <calculatedColumnFormula>CQ4</calculatedColumnFormula>
    </tableColumn>
    <tableColumn id="106" xr3:uid="{20A5DC9F-B8DD-46C9-8ECC-05C925FC54F7}" name="eCa,adj,f (mEq/kg) eq7" dataDxfId="34">
      <calculatedColumnFormula>CR4-CT4</calculatedColumnFormula>
    </tableColumn>
    <tableColumn id="107" xr3:uid="{BA04C4D6-3F27-4A74-A7F4-12333C72C74F}" name="eMg,adj (mEq/kg) eq7" dataDxfId="33">
      <calculatedColumnFormula>CS4</calculatedColumnFormula>
    </tableColumn>
    <tableColumn id="108" xr3:uid="{906A9C34-50E0-477D-B211-A756320BDF49}" name="Δef (mEq/kg)" dataDxfId="32">
      <calculatedColumnFormula>IF(ABS(SUM(CU4:CW4)-SUM(CX4:DA4)) &lt; 0.000001, TRUE)</calculatedColumnFormula>
    </tableColumn>
    <tableColumn id="134" xr3:uid="{AFDE76FB-D987-40AF-9C79-D671645641DF}" name="cCl,adj (mol/kg) eq 8 part 1" dataDxfId="31">
      <calculatedColumnFormula>(Table1[[#This Row],[eCl,adj (mEq/kg) eq7]]/Reference!D$2)/1000</calculatedColumnFormula>
    </tableColumn>
    <tableColumn id="135" xr3:uid="{869F23E0-4DCD-4D30-A3B3-BB6302968ABE}" name="cNO3,adj (mol/kg) eq 8 part 1" dataDxfId="30">
      <calculatedColumnFormula>(Table1[[#This Row],[eNO3,adj (mEq/kg) eq7]]/Reference!E$2)/1000</calculatedColumnFormula>
    </tableColumn>
    <tableColumn id="136" xr3:uid="{EAEBCB8E-098B-45A1-BE20-AC06C5748D36}" name="cSO4,adj (mol/kg) eq 8 part 1" dataDxfId="29">
      <calculatedColumnFormula>(Table1[[#This Row],[eSO4,adj,f (mEq/kg) eq7]]/Reference!F$2)/1000</calculatedColumnFormula>
    </tableColumn>
    <tableColumn id="137" xr3:uid="{06871ECD-88E9-4FF0-8D7A-F96D5E07DFB3}" name="cNa,adj (mol/kg) eq 8 part 1" dataDxfId="28">
      <calculatedColumnFormula>(Table1[[#This Row],[eNa,adj (mEq/kg) eq7]]/Reference!G$2)/1000</calculatedColumnFormula>
    </tableColumn>
    <tableColumn id="138" xr3:uid="{C483E98D-106D-4576-9CB8-58762A26B442}" name="cK,adj (mol/kg) eq 8 part 1" dataDxfId="27">
      <calculatedColumnFormula>(Table1[[#This Row],[eK,adj (mEq/kg) eq7]]/Reference!H$2)/1000</calculatedColumnFormula>
    </tableColumn>
    <tableColumn id="139" xr3:uid="{FCD79A6F-7086-47E5-AEDA-F82958FFD4C5}" name="cCa,adj (mol/kg) eq 8 part 1" dataDxfId="26">
      <calculatedColumnFormula>(Table1[[#This Row],[eCa,adj,f (mEq/kg) eq7]]/Reference!I$2)/1000</calculatedColumnFormula>
    </tableColumn>
    <tableColumn id="140" xr3:uid="{D48AC92C-8B1A-47E5-B8D4-8042574FBABD}" name="cMg,adj (mol/kg) eq 8 part 1" dataDxfId="25">
      <calculatedColumnFormula>(Table1[[#This Row],[eMg,adj (mEq/kg) eq7]]/Reference!J$2)/1000</calculatedColumnFormula>
    </tableColumn>
    <tableColumn id="109" xr3:uid="{86FBF0EE-DCD4-4843-A2C3-2F29FE6E3176}" name="xCl,adj (-) eq8" dataDxfId="24">
      <calculatedColumnFormula>Table1[[#This Row],[cCl,adj (mol/kg) eq 8 part 1]]/SUM(Table1[[#This Row],[cCl,adj (mol/kg) eq 8 part 1]:[cMg,adj (mol/kg) eq 8 part 1]])</calculatedColumnFormula>
    </tableColumn>
    <tableColumn id="110" xr3:uid="{9E1CCD07-D0B0-4A0C-8F70-A09EA3F85E72}" name="xNO3,adj (-) eq8" dataDxfId="23">
      <calculatedColumnFormula>Table1[[#This Row],[cNO3,adj (mol/kg) eq 8 part 1]]/SUM(Table1[[#This Row],[cCl,adj (mol/kg) eq 8 part 1]:[cMg,adj (mol/kg) eq 8 part 1]])</calculatedColumnFormula>
    </tableColumn>
    <tableColumn id="111" xr3:uid="{9E4CE253-DF22-40DB-89F0-CFDD42943402}" name="xSO4,adj (-) eq8" dataDxfId="22">
      <calculatedColumnFormula>Table1[[#This Row],[cSO4,adj (mol/kg) eq 8 part 1]]/SUM(Table1[[#This Row],[cCl,adj (mol/kg) eq 8 part 1]:[cMg,adj (mol/kg) eq 8 part 1]])</calculatedColumnFormula>
    </tableColumn>
    <tableColumn id="112" xr3:uid="{DE4CD7A8-A528-41C0-A1E7-C94A7DCF4F75}" name="xNa,adj (-) eq8" dataDxfId="21">
      <calculatedColumnFormula>Table1[[#This Row],[cNa,adj (mol/kg) eq 8 part 1]]/SUM(Table1[[#This Row],[cCl,adj (mol/kg) eq 8 part 1]:[cMg,adj (mol/kg) eq 8 part 1]])</calculatedColumnFormula>
    </tableColumn>
    <tableColumn id="113" xr3:uid="{B229F6CC-A606-4FAA-8E34-06AB81CF0268}" name="xK,adj (-) eq8" dataDxfId="20">
      <calculatedColumnFormula>Table1[[#This Row],[cK,adj (mol/kg) eq 8 part 1]]/SUM(Table1[[#This Row],[cCl,adj (mol/kg) eq 8 part 1]:[cMg,adj (mol/kg) eq 8 part 1]])</calculatedColumnFormula>
    </tableColumn>
    <tableColumn id="114" xr3:uid="{E5557896-3C20-47DB-875A-C24D6B63B9BF}" name="xCa,adj (-) eq8" dataDxfId="19">
      <calculatedColumnFormula>Table1[[#This Row],[cCa,adj (mol/kg) eq 8 part 1]]/SUM(Table1[[#This Row],[cCl,adj (mol/kg) eq 8 part 1]:[cMg,adj (mol/kg) eq 8 part 1]])</calculatedColumnFormula>
    </tableColumn>
    <tableColumn id="115" xr3:uid="{998BA64D-6027-4117-93E4-9DC642FCF1C3}" name="xMg,adj (-) eq8" dataDxfId="18">
      <calculatedColumnFormula>Table1[[#This Row],[cMg,adj (mol/kg) eq 8 part 1]]/SUM(Table1[[#This Row],[cCl,adj (mol/kg) eq 8 part 1]:[cMg,adj (mol/kg) eq 8 part 1]])</calculatedColumnFormula>
    </tableColumn>
    <tableColumn id="116" xr3:uid="{B6F9F228-F19F-45E3-9192-B428C94A2D7A}" name="fΔeCa (-) eq9" dataDxfId="17">
      <calculatedColumnFormula>IF($AP4=TRUE, 0, (AJ4-CR4)/SUM($AH4:$AK4))</calculatedColumnFormula>
    </tableColumn>
    <tableColumn id="117" xr3:uid="{50501B7E-4B65-4146-B467-D6D8D42F29FC}" name="fΔeMg (-) eq9" dataDxfId="16">
      <calculatedColumnFormula>IF($AP4=TRUE, 0, (AK4-CS4)/SUM($AH4:$AK4))</calculatedColumnFormula>
    </tableColumn>
    <tableColumn id="118" xr3:uid="{AC3F1479-6BA6-40F1-B04E-22643A802F66}" name="fΔeNa (-) eq9" dataDxfId="15">
      <calculatedColumnFormula>IF($AP4=TRUE, 0, (AH4-CP4)/SUM($AH4:$AK4))</calculatedColumnFormula>
    </tableColumn>
    <tableColumn id="119" xr3:uid="{8D98AA4D-AE05-41AD-9BFD-85C7B5DC73E5}" name="fΔeK (-) eq9" dataDxfId="14">
      <calculatedColumnFormula>IF($AP4=TRUE, 0, (AI4-CQ4)/SUM($AH4:$AK4))</calculatedColumnFormula>
    </tableColumn>
    <tableColumn id="120" xr3:uid="{4584CD24-7DFE-40F3-976D-8BE3A020FD21}" name="wCl,f (-) eq10" dataDxfId="13">
      <calculatedColumnFormula>((CU4*Reference!D$3)/Reference!D$2)*0.001</calculatedColumnFormula>
    </tableColumn>
    <tableColumn id="121" xr3:uid="{EAD7E2C7-4DDC-4D4E-BF7F-F98C8B6DF054}" name="wNO3,f (-) eq10" dataDxfId="12">
      <calculatedColumnFormula>((CV4*Reference!E$3)/Reference!E$2)*0.001</calculatedColumnFormula>
    </tableColumn>
    <tableColumn id="122" xr3:uid="{BB493656-03AE-45B2-B8BF-42F0803E5BF1}" name="wSO4,f (-) eq10" dataDxfId="11">
      <calculatedColumnFormula>((CW4*Reference!F$3)/Reference!F$2)*0.001</calculatedColumnFormula>
    </tableColumn>
    <tableColumn id="123" xr3:uid="{A5A0CD46-CA85-4A6E-9BCB-29B75770D9FC}" name="wNa,f (-) eq10" dataDxfId="10">
      <calculatedColumnFormula>((CX4*Reference!G$3)/Reference!G$2)*0.001</calculatedColumnFormula>
    </tableColumn>
    <tableColumn id="124" xr3:uid="{C4419687-F482-44A8-8973-2B83F7809C69}" name="wK,f (-) eq10" dataDxfId="9">
      <calculatedColumnFormula>((CY4*Reference!H$3)/Reference!H$2)*0.001</calculatedColumnFormula>
    </tableColumn>
    <tableColumn id="125" xr3:uid="{6458977D-17A1-48AA-997F-9453B1D209AD}" name="wCa,f (-) eq10" dataDxfId="8">
      <calculatedColumnFormula>((CZ4*Reference!I$3)/Reference!I$2)*0.001</calculatedColumnFormula>
    </tableColumn>
    <tableColumn id="126" xr3:uid="{C7BA71EC-4583-4742-8594-461621BBFE30}" name="wMg,f (-) eq10" dataDxfId="7">
      <calculatedColumnFormula>((DA4*Reference!J$3)/Reference!J$2)*0.001</calculatedColumnFormula>
    </tableColumn>
    <tableColumn id="127" xr3:uid="{A501FFCC-D758-4293-A89A-193DCF74AFA8}" name="wtot,f (-) eq10" dataDxfId="6">
      <calculatedColumnFormula>SUM(DU4:EA4)</calculatedColumnFormula>
    </tableColumn>
    <tableColumn id="128" xr3:uid="{A4170244-2FC4-42BF-9C68-47D9920373E9}" name="wtot,adj + wCaSO4(-) eq11" dataDxfId="5">
      <calculatedColumnFormula>(AD4-EB4)</calculatedColumnFormula>
    </tableColumn>
    <tableColumn id="129" xr3:uid="{8B7CBF2F-2A22-4E74-8748-D9E8718FEAC8}" name="wCaSO4 (-)" dataDxfId="4">
      <calculatedColumnFormula>((CT4)*(0.5*(96.064+40.078))*0.000001)</calculatedColumnFormula>
    </tableColumn>
    <tableColumn id="130" xr3:uid="{4BDE6EBB-D882-4868-BCD5-5D0752E36C09}" name="wtot,adj (-) eq11" dataDxfId="3">
      <calculatedColumnFormula>Table1[[#This Row],[wtot,adj + wCaSO4(-) eq11]]-Table1[[#This Row],[wCaSO4 (-)]]</calculatedColumnFormula>
    </tableColumn>
    <tableColumn id="132" xr3:uid="{39A2FC9B-1BF5-427E-B18E-3AD85E161529}" name="wMg,Na,K,adj (-)" dataDxfId="2">
      <calculatedColumnFormula>IF(Table1[[#This Row],[pII]]=TRUE, ABS(SUM(DX4,DY4)-(SUM(Z4,AA4))),"Pathway I")</calculatedColumnFormula>
    </tableColumn>
    <tableColumn id="131" xr3:uid="{F474D49F-423B-4837-94F4-4AA63C525CF1}" name="wCa,adj (-)" dataDxfId="1">
      <calculatedColumnFormula>IF(Table1[[#This Row],[pII]]=TRUE, (((ABS(Table1[[#This Row],[eCa,adj (mEq/kg) pI or pII]]-Table1[[#This Row],[eCa (mEq/kg)]]))*0.040078)/2)*0.001,"Pathway I")</calculatedColumnFormula>
    </tableColumn>
    <tableColumn id="133" xr3:uid="{368591FA-7A4A-4A8E-AE33-AD25BE4C442F}" name="wCO3,h (-)" dataDxfId="0">
      <calculatedColumnFormula>IF(Table1[[#This Row],[pII]]=TRUE, ((Table1[[#This Row],[ΔeMg (mEq/kg) eq5b]]+Table1[[#This Row],[ΔeNa (mEq/kg) eq5c]]+Table1[[#This Row],[ΔeK (mEq/kg) eq5d]])/1000000)*(60.01/2), "Pathway I")</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C255-C138-4D46-BCB2-6055DEC2CC59}">
  <dimension ref="A1:EH30"/>
  <sheetViews>
    <sheetView tabSelected="1" topLeftCell="DY1" zoomScale="90" zoomScaleNormal="90" workbookViewId="0">
      <selection activeCell="EH5" sqref="EH5"/>
    </sheetView>
  </sheetViews>
  <sheetFormatPr defaultColWidth="8.86328125" defaultRowHeight="13" x14ac:dyDescent="0.6"/>
  <cols>
    <col min="1" max="1" width="17.54296875" style="1" bestFit="1" customWidth="1"/>
    <col min="2" max="2" width="10.7265625" style="1" customWidth="1"/>
    <col min="3" max="3" width="13.7265625" style="1" customWidth="1"/>
    <col min="4" max="5" width="10.7265625" style="1" customWidth="1"/>
    <col min="6" max="6" width="15.26953125" style="1" customWidth="1"/>
    <col min="7" max="7" width="16.54296875" style="1" customWidth="1"/>
    <col min="8" max="8" width="14.1328125" style="1" customWidth="1"/>
    <col min="9" max="9" width="21.26953125" style="1" bestFit="1" customWidth="1"/>
    <col min="10" max="10" width="15.26953125" style="1" customWidth="1"/>
    <col min="11" max="11" width="11.86328125" style="1" customWidth="1"/>
    <col min="12" max="12" width="13.54296875" style="1" bestFit="1" customWidth="1"/>
    <col min="13" max="13" width="13.54296875" style="1" customWidth="1"/>
    <col min="14" max="14" width="9" style="1" bestFit="1" customWidth="1"/>
    <col min="15" max="15" width="19.1328125" style="1" customWidth="1"/>
    <col min="16" max="22" width="17.7265625" style="26" customWidth="1"/>
    <col min="23" max="29" width="17.7265625" style="66" customWidth="1"/>
    <col min="30" max="30" width="17.7265625" style="67" customWidth="1"/>
    <col min="31" max="37" width="17.7265625" style="29" customWidth="1"/>
    <col min="38" max="39" width="17.7265625" style="30" customWidth="1"/>
    <col min="40" max="40" width="17.7265625" style="31" customWidth="1"/>
    <col min="41" max="41" width="18.26953125" style="31" customWidth="1"/>
    <col min="42" max="42" width="16.54296875" style="32" bestFit="1" customWidth="1"/>
    <col min="43" max="43" width="17.7265625" style="32" customWidth="1"/>
    <col min="44" max="50" width="17.7265625" style="36" customWidth="1"/>
    <col min="51" max="54" width="17.7265625" style="29" customWidth="1"/>
    <col min="55" max="55" width="16.1328125" style="29" bestFit="1" customWidth="1"/>
    <col min="56" max="56" width="19.54296875" style="23" bestFit="1" customWidth="1"/>
    <col min="57" max="57" width="16.7265625" style="29" bestFit="1" customWidth="1"/>
    <col min="58" max="58" width="17" style="30" bestFit="1" customWidth="1"/>
    <col min="59" max="59" width="17.1328125" style="30" bestFit="1" customWidth="1"/>
    <col min="60" max="60" width="20.86328125" style="41" bestFit="1" customWidth="1"/>
    <col min="61" max="67" width="17.7265625" style="29" customWidth="1"/>
    <col min="68" max="70" width="17.7265625" style="30" customWidth="1"/>
    <col min="71" max="77" width="17.7265625" style="29" customWidth="1"/>
    <col min="78" max="80" width="17.7265625" style="30" customWidth="1"/>
    <col min="81" max="87" width="17.7265625" style="29" customWidth="1"/>
    <col min="88" max="90" width="17.7265625" style="30" customWidth="1"/>
    <col min="91" max="97" width="17.7265625" style="43" customWidth="1"/>
    <col min="98" max="105" width="17.7265625" style="79" customWidth="1"/>
    <col min="106" max="106" width="17.7265625" style="32" customWidth="1"/>
    <col min="107" max="113" width="17.7265625" style="29" customWidth="1"/>
    <col min="114" max="120" width="17.7265625" style="27" customWidth="1"/>
    <col min="121" max="124" width="17.7265625" style="47" customWidth="1"/>
    <col min="125" max="131" width="17.7265625" style="27" customWidth="1"/>
    <col min="132" max="132" width="17.7265625" style="28" customWidth="1"/>
    <col min="133" max="138" width="17.7265625" style="29" customWidth="1"/>
    <col min="139" max="16384" width="8.86328125" style="1"/>
  </cols>
  <sheetData>
    <row r="1" spans="1:138" s="7" customFormat="1" ht="15.65" customHeight="1" thickBot="1" x14ac:dyDescent="0.75">
      <c r="A1" s="6" t="s">
        <v>0</v>
      </c>
      <c r="M1" s="8"/>
      <c r="N1" s="6" t="s">
        <v>1</v>
      </c>
      <c r="O1" s="9"/>
      <c r="P1" s="10" t="s">
        <v>2</v>
      </c>
      <c r="Q1" s="11"/>
      <c r="R1" s="11"/>
      <c r="S1" s="11"/>
      <c r="T1" s="11"/>
      <c r="U1" s="11"/>
      <c r="V1" s="11"/>
      <c r="W1" s="60" t="s">
        <v>3</v>
      </c>
      <c r="X1" s="61"/>
      <c r="Y1" s="61"/>
      <c r="Z1" s="61"/>
      <c r="AA1" s="61"/>
      <c r="AB1" s="61"/>
      <c r="AC1" s="61"/>
      <c r="AD1" s="62"/>
      <c r="AE1" s="174" t="s">
        <v>4</v>
      </c>
      <c r="AF1" s="175"/>
      <c r="AG1" s="175"/>
      <c r="AH1" s="175"/>
      <c r="AI1" s="175"/>
      <c r="AJ1" s="175"/>
      <c r="AK1" s="175"/>
      <c r="AL1" s="175"/>
      <c r="AM1" s="176"/>
      <c r="AN1" s="172" t="s">
        <v>5</v>
      </c>
      <c r="AO1" s="173"/>
      <c r="AP1" s="170" t="s">
        <v>6</v>
      </c>
      <c r="AQ1" s="171"/>
      <c r="AR1" s="168" t="s">
        <v>7</v>
      </c>
      <c r="AS1" s="169"/>
      <c r="AT1" s="169"/>
      <c r="AU1" s="169"/>
      <c r="AV1" s="169"/>
      <c r="AW1" s="169"/>
      <c r="AX1" s="169"/>
      <c r="AY1" s="175" t="s">
        <v>8</v>
      </c>
      <c r="AZ1" s="175"/>
      <c r="BA1" s="175"/>
      <c r="BB1" s="175"/>
      <c r="BC1" s="175"/>
      <c r="BD1" s="175"/>
      <c r="BE1" s="175"/>
      <c r="BF1" s="175"/>
      <c r="BG1" s="175"/>
      <c r="BH1" s="175"/>
      <c r="BI1" s="175" t="s">
        <v>9</v>
      </c>
      <c r="BJ1" s="175"/>
      <c r="BK1" s="175"/>
      <c r="BL1" s="175"/>
      <c r="BM1" s="175"/>
      <c r="BN1" s="175"/>
      <c r="BO1" s="175"/>
      <c r="BP1" s="175"/>
      <c r="BQ1" s="175"/>
      <c r="BR1" s="175"/>
      <c r="BS1" s="175" t="s">
        <v>10</v>
      </c>
      <c r="BT1" s="175"/>
      <c r="BU1" s="175"/>
      <c r="BV1" s="175"/>
      <c r="BW1" s="175"/>
      <c r="BX1" s="175"/>
      <c r="BY1" s="175"/>
      <c r="BZ1" s="175"/>
      <c r="CA1" s="175"/>
      <c r="CB1" s="176"/>
      <c r="CC1" s="12" t="s">
        <v>11</v>
      </c>
      <c r="CD1" s="13"/>
      <c r="CE1" s="13"/>
      <c r="CF1" s="13"/>
      <c r="CG1" s="13"/>
      <c r="CH1" s="13"/>
      <c r="CI1" s="13"/>
      <c r="CJ1" s="14"/>
      <c r="CK1" s="14"/>
      <c r="CL1" s="15"/>
      <c r="CM1" s="179" t="s">
        <v>12</v>
      </c>
      <c r="CN1" s="180"/>
      <c r="CO1" s="180"/>
      <c r="CP1" s="180"/>
      <c r="CQ1" s="180"/>
      <c r="CR1" s="180"/>
      <c r="CS1" s="181"/>
      <c r="CT1" s="182" t="s">
        <v>13</v>
      </c>
      <c r="CU1" s="183"/>
      <c r="CV1" s="183"/>
      <c r="CW1" s="183"/>
      <c r="CX1" s="183"/>
      <c r="CY1" s="183"/>
      <c r="CZ1" s="183"/>
      <c r="DA1" s="184"/>
      <c r="DB1" s="48" t="s">
        <v>14</v>
      </c>
      <c r="DC1" s="174" t="s">
        <v>15</v>
      </c>
      <c r="DD1" s="175"/>
      <c r="DE1" s="175"/>
      <c r="DF1" s="175"/>
      <c r="DG1" s="175"/>
      <c r="DH1" s="175"/>
      <c r="DI1" s="176"/>
      <c r="DJ1" s="177" t="s">
        <v>16</v>
      </c>
      <c r="DK1" s="178"/>
      <c r="DL1" s="178"/>
      <c r="DM1" s="178"/>
      <c r="DN1" s="178"/>
      <c r="DO1" s="178"/>
      <c r="DP1" s="188"/>
      <c r="DQ1" s="185" t="s">
        <v>17</v>
      </c>
      <c r="DR1" s="186"/>
      <c r="DS1" s="186"/>
      <c r="DT1" s="187"/>
      <c r="DU1" s="177" t="s">
        <v>424</v>
      </c>
      <c r="DV1" s="178"/>
      <c r="DW1" s="178"/>
      <c r="DX1" s="178"/>
      <c r="DY1" s="178"/>
      <c r="DZ1" s="178"/>
      <c r="EA1" s="178"/>
      <c r="EB1" s="178"/>
      <c r="EC1" s="175" t="s">
        <v>18</v>
      </c>
      <c r="ED1" s="175"/>
      <c r="EE1" s="175"/>
      <c r="EF1" s="175"/>
      <c r="EG1" s="175"/>
      <c r="EH1" s="175"/>
    </row>
    <row r="2" spans="1:138" s="22" customFormat="1" ht="57.25" thickBot="1" x14ac:dyDescent="1.05">
      <c r="A2" s="33" t="s">
        <v>19</v>
      </c>
      <c r="B2" s="3" t="s">
        <v>20</v>
      </c>
      <c r="C2" s="3" t="s">
        <v>21</v>
      </c>
      <c r="D2" s="3" t="s">
        <v>22</v>
      </c>
      <c r="E2" s="3" t="s">
        <v>23</v>
      </c>
      <c r="F2" s="3" t="s">
        <v>24</v>
      </c>
      <c r="G2" s="3" t="s">
        <v>25</v>
      </c>
      <c r="H2" s="3" t="s">
        <v>26</v>
      </c>
      <c r="I2" s="3" t="s">
        <v>27</v>
      </c>
      <c r="J2" s="3" t="s">
        <v>28</v>
      </c>
      <c r="K2" s="3" t="s">
        <v>29</v>
      </c>
      <c r="L2" s="3" t="s">
        <v>30</v>
      </c>
      <c r="M2" s="3" t="s">
        <v>31</v>
      </c>
      <c r="N2" s="3" t="s">
        <v>32</v>
      </c>
      <c r="O2" s="3" t="s">
        <v>33</v>
      </c>
      <c r="P2" s="16" t="s">
        <v>34</v>
      </c>
      <c r="Q2" s="16" t="s">
        <v>35</v>
      </c>
      <c r="R2" s="16" t="s">
        <v>36</v>
      </c>
      <c r="S2" s="16" t="s">
        <v>37</v>
      </c>
      <c r="T2" s="16" t="s">
        <v>38</v>
      </c>
      <c r="U2" s="16" t="s">
        <v>39</v>
      </c>
      <c r="V2" s="52" t="s">
        <v>40</v>
      </c>
      <c r="W2" s="63" t="s">
        <v>34</v>
      </c>
      <c r="X2" s="64" t="s">
        <v>35</v>
      </c>
      <c r="Y2" s="64" t="s">
        <v>36</v>
      </c>
      <c r="Z2" s="64" t="s">
        <v>37</v>
      </c>
      <c r="AA2" s="64" t="s">
        <v>38</v>
      </c>
      <c r="AB2" s="64" t="s">
        <v>39</v>
      </c>
      <c r="AC2" s="64" t="s">
        <v>40</v>
      </c>
      <c r="AD2" s="65" t="s">
        <v>41</v>
      </c>
      <c r="AE2" s="53" t="s">
        <v>34</v>
      </c>
      <c r="AF2" s="19" t="s">
        <v>35</v>
      </c>
      <c r="AG2" s="19" t="s">
        <v>36</v>
      </c>
      <c r="AH2" s="19" t="s">
        <v>37</v>
      </c>
      <c r="AI2" s="19" t="s">
        <v>38</v>
      </c>
      <c r="AJ2" s="19" t="s">
        <v>39</v>
      </c>
      <c r="AK2" s="19" t="s">
        <v>40</v>
      </c>
      <c r="AL2" s="20" t="s">
        <v>42</v>
      </c>
      <c r="AM2" s="54" t="s">
        <v>43</v>
      </c>
      <c r="AN2" s="55" t="s">
        <v>44</v>
      </c>
      <c r="AO2" s="56" t="s">
        <v>45</v>
      </c>
      <c r="AP2" s="58" t="s">
        <v>46</v>
      </c>
      <c r="AQ2" s="59" t="s">
        <v>47</v>
      </c>
      <c r="AR2" s="57" t="s">
        <v>34</v>
      </c>
      <c r="AS2" s="35" t="s">
        <v>35</v>
      </c>
      <c r="AT2" s="35" t="s">
        <v>36</v>
      </c>
      <c r="AU2" s="35" t="s">
        <v>37</v>
      </c>
      <c r="AV2" s="35" t="s">
        <v>38</v>
      </c>
      <c r="AW2" s="35" t="s">
        <v>39</v>
      </c>
      <c r="AX2" s="35" t="s">
        <v>40</v>
      </c>
      <c r="AY2" s="37" t="s">
        <v>34</v>
      </c>
      <c r="AZ2" s="37" t="s">
        <v>35</v>
      </c>
      <c r="BA2" s="37" t="s">
        <v>36</v>
      </c>
      <c r="BB2" s="37" t="s">
        <v>37</v>
      </c>
      <c r="BC2" s="37" t="s">
        <v>38</v>
      </c>
      <c r="BD2" s="117" t="s">
        <v>48</v>
      </c>
      <c r="BE2" s="37" t="s">
        <v>40</v>
      </c>
      <c r="BF2" s="20" t="s">
        <v>42</v>
      </c>
      <c r="BG2" s="20" t="s">
        <v>43</v>
      </c>
      <c r="BH2" s="39" t="s">
        <v>49</v>
      </c>
      <c r="BI2" s="37" t="s">
        <v>34</v>
      </c>
      <c r="BJ2" s="37" t="s">
        <v>35</v>
      </c>
      <c r="BK2" s="37" t="s">
        <v>36</v>
      </c>
      <c r="BL2" s="37" t="s">
        <v>37</v>
      </c>
      <c r="BM2" s="37" t="s">
        <v>38</v>
      </c>
      <c r="BN2" s="19" t="s">
        <v>39</v>
      </c>
      <c r="BO2" s="116" t="s">
        <v>50</v>
      </c>
      <c r="BP2" s="20" t="s">
        <v>42</v>
      </c>
      <c r="BQ2" s="20" t="s">
        <v>43</v>
      </c>
      <c r="BR2" s="38" t="s">
        <v>51</v>
      </c>
      <c r="BS2" s="37" t="s">
        <v>34</v>
      </c>
      <c r="BT2" s="37" t="s">
        <v>35</v>
      </c>
      <c r="BU2" s="37" t="s">
        <v>36</v>
      </c>
      <c r="BV2" s="116" t="s">
        <v>52</v>
      </c>
      <c r="BW2" s="37" t="s">
        <v>38</v>
      </c>
      <c r="BX2" s="19" t="s">
        <v>39</v>
      </c>
      <c r="BY2" s="37" t="s">
        <v>40</v>
      </c>
      <c r="BZ2" s="20" t="s">
        <v>42</v>
      </c>
      <c r="CA2" s="49" t="s">
        <v>43</v>
      </c>
      <c r="CB2" s="51" t="s">
        <v>53</v>
      </c>
      <c r="CC2" s="50" t="s">
        <v>34</v>
      </c>
      <c r="CD2" s="37" t="s">
        <v>35</v>
      </c>
      <c r="CE2" s="37" t="s">
        <v>36</v>
      </c>
      <c r="CF2" s="37" t="s">
        <v>37</v>
      </c>
      <c r="CG2" s="116" t="s">
        <v>54</v>
      </c>
      <c r="CH2" s="19" t="s">
        <v>39</v>
      </c>
      <c r="CI2" s="37" t="s">
        <v>40</v>
      </c>
      <c r="CJ2" s="20" t="s">
        <v>42</v>
      </c>
      <c r="CK2" s="20" t="s">
        <v>43</v>
      </c>
      <c r="CL2" s="38" t="s">
        <v>55</v>
      </c>
      <c r="CM2" s="42" t="s">
        <v>34</v>
      </c>
      <c r="CN2" s="42" t="s">
        <v>35</v>
      </c>
      <c r="CO2" s="42" t="s">
        <v>36</v>
      </c>
      <c r="CP2" s="42" t="s">
        <v>37</v>
      </c>
      <c r="CQ2" s="42" t="s">
        <v>38</v>
      </c>
      <c r="CR2" s="42" t="s">
        <v>39</v>
      </c>
      <c r="CS2" s="42" t="s">
        <v>40</v>
      </c>
      <c r="CT2" s="77" t="s">
        <v>56</v>
      </c>
      <c r="CU2" s="76" t="s">
        <v>34</v>
      </c>
      <c r="CV2" s="76" t="s">
        <v>35</v>
      </c>
      <c r="CW2" s="76" t="s">
        <v>36</v>
      </c>
      <c r="CX2" s="76" t="s">
        <v>37</v>
      </c>
      <c r="CY2" s="76" t="s">
        <v>38</v>
      </c>
      <c r="CZ2" s="76" t="s">
        <v>39</v>
      </c>
      <c r="DA2" s="76" t="s">
        <v>40</v>
      </c>
      <c r="DB2" s="21" t="s">
        <v>57</v>
      </c>
      <c r="DC2" s="37" t="s">
        <v>34</v>
      </c>
      <c r="DD2" s="37" t="s">
        <v>35</v>
      </c>
      <c r="DE2" s="37" t="s">
        <v>36</v>
      </c>
      <c r="DF2" s="37" t="s">
        <v>37</v>
      </c>
      <c r="DG2" s="37" t="s">
        <v>38</v>
      </c>
      <c r="DH2" s="37" t="s">
        <v>39</v>
      </c>
      <c r="DI2" s="37" t="s">
        <v>40</v>
      </c>
      <c r="DJ2" s="34" t="s">
        <v>34</v>
      </c>
      <c r="DK2" s="34" t="s">
        <v>35</v>
      </c>
      <c r="DL2" s="34" t="s">
        <v>36</v>
      </c>
      <c r="DM2" s="34" t="s">
        <v>37</v>
      </c>
      <c r="DN2" s="34" t="s">
        <v>38</v>
      </c>
      <c r="DO2" s="34" t="s">
        <v>39</v>
      </c>
      <c r="DP2" s="34" t="s">
        <v>40</v>
      </c>
      <c r="DQ2" s="45" t="s">
        <v>58</v>
      </c>
      <c r="DR2" s="45" t="s">
        <v>59</v>
      </c>
      <c r="DS2" s="45" t="s">
        <v>60</v>
      </c>
      <c r="DT2" s="45" t="s">
        <v>61</v>
      </c>
      <c r="DU2" s="17" t="s">
        <v>62</v>
      </c>
      <c r="DV2" s="17" t="s">
        <v>63</v>
      </c>
      <c r="DW2" s="17" t="s">
        <v>64</v>
      </c>
      <c r="DX2" s="17" t="s">
        <v>60</v>
      </c>
      <c r="DY2" s="17" t="s">
        <v>61</v>
      </c>
      <c r="DZ2" s="17" t="s">
        <v>58</v>
      </c>
      <c r="EA2" s="17" t="s">
        <v>59</v>
      </c>
      <c r="EB2" s="18" t="s">
        <v>65</v>
      </c>
      <c r="EC2" s="19" t="s">
        <v>66</v>
      </c>
      <c r="ED2" s="19" t="s">
        <v>67</v>
      </c>
      <c r="EE2" s="121" t="s">
        <v>68</v>
      </c>
      <c r="EF2" s="19" t="s">
        <v>426</v>
      </c>
      <c r="EG2" s="19" t="s">
        <v>69</v>
      </c>
      <c r="EH2" s="19" t="s">
        <v>427</v>
      </c>
    </row>
    <row r="3" spans="1:138" s="75" customFormat="1" ht="18" thickBot="1" x14ac:dyDescent="1.1000000000000001">
      <c r="A3" s="80" t="s">
        <v>70</v>
      </c>
      <c r="B3" s="81" t="s">
        <v>71</v>
      </c>
      <c r="C3" s="81" t="s">
        <v>72</v>
      </c>
      <c r="D3" s="81" t="s">
        <v>73</v>
      </c>
      <c r="E3" s="81" t="s">
        <v>74</v>
      </c>
      <c r="F3" s="81" t="s">
        <v>75</v>
      </c>
      <c r="G3" s="81" t="s">
        <v>425</v>
      </c>
      <c r="H3" s="81" t="s">
        <v>76</v>
      </c>
      <c r="I3" s="81" t="s">
        <v>77</v>
      </c>
      <c r="J3" s="81" t="s">
        <v>78</v>
      </c>
      <c r="K3" s="81" t="s">
        <v>79</v>
      </c>
      <c r="L3" s="82" t="s">
        <v>80</v>
      </c>
      <c r="M3" s="82" t="s">
        <v>81</v>
      </c>
      <c r="N3" s="81" t="s">
        <v>82</v>
      </c>
      <c r="O3" s="81" t="s">
        <v>83</v>
      </c>
      <c r="P3" s="83" t="s">
        <v>84</v>
      </c>
      <c r="Q3" s="83" t="s">
        <v>85</v>
      </c>
      <c r="R3" s="83" t="s">
        <v>86</v>
      </c>
      <c r="S3" s="83" t="s">
        <v>87</v>
      </c>
      <c r="T3" s="83" t="s">
        <v>88</v>
      </c>
      <c r="U3" s="83" t="s">
        <v>89</v>
      </c>
      <c r="V3" s="83" t="s">
        <v>90</v>
      </c>
      <c r="W3" s="84" t="s">
        <v>91</v>
      </c>
      <c r="X3" s="84" t="s">
        <v>92</v>
      </c>
      <c r="Y3" s="84" t="s">
        <v>93</v>
      </c>
      <c r="Z3" s="84" t="s">
        <v>94</v>
      </c>
      <c r="AA3" s="84" t="s">
        <v>95</v>
      </c>
      <c r="AB3" s="84" t="s">
        <v>96</v>
      </c>
      <c r="AC3" s="84" t="s">
        <v>97</v>
      </c>
      <c r="AD3" s="85" t="s">
        <v>98</v>
      </c>
      <c r="AE3" s="86" t="s">
        <v>99</v>
      </c>
      <c r="AF3" s="86" t="s">
        <v>100</v>
      </c>
      <c r="AG3" s="86" t="s">
        <v>101</v>
      </c>
      <c r="AH3" s="86" t="s">
        <v>102</v>
      </c>
      <c r="AI3" s="86" t="s">
        <v>103</v>
      </c>
      <c r="AJ3" s="86" t="s">
        <v>104</v>
      </c>
      <c r="AK3" s="86" t="s">
        <v>105</v>
      </c>
      <c r="AL3" s="87" t="s">
        <v>106</v>
      </c>
      <c r="AM3" s="87" t="s">
        <v>107</v>
      </c>
      <c r="AN3" s="88" t="s">
        <v>108</v>
      </c>
      <c r="AO3" s="89" t="s">
        <v>109</v>
      </c>
      <c r="AP3" s="90" t="s">
        <v>110</v>
      </c>
      <c r="AQ3" s="90" t="s">
        <v>111</v>
      </c>
      <c r="AR3" s="91" t="s">
        <v>112</v>
      </c>
      <c r="AS3" s="91" t="s">
        <v>113</v>
      </c>
      <c r="AT3" s="91" t="s">
        <v>114</v>
      </c>
      <c r="AU3" s="91" t="s">
        <v>115</v>
      </c>
      <c r="AV3" s="91" t="s">
        <v>116</v>
      </c>
      <c r="AW3" s="91" t="s">
        <v>117</v>
      </c>
      <c r="AX3" s="91" t="s">
        <v>118</v>
      </c>
      <c r="AY3" s="92" t="s">
        <v>119</v>
      </c>
      <c r="AZ3" s="92" t="s">
        <v>120</v>
      </c>
      <c r="BA3" s="92" t="s">
        <v>121</v>
      </c>
      <c r="BB3" s="92" t="s">
        <v>122</v>
      </c>
      <c r="BC3" s="92" t="s">
        <v>123</v>
      </c>
      <c r="BD3" s="118" t="s">
        <v>124</v>
      </c>
      <c r="BE3" s="92" t="s">
        <v>125</v>
      </c>
      <c r="BF3" s="87" t="s">
        <v>126</v>
      </c>
      <c r="BG3" s="87" t="s">
        <v>127</v>
      </c>
      <c r="BH3" s="93" t="s">
        <v>128</v>
      </c>
      <c r="BI3" s="92" t="s">
        <v>129</v>
      </c>
      <c r="BJ3" s="92" t="s">
        <v>130</v>
      </c>
      <c r="BK3" s="92" t="s">
        <v>131</v>
      </c>
      <c r="BL3" s="92" t="s">
        <v>132</v>
      </c>
      <c r="BM3" s="92" t="s">
        <v>133</v>
      </c>
      <c r="BN3" s="86" t="s">
        <v>134</v>
      </c>
      <c r="BO3" s="92" t="s">
        <v>135</v>
      </c>
      <c r="BP3" s="87" t="s">
        <v>136</v>
      </c>
      <c r="BQ3" s="87" t="s">
        <v>137</v>
      </c>
      <c r="BR3" s="87" t="s">
        <v>138</v>
      </c>
      <c r="BS3" s="92" t="s">
        <v>139</v>
      </c>
      <c r="BT3" s="92" t="s">
        <v>140</v>
      </c>
      <c r="BU3" s="92" t="s">
        <v>141</v>
      </c>
      <c r="BV3" s="94" t="s">
        <v>142</v>
      </c>
      <c r="BW3" s="92" t="s">
        <v>143</v>
      </c>
      <c r="BX3" s="86" t="s">
        <v>144</v>
      </c>
      <c r="BY3" s="92" t="s">
        <v>145</v>
      </c>
      <c r="BZ3" s="87" t="s">
        <v>146</v>
      </c>
      <c r="CA3" s="87" t="s">
        <v>147</v>
      </c>
      <c r="CB3" s="87" t="s">
        <v>148</v>
      </c>
      <c r="CC3" s="92" t="s">
        <v>149</v>
      </c>
      <c r="CD3" s="92" t="s">
        <v>150</v>
      </c>
      <c r="CE3" s="95" t="s">
        <v>151</v>
      </c>
      <c r="CF3" s="95" t="s">
        <v>152</v>
      </c>
      <c r="CG3" s="94" t="s">
        <v>153</v>
      </c>
      <c r="CH3" s="86" t="s">
        <v>154</v>
      </c>
      <c r="CI3" s="92" t="s">
        <v>155</v>
      </c>
      <c r="CJ3" s="87" t="s">
        <v>156</v>
      </c>
      <c r="CK3" s="87" t="s">
        <v>157</v>
      </c>
      <c r="CL3" s="87" t="s">
        <v>158</v>
      </c>
      <c r="CM3" s="96" t="s">
        <v>159</v>
      </c>
      <c r="CN3" s="96" t="s">
        <v>160</v>
      </c>
      <c r="CO3" s="97" t="s">
        <v>161</v>
      </c>
      <c r="CP3" s="97" t="s">
        <v>162</v>
      </c>
      <c r="CQ3" s="97" t="s">
        <v>163</v>
      </c>
      <c r="CR3" s="90" t="s">
        <v>164</v>
      </c>
      <c r="CS3" s="96" t="s">
        <v>165</v>
      </c>
      <c r="CT3" s="98" t="s">
        <v>166</v>
      </c>
      <c r="CU3" s="99" t="s">
        <v>167</v>
      </c>
      <c r="CV3" s="99" t="s">
        <v>168</v>
      </c>
      <c r="CW3" s="100" t="s">
        <v>169</v>
      </c>
      <c r="CX3" s="101" t="s">
        <v>170</v>
      </c>
      <c r="CY3" s="101" t="s">
        <v>171</v>
      </c>
      <c r="CZ3" s="102" t="s">
        <v>172</v>
      </c>
      <c r="DA3" s="99" t="s">
        <v>173</v>
      </c>
      <c r="DB3" s="90" t="s">
        <v>174</v>
      </c>
      <c r="DC3" s="86" t="s">
        <v>175</v>
      </c>
      <c r="DD3" s="86" t="s">
        <v>176</v>
      </c>
      <c r="DE3" s="86" t="s">
        <v>177</v>
      </c>
      <c r="DF3" s="86" t="s">
        <v>178</v>
      </c>
      <c r="DG3" s="86" t="s">
        <v>179</v>
      </c>
      <c r="DH3" s="86" t="s">
        <v>180</v>
      </c>
      <c r="DI3" s="86" t="s">
        <v>181</v>
      </c>
      <c r="DJ3" s="103" t="s">
        <v>182</v>
      </c>
      <c r="DK3" s="103" t="s">
        <v>183</v>
      </c>
      <c r="DL3" s="103" t="s">
        <v>184</v>
      </c>
      <c r="DM3" s="103" t="s">
        <v>185</v>
      </c>
      <c r="DN3" s="103" t="s">
        <v>186</v>
      </c>
      <c r="DO3" s="103" t="s">
        <v>187</v>
      </c>
      <c r="DP3" s="103" t="s">
        <v>188</v>
      </c>
      <c r="DQ3" s="104" t="s">
        <v>189</v>
      </c>
      <c r="DR3" s="104" t="s">
        <v>190</v>
      </c>
      <c r="DS3" s="104" t="s">
        <v>191</v>
      </c>
      <c r="DT3" s="104" t="s">
        <v>192</v>
      </c>
      <c r="DU3" s="105" t="s">
        <v>193</v>
      </c>
      <c r="DV3" s="105" t="s">
        <v>194</v>
      </c>
      <c r="DW3" s="105" t="s">
        <v>195</v>
      </c>
      <c r="DX3" s="105" t="s">
        <v>196</v>
      </c>
      <c r="DY3" s="105" t="s">
        <v>197</v>
      </c>
      <c r="DZ3" s="105" t="s">
        <v>198</v>
      </c>
      <c r="EA3" s="105" t="s">
        <v>199</v>
      </c>
      <c r="EB3" s="106" t="s">
        <v>200</v>
      </c>
      <c r="EC3" s="107" t="s">
        <v>201</v>
      </c>
      <c r="ED3" s="107" t="s">
        <v>202</v>
      </c>
      <c r="EE3" s="122" t="s">
        <v>203</v>
      </c>
      <c r="EF3" s="107" t="s">
        <v>204</v>
      </c>
      <c r="EG3" s="107" t="s">
        <v>205</v>
      </c>
      <c r="EH3" s="107" t="s">
        <v>206</v>
      </c>
    </row>
    <row r="4" spans="1:138" x14ac:dyDescent="0.6">
      <c r="A4" s="2" t="s">
        <v>213</v>
      </c>
      <c r="B4" s="1" t="s">
        <v>207</v>
      </c>
      <c r="C4" s="1" t="s">
        <v>208</v>
      </c>
      <c r="D4" s="127">
        <v>10</v>
      </c>
      <c r="E4" s="127">
        <v>2004</v>
      </c>
      <c r="F4" s="1" t="s">
        <v>207</v>
      </c>
      <c r="G4" s="1">
        <v>1000</v>
      </c>
      <c r="H4" s="1" t="s">
        <v>214</v>
      </c>
      <c r="I4" s="1" t="s">
        <v>215</v>
      </c>
      <c r="J4" s="1" t="s">
        <v>208</v>
      </c>
      <c r="K4" s="1" t="s">
        <v>208</v>
      </c>
      <c r="L4" s="1" t="s">
        <v>208</v>
      </c>
      <c r="M4" s="1" t="s">
        <v>208</v>
      </c>
      <c r="N4" s="1">
        <v>7.8600000000000003E-2</v>
      </c>
      <c r="O4" s="1">
        <v>30</v>
      </c>
      <c r="P4" s="26">
        <v>7.3520000000000003</v>
      </c>
      <c r="Q4" s="26">
        <v>14.21</v>
      </c>
      <c r="R4" s="26">
        <v>984.25800000000004</v>
      </c>
      <c r="S4" s="26">
        <v>3.0379999999999998</v>
      </c>
      <c r="T4" s="26">
        <v>0.72</v>
      </c>
      <c r="U4" s="26">
        <v>421.4</v>
      </c>
      <c r="V4" s="26">
        <v>2.036</v>
      </c>
      <c r="W4" s="69">
        <f t="shared" ref="W4" si="0">(P4*($O4/1000))/($N4*1000)</f>
        <v>2.8061068702290074E-3</v>
      </c>
      <c r="X4" s="69">
        <f t="shared" ref="X4" si="1">(Q4*($O4/1000))/($N4*1000)</f>
        <v>5.4236641221374043E-3</v>
      </c>
      <c r="Y4" s="69">
        <f t="shared" ref="Y4" si="2">(R4*($O4/1000))/($N4*1000)</f>
        <v>0.37567099236641222</v>
      </c>
      <c r="Z4" s="69">
        <f t="shared" ref="Z4" si="3">(S4*($O4/1000))/($N4*1000)</f>
        <v>1.1595419847328242E-3</v>
      </c>
      <c r="AA4" s="69">
        <f t="shared" ref="AA4" si="4">(T4*($O4/1000))/($N4*1000)</f>
        <v>2.7480916030534343E-4</v>
      </c>
      <c r="AB4" s="69">
        <f t="shared" ref="AB4" si="5">(U4*($O4/1000))/($N4*1000)</f>
        <v>0.16083969465648854</v>
      </c>
      <c r="AC4" s="69">
        <f t="shared" ref="AC4" si="6">(V4*($O4/1000))/($N4*1000)</f>
        <v>7.7709923664122122E-4</v>
      </c>
      <c r="AD4" s="70">
        <f t="shared" ref="AD4" si="7">SUM(W4:AC4)</f>
        <v>0.54695190839694663</v>
      </c>
      <c r="AE4" s="71">
        <f>((W4*Reference!D$2)/Reference!D$3)*1000</f>
        <v>79.150723928755994</v>
      </c>
      <c r="AF4" s="71">
        <f>((X4*Reference!E$2)/Reference!E$3)*1000</f>
        <v>87.47154050949851</v>
      </c>
      <c r="AG4" s="71">
        <f>((Y4*Reference!F$2)/Reference!F$3)*1000</f>
        <v>7821.2648310795348</v>
      </c>
      <c r="AH4" s="71">
        <f>((Z4*Reference!G$2)/Reference!G$3)*1000</f>
        <v>50.437306924229254</v>
      </c>
      <c r="AI4" s="71">
        <f>((AA4*Reference!H$2)/Reference!H$3)*1000</f>
        <v>7.0286728657088267</v>
      </c>
      <c r="AJ4" s="71">
        <f>((AB4*Reference!I$2)/Reference!I$3)*1000</f>
        <v>8026.3333827281067</v>
      </c>
      <c r="AK4" s="71">
        <f>((AC4*Reference!J$2)/Reference!J$3)*1000</f>
        <v>63.945627372246143</v>
      </c>
      <c r="AL4" s="40">
        <f t="shared" ref="AL4" si="8">SUM(AE4:AG4)</f>
        <v>7987.887095517789</v>
      </c>
      <c r="AM4" s="40">
        <f t="shared" ref="AM4" si="9">SUM(AH4:AK4)</f>
        <v>8147.7449898902914</v>
      </c>
      <c r="AN4" s="72">
        <f t="shared" ref="AN4" si="10">ABS(AM4-AL4)</f>
        <v>159.85789437250241</v>
      </c>
      <c r="AO4" s="24" t="str">
        <f t="shared" ref="AO4" si="11">IF(AM4&gt;AL4, "Δe,cat", "Δe,ani")</f>
        <v>Δe,cat</v>
      </c>
      <c r="AP4" s="25" t="b">
        <f t="shared" ref="AP4" si="12">IF(OR(AN4&lt;=MAX(AL4,AM4)*0.02, AL4&gt;AM4), TRUE)</f>
        <v>1</v>
      </c>
      <c r="AQ4" s="25" t="b">
        <f t="shared" ref="AQ4" si="13">IF(AND(AN4&gt;AM4*0.02, AM4&gt;AL4), TRUE)</f>
        <v>0</v>
      </c>
      <c r="AR4" s="73">
        <f t="shared" ref="AR4" si="14">IF($AP4=TRUE, (AE4*($AL4+$AM4)/(2*$AL4)), "-")</f>
        <v>79.94272736558537</v>
      </c>
      <c r="AS4" s="73">
        <f t="shared" ref="AS4" si="15">IF($AP4=TRUE, (AF4*($AL4+$AM4)/(2*$AL4)), "-")</f>
        <v>88.346804275508276</v>
      </c>
      <c r="AT4" s="73">
        <f t="shared" ref="AT4" si="16">IF($AP4=TRUE, (AG4*($AL4+$AM4)/(2*$AL4)), "-")</f>
        <v>7899.5265110629471</v>
      </c>
      <c r="AU4" s="73">
        <f t="shared" ref="AU4" si="17">IF($AP4=TRUE, (AH4*($AL4+$AM4)/(2*$AM4)), "-")</f>
        <v>49.942519612357607</v>
      </c>
      <c r="AV4" s="73">
        <f t="shared" ref="AV4" si="18">IF($AP4=TRUE, (AI4*($AL4+$AM4)/(2*$AM4)), "-")</f>
        <v>6.9597219568414337</v>
      </c>
      <c r="AW4" s="73">
        <f t="shared" ref="AW4" si="19">IF($AP4=TRUE, (AJ4*($AL4+$AM4)/(2*$AM4)), "-")</f>
        <v>7947.5954769832242</v>
      </c>
      <c r="AX4" s="73">
        <f t="shared" ref="AX4" si="20">IF($AP4=TRUE, (AK4*($AL4+$AM4)/(2*$AM4)), "-")</f>
        <v>63.318324151616409</v>
      </c>
      <c r="AY4" s="71" t="str">
        <f t="shared" ref="AY4" si="21">IF($AQ4=TRUE, AE4, "-")</f>
        <v>-</v>
      </c>
      <c r="AZ4" s="71" t="str">
        <f t="shared" ref="AZ4" si="22">IF($AQ4=TRUE, AF4, "-")</f>
        <v>-</v>
      </c>
      <c r="BA4" s="71" t="str">
        <f t="shared" ref="BA4" si="23">IF($AQ4=TRUE, AG4, "-")</f>
        <v>-</v>
      </c>
      <c r="BB4" s="71" t="str">
        <f t="shared" ref="BB4" si="24">IF($AQ4=TRUE, AH4, "-")</f>
        <v>-</v>
      </c>
      <c r="BC4" s="71" t="str">
        <f t="shared" ref="BC4" si="25">IF($AQ4=TRUE, AI4, "-")</f>
        <v>-</v>
      </c>
      <c r="BD4" s="71" t="str">
        <f t="shared" ref="BD4" si="26">IF($AQ4=TRUE, IF(AJ4-AN4 &gt;= 0, AJ4-AN4, 0), "-")</f>
        <v>-</v>
      </c>
      <c r="BE4" s="71" t="str">
        <f t="shared" ref="BE4" si="27">IF($AQ4=TRUE, AK4, "-")</f>
        <v>-</v>
      </c>
      <c r="BF4" s="40" t="str">
        <f t="shared" ref="BF4" si="28">IF($AQ4=TRUE, SUM(AY4:BA4), "")</f>
        <v/>
      </c>
      <c r="BG4" s="40" t="str">
        <f t="shared" ref="BG4" si="29">IF($AQ4=TRUE, SUM(BB4:BE4), "")</f>
        <v/>
      </c>
      <c r="BH4" s="40" t="str">
        <f t="shared" ref="BH4" si="30">IF($AQ4=TRUE,IF(ABS(BG4-BF4)&lt; 0.000001, 0, ABS(BG4-BF4)), "")</f>
        <v/>
      </c>
      <c r="BI4" s="71" t="str">
        <f t="shared" ref="BI4" si="31">IF($AQ4=TRUE, AY4, "-")</f>
        <v>-</v>
      </c>
      <c r="BJ4" s="71" t="str">
        <f t="shared" ref="BJ4" si="32">IF($AQ4=TRUE, AZ4, "-")</f>
        <v>-</v>
      </c>
      <c r="BK4" s="71" t="str">
        <f t="shared" ref="BK4" si="33">IF($AQ4=TRUE, BA4, "-")</f>
        <v>-</v>
      </c>
      <c r="BL4" s="71" t="str">
        <f t="shared" ref="BL4" si="34">IF($AQ4=TRUE, BB4, "-")</f>
        <v>-</v>
      </c>
      <c r="BM4" s="71" t="str">
        <f t="shared" ref="BM4" si="35">IF($AQ4=TRUE, BC4, "-")</f>
        <v>-</v>
      </c>
      <c r="BN4" s="71" t="str">
        <f t="shared" ref="BN4" si="36">IF($AQ4=TRUE, BD4, "-")</f>
        <v>-</v>
      </c>
      <c r="BO4" s="71" t="str">
        <f t="shared" ref="BO4" si="37">IF($AQ4=TRUE, IF(BE4 -BH4 &gt;= 0, BE4 -BH4, 0), "-")</f>
        <v>-</v>
      </c>
      <c r="BP4" s="40" t="str">
        <f t="shared" ref="BP4" si="38">IF($AQ4=TRUE, SUM(BI4:BK4), "")</f>
        <v/>
      </c>
      <c r="BQ4" s="40" t="str">
        <f t="shared" ref="BQ4" si="39">IF($AQ4=TRUE, SUM(BL4:BO4), "")</f>
        <v/>
      </c>
      <c r="BR4" s="40" t="str">
        <f t="shared" ref="BR4" si="40">IF($AQ4=TRUE,IF(ABS(BQ4-BP4)&lt; 0.000001, 0, ABS(BQ4-BP4)), "")</f>
        <v/>
      </c>
      <c r="BS4" s="71" t="str">
        <f t="shared" ref="BS4" si="41">IF($AQ4=TRUE, BI4, "-")</f>
        <v>-</v>
      </c>
      <c r="BT4" s="71" t="str">
        <f t="shared" ref="BT4" si="42">IF($AQ4=TRUE, BJ4, "-")</f>
        <v>-</v>
      </c>
      <c r="BU4" s="71" t="str">
        <f t="shared" ref="BU4" si="43">IF($AQ4=TRUE, BK4, "-")</f>
        <v>-</v>
      </c>
      <c r="BV4" s="71" t="str">
        <f t="shared" ref="BV4" si="44">IF($AQ4=TRUE, IF(BL4 -BR4 &gt;= 0, BL4 -BR4, 0), "-")</f>
        <v>-</v>
      </c>
      <c r="BW4" s="71" t="str">
        <f t="shared" ref="BW4" si="45">IF($AQ4=TRUE, BM4, "-")</f>
        <v>-</v>
      </c>
      <c r="BX4" s="71" t="str">
        <f t="shared" ref="BX4" si="46">IF($AQ4=TRUE, BN4, "-")</f>
        <v>-</v>
      </c>
      <c r="BY4" s="71" t="str">
        <f t="shared" ref="BY4" si="47">IF($AQ4=TRUE, BO4, "-")</f>
        <v>-</v>
      </c>
      <c r="BZ4" s="40" t="str">
        <f t="shared" ref="BZ4" si="48">IF($AQ4=TRUE, SUM(BS4:BU4), "")</f>
        <v/>
      </c>
      <c r="CA4" s="40" t="str">
        <f t="shared" ref="CA4" si="49">IF($AQ4=TRUE, SUM(BV4:BY4), "")</f>
        <v/>
      </c>
      <c r="CB4" s="40" t="str">
        <f t="shared" ref="CB4" si="50">IF($AQ4=TRUE,IF(ABS(CA4-BZ4)&lt; 0.000001, 0, ABS(CA4-BZ4)), "")</f>
        <v/>
      </c>
      <c r="CC4" s="71" t="str">
        <f t="shared" ref="CC4" si="51">IF($AQ4=TRUE, BS4, "-")</f>
        <v>-</v>
      </c>
      <c r="CD4" s="71" t="str">
        <f t="shared" ref="CD4" si="52">IF($AQ4=TRUE, BT4, "-")</f>
        <v>-</v>
      </c>
      <c r="CE4" s="71" t="str">
        <f t="shared" ref="CE4" si="53">IF($AQ4=TRUE, BU4, "-")</f>
        <v>-</v>
      </c>
      <c r="CF4" s="71" t="str">
        <f t="shared" ref="CF4" si="54">IF($AQ4=TRUE, BV4, "-")</f>
        <v>-</v>
      </c>
      <c r="CG4" s="71" t="str">
        <f t="shared" ref="CG4" si="55">IF($AQ4=TRUE,  IF(BW4 -CB4 &gt;= 0, BW4 -CB4, 0), "-")</f>
        <v>-</v>
      </c>
      <c r="CH4" s="71" t="str">
        <f t="shared" ref="CH4" si="56">IF($AQ4=TRUE, BX4, "-")</f>
        <v>-</v>
      </c>
      <c r="CI4" s="71" t="str">
        <f t="shared" ref="CI4" si="57">IF($AQ4=TRUE, BY4, "-")</f>
        <v>-</v>
      </c>
      <c r="CJ4" s="40" t="str">
        <f t="shared" ref="CJ4" si="58">IF($AQ4=TRUE, SUM(CC4:CE4), "")</f>
        <v/>
      </c>
      <c r="CK4" s="40" t="str">
        <f t="shared" ref="CK4" si="59">IF($AQ4=TRUE, SUM(CF4:CI4), "")</f>
        <v/>
      </c>
      <c r="CL4" s="40" t="str">
        <f t="shared" ref="CL4" si="60">IF($AQ4=TRUE,IF(ABS(CK4-CJ4)&lt; 0.000001, 0, ABS(CK4-CJ4)), "")</f>
        <v/>
      </c>
      <c r="CM4" s="74">
        <f t="shared" ref="CM4" si="61">IF($AQ4 = TRUE, CC4, AR4)</f>
        <v>79.94272736558537</v>
      </c>
      <c r="CN4" s="74">
        <f t="shared" ref="CN4" si="62">IF($AQ4 = TRUE, CD4, AS4)</f>
        <v>88.346804275508276</v>
      </c>
      <c r="CO4" s="74">
        <f t="shared" ref="CO4" si="63">IF($AQ4 = TRUE, CE4, AT4)</f>
        <v>7899.5265110629471</v>
      </c>
      <c r="CP4" s="74">
        <f t="shared" ref="CP4" si="64">IF($AQ4 = TRUE, CF4, AU4)</f>
        <v>49.942519612357607</v>
      </c>
      <c r="CQ4" s="74">
        <f t="shared" ref="CQ4" si="65">IF($AQ4 = TRUE, CG4, AV4)</f>
        <v>6.9597219568414337</v>
      </c>
      <c r="CR4" s="74">
        <f t="shared" ref="CR4" si="66">IF($AQ4 = TRUE, CH4, AW4)</f>
        <v>7947.5954769832242</v>
      </c>
      <c r="CS4" s="74">
        <f t="shared" ref="CS4" si="67">IF($AQ4 = TRUE, CI4, AX4)</f>
        <v>63.318324151616409</v>
      </c>
      <c r="CT4" s="78">
        <f t="shared" ref="CT4" si="68">MIN(CR4,CO4)</f>
        <v>7899.5265110629471</v>
      </c>
      <c r="CU4" s="78">
        <f t="shared" ref="CU4" si="69">CM4</f>
        <v>79.94272736558537</v>
      </c>
      <c r="CV4" s="78">
        <f t="shared" ref="CV4" si="70">CN4</f>
        <v>88.346804275508276</v>
      </c>
      <c r="CW4" s="78">
        <f t="shared" ref="CW4" si="71">CO4-CT4</f>
        <v>0</v>
      </c>
      <c r="CX4" s="78">
        <f t="shared" ref="CX4" si="72">CP4</f>
        <v>49.942519612357607</v>
      </c>
      <c r="CY4" s="78">
        <f t="shared" ref="CY4" si="73">CQ4</f>
        <v>6.9597219568414337</v>
      </c>
      <c r="CZ4" s="78">
        <f t="shared" ref="CZ4" si="74">CR4-CT4</f>
        <v>48.068965920277151</v>
      </c>
      <c r="DA4" s="78">
        <f t="shared" ref="DA4" si="75">CS4</f>
        <v>63.318324151616409</v>
      </c>
      <c r="DB4" s="25" t="b">
        <f t="shared" ref="DB4" si="76">IF(ABS(SUM(CU4:CW4)-SUM(CX4:DA4)) &lt; 0.000001, TRUE)</f>
        <v>1</v>
      </c>
      <c r="DC4" s="115">
        <f>(Table1[[#This Row],[eCl,adj (mEq/kg) eq7]]/Reference!D$2)/1000</f>
        <v>7.9942727365585373E-2</v>
      </c>
      <c r="DD4" s="115">
        <f>(Table1[[#This Row],[eNO3,adj (mEq/kg) eq7]]/Reference!E$2)/1000</f>
        <v>8.834680427550827E-2</v>
      </c>
      <c r="DE4" s="115">
        <f>(Table1[[#This Row],[eSO4,adj,f (mEq/kg) eq7]]/Reference!F$2)/1000</f>
        <v>0</v>
      </c>
      <c r="DF4" s="115">
        <f>(Table1[[#This Row],[eNa,adj (mEq/kg) eq7]]/Reference!G$2)/1000</f>
        <v>4.9942519612357607E-2</v>
      </c>
      <c r="DG4" s="115">
        <f>(Table1[[#This Row],[eK,adj (mEq/kg) eq7]]/Reference!H$2)/1000</f>
        <v>6.9597219568414337E-3</v>
      </c>
      <c r="DH4" s="115">
        <f>(Table1[[#This Row],[eCa,adj,f (mEq/kg) eq7]]/Reference!I$2)/1000</f>
        <v>2.4034482960138576E-2</v>
      </c>
      <c r="DI4" s="115">
        <f>(Table1[[#This Row],[eMg,adj (mEq/kg) eq7]]/Reference!J$2)/1000</f>
        <v>3.1659162075808205E-2</v>
      </c>
      <c r="DJ4" s="44">
        <f>Table1[[#This Row],[cCl,adj (mol/kg) eq 8 part 1]]/SUM(Table1[[#This Row],[cCl,adj (mol/kg) eq 8 part 1]:[cMg,adj (mol/kg) eq 8 part 1]])</f>
        <v>0.28460974537134293</v>
      </c>
      <c r="DK4" s="44">
        <f>Table1[[#This Row],[cNO3,adj (mol/kg) eq 8 part 1]]/SUM(Table1[[#This Row],[cCl,adj (mol/kg) eq 8 part 1]:[cMg,adj (mol/kg) eq 8 part 1]])</f>
        <v>0.31452969266656144</v>
      </c>
      <c r="DL4" s="44">
        <f>Table1[[#This Row],[cSO4,adj (mol/kg) eq 8 part 1]]/SUM(Table1[[#This Row],[cCl,adj (mol/kg) eq 8 part 1]:[cMg,adj (mol/kg) eq 8 part 1]])</f>
        <v>0</v>
      </c>
      <c r="DM4" s="44">
        <f>Table1[[#This Row],[cNa,adj (mol/kg) eq 8 part 1]]/SUM(Table1[[#This Row],[cCl,adj (mol/kg) eq 8 part 1]:[cMg,adj (mol/kg) eq 8 part 1]])</f>
        <v>0.17780388858981377</v>
      </c>
      <c r="DN4" s="44">
        <f>Table1[[#This Row],[cK,adj (mol/kg) eq 8 part 1]]/SUM(Table1[[#This Row],[cCl,adj (mol/kg) eq 8 part 1]:[cMg,adj (mol/kg) eq 8 part 1]])</f>
        <v>2.4777797296476823E-2</v>
      </c>
      <c r="DO4" s="44">
        <f>Table1[[#This Row],[cCa,adj (mol/kg) eq 8 part 1]]/SUM(Table1[[#This Row],[cCl,adj (mol/kg) eq 8 part 1]:[cMg,adj (mol/kg) eq 8 part 1]])</f>
        <v>8.5566858935584328E-2</v>
      </c>
      <c r="DP4" s="44">
        <f>Table1[[#This Row],[cMg,adj (mol/kg) eq 8 part 1]]/SUM(Table1[[#This Row],[cCl,adj (mol/kg) eq 8 part 1]:[cMg,adj (mol/kg) eq 8 part 1]])</f>
        <v>0.11271201714022071</v>
      </c>
      <c r="DQ4" s="46">
        <f t="shared" ref="DQ4" si="77">IF($AP4=TRUE, 0, (AJ4-CR4)/SUM($AH4:$AK4))</f>
        <v>0</v>
      </c>
      <c r="DR4" s="46">
        <f t="shared" ref="DR4" si="78">IF($AP4=TRUE, 0, (AK4-CS4)/SUM($AH4:$AK4))</f>
        <v>0</v>
      </c>
      <c r="DS4" s="46">
        <f t="shared" ref="DS4" si="79">IF($AP4=TRUE, 0, (AH4-CP4)/SUM($AH4:$AK4))</f>
        <v>0</v>
      </c>
      <c r="DT4" s="46">
        <f t="shared" ref="DT4" si="80">IF($AP4=TRUE, 0, (AI4-CQ4)/SUM($AH4:$AK4))</f>
        <v>0</v>
      </c>
      <c r="DU4" s="69">
        <f>((CU4*Reference!D$3)/Reference!D$2)*0.001</f>
        <v>2.8341855304738883E-3</v>
      </c>
      <c r="DV4" s="69">
        <f>((CV4*Reference!E$3)/Reference!E$2)*0.001</f>
        <v>5.4779347644224631E-3</v>
      </c>
      <c r="DW4" s="69">
        <f>((CW4*Reference!F$3)/Reference!F$2)*0.001</f>
        <v>0</v>
      </c>
      <c r="DX4" s="69">
        <f>((CX4*Reference!G$3)/Reference!G$2)*0.001</f>
        <v>1.1481669392235515E-3</v>
      </c>
      <c r="DY4" s="69">
        <f>((CY4*Reference!H$3)/Reference!H$2)*0.001</f>
        <v>2.7211329698517348E-4</v>
      </c>
      <c r="DZ4" s="69">
        <f>((CZ4*Reference!I$3)/Reference!I$2)*0.001</f>
        <v>9.6325400807643392E-4</v>
      </c>
      <c r="EA4" s="69">
        <f>((DA4*Reference!J$3)/Reference!J$2)*0.001</f>
        <v>7.6947593425251838E-4</v>
      </c>
      <c r="EB4" s="70">
        <f t="shared" ref="EB4" si="81">SUM(DU4:EA4)</f>
        <v>1.1465130473434029E-2</v>
      </c>
      <c r="EC4" s="68">
        <f t="shared" ref="EC4" si="82">(AD4-EB4)</f>
        <v>0.53548677792351262</v>
      </c>
      <c r="ED4" s="68">
        <f t="shared" ref="ED4" si="83">((CT4)*(0.5*(96.064+40.078))*0.000001)</f>
        <v>0.53772866913456585</v>
      </c>
      <c r="EE4" s="68">
        <f>Table1[[#This Row],[wtot,adj + wCaSO4(-) eq11]]-Table1[[#This Row],[wCaSO4 (-)]]</f>
        <v>-2.2418912110532263E-3</v>
      </c>
      <c r="EF4" s="68" t="str">
        <f>IF(Table1[[#This Row],[pII]]=TRUE, ABS(SUM(DX4,DY4)-(SUM(Z4,AA4))),"Pathway I")</f>
        <v>Pathway I</v>
      </c>
      <c r="EG4" s="68" t="str">
        <f>IF(Table1[[#This Row],[pII]]=TRUE, (((ABS(Table1[[#This Row],[eCa,adj (mEq/kg) pI or pII]]-Table1[[#This Row],[eCa (mEq/kg)]]))*0.040078)/2)*0.001,"Pathway I")</f>
        <v>Pathway I</v>
      </c>
      <c r="EH4" s="68" t="str">
        <f>IF(Table1[[#This Row],[pII]]=TRUE, ((Table1[[#This Row],[ΔeMg (mEq/kg) eq5b]]+Table1[[#This Row],[ΔeNa (mEq/kg) eq5c]]+Table1[[#This Row],[ΔeK (mEq/kg) eq5d]])/1000000)*(60.01/2), "Pathway I")</f>
        <v>Pathway I</v>
      </c>
    </row>
    <row r="5" spans="1:138" x14ac:dyDescent="0.6">
      <c r="A5" s="2" t="s">
        <v>225</v>
      </c>
      <c r="B5" s="1" t="s">
        <v>207</v>
      </c>
      <c r="C5" s="1" t="s">
        <v>208</v>
      </c>
      <c r="D5" s="127">
        <v>6</v>
      </c>
      <c r="E5" s="127">
        <v>2006</v>
      </c>
      <c r="F5" s="1" t="s">
        <v>207</v>
      </c>
      <c r="G5" s="1">
        <v>2000</v>
      </c>
      <c r="H5" s="1" t="s">
        <v>223</v>
      </c>
      <c r="I5" s="1" t="s">
        <v>224</v>
      </c>
      <c r="J5" s="1" t="s">
        <v>208</v>
      </c>
      <c r="K5" s="1" t="s">
        <v>208</v>
      </c>
      <c r="L5" s="1" t="s">
        <v>208</v>
      </c>
      <c r="M5" s="1" t="s">
        <v>208</v>
      </c>
      <c r="N5" s="1">
        <v>1.0143</v>
      </c>
      <c r="O5" s="1">
        <v>100</v>
      </c>
      <c r="P5" s="26">
        <v>3.698</v>
      </c>
      <c r="Q5" s="26">
        <v>2.5979999999999999</v>
      </c>
      <c r="R5" s="26">
        <v>63.883000000000003</v>
      </c>
      <c r="S5" s="26">
        <v>30.524999999999999</v>
      </c>
      <c r="T5" s="26">
        <v>18.556000000000001</v>
      </c>
      <c r="U5" s="26">
        <v>10.656000000000001</v>
      </c>
      <c r="V5" s="26">
        <v>0.20499999999999999</v>
      </c>
      <c r="W5" s="69">
        <f t="shared" ref="W5" si="84">(P5*($O5/1000))/($N5*1000)</f>
        <v>3.6458641427585529E-4</v>
      </c>
      <c r="X5" s="69">
        <f t="shared" ref="X5" si="85">(Q5*($O5/1000))/($N5*1000)</f>
        <v>2.5613723750369713E-4</v>
      </c>
      <c r="Y5" s="69">
        <f t="shared" ref="Y5" si="86">(R5*($O5/1000))/($N5*1000)</f>
        <v>6.298235236123436E-3</v>
      </c>
      <c r="Z5" s="69">
        <f t="shared" ref="Z5" si="87">(S5*($O5/1000))/($N5*1000)</f>
        <v>3.0094646554273889E-3</v>
      </c>
      <c r="AA5" s="69">
        <f t="shared" ref="AA5" si="88">(T5*($O5/1000))/($N5*1000)</f>
        <v>1.829439021985606E-3</v>
      </c>
      <c r="AB5" s="69">
        <f t="shared" ref="AB5" si="89">(U5*($O5/1000))/($N5*1000)</f>
        <v>1.0505767524401066E-3</v>
      </c>
      <c r="AC5" s="69">
        <f t="shared" ref="AC5" si="90">(V5*($O5/1000))/($N5*1000)</f>
        <v>2.0210982943902201E-5</v>
      </c>
      <c r="AD5" s="70">
        <f t="shared" ref="AD5" si="91">SUM(W5:AC5)</f>
        <v>1.2828650300699993E-2</v>
      </c>
      <c r="AE5" s="71">
        <f>((W5*Reference!D$2)/Reference!D$3)*1000</f>
        <v>10.28374183844546</v>
      </c>
      <c r="AF5" s="71">
        <f>((X5*Reference!E$2)/Reference!E$3)*1000</f>
        <v>4.1309192903092686</v>
      </c>
      <c r="AG5" s="71">
        <f>((Y5*Reference!F$2)/Reference!F$3)*1000</f>
        <v>131.12581687465516</v>
      </c>
      <c r="AH5" s="71">
        <f>((Z5*Reference!G$2)/Reference!G$3)*1000</f>
        <v>130.9045248054434</v>
      </c>
      <c r="AI5" s="71">
        <f>((AA5*Reference!H$2)/Reference!H$3)*1000</f>
        <v>46.79075617061627</v>
      </c>
      <c r="AJ5" s="71">
        <f>((AB5*Reference!I$2)/Reference!I$3)*1000</f>
        <v>52.42660574081075</v>
      </c>
      <c r="AK5" s="71">
        <f>((AC5*Reference!J$2)/Reference!J$3)*1000</f>
        <v>1.663113181970969</v>
      </c>
      <c r="AL5" s="40">
        <f t="shared" ref="AL5" si="92">SUM(AE5:AG5)</f>
        <v>145.54047800340987</v>
      </c>
      <c r="AM5" s="40">
        <f t="shared" ref="AM5" si="93">SUM(AH5:AK5)</f>
        <v>231.78499989884139</v>
      </c>
      <c r="AN5" s="72">
        <f t="shared" ref="AN5" si="94">ABS(AM5-AL5)</f>
        <v>86.244521895431518</v>
      </c>
      <c r="AO5" s="24" t="str">
        <f t="shared" ref="AO5" si="95">IF(AM5&gt;AL5, "Δe,cat", "Δe,ani")</f>
        <v>Δe,cat</v>
      </c>
      <c r="AP5" s="25" t="b">
        <f t="shared" ref="AP5" si="96">IF(OR(AN5&lt;=MAX(AL5,AM5)*0.02, AL5&gt;AM5), TRUE)</f>
        <v>0</v>
      </c>
      <c r="AQ5" s="25" t="b">
        <f t="shared" ref="AQ5" si="97">IF(AND(AN5&gt;AM5*0.02, AM5&gt;AL5), TRUE)</f>
        <v>1</v>
      </c>
      <c r="AR5" s="73" t="str">
        <f t="shared" ref="AR5" si="98">IF($AP5=TRUE, (AE5*($AL5+$AM5)/(2*$AL5)), "-")</f>
        <v>-</v>
      </c>
      <c r="AS5" s="73" t="str">
        <f t="shared" ref="AS5" si="99">IF($AP5=TRUE, (AF5*($AL5+$AM5)/(2*$AL5)), "-")</f>
        <v>-</v>
      </c>
      <c r="AT5" s="73" t="str">
        <f t="shared" ref="AT5" si="100">IF($AP5=TRUE, (AG5*($AL5+$AM5)/(2*$AL5)), "-")</f>
        <v>-</v>
      </c>
      <c r="AU5" s="73" t="str">
        <f t="shared" ref="AU5" si="101">IF($AP5=TRUE, (AH5*($AL5+$AM5)/(2*$AM5)), "-")</f>
        <v>-</v>
      </c>
      <c r="AV5" s="73" t="str">
        <f t="shared" ref="AV5" si="102">IF($AP5=TRUE, (AI5*($AL5+$AM5)/(2*$AM5)), "-")</f>
        <v>-</v>
      </c>
      <c r="AW5" s="73" t="str">
        <f t="shared" ref="AW5" si="103">IF($AP5=TRUE, (AJ5*($AL5+$AM5)/(2*$AM5)), "-")</f>
        <v>-</v>
      </c>
      <c r="AX5" s="73" t="str">
        <f t="shared" ref="AX5" si="104">IF($AP5=TRUE, (AK5*($AL5+$AM5)/(2*$AM5)), "-")</f>
        <v>-</v>
      </c>
      <c r="AY5" s="71">
        <f t="shared" ref="AY5" si="105">IF($AQ5=TRUE, AE5, "-")</f>
        <v>10.28374183844546</v>
      </c>
      <c r="AZ5" s="71">
        <f t="shared" ref="AZ5" si="106">IF($AQ5=TRUE, AF5, "-")</f>
        <v>4.1309192903092686</v>
      </c>
      <c r="BA5" s="71">
        <f t="shared" ref="BA5" si="107">IF($AQ5=TRUE, AG5, "-")</f>
        <v>131.12581687465516</v>
      </c>
      <c r="BB5" s="71">
        <f t="shared" ref="BB5" si="108">IF($AQ5=TRUE, AH5, "-")</f>
        <v>130.9045248054434</v>
      </c>
      <c r="BC5" s="71">
        <f t="shared" ref="BC5" si="109">IF($AQ5=TRUE, AI5, "-")</f>
        <v>46.79075617061627</v>
      </c>
      <c r="BD5" s="71">
        <f t="shared" ref="BD5" si="110">IF($AQ5=TRUE, IF(AJ5-AN5 &gt;= 0, AJ5-AN5, 0), "-")</f>
        <v>0</v>
      </c>
      <c r="BE5" s="71">
        <f t="shared" ref="BE5" si="111">IF($AQ5=TRUE, AK5, "-")</f>
        <v>1.663113181970969</v>
      </c>
      <c r="BF5" s="40">
        <f t="shared" ref="BF5" si="112">IF($AQ5=TRUE, SUM(AY5:BA5), "")</f>
        <v>145.54047800340987</v>
      </c>
      <c r="BG5" s="40">
        <f t="shared" ref="BG5" si="113">IF($AQ5=TRUE, SUM(BB5:BE5), "")</f>
        <v>179.35839415803065</v>
      </c>
      <c r="BH5" s="40">
        <f t="shared" ref="BH5" si="114">IF($AQ5=TRUE,IF(ABS(BG5-BF5)&lt; 0.000001, 0, ABS(BG5-BF5)), "")</f>
        <v>33.817916154620775</v>
      </c>
      <c r="BI5" s="71">
        <f t="shared" ref="BI5" si="115">IF($AQ5=TRUE, AY5, "-")</f>
        <v>10.28374183844546</v>
      </c>
      <c r="BJ5" s="71">
        <f t="shared" ref="BJ5" si="116">IF($AQ5=TRUE, AZ5, "-")</f>
        <v>4.1309192903092686</v>
      </c>
      <c r="BK5" s="71">
        <f t="shared" ref="BK5" si="117">IF($AQ5=TRUE, BA5, "-")</f>
        <v>131.12581687465516</v>
      </c>
      <c r="BL5" s="71">
        <f t="shared" ref="BL5" si="118">IF($AQ5=TRUE, BB5, "-")</f>
        <v>130.9045248054434</v>
      </c>
      <c r="BM5" s="71">
        <f t="shared" ref="BM5" si="119">IF($AQ5=TRUE, BC5, "-")</f>
        <v>46.79075617061627</v>
      </c>
      <c r="BN5" s="71">
        <f t="shared" ref="BN5" si="120">IF($AQ5=TRUE, BD5, "-")</f>
        <v>0</v>
      </c>
      <c r="BO5" s="71">
        <f t="shared" ref="BO5" si="121">IF($AQ5=TRUE, IF(BE5 -BH5 &gt;= 0, BE5 -BH5, 0), "-")</f>
        <v>0</v>
      </c>
      <c r="BP5" s="40">
        <f t="shared" ref="BP5" si="122">IF($AQ5=TRUE, SUM(BI5:BK5), "")</f>
        <v>145.54047800340987</v>
      </c>
      <c r="BQ5" s="40">
        <f t="shared" ref="BQ5" si="123">IF($AQ5=TRUE, SUM(BL5:BO5), "")</f>
        <v>177.69528097605968</v>
      </c>
      <c r="BR5" s="40">
        <f t="shared" ref="BR5" si="124">IF($AQ5=TRUE,IF(ABS(BQ5-BP5)&lt; 0.000001, 0, ABS(BQ5-BP5)), "")</f>
        <v>32.154802972649804</v>
      </c>
      <c r="BS5" s="71">
        <f t="shared" ref="BS5" si="125">IF($AQ5=TRUE, BI5, "-")</f>
        <v>10.28374183844546</v>
      </c>
      <c r="BT5" s="71">
        <f t="shared" ref="BT5" si="126">IF($AQ5=TRUE, BJ5, "-")</f>
        <v>4.1309192903092686</v>
      </c>
      <c r="BU5" s="71">
        <f t="shared" ref="BU5" si="127">IF($AQ5=TRUE, BK5, "-")</f>
        <v>131.12581687465516</v>
      </c>
      <c r="BV5" s="71">
        <f t="shared" ref="BV5" si="128">IF($AQ5=TRUE, IF(BL5 -BR5 &gt;= 0, BL5 -BR5, 0), "-")</f>
        <v>98.749721832793597</v>
      </c>
      <c r="BW5" s="71">
        <f t="shared" ref="BW5" si="129">IF($AQ5=TRUE, BM5, "-")</f>
        <v>46.79075617061627</v>
      </c>
      <c r="BX5" s="71">
        <f t="shared" ref="BX5" si="130">IF($AQ5=TRUE, BN5, "-")</f>
        <v>0</v>
      </c>
      <c r="BY5" s="71">
        <f t="shared" ref="BY5" si="131">IF($AQ5=TRUE, BO5, "-")</f>
        <v>0</v>
      </c>
      <c r="BZ5" s="40">
        <f t="shared" ref="BZ5" si="132">IF($AQ5=TRUE, SUM(BS5:BU5), "")</f>
        <v>145.54047800340987</v>
      </c>
      <c r="CA5" s="40">
        <f t="shared" ref="CA5" si="133">IF($AQ5=TRUE, SUM(BV5:BY5), "")</f>
        <v>145.54047800340987</v>
      </c>
      <c r="CB5" s="40">
        <f t="shared" ref="CB5" si="134">IF($AQ5=TRUE,IF(ABS(CA5-BZ5)&lt; 0.000001, 0, ABS(CA5-BZ5)), "")</f>
        <v>0</v>
      </c>
      <c r="CC5" s="71">
        <f t="shared" ref="CC5" si="135">IF($AQ5=TRUE, BS5, "-")</f>
        <v>10.28374183844546</v>
      </c>
      <c r="CD5" s="71">
        <f t="shared" ref="CD5" si="136">IF($AQ5=TRUE, BT5, "-")</f>
        <v>4.1309192903092686</v>
      </c>
      <c r="CE5" s="71">
        <f t="shared" ref="CE5" si="137">IF($AQ5=TRUE, BU5, "-")</f>
        <v>131.12581687465516</v>
      </c>
      <c r="CF5" s="71">
        <f t="shared" ref="CF5" si="138">IF($AQ5=TRUE, BV5, "-")</f>
        <v>98.749721832793597</v>
      </c>
      <c r="CG5" s="71">
        <f t="shared" ref="CG5" si="139">IF($AQ5=TRUE,  IF(BW5 -CB5 &gt;= 0, BW5 -CB5, 0), "-")</f>
        <v>46.79075617061627</v>
      </c>
      <c r="CH5" s="71">
        <f t="shared" ref="CH5" si="140">IF($AQ5=TRUE, BX5, "-")</f>
        <v>0</v>
      </c>
      <c r="CI5" s="71">
        <f t="shared" ref="CI5" si="141">IF($AQ5=TRUE, BY5, "-")</f>
        <v>0</v>
      </c>
      <c r="CJ5" s="40">
        <f t="shared" ref="CJ5" si="142">IF($AQ5=TRUE, SUM(CC5:CE5), "")</f>
        <v>145.54047800340987</v>
      </c>
      <c r="CK5" s="40">
        <f t="shared" ref="CK5" si="143">IF($AQ5=TRUE, SUM(CF5:CI5), "")</f>
        <v>145.54047800340987</v>
      </c>
      <c r="CL5" s="40">
        <f t="shared" ref="CL5" si="144">IF($AQ5=TRUE,IF(ABS(CK5-CJ5)&lt; 0.000001, 0, ABS(CK5-CJ5)), "")</f>
        <v>0</v>
      </c>
      <c r="CM5" s="74">
        <f t="shared" ref="CM5" si="145">IF($AQ5 = TRUE, CC5, AR5)</f>
        <v>10.28374183844546</v>
      </c>
      <c r="CN5" s="74">
        <f t="shared" ref="CN5" si="146">IF($AQ5 = TRUE, CD5, AS5)</f>
        <v>4.1309192903092686</v>
      </c>
      <c r="CO5" s="74">
        <f t="shared" ref="CO5" si="147">IF($AQ5 = TRUE, CE5, AT5)</f>
        <v>131.12581687465516</v>
      </c>
      <c r="CP5" s="74">
        <f t="shared" ref="CP5" si="148">IF($AQ5 = TRUE, CF5, AU5)</f>
        <v>98.749721832793597</v>
      </c>
      <c r="CQ5" s="74">
        <f t="shared" ref="CQ5" si="149">IF($AQ5 = TRUE, CG5, AV5)</f>
        <v>46.79075617061627</v>
      </c>
      <c r="CR5" s="74">
        <f t="shared" ref="CR5" si="150">IF($AQ5 = TRUE, CH5, AW5)</f>
        <v>0</v>
      </c>
      <c r="CS5" s="74">
        <f t="shared" ref="CS5" si="151">IF($AQ5 = TRUE, CI5, AX5)</f>
        <v>0</v>
      </c>
      <c r="CT5" s="78">
        <f t="shared" ref="CT5" si="152">MIN(CR5,CO5)</f>
        <v>0</v>
      </c>
      <c r="CU5" s="78">
        <f t="shared" ref="CU5" si="153">CM5</f>
        <v>10.28374183844546</v>
      </c>
      <c r="CV5" s="78">
        <f t="shared" ref="CV5" si="154">CN5</f>
        <v>4.1309192903092686</v>
      </c>
      <c r="CW5" s="78">
        <f t="shared" ref="CW5" si="155">CO5-CT5</f>
        <v>131.12581687465516</v>
      </c>
      <c r="CX5" s="78">
        <f t="shared" ref="CX5" si="156">CP5</f>
        <v>98.749721832793597</v>
      </c>
      <c r="CY5" s="78">
        <f t="shared" ref="CY5" si="157">CQ5</f>
        <v>46.79075617061627</v>
      </c>
      <c r="CZ5" s="78">
        <f t="shared" ref="CZ5" si="158">CR5-CT5</f>
        <v>0</v>
      </c>
      <c r="DA5" s="78">
        <f t="shared" ref="DA5" si="159">CS5</f>
        <v>0</v>
      </c>
      <c r="DB5" s="25" t="b">
        <f t="shared" ref="DB5" si="160">IF(ABS(SUM(CU5:CW5)-SUM(CX5:DA5)) &lt; 0.000001, TRUE)</f>
        <v>1</v>
      </c>
      <c r="DC5" s="115">
        <f>(Table1[[#This Row],[eCl,adj (mEq/kg) eq7]]/Reference!D$2)/1000</f>
        <v>1.028374183844546E-2</v>
      </c>
      <c r="DD5" s="115">
        <f>(Table1[[#This Row],[eNO3,adj (mEq/kg) eq7]]/Reference!E$2)/1000</f>
        <v>4.1309192903092682E-3</v>
      </c>
      <c r="DE5" s="115">
        <f>(Table1[[#This Row],[eSO4,adj,f (mEq/kg) eq7]]/Reference!F$2)/1000</f>
        <v>6.556290843732758E-2</v>
      </c>
      <c r="DF5" s="115">
        <f>(Table1[[#This Row],[eNa,adj (mEq/kg) eq7]]/Reference!G$2)/1000</f>
        <v>9.8749721832793597E-2</v>
      </c>
      <c r="DG5" s="115">
        <f>(Table1[[#This Row],[eK,adj (mEq/kg) eq7]]/Reference!H$2)/1000</f>
        <v>4.6790756170616267E-2</v>
      </c>
      <c r="DH5" s="115">
        <f>(Table1[[#This Row],[eCa,adj,f (mEq/kg) eq7]]/Reference!I$2)/1000</f>
        <v>0</v>
      </c>
      <c r="DI5" s="115">
        <f>(Table1[[#This Row],[eMg,adj (mEq/kg) eq7]]/Reference!J$2)/1000</f>
        <v>0</v>
      </c>
      <c r="DJ5" s="44">
        <f>Table1[[#This Row],[cCl,adj (mol/kg) eq 8 part 1]]/SUM(Table1[[#This Row],[cCl,adj (mol/kg) eq 8 part 1]:[cMg,adj (mol/kg) eq 8 part 1]])</f>
        <v>4.5600527094296441E-2</v>
      </c>
      <c r="DK5" s="44">
        <f>Table1[[#This Row],[cNO3,adj (mol/kg) eq 8 part 1]]/SUM(Table1[[#This Row],[cCl,adj (mol/kg) eq 8 part 1]:[cMg,adj (mol/kg) eq 8 part 1]])</f>
        <v>1.8317466539064232E-2</v>
      </c>
      <c r="DL5" s="44">
        <f>Table1[[#This Row],[cSO4,adj (mol/kg) eq 8 part 1]]/SUM(Table1[[#This Row],[cCl,adj (mol/kg) eq 8 part 1]:[cMg,adj (mol/kg) eq 8 part 1]])</f>
        <v>0.29072133757775964</v>
      </c>
      <c r="DM5" s="44">
        <f>Table1[[#This Row],[cNa,adj (mol/kg) eq 8 part 1]]/SUM(Table1[[#This Row],[cCl,adj (mol/kg) eq 8 part 1]:[cMg,adj (mol/kg) eq 8 part 1]])</f>
        <v>0.43787946418064128</v>
      </c>
      <c r="DN5" s="44">
        <f>Table1[[#This Row],[cK,adj (mol/kg) eq 8 part 1]]/SUM(Table1[[#This Row],[cCl,adj (mol/kg) eq 8 part 1]:[cMg,adj (mol/kg) eq 8 part 1]])</f>
        <v>0.20748120460823852</v>
      </c>
      <c r="DO5" s="44">
        <f>Table1[[#This Row],[cCa,adj (mol/kg) eq 8 part 1]]/SUM(Table1[[#This Row],[cCl,adj (mol/kg) eq 8 part 1]:[cMg,adj (mol/kg) eq 8 part 1]])</f>
        <v>0</v>
      </c>
      <c r="DP5" s="44">
        <f>Table1[[#This Row],[cMg,adj (mol/kg) eq 8 part 1]]/SUM(Table1[[#This Row],[cCl,adj (mol/kg) eq 8 part 1]:[cMg,adj (mol/kg) eq 8 part 1]])</f>
        <v>0</v>
      </c>
      <c r="DQ5" s="46">
        <f t="shared" ref="DQ5" si="161">IF($AP5=TRUE, 0, (AJ5-CR5)/SUM($AH5:$AK5))</f>
        <v>0.22618636134215522</v>
      </c>
      <c r="DR5" s="46">
        <f t="shared" ref="DR5" si="162">IF($AP5=TRUE, 0, (AK5-CS5)/SUM($AH5:$AK5))</f>
        <v>7.1752407735479274E-3</v>
      </c>
      <c r="DS5" s="46">
        <f t="shared" ref="DS5" si="163">IF($AP5=TRUE, 0, (AH5-CP5)/SUM($AH5:$AK5))</f>
        <v>0.13872685025641529</v>
      </c>
      <c r="DT5" s="46">
        <f t="shared" ref="DT5" si="164">IF($AP5=TRUE, 0, (AI5-CQ5)/SUM($AH5:$AK5))</f>
        <v>0</v>
      </c>
      <c r="DU5" s="69">
        <f>((CU5*Reference!D$3)/Reference!D$2)*0.001</f>
        <v>3.6458641427585534E-4</v>
      </c>
      <c r="DV5" s="69">
        <f>((CV5*Reference!E$3)/Reference!E$2)*0.001</f>
        <v>2.5613723750369719E-4</v>
      </c>
      <c r="DW5" s="69">
        <f>((CW5*Reference!F$3)/Reference!F$2)*0.001</f>
        <v>6.2982352361234369E-3</v>
      </c>
      <c r="DX5" s="69">
        <f>((CX5*Reference!G$3)/Reference!G$2)*0.001</f>
        <v>2.2702331950004598E-3</v>
      </c>
      <c r="DY5" s="69">
        <f>((CY5*Reference!H$3)/Reference!H$2)*0.001</f>
        <v>1.8294390219856062E-3</v>
      </c>
      <c r="DZ5" s="69">
        <f>((CZ5*Reference!I$3)/Reference!I$2)*0.001</f>
        <v>0</v>
      </c>
      <c r="EA5" s="69">
        <f>((DA5*Reference!J$3)/Reference!J$2)*0.001</f>
        <v>0</v>
      </c>
      <c r="EB5" s="70">
        <f t="shared" ref="EB5" si="165">SUM(DU5:EA5)</f>
        <v>1.1018631104889055E-2</v>
      </c>
      <c r="EC5" s="68">
        <f t="shared" ref="EC5" si="166">(AD5-EB5)</f>
        <v>1.8100191958109382E-3</v>
      </c>
      <c r="ED5" s="68">
        <f t="shared" ref="ED5" si="167">((CT5)*(0.5*(96.064+40.078))*0.000001)</f>
        <v>0</v>
      </c>
      <c r="EE5" s="68">
        <f>Table1[[#This Row],[wtot,adj + wCaSO4(-) eq11]]-Table1[[#This Row],[wCaSO4 (-)]]</f>
        <v>1.8100191958109382E-3</v>
      </c>
      <c r="EF5" s="68">
        <f>IF(Table1[[#This Row],[pII]]=TRUE, ABS(SUM(DX5,DY5)-(SUM(Z5,AA5))),"Pathway I")</f>
        <v>7.3923146042692914E-4</v>
      </c>
      <c r="EG5" s="68">
        <f>IF(Table1[[#This Row],[pII]]=TRUE, (((ABS(Table1[[#This Row],[eCa,adj (mEq/kg) pI or pII]]-Table1[[#This Row],[eCa (mEq/kg)]]))*0.040078)/2)*0.001,"Pathway I")</f>
        <v>1.0505767524401066E-3</v>
      </c>
      <c r="EH5" s="68">
        <f>IF(Table1[[#This Row],[pII]]=TRUE, ((Table1[[#This Row],[ΔeMg (mEq/kg) eq5b]]+Table1[[#This Row],[ΔeNa (mEq/kg) eq5c]]+Table1[[#This Row],[ΔeK (mEq/kg) eq5d]])/1000000)*(60.01/2), "Pathway I")</f>
        <v>9.6480486319435723E-4</v>
      </c>
    </row>
    <row r="6" spans="1:138" x14ac:dyDescent="0.6">
      <c r="A6" s="2" t="s">
        <v>229</v>
      </c>
      <c r="B6" s="1" t="s">
        <v>207</v>
      </c>
      <c r="C6" s="1" t="s">
        <v>208</v>
      </c>
      <c r="D6" s="127">
        <v>1</v>
      </c>
      <c r="E6" s="127">
        <v>2007</v>
      </c>
      <c r="F6" s="1" t="s">
        <v>207</v>
      </c>
      <c r="G6" s="1" t="s">
        <v>208</v>
      </c>
      <c r="H6" s="1" t="s">
        <v>227</v>
      </c>
      <c r="I6" s="1" t="s">
        <v>228</v>
      </c>
      <c r="J6" s="1" t="s">
        <v>208</v>
      </c>
      <c r="K6" s="1" t="s">
        <v>208</v>
      </c>
      <c r="L6" s="1">
        <v>150</v>
      </c>
      <c r="M6" s="1" t="s">
        <v>208</v>
      </c>
      <c r="N6" s="1">
        <v>0.95599999999999996</v>
      </c>
      <c r="O6" s="1">
        <v>100</v>
      </c>
      <c r="P6" s="26">
        <v>0.41899999999999998</v>
      </c>
      <c r="Q6" s="26">
        <v>1.456</v>
      </c>
      <c r="R6" s="26">
        <v>1.4610000000000001</v>
      </c>
      <c r="S6" s="26">
        <v>0.83599999999999997</v>
      </c>
      <c r="T6" s="26">
        <v>0.74299999999999999</v>
      </c>
      <c r="U6" s="26">
        <v>16.053000000000001</v>
      </c>
      <c r="V6" s="26">
        <v>0.64200000000000002</v>
      </c>
      <c r="W6" s="69">
        <f t="shared" ref="W6" si="168">(P6*($O6/1000))/($N6*1000)</f>
        <v>4.382845188284519E-5</v>
      </c>
      <c r="X6" s="69">
        <f t="shared" ref="X6" si="169">(Q6*($O6/1000))/($N6*1000)</f>
        <v>1.5230125523012553E-4</v>
      </c>
      <c r="Y6" s="69">
        <f t="shared" ref="Y6" si="170">(R6*($O6/1000))/($N6*1000)</f>
        <v>1.5282426778242679E-4</v>
      </c>
      <c r="Z6" s="69">
        <f t="shared" ref="Z6" si="171">(S6*($O6/1000))/($N6*1000)</f>
        <v>8.7447698744769881E-5</v>
      </c>
      <c r="AA6" s="69">
        <f t="shared" ref="AA6" si="172">(T6*($O6/1000))/($N6*1000)</f>
        <v>7.7719665271966536E-5</v>
      </c>
      <c r="AB6" s="69">
        <f t="shared" ref="AB6" si="173">(U6*($O6/1000))/($N6*1000)</f>
        <v>1.6791841004184101E-3</v>
      </c>
      <c r="AC6" s="69">
        <f t="shared" ref="AC6" si="174">(V6*($O6/1000))/($N6*1000)</f>
        <v>6.7154811715481181E-5</v>
      </c>
      <c r="AD6" s="70">
        <f t="shared" ref="AD6" si="175">SUM(W6:AC6)</f>
        <v>2.2604602510460253E-3</v>
      </c>
      <c r="AE6" s="71">
        <f>((W6*Reference!D$2)/Reference!D$3)*1000</f>
        <v>1.2362514528610005</v>
      </c>
      <c r="AF6" s="71">
        <f>((X6*Reference!E$2)/Reference!E$3)*1000</f>
        <v>2.4562777333747099</v>
      </c>
      <c r="AG6" s="71">
        <f>((Y6*Reference!F$2)/Reference!F$3)*1000</f>
        <v>3.1817177669559213</v>
      </c>
      <c r="AH6" s="71">
        <f>((Z6*Reference!G$2)/Reference!G$3)*1000</f>
        <v>3.8037660382118634</v>
      </c>
      <c r="AI6" s="71">
        <f>((AA6*Reference!H$2)/Reference!H$3)*1000</f>
        <v>1.9878016505056879</v>
      </c>
      <c r="AJ6" s="71">
        <f>((AB6*Reference!I$2)/Reference!I$3)*1000</f>
        <v>83.795803204671387</v>
      </c>
      <c r="AK6" s="71">
        <f>((AC6*Reference!J$2)/Reference!J$3)*1000</f>
        <v>5.5260079584843602</v>
      </c>
      <c r="AL6" s="40">
        <f t="shared" ref="AL6" si="176">SUM(AE6:AG6)</f>
        <v>6.8742469531916317</v>
      </c>
      <c r="AM6" s="40">
        <f t="shared" ref="AM6" si="177">SUM(AH6:AK6)</f>
        <v>95.113378851873293</v>
      </c>
      <c r="AN6" s="72">
        <f t="shared" ref="AN6" si="178">ABS(AM6-AL6)</f>
        <v>88.239131898681663</v>
      </c>
      <c r="AO6" s="24" t="str">
        <f t="shared" ref="AO6" si="179">IF(AM6&gt;AL6, "Δe,cat", "Δe,ani")</f>
        <v>Δe,cat</v>
      </c>
      <c r="AP6" s="25" t="b">
        <f t="shared" ref="AP6" si="180">IF(OR(AN6&lt;=MAX(AL6,AM6)*0.02, AL6&gt;AM6), TRUE)</f>
        <v>0</v>
      </c>
      <c r="AQ6" s="25" t="b">
        <f t="shared" ref="AQ6" si="181">IF(AND(AN6&gt;AM6*0.02, AM6&gt;AL6), TRUE)</f>
        <v>1</v>
      </c>
      <c r="AR6" s="73" t="str">
        <f t="shared" ref="AR6" si="182">IF($AP6=TRUE, (AE6*($AL6+$AM6)/(2*$AL6)), "-")</f>
        <v>-</v>
      </c>
      <c r="AS6" s="73" t="str">
        <f t="shared" ref="AS6" si="183">IF($AP6=TRUE, (AF6*($AL6+$AM6)/(2*$AL6)), "-")</f>
        <v>-</v>
      </c>
      <c r="AT6" s="73" t="str">
        <f t="shared" ref="AT6" si="184">IF($AP6=TRUE, (AG6*($AL6+$AM6)/(2*$AL6)), "-")</f>
        <v>-</v>
      </c>
      <c r="AU6" s="73" t="str">
        <f t="shared" ref="AU6" si="185">IF($AP6=TRUE, (AH6*($AL6+$AM6)/(2*$AM6)), "-")</f>
        <v>-</v>
      </c>
      <c r="AV6" s="73" t="str">
        <f t="shared" ref="AV6" si="186">IF($AP6=TRUE, (AI6*($AL6+$AM6)/(2*$AM6)), "-")</f>
        <v>-</v>
      </c>
      <c r="AW6" s="73" t="str">
        <f t="shared" ref="AW6" si="187">IF($AP6=TRUE, (AJ6*($AL6+$AM6)/(2*$AM6)), "-")</f>
        <v>-</v>
      </c>
      <c r="AX6" s="73" t="str">
        <f t="shared" ref="AX6" si="188">IF($AP6=TRUE, (AK6*($AL6+$AM6)/(2*$AM6)), "-")</f>
        <v>-</v>
      </c>
      <c r="AY6" s="71">
        <f t="shared" ref="AY6" si="189">IF($AQ6=TRUE, AE6, "-")</f>
        <v>1.2362514528610005</v>
      </c>
      <c r="AZ6" s="71">
        <f t="shared" ref="AZ6" si="190">IF($AQ6=TRUE, AF6, "-")</f>
        <v>2.4562777333747099</v>
      </c>
      <c r="BA6" s="71">
        <f t="shared" ref="BA6" si="191">IF($AQ6=TRUE, AG6, "-")</f>
        <v>3.1817177669559213</v>
      </c>
      <c r="BB6" s="71">
        <f t="shared" ref="BB6" si="192">IF($AQ6=TRUE, AH6, "-")</f>
        <v>3.8037660382118634</v>
      </c>
      <c r="BC6" s="71">
        <f t="shared" ref="BC6" si="193">IF($AQ6=TRUE, AI6, "-")</f>
        <v>1.9878016505056879</v>
      </c>
      <c r="BD6" s="71">
        <f t="shared" ref="BD6" si="194">IF($AQ6=TRUE, IF(AJ6-AN6 &gt;= 0, AJ6-AN6, 0), "-")</f>
        <v>0</v>
      </c>
      <c r="BE6" s="71">
        <f t="shared" ref="BE6" si="195">IF($AQ6=TRUE, AK6, "-")</f>
        <v>5.5260079584843602</v>
      </c>
      <c r="BF6" s="40">
        <f t="shared" ref="BF6" si="196">IF($AQ6=TRUE, SUM(AY6:BA6), "")</f>
        <v>6.8742469531916317</v>
      </c>
      <c r="BG6" s="40">
        <f t="shared" ref="BG6" si="197">IF($AQ6=TRUE, SUM(BB6:BE6), "")</f>
        <v>11.317575647201911</v>
      </c>
      <c r="BH6" s="40">
        <f t="shared" ref="BH6" si="198">IF($AQ6=TRUE,IF(ABS(BG6-BF6)&lt; 0.000001, 0, ABS(BG6-BF6)), "")</f>
        <v>4.4433286940102796</v>
      </c>
      <c r="BI6" s="71">
        <f t="shared" ref="BI6" si="199">IF($AQ6=TRUE, AY6, "-")</f>
        <v>1.2362514528610005</v>
      </c>
      <c r="BJ6" s="71">
        <f t="shared" ref="BJ6" si="200">IF($AQ6=TRUE, AZ6, "-")</f>
        <v>2.4562777333747099</v>
      </c>
      <c r="BK6" s="71">
        <f t="shared" ref="BK6" si="201">IF($AQ6=TRUE, BA6, "-")</f>
        <v>3.1817177669559213</v>
      </c>
      <c r="BL6" s="71">
        <f t="shared" ref="BL6" si="202">IF($AQ6=TRUE, BB6, "-")</f>
        <v>3.8037660382118634</v>
      </c>
      <c r="BM6" s="71">
        <f t="shared" ref="BM6" si="203">IF($AQ6=TRUE, BC6, "-")</f>
        <v>1.9878016505056879</v>
      </c>
      <c r="BN6" s="71">
        <f t="shared" ref="BN6" si="204">IF($AQ6=TRUE, BD6, "-")</f>
        <v>0</v>
      </c>
      <c r="BO6" s="71">
        <f t="shared" ref="BO6" si="205">IF($AQ6=TRUE, IF(BE6 -BH6 &gt;= 0, BE6 -BH6, 0), "-")</f>
        <v>1.0826792644740806</v>
      </c>
      <c r="BP6" s="40">
        <f t="shared" ref="BP6" si="206">IF($AQ6=TRUE, SUM(BI6:BK6), "")</f>
        <v>6.8742469531916317</v>
      </c>
      <c r="BQ6" s="40">
        <f t="shared" ref="BQ6" si="207">IF($AQ6=TRUE, SUM(BL6:BO6), "")</f>
        <v>6.8742469531916317</v>
      </c>
      <c r="BR6" s="40">
        <f t="shared" ref="BR6" si="208">IF($AQ6=TRUE,IF(ABS(BQ6-BP6)&lt; 0.000001, 0, ABS(BQ6-BP6)), "")</f>
        <v>0</v>
      </c>
      <c r="BS6" s="71">
        <f t="shared" ref="BS6" si="209">IF($AQ6=TRUE, BI6, "-")</f>
        <v>1.2362514528610005</v>
      </c>
      <c r="BT6" s="71">
        <f t="shared" ref="BT6" si="210">IF($AQ6=TRUE, BJ6, "-")</f>
        <v>2.4562777333747099</v>
      </c>
      <c r="BU6" s="71">
        <f t="shared" ref="BU6" si="211">IF($AQ6=TRUE, BK6, "-")</f>
        <v>3.1817177669559213</v>
      </c>
      <c r="BV6" s="71">
        <f t="shared" ref="BV6" si="212">IF($AQ6=TRUE, IF(BL6 -BR6 &gt;= 0, BL6 -BR6, 0), "-")</f>
        <v>3.8037660382118634</v>
      </c>
      <c r="BW6" s="71">
        <f t="shared" ref="BW6" si="213">IF($AQ6=TRUE, BM6, "-")</f>
        <v>1.9878016505056879</v>
      </c>
      <c r="BX6" s="71">
        <f t="shared" ref="BX6" si="214">IF($AQ6=TRUE, BN6, "-")</f>
        <v>0</v>
      </c>
      <c r="BY6" s="71">
        <f t="shared" ref="BY6" si="215">IF($AQ6=TRUE, BO6, "-")</f>
        <v>1.0826792644740806</v>
      </c>
      <c r="BZ6" s="40">
        <f t="shared" ref="BZ6" si="216">IF($AQ6=TRUE, SUM(BS6:BU6), "")</f>
        <v>6.8742469531916317</v>
      </c>
      <c r="CA6" s="40">
        <f t="shared" ref="CA6" si="217">IF($AQ6=TRUE, SUM(BV6:BY6), "")</f>
        <v>6.8742469531916317</v>
      </c>
      <c r="CB6" s="40">
        <f t="shared" ref="CB6" si="218">IF($AQ6=TRUE,IF(ABS(CA6-BZ6)&lt; 0.000001, 0, ABS(CA6-BZ6)), "")</f>
        <v>0</v>
      </c>
      <c r="CC6" s="71">
        <f t="shared" ref="CC6" si="219">IF($AQ6=TRUE, BS6, "-")</f>
        <v>1.2362514528610005</v>
      </c>
      <c r="CD6" s="71">
        <f t="shared" ref="CD6" si="220">IF($AQ6=TRUE, BT6, "-")</f>
        <v>2.4562777333747099</v>
      </c>
      <c r="CE6" s="71">
        <f t="shared" ref="CE6" si="221">IF($AQ6=TRUE, BU6, "-")</f>
        <v>3.1817177669559213</v>
      </c>
      <c r="CF6" s="71">
        <f t="shared" ref="CF6" si="222">IF($AQ6=TRUE, BV6, "-")</f>
        <v>3.8037660382118634</v>
      </c>
      <c r="CG6" s="71">
        <f t="shared" ref="CG6" si="223">IF($AQ6=TRUE,  IF(BW6 -CB6 &gt;= 0, BW6 -CB6, 0), "-")</f>
        <v>1.9878016505056879</v>
      </c>
      <c r="CH6" s="71">
        <f t="shared" ref="CH6" si="224">IF($AQ6=TRUE, BX6, "-")</f>
        <v>0</v>
      </c>
      <c r="CI6" s="71">
        <f t="shared" ref="CI6" si="225">IF($AQ6=TRUE, BY6, "-")</f>
        <v>1.0826792644740806</v>
      </c>
      <c r="CJ6" s="40">
        <f t="shared" ref="CJ6" si="226">IF($AQ6=TRUE, SUM(CC6:CE6), "")</f>
        <v>6.8742469531916317</v>
      </c>
      <c r="CK6" s="40">
        <f t="shared" ref="CK6" si="227">IF($AQ6=TRUE, SUM(CF6:CI6), "")</f>
        <v>6.8742469531916317</v>
      </c>
      <c r="CL6" s="40">
        <f t="shared" ref="CL6" si="228">IF($AQ6=TRUE,IF(ABS(CK6-CJ6)&lt; 0.000001, 0, ABS(CK6-CJ6)), "")</f>
        <v>0</v>
      </c>
      <c r="CM6" s="74">
        <f t="shared" ref="CM6" si="229">IF($AQ6 = TRUE, CC6, AR6)</f>
        <v>1.2362514528610005</v>
      </c>
      <c r="CN6" s="74">
        <f t="shared" ref="CN6" si="230">IF($AQ6 = TRUE, CD6, AS6)</f>
        <v>2.4562777333747099</v>
      </c>
      <c r="CO6" s="74">
        <f t="shared" ref="CO6" si="231">IF($AQ6 = TRUE, CE6, AT6)</f>
        <v>3.1817177669559213</v>
      </c>
      <c r="CP6" s="74">
        <f t="shared" ref="CP6" si="232">IF($AQ6 = TRUE, CF6, AU6)</f>
        <v>3.8037660382118634</v>
      </c>
      <c r="CQ6" s="74">
        <f t="shared" ref="CQ6" si="233">IF($AQ6 = TRUE, CG6, AV6)</f>
        <v>1.9878016505056879</v>
      </c>
      <c r="CR6" s="74">
        <f t="shared" ref="CR6" si="234">IF($AQ6 = TRUE, CH6, AW6)</f>
        <v>0</v>
      </c>
      <c r="CS6" s="74">
        <f t="shared" ref="CS6" si="235">IF($AQ6 = TRUE, CI6, AX6)</f>
        <v>1.0826792644740806</v>
      </c>
      <c r="CT6" s="78">
        <f t="shared" ref="CT6" si="236">MIN(CR6,CO6)</f>
        <v>0</v>
      </c>
      <c r="CU6" s="78">
        <f t="shared" ref="CU6" si="237">CM6</f>
        <v>1.2362514528610005</v>
      </c>
      <c r="CV6" s="78">
        <f t="shared" ref="CV6" si="238">CN6</f>
        <v>2.4562777333747099</v>
      </c>
      <c r="CW6" s="78">
        <f t="shared" ref="CW6" si="239">CO6-CT6</f>
        <v>3.1817177669559213</v>
      </c>
      <c r="CX6" s="78">
        <f t="shared" ref="CX6" si="240">CP6</f>
        <v>3.8037660382118634</v>
      </c>
      <c r="CY6" s="78">
        <f t="shared" ref="CY6" si="241">CQ6</f>
        <v>1.9878016505056879</v>
      </c>
      <c r="CZ6" s="78">
        <f t="shared" ref="CZ6" si="242">CR6-CT6</f>
        <v>0</v>
      </c>
      <c r="DA6" s="78">
        <f t="shared" ref="DA6" si="243">CS6</f>
        <v>1.0826792644740806</v>
      </c>
      <c r="DB6" s="25" t="b">
        <f t="shared" ref="DB6" si="244">IF(ABS(SUM(CU6:CW6)-SUM(CX6:DA6)) &lt; 0.000001, TRUE)</f>
        <v>1</v>
      </c>
      <c r="DC6" s="115">
        <f>(Table1[[#This Row],[eCl,adj (mEq/kg) eq7]]/Reference!D$2)/1000</f>
        <v>1.2362514528610005E-3</v>
      </c>
      <c r="DD6" s="115">
        <f>(Table1[[#This Row],[eNO3,adj (mEq/kg) eq7]]/Reference!E$2)/1000</f>
        <v>2.4562777333747097E-3</v>
      </c>
      <c r="DE6" s="115">
        <f>(Table1[[#This Row],[eSO4,adj,f (mEq/kg) eq7]]/Reference!F$2)/1000</f>
        <v>1.5908588834779606E-3</v>
      </c>
      <c r="DF6" s="115">
        <f>(Table1[[#This Row],[eNa,adj (mEq/kg) eq7]]/Reference!G$2)/1000</f>
        <v>3.8037660382118635E-3</v>
      </c>
      <c r="DG6" s="115">
        <f>(Table1[[#This Row],[eK,adj (mEq/kg) eq7]]/Reference!H$2)/1000</f>
        <v>1.9878016505056879E-3</v>
      </c>
      <c r="DH6" s="115">
        <f>(Table1[[#This Row],[eCa,adj,f (mEq/kg) eq7]]/Reference!I$2)/1000</f>
        <v>0</v>
      </c>
      <c r="DI6" s="115">
        <f>(Table1[[#This Row],[eMg,adj (mEq/kg) eq7]]/Reference!J$2)/1000</f>
        <v>5.4133963223704034E-4</v>
      </c>
      <c r="DJ6" s="44">
        <f>Table1[[#This Row],[cCl,adj (mol/kg) eq 8 part 1]]/SUM(Table1[[#This Row],[cCl,adj (mol/kg) eq 8 part 1]:[cMg,adj (mol/kg) eq 8 part 1]])</f>
        <v>0.10642389946919914</v>
      </c>
      <c r="DK6" s="44">
        <f>Table1[[#This Row],[cNO3,adj (mol/kg) eq 8 part 1]]/SUM(Table1[[#This Row],[cCl,adj (mol/kg) eq 8 part 1]:[cMg,adj (mol/kg) eq 8 part 1]])</f>
        <v>0.2114510393173985</v>
      </c>
      <c r="DL6" s="44">
        <f>Table1[[#This Row],[cSO4,adj (mol/kg) eq 8 part 1]]/SUM(Table1[[#This Row],[cCl,adj (mol/kg) eq 8 part 1]:[cMg,adj (mol/kg) eq 8 part 1]])</f>
        <v>0.1369506223779354</v>
      </c>
      <c r="DM6" s="44">
        <f>Table1[[#This Row],[cNa,adj (mol/kg) eq 8 part 1]]/SUM(Table1[[#This Row],[cCl,adj (mol/kg) eq 8 part 1]:[cMg,adj (mol/kg) eq 8 part 1]])</f>
        <v>0.32745087054755417</v>
      </c>
      <c r="DN6" s="44">
        <f>Table1[[#This Row],[cK,adj (mol/kg) eq 8 part 1]]/SUM(Table1[[#This Row],[cCl,adj (mol/kg) eq 8 part 1]:[cMg,adj (mol/kg) eq 8 part 1]])</f>
        <v>0.17112182358091135</v>
      </c>
      <c r="DO6" s="44">
        <f>Table1[[#This Row],[cCa,adj (mol/kg) eq 8 part 1]]/SUM(Table1[[#This Row],[cCl,adj (mol/kg) eq 8 part 1]:[cMg,adj (mol/kg) eq 8 part 1]])</f>
        <v>0</v>
      </c>
      <c r="DP6" s="44">
        <f>Table1[[#This Row],[cMg,adj (mol/kg) eq 8 part 1]]/SUM(Table1[[#This Row],[cCl,adj (mol/kg) eq 8 part 1]:[cMg,adj (mol/kg) eq 8 part 1]])</f>
        <v>4.6601744707001479E-2</v>
      </c>
      <c r="DQ6" s="46">
        <f t="shared" ref="DQ6" si="245">IF($AP6=TRUE, 0, (AJ6-CR6)/SUM($AH6:$AK6))</f>
        <v>0.88100963519729902</v>
      </c>
      <c r="DR6" s="46">
        <f t="shared" ref="DR6" si="246">IF($AP6=TRUE, 0, (AK6-CS6)/SUM($AH6:$AK6))</f>
        <v>4.6716127085866498E-2</v>
      </c>
      <c r="DS6" s="46">
        <f t="shared" ref="DS6" si="247">IF($AP6=TRUE, 0, (AH6-CP6)/SUM($AH6:$AK6))</f>
        <v>0</v>
      </c>
      <c r="DT6" s="46">
        <f t="shared" ref="DT6" si="248">IF($AP6=TRUE, 0, (AI6-CQ6)/SUM($AH6:$AK6))</f>
        <v>0</v>
      </c>
      <c r="DU6" s="69">
        <f>((CU6*Reference!D$3)/Reference!D$2)*0.001</f>
        <v>4.382845188284519E-5</v>
      </c>
      <c r="DV6" s="69">
        <f>((CV6*Reference!E$3)/Reference!E$2)*0.001</f>
        <v>1.5230125523012556E-4</v>
      </c>
      <c r="DW6" s="69">
        <f>((CW6*Reference!F$3)/Reference!F$2)*0.001</f>
        <v>1.5282426778242682E-4</v>
      </c>
      <c r="DX6" s="69">
        <f>((CX6*Reference!G$3)/Reference!G$2)*0.001</f>
        <v>8.7447698744769881E-5</v>
      </c>
      <c r="DY6" s="69">
        <f>((CY6*Reference!H$3)/Reference!H$2)*0.001</f>
        <v>7.7719665271966536E-5</v>
      </c>
      <c r="DZ6" s="69">
        <f>((CZ6*Reference!I$3)/Reference!I$2)*0.001</f>
        <v>0</v>
      </c>
      <c r="EA6" s="69">
        <f>((DA6*Reference!J$3)/Reference!J$2)*0.001</f>
        <v>1.3157259761521264E-5</v>
      </c>
      <c r="EB6" s="70">
        <f t="shared" ref="EB6" si="249">SUM(DU6:EA6)</f>
        <v>5.2727859867365519E-4</v>
      </c>
      <c r="EC6" s="68">
        <f t="shared" ref="EC6" si="250">(AD6-EB6)</f>
        <v>1.73318165237237E-3</v>
      </c>
      <c r="ED6" s="68">
        <f t="shared" ref="ED6" si="251">((CT6)*(0.5*(96.064+40.078))*0.000001)</f>
        <v>0</v>
      </c>
      <c r="EE6" s="68">
        <f>Table1[[#This Row],[wtot,adj + wCaSO4(-) eq11]]-Table1[[#This Row],[wCaSO4 (-)]]</f>
        <v>1.73318165237237E-3</v>
      </c>
      <c r="EF6" s="68">
        <f>IF(Table1[[#This Row],[pII]]=TRUE, ABS(SUM(DX6,DY6)-(SUM(Z6,AA6))),"Pathway I")</f>
        <v>0</v>
      </c>
      <c r="EG6" s="68">
        <f>IF(Table1[[#This Row],[pII]]=TRUE, (((ABS(Table1[[#This Row],[eCa,adj (mEq/kg) pI or pII]]-Table1[[#This Row],[eCa (mEq/kg)]]))*0.040078)/2)*0.001,"Pathway I")</f>
        <v>1.6791841004184101E-3</v>
      </c>
      <c r="EH6" s="68">
        <f>IF(Table1[[#This Row],[pII]]=TRUE, ((Table1[[#This Row],[ΔeMg (mEq/kg) eq5b]]+Table1[[#This Row],[ΔeNa (mEq/kg) eq5c]]+Table1[[#This Row],[ΔeK (mEq/kg) eq5d]])/1000000)*(60.01/2), "Pathway I")</f>
        <v>0</v>
      </c>
    </row>
    <row r="7" spans="1:138" x14ac:dyDescent="0.6">
      <c r="A7" s="2" t="s">
        <v>247</v>
      </c>
      <c r="B7" s="1" t="s">
        <v>207</v>
      </c>
      <c r="C7" s="1" t="s">
        <v>208</v>
      </c>
      <c r="D7" s="127">
        <v>6</v>
      </c>
      <c r="E7" s="127">
        <v>2010</v>
      </c>
      <c r="F7" s="1" t="s">
        <v>207</v>
      </c>
      <c r="G7" s="1" t="s">
        <v>208</v>
      </c>
      <c r="H7" s="1" t="s">
        <v>245</v>
      </c>
      <c r="I7" s="1" t="s">
        <v>246</v>
      </c>
      <c r="J7" s="1" t="s">
        <v>208</v>
      </c>
      <c r="K7" s="1" t="s">
        <v>219</v>
      </c>
      <c r="L7" s="1" t="s">
        <v>208</v>
      </c>
      <c r="M7" s="1" t="s">
        <v>217</v>
      </c>
      <c r="N7" s="1">
        <v>0.63400000000000001</v>
      </c>
      <c r="O7" s="1">
        <v>100</v>
      </c>
      <c r="P7" s="26">
        <v>7.1999999999999995E-2</v>
      </c>
      <c r="Q7" s="26">
        <v>0.245</v>
      </c>
      <c r="R7" s="26">
        <v>0.81399999999999995</v>
      </c>
      <c r="S7" s="26">
        <v>0.75800000000000001</v>
      </c>
      <c r="T7" s="26">
        <v>2.6739999999999999</v>
      </c>
      <c r="U7" s="26">
        <v>0.89100000000000001</v>
      </c>
      <c r="V7" s="26">
        <v>0</v>
      </c>
      <c r="W7" s="69">
        <f t="shared" ref="W7" si="252">(P7*($O7/1000))/($N7*1000)</f>
        <v>1.1356466876971609E-5</v>
      </c>
      <c r="X7" s="69">
        <f t="shared" ref="X7" si="253">(Q7*($O7/1000))/($N7*1000)</f>
        <v>3.8643533123028392E-5</v>
      </c>
      <c r="Y7" s="69">
        <f t="shared" ref="Y7" si="254">(R7*($O7/1000))/($N7*1000)</f>
        <v>1.2839116719242903E-4</v>
      </c>
      <c r="Z7" s="69">
        <f t="shared" ref="Z7" si="255">(S7*($O7/1000))/($N7*1000)</f>
        <v>1.1955835962145112E-4</v>
      </c>
      <c r="AA7" s="69">
        <f t="shared" ref="AA7" si="256">(T7*($O7/1000))/($N7*1000)</f>
        <v>4.2176656151419561E-4</v>
      </c>
      <c r="AB7" s="69">
        <f t="shared" ref="AB7" si="257">(U7*($O7/1000))/($N7*1000)</f>
        <v>1.4053627760252368E-4</v>
      </c>
      <c r="AC7" s="69">
        <f t="shared" ref="AC7" si="258">(V7*($O7/1000))/($N7*1000)</f>
        <v>0</v>
      </c>
      <c r="AD7" s="70">
        <f t="shared" ref="AD7" si="259">SUM(W7:AC7)</f>
        <v>8.6025236593059945E-4</v>
      </c>
      <c r="AE7" s="71">
        <f>((W7*Reference!D$2)/Reference!D$3)*1000</f>
        <v>0.32032727766775476</v>
      </c>
      <c r="AF7" s="71">
        <f>((X7*Reference!E$2)/Reference!E$3)*1000</f>
        <v>0.62323353675319837</v>
      </c>
      <c r="AG7" s="71">
        <f>((Y7*Reference!F$2)/Reference!F$3)*1000</f>
        <v>2.673033960535248</v>
      </c>
      <c r="AH7" s="71">
        <f>((Z7*Reference!G$2)/Reference!G$3)*1000</f>
        <v>5.2005030943092212</v>
      </c>
      <c r="AI7" s="71">
        <f>((AA7*Reference!H$2)/Reference!H$3)*1000</f>
        <v>10.787337595603788</v>
      </c>
      <c r="AJ7" s="71">
        <f>((AB7*Reference!I$2)/Reference!I$3)*1000</f>
        <v>7.0131382605181729</v>
      </c>
      <c r="AK7" s="71">
        <f>((AC7*Reference!J$2)/Reference!J$3)*1000</f>
        <v>0</v>
      </c>
      <c r="AL7" s="40">
        <f t="shared" ref="AL7" si="260">SUM(AE7:AG7)</f>
        <v>3.6165947749562011</v>
      </c>
      <c r="AM7" s="40">
        <f t="shared" ref="AM7" si="261">SUM(AH7:AK7)</f>
        <v>23.000978950431183</v>
      </c>
      <c r="AN7" s="72">
        <f t="shared" ref="AN7" si="262">ABS(AM7-AL7)</f>
        <v>19.384384175474981</v>
      </c>
      <c r="AO7" s="24" t="str">
        <f t="shared" ref="AO7" si="263">IF(AM7&gt;AL7, "Δe,cat", "Δe,ani")</f>
        <v>Δe,cat</v>
      </c>
      <c r="AP7" s="25" t="b">
        <f t="shared" ref="AP7" si="264">IF(OR(AN7&lt;=MAX(AL7,AM7)*0.02, AL7&gt;AM7), TRUE)</f>
        <v>0</v>
      </c>
      <c r="AQ7" s="25" t="b">
        <f t="shared" ref="AQ7" si="265">IF(AND(AN7&gt;AM7*0.02, AM7&gt;AL7), TRUE)</f>
        <v>1</v>
      </c>
      <c r="AR7" s="73" t="str">
        <f t="shared" ref="AR7" si="266">IF($AP7=TRUE, (AE7*($AL7+$AM7)/(2*$AL7)), "-")</f>
        <v>-</v>
      </c>
      <c r="AS7" s="73" t="str">
        <f t="shared" ref="AS7" si="267">IF($AP7=TRUE, (AF7*($AL7+$AM7)/(2*$AL7)), "-")</f>
        <v>-</v>
      </c>
      <c r="AT7" s="73" t="str">
        <f t="shared" ref="AT7" si="268">IF($AP7=TRUE, (AG7*($AL7+$AM7)/(2*$AL7)), "-")</f>
        <v>-</v>
      </c>
      <c r="AU7" s="73" t="str">
        <f t="shared" ref="AU7" si="269">IF($AP7=TRUE, (AH7*($AL7+$AM7)/(2*$AM7)), "-")</f>
        <v>-</v>
      </c>
      <c r="AV7" s="73" t="str">
        <f t="shared" ref="AV7" si="270">IF($AP7=TRUE, (AI7*($AL7+$AM7)/(2*$AM7)), "-")</f>
        <v>-</v>
      </c>
      <c r="AW7" s="73" t="str">
        <f t="shared" ref="AW7" si="271">IF($AP7=TRUE, (AJ7*($AL7+$AM7)/(2*$AM7)), "-")</f>
        <v>-</v>
      </c>
      <c r="AX7" s="73" t="str">
        <f t="shared" ref="AX7" si="272">IF($AP7=TRUE, (AK7*($AL7+$AM7)/(2*$AM7)), "-")</f>
        <v>-</v>
      </c>
      <c r="AY7" s="71">
        <f t="shared" ref="AY7" si="273">IF($AQ7=TRUE, AE7, "-")</f>
        <v>0.32032727766775476</v>
      </c>
      <c r="AZ7" s="71">
        <f t="shared" ref="AZ7" si="274">IF($AQ7=TRUE, AF7, "-")</f>
        <v>0.62323353675319837</v>
      </c>
      <c r="BA7" s="71">
        <f t="shared" ref="BA7" si="275">IF($AQ7=TRUE, AG7, "-")</f>
        <v>2.673033960535248</v>
      </c>
      <c r="BB7" s="71">
        <f t="shared" ref="BB7" si="276">IF($AQ7=TRUE, AH7, "-")</f>
        <v>5.2005030943092212</v>
      </c>
      <c r="BC7" s="71">
        <f t="shared" ref="BC7" si="277">IF($AQ7=TRUE, AI7, "-")</f>
        <v>10.787337595603788</v>
      </c>
      <c r="BD7" s="71">
        <f t="shared" ref="BD7" si="278">IF($AQ7=TRUE, IF(AJ7-AN7 &gt;= 0, AJ7-AN7, 0), "-")</f>
        <v>0</v>
      </c>
      <c r="BE7" s="71">
        <f t="shared" ref="BE7" si="279">IF($AQ7=TRUE, AK7, "-")</f>
        <v>0</v>
      </c>
      <c r="BF7" s="40">
        <f t="shared" ref="BF7" si="280">IF($AQ7=TRUE, SUM(AY7:BA7), "")</f>
        <v>3.6165947749562011</v>
      </c>
      <c r="BG7" s="40">
        <f t="shared" ref="BG7" si="281">IF($AQ7=TRUE, SUM(BB7:BE7), "")</f>
        <v>15.987840689913009</v>
      </c>
      <c r="BH7" s="40">
        <f t="shared" ref="BH7" si="282">IF($AQ7=TRUE,IF(ABS(BG7-BF7)&lt; 0.000001, 0, ABS(BG7-BF7)), "")</f>
        <v>12.371245914956807</v>
      </c>
      <c r="BI7" s="71">
        <f t="shared" ref="BI7" si="283">IF($AQ7=TRUE, AY7, "-")</f>
        <v>0.32032727766775476</v>
      </c>
      <c r="BJ7" s="71">
        <f t="shared" ref="BJ7" si="284">IF($AQ7=TRUE, AZ7, "-")</f>
        <v>0.62323353675319837</v>
      </c>
      <c r="BK7" s="71">
        <f t="shared" ref="BK7" si="285">IF($AQ7=TRUE, BA7, "-")</f>
        <v>2.673033960535248</v>
      </c>
      <c r="BL7" s="71">
        <f t="shared" ref="BL7" si="286">IF($AQ7=TRUE, BB7, "-")</f>
        <v>5.2005030943092212</v>
      </c>
      <c r="BM7" s="71">
        <f t="shared" ref="BM7" si="287">IF($AQ7=TRUE, BC7, "-")</f>
        <v>10.787337595603788</v>
      </c>
      <c r="BN7" s="71">
        <f t="shared" ref="BN7" si="288">IF($AQ7=TRUE, BD7, "-")</f>
        <v>0</v>
      </c>
      <c r="BO7" s="71">
        <f t="shared" ref="BO7" si="289">IF($AQ7=TRUE, IF(BE7 -BH7 &gt;= 0, BE7 -BH7, 0), "-")</f>
        <v>0</v>
      </c>
      <c r="BP7" s="40">
        <f t="shared" ref="BP7" si="290">IF($AQ7=TRUE, SUM(BI7:BK7), "")</f>
        <v>3.6165947749562011</v>
      </c>
      <c r="BQ7" s="40">
        <f t="shared" ref="BQ7" si="291">IF($AQ7=TRUE, SUM(BL7:BO7), "")</f>
        <v>15.987840689913009</v>
      </c>
      <c r="BR7" s="40">
        <f t="shared" ref="BR7" si="292">IF($AQ7=TRUE,IF(ABS(BQ7-BP7)&lt; 0.000001, 0, ABS(BQ7-BP7)), "")</f>
        <v>12.371245914956807</v>
      </c>
      <c r="BS7" s="71">
        <f t="shared" ref="BS7" si="293">IF($AQ7=TRUE, BI7, "-")</f>
        <v>0.32032727766775476</v>
      </c>
      <c r="BT7" s="71">
        <f t="shared" ref="BT7" si="294">IF($AQ7=TRUE, BJ7, "-")</f>
        <v>0.62323353675319837</v>
      </c>
      <c r="BU7" s="71">
        <f t="shared" ref="BU7" si="295">IF($AQ7=TRUE, BK7, "-")</f>
        <v>2.673033960535248</v>
      </c>
      <c r="BV7" s="71">
        <f t="shared" ref="BV7" si="296">IF($AQ7=TRUE, IF(BL7 -BR7 &gt;= 0, BL7 -BR7, 0), "-")</f>
        <v>0</v>
      </c>
      <c r="BW7" s="71">
        <f t="shared" ref="BW7" si="297">IF($AQ7=TRUE, BM7, "-")</f>
        <v>10.787337595603788</v>
      </c>
      <c r="BX7" s="71">
        <f t="shared" ref="BX7" si="298">IF($AQ7=TRUE, BN7, "-")</f>
        <v>0</v>
      </c>
      <c r="BY7" s="71">
        <f t="shared" ref="BY7" si="299">IF($AQ7=TRUE, BO7, "-")</f>
        <v>0</v>
      </c>
      <c r="BZ7" s="40">
        <f t="shared" ref="BZ7" si="300">IF($AQ7=TRUE, SUM(BS7:BU7), "")</f>
        <v>3.6165947749562011</v>
      </c>
      <c r="CA7" s="40">
        <f t="shared" ref="CA7" si="301">IF($AQ7=TRUE, SUM(BV7:BY7), "")</f>
        <v>10.787337595603788</v>
      </c>
      <c r="CB7" s="40">
        <f t="shared" ref="CB7" si="302">IF($AQ7=TRUE,IF(ABS(CA7-BZ7)&lt; 0.000001, 0, ABS(CA7-BZ7)), "")</f>
        <v>7.1707428206475861</v>
      </c>
      <c r="CC7" s="71">
        <f t="shared" ref="CC7" si="303">IF($AQ7=TRUE, BS7, "-")</f>
        <v>0.32032727766775476</v>
      </c>
      <c r="CD7" s="71">
        <f t="shared" ref="CD7" si="304">IF($AQ7=TRUE, BT7, "-")</f>
        <v>0.62323353675319837</v>
      </c>
      <c r="CE7" s="71">
        <f t="shared" ref="CE7" si="305">IF($AQ7=TRUE, BU7, "-")</f>
        <v>2.673033960535248</v>
      </c>
      <c r="CF7" s="71">
        <f t="shared" ref="CF7" si="306">IF($AQ7=TRUE, BV7, "-")</f>
        <v>0</v>
      </c>
      <c r="CG7" s="71">
        <f t="shared" ref="CG7" si="307">IF($AQ7=TRUE,  IF(BW7 -CB7 &gt;= 0, BW7 -CB7, 0), "-")</f>
        <v>3.6165947749562015</v>
      </c>
      <c r="CH7" s="71">
        <f t="shared" ref="CH7" si="308">IF($AQ7=TRUE, BX7, "-")</f>
        <v>0</v>
      </c>
      <c r="CI7" s="71">
        <f t="shared" ref="CI7" si="309">IF($AQ7=TRUE, BY7, "-")</f>
        <v>0</v>
      </c>
      <c r="CJ7" s="40">
        <f t="shared" ref="CJ7" si="310">IF($AQ7=TRUE, SUM(CC7:CE7), "")</f>
        <v>3.6165947749562011</v>
      </c>
      <c r="CK7" s="40">
        <f t="shared" ref="CK7" si="311">IF($AQ7=TRUE, SUM(CF7:CI7), "")</f>
        <v>3.6165947749562015</v>
      </c>
      <c r="CL7" s="40">
        <f t="shared" ref="CL7" si="312">IF($AQ7=TRUE,IF(ABS(CK7-CJ7)&lt; 0.000001, 0, ABS(CK7-CJ7)), "")</f>
        <v>0</v>
      </c>
      <c r="CM7" s="74">
        <f t="shared" ref="CM7" si="313">IF($AQ7 = TRUE, CC7, AR7)</f>
        <v>0.32032727766775476</v>
      </c>
      <c r="CN7" s="74">
        <f t="shared" ref="CN7" si="314">IF($AQ7 = TRUE, CD7, AS7)</f>
        <v>0.62323353675319837</v>
      </c>
      <c r="CO7" s="74">
        <f t="shared" ref="CO7" si="315">IF($AQ7 = TRUE, CE7, AT7)</f>
        <v>2.673033960535248</v>
      </c>
      <c r="CP7" s="74">
        <f t="shared" ref="CP7" si="316">IF($AQ7 = TRUE, CF7, AU7)</f>
        <v>0</v>
      </c>
      <c r="CQ7" s="74">
        <f t="shared" ref="CQ7" si="317">IF($AQ7 = TRUE, CG7, AV7)</f>
        <v>3.6165947749562015</v>
      </c>
      <c r="CR7" s="74">
        <f t="shared" ref="CR7" si="318">IF($AQ7 = TRUE, CH7, AW7)</f>
        <v>0</v>
      </c>
      <c r="CS7" s="74">
        <f t="shared" ref="CS7" si="319">IF($AQ7 = TRUE, CI7, AX7)</f>
        <v>0</v>
      </c>
      <c r="CT7" s="78">
        <f t="shared" ref="CT7" si="320">MIN(CR7,CO7)</f>
        <v>0</v>
      </c>
      <c r="CU7" s="78">
        <f t="shared" ref="CU7" si="321">CM7</f>
        <v>0.32032727766775476</v>
      </c>
      <c r="CV7" s="78">
        <f t="shared" ref="CV7" si="322">CN7</f>
        <v>0.62323353675319837</v>
      </c>
      <c r="CW7" s="78">
        <f t="shared" ref="CW7" si="323">CO7-CT7</f>
        <v>2.673033960535248</v>
      </c>
      <c r="CX7" s="78">
        <f t="shared" ref="CX7" si="324">CP7</f>
        <v>0</v>
      </c>
      <c r="CY7" s="78">
        <f t="shared" ref="CY7" si="325">CQ7</f>
        <v>3.6165947749562015</v>
      </c>
      <c r="CZ7" s="78">
        <f t="shared" ref="CZ7" si="326">CR7-CT7</f>
        <v>0</v>
      </c>
      <c r="DA7" s="78">
        <f t="shared" ref="DA7" si="327">CS7</f>
        <v>0</v>
      </c>
      <c r="DB7" s="25" t="b">
        <f t="shared" ref="DB7" si="328">IF(ABS(SUM(CU7:CW7)-SUM(CX7:DA7)) &lt; 0.000001, TRUE)</f>
        <v>1</v>
      </c>
      <c r="DC7" s="115">
        <f>(Table1[[#This Row],[eCl,adj (mEq/kg) eq7]]/Reference!D$2)/1000</f>
        <v>3.2032727766775475E-4</v>
      </c>
      <c r="DD7" s="115">
        <f>(Table1[[#This Row],[eNO3,adj (mEq/kg) eq7]]/Reference!E$2)/1000</f>
        <v>6.2323353675319837E-4</v>
      </c>
      <c r="DE7" s="115">
        <f>(Table1[[#This Row],[eSO4,adj,f (mEq/kg) eq7]]/Reference!F$2)/1000</f>
        <v>1.3365169802676241E-3</v>
      </c>
      <c r="DF7" s="115">
        <f>(Table1[[#This Row],[eNa,adj (mEq/kg) eq7]]/Reference!G$2)/1000</f>
        <v>0</v>
      </c>
      <c r="DG7" s="115">
        <f>(Table1[[#This Row],[eK,adj (mEq/kg) eq7]]/Reference!H$2)/1000</f>
        <v>3.6165947749562015E-3</v>
      </c>
      <c r="DH7" s="115">
        <f>(Table1[[#This Row],[eCa,adj,f (mEq/kg) eq7]]/Reference!I$2)/1000</f>
        <v>0</v>
      </c>
      <c r="DI7" s="115">
        <f>(Table1[[#This Row],[eMg,adj (mEq/kg) eq7]]/Reference!J$2)/1000</f>
        <v>0</v>
      </c>
      <c r="DJ7" s="44">
        <f>Table1[[#This Row],[cCl,adj (mol/kg) eq 8 part 1]]/SUM(Table1[[#This Row],[cCl,adj (mol/kg) eq 8 part 1]:[cMg,adj (mol/kg) eq 8 part 1]])</f>
        <v>5.4323395759966975E-2</v>
      </c>
      <c r="DK7" s="44">
        <f>Table1[[#This Row],[cNO3,adj (mol/kg) eq 8 part 1]]/SUM(Table1[[#This Row],[cCl,adj (mol/kg) eq 8 part 1]:[cMg,adj (mol/kg) eq 8 part 1]])</f>
        <v>0.10569241031993448</v>
      </c>
      <c r="DL7" s="44">
        <f>Table1[[#This Row],[cSO4,adj (mol/kg) eq 8 part 1]]/SUM(Table1[[#This Row],[cCl,adj (mol/kg) eq 8 part 1]:[cMg,adj (mol/kg) eq 8 part 1]])</f>
        <v>0.22665612928006568</v>
      </c>
      <c r="DM7" s="44">
        <f>Table1[[#This Row],[cNa,adj (mol/kg) eq 8 part 1]]/SUM(Table1[[#This Row],[cCl,adj (mol/kg) eq 8 part 1]:[cMg,adj (mol/kg) eq 8 part 1]])</f>
        <v>0</v>
      </c>
      <c r="DN7" s="44">
        <f>Table1[[#This Row],[cK,adj (mol/kg) eq 8 part 1]]/SUM(Table1[[#This Row],[cCl,adj (mol/kg) eq 8 part 1]:[cMg,adj (mol/kg) eq 8 part 1]])</f>
        <v>0.61332806464003287</v>
      </c>
      <c r="DO7" s="44">
        <f>Table1[[#This Row],[cCa,adj (mol/kg) eq 8 part 1]]/SUM(Table1[[#This Row],[cCl,adj (mol/kg) eq 8 part 1]:[cMg,adj (mol/kg) eq 8 part 1]])</f>
        <v>0</v>
      </c>
      <c r="DP7" s="44">
        <f>Table1[[#This Row],[cMg,adj (mol/kg) eq 8 part 1]]/SUM(Table1[[#This Row],[cCl,adj (mol/kg) eq 8 part 1]:[cMg,adj (mol/kg) eq 8 part 1]])</f>
        <v>0</v>
      </c>
      <c r="DQ7" s="46">
        <f t="shared" ref="DQ7" si="329">IF($AP7=TRUE, 0, (AJ7-CR7)/SUM($AH7:$AK7))</f>
        <v>0.30490607706880679</v>
      </c>
      <c r="DR7" s="46">
        <f t="shared" ref="DR7" si="330">IF($AP7=TRUE, 0, (AK7-CS7)/SUM($AH7:$AK7))</f>
        <v>0</v>
      </c>
      <c r="DS7" s="46">
        <f t="shared" ref="DS7" si="331">IF($AP7=TRUE, 0, (AH7-CP7)/SUM($AH7:$AK7))</f>
        <v>0.22609920671275302</v>
      </c>
      <c r="DT7" s="46">
        <f t="shared" ref="DT7" si="332">IF($AP7=TRUE, 0, (AI7-CQ7)/SUM($AH7:$AK7))</f>
        <v>0.31175815760281633</v>
      </c>
      <c r="DU7" s="69">
        <f>((CU7*Reference!D$3)/Reference!D$2)*0.001</f>
        <v>1.1356466876971609E-5</v>
      </c>
      <c r="DV7" s="69">
        <f>((CV7*Reference!E$3)/Reference!E$2)*0.001</f>
        <v>3.8643533123028392E-5</v>
      </c>
      <c r="DW7" s="69">
        <f>((CW7*Reference!F$3)/Reference!F$2)*0.001</f>
        <v>1.2839116719242901E-4</v>
      </c>
      <c r="DX7" s="69">
        <f>((CX7*Reference!G$3)/Reference!G$2)*0.001</f>
        <v>0</v>
      </c>
      <c r="DY7" s="69">
        <f>((CY7*Reference!H$3)/Reference!H$2)*0.001</f>
        <v>1.4140270748967007E-4</v>
      </c>
      <c r="DZ7" s="69">
        <f>((CZ7*Reference!I$3)/Reference!I$2)*0.001</f>
        <v>0</v>
      </c>
      <c r="EA7" s="69">
        <f>((DA7*Reference!J$3)/Reference!J$2)*0.001</f>
        <v>0</v>
      </c>
      <c r="EB7" s="70">
        <f t="shared" ref="EB7" si="333">SUM(DU7:EA7)</f>
        <v>3.1979387468209907E-4</v>
      </c>
      <c r="EC7" s="68">
        <f t="shared" ref="EC7" si="334">(AD7-EB7)</f>
        <v>5.4045849124850038E-4</v>
      </c>
      <c r="ED7" s="68">
        <f t="shared" ref="ED7" si="335">((CT7)*(0.5*(96.064+40.078))*0.000001)</f>
        <v>0</v>
      </c>
      <c r="EE7" s="68">
        <f>Table1[[#This Row],[wtot,adj + wCaSO4(-) eq11]]-Table1[[#This Row],[wCaSO4 (-)]]</f>
        <v>5.4045849124850038E-4</v>
      </c>
      <c r="EF7" s="68">
        <f>IF(Table1[[#This Row],[pII]]=TRUE, ABS(SUM(DX7,DY7)-(SUM(Z7,AA7))),"Pathway I")</f>
        <v>3.9992221364597671E-4</v>
      </c>
      <c r="EG7" s="68">
        <f>IF(Table1[[#This Row],[pII]]=TRUE, (((ABS(Table1[[#This Row],[eCa,adj (mEq/kg) pI or pII]]-Table1[[#This Row],[eCa (mEq/kg)]]))*0.040078)/2)*0.001,"Pathway I")</f>
        <v>1.4053627760252368E-4</v>
      </c>
      <c r="EH7" s="68">
        <f>IF(Table1[[#This Row],[pII]]=TRUE, ((Table1[[#This Row],[ΔeMg (mEq/kg) eq5b]]+Table1[[#This Row],[ΔeNa (mEq/kg) eq5c]]+Table1[[#This Row],[ΔeK (mEq/kg) eq5d]])/1000000)*(60.01/2), "Pathway I")</f>
        <v>5.8635737201180973E-4</v>
      </c>
    </row>
    <row r="8" spans="1:138" x14ac:dyDescent="0.6">
      <c r="A8" s="2" t="s">
        <v>251</v>
      </c>
      <c r="B8" s="1" t="s">
        <v>207</v>
      </c>
      <c r="C8" s="1" t="s">
        <v>208</v>
      </c>
      <c r="D8" s="127">
        <v>9</v>
      </c>
      <c r="E8" s="127">
        <v>2011</v>
      </c>
      <c r="F8" s="1" t="s">
        <v>207</v>
      </c>
      <c r="G8" s="1" t="s">
        <v>208</v>
      </c>
      <c r="H8" s="1" t="s">
        <v>248</v>
      </c>
      <c r="I8" s="1" t="s">
        <v>249</v>
      </c>
      <c r="J8" s="1" t="s">
        <v>208</v>
      </c>
      <c r="K8" s="1" t="s">
        <v>219</v>
      </c>
      <c r="L8" s="1">
        <v>160</v>
      </c>
      <c r="M8" s="1" t="s">
        <v>218</v>
      </c>
      <c r="N8" s="1">
        <v>0.47599999999999998</v>
      </c>
      <c r="O8" s="1">
        <v>70</v>
      </c>
      <c r="P8" s="26">
        <v>16.332000000000001</v>
      </c>
      <c r="Q8" s="26">
        <v>3.93</v>
      </c>
      <c r="R8" s="26">
        <v>30.134</v>
      </c>
      <c r="S8" s="26">
        <v>9.577</v>
      </c>
      <c r="T8" s="26">
        <v>1.526</v>
      </c>
      <c r="U8" s="26">
        <v>14.542</v>
      </c>
      <c r="V8" s="26">
        <v>0.68600000000000005</v>
      </c>
      <c r="W8" s="69">
        <f t="shared" ref="W8" si="336">(P8*($O8/1000))/($N8*1000)</f>
        <v>2.4017647058823537E-3</v>
      </c>
      <c r="X8" s="69">
        <f t="shared" ref="X8" si="337">(Q8*($O8/1000))/($N8*1000)</f>
        <v>5.7794117647058825E-4</v>
      </c>
      <c r="Y8" s="69">
        <f t="shared" ref="Y8" si="338">(R8*($O8/1000))/($N8*1000)</f>
        <v>4.4314705882352945E-3</v>
      </c>
      <c r="Z8" s="69">
        <f t="shared" ref="Z8" si="339">(S8*($O8/1000))/($N8*1000)</f>
        <v>1.4083823529411766E-3</v>
      </c>
      <c r="AA8" s="69">
        <f t="shared" ref="AA8" si="340">(T8*($O8/1000))/($N8*1000)</f>
        <v>2.2441176470588237E-4</v>
      </c>
      <c r="AB8" s="69">
        <f t="shared" ref="AB8" si="341">(U8*($O8/1000))/($N8*1000)</f>
        <v>2.1385294117647062E-3</v>
      </c>
      <c r="AC8" s="69">
        <f t="shared" ref="AC8" si="342">(V8*($O8/1000))/($N8*1000)</f>
        <v>1.0088235294117649E-4</v>
      </c>
      <c r="AD8" s="70">
        <f t="shared" ref="AD8" si="343">SUM(W8:AC8)</f>
        <v>1.1283382352941178E-2</v>
      </c>
      <c r="AE8" s="71">
        <f>((W8*Reference!D$2)/Reference!D$3)*1000</f>
        <v>67.745607693697622</v>
      </c>
      <c r="AF8" s="71">
        <f>((X8*Reference!E$2)/Reference!E$3)*1000</f>
        <v>9.3208952271608894</v>
      </c>
      <c r="AG8" s="71">
        <f>((Y8*Reference!F$2)/Reference!F$3)*1000</f>
        <v>92.260796723752804</v>
      </c>
      <c r="AH8" s="71">
        <f>((Z8*Reference!G$2)/Reference!G$3)*1000</f>
        <v>61.261268619203832</v>
      </c>
      <c r="AI8" s="71">
        <f>((AA8*Reference!H$2)/Reference!H$3)*1000</f>
        <v>5.7396808737434197</v>
      </c>
      <c r="AJ8" s="71">
        <f>((AB8*Reference!I$2)/Reference!I$3)*1000</f>
        <v>106.71836976718929</v>
      </c>
      <c r="AK8" s="71">
        <f>((AC8*Reference!J$2)/Reference!J$3)*1000</f>
        <v>8.3013662161017461</v>
      </c>
      <c r="AL8" s="40">
        <f t="shared" ref="AL8" si="344">SUM(AE8:AG8)</f>
        <v>169.32729964461132</v>
      </c>
      <c r="AM8" s="40">
        <f t="shared" ref="AM8" si="345">SUM(AH8:AK8)</f>
        <v>182.0206854762383</v>
      </c>
      <c r="AN8" s="72">
        <f t="shared" ref="AN8" si="346">ABS(AM8-AL8)</f>
        <v>12.693385831626983</v>
      </c>
      <c r="AO8" s="24" t="str">
        <f t="shared" ref="AO8" si="347">IF(AM8&gt;AL8, "Δe,cat", "Δe,ani")</f>
        <v>Δe,cat</v>
      </c>
      <c r="AP8" s="25" t="b">
        <f t="shared" ref="AP8" si="348">IF(OR(AN8&lt;=MAX(AL8,AM8)*0.02, AL8&gt;AM8), TRUE)</f>
        <v>0</v>
      </c>
      <c r="AQ8" s="25" t="b">
        <f t="shared" ref="AQ8" si="349">IF(AND(AN8&gt;AM8*0.02, AM8&gt;AL8), TRUE)</f>
        <v>1</v>
      </c>
      <c r="AR8" s="73" t="str">
        <f t="shared" ref="AR8" si="350">IF($AP8=TRUE, (AE8*($AL8+$AM8)/(2*$AL8)), "-")</f>
        <v>-</v>
      </c>
      <c r="AS8" s="73" t="str">
        <f t="shared" ref="AS8" si="351">IF($AP8=TRUE, (AF8*($AL8+$AM8)/(2*$AL8)), "-")</f>
        <v>-</v>
      </c>
      <c r="AT8" s="73" t="str">
        <f t="shared" ref="AT8" si="352">IF($AP8=TRUE, (AG8*($AL8+$AM8)/(2*$AL8)), "-")</f>
        <v>-</v>
      </c>
      <c r="AU8" s="73" t="str">
        <f t="shared" ref="AU8" si="353">IF($AP8=TRUE, (AH8*($AL8+$AM8)/(2*$AM8)), "-")</f>
        <v>-</v>
      </c>
      <c r="AV8" s="73" t="str">
        <f t="shared" ref="AV8" si="354">IF($AP8=TRUE, (AI8*($AL8+$AM8)/(2*$AM8)), "-")</f>
        <v>-</v>
      </c>
      <c r="AW8" s="73" t="str">
        <f t="shared" ref="AW8" si="355">IF($AP8=TRUE, (AJ8*($AL8+$AM8)/(2*$AM8)), "-")</f>
        <v>-</v>
      </c>
      <c r="AX8" s="73" t="str">
        <f t="shared" ref="AX8" si="356">IF($AP8=TRUE, (AK8*($AL8+$AM8)/(2*$AM8)), "-")</f>
        <v>-</v>
      </c>
      <c r="AY8" s="71">
        <f t="shared" ref="AY8" si="357">IF($AQ8=TRUE, AE8, "-")</f>
        <v>67.745607693697622</v>
      </c>
      <c r="AZ8" s="71">
        <f t="shared" ref="AZ8" si="358">IF($AQ8=TRUE, AF8, "-")</f>
        <v>9.3208952271608894</v>
      </c>
      <c r="BA8" s="71">
        <f t="shared" ref="BA8" si="359">IF($AQ8=TRUE, AG8, "-")</f>
        <v>92.260796723752804</v>
      </c>
      <c r="BB8" s="71">
        <f t="shared" ref="BB8" si="360">IF($AQ8=TRUE, AH8, "-")</f>
        <v>61.261268619203832</v>
      </c>
      <c r="BC8" s="71">
        <f t="shared" ref="BC8" si="361">IF($AQ8=TRUE, AI8, "-")</f>
        <v>5.7396808737434197</v>
      </c>
      <c r="BD8" s="71">
        <f t="shared" ref="BD8" si="362">IF($AQ8=TRUE, IF(AJ8-AN8 &gt;= 0, AJ8-AN8, 0), "-")</f>
        <v>94.024983935562304</v>
      </c>
      <c r="BE8" s="71">
        <f t="shared" ref="BE8" si="363">IF($AQ8=TRUE, AK8, "-")</f>
        <v>8.3013662161017461</v>
      </c>
      <c r="BF8" s="40">
        <f t="shared" ref="BF8" si="364">IF($AQ8=TRUE, SUM(AY8:BA8), "")</f>
        <v>169.32729964461132</v>
      </c>
      <c r="BG8" s="40">
        <f t="shared" ref="BG8" si="365">IF($AQ8=TRUE, SUM(BB8:BE8), "")</f>
        <v>169.32729964461132</v>
      </c>
      <c r="BH8" s="40">
        <f t="shared" ref="BH8" si="366">IF($AQ8=TRUE,IF(ABS(BG8-BF8)&lt; 0.000001, 0, ABS(BG8-BF8)), "")</f>
        <v>0</v>
      </c>
      <c r="BI8" s="71">
        <f t="shared" ref="BI8" si="367">IF($AQ8=TRUE, AY8, "-")</f>
        <v>67.745607693697622</v>
      </c>
      <c r="BJ8" s="71">
        <f t="shared" ref="BJ8" si="368">IF($AQ8=TRUE, AZ8, "-")</f>
        <v>9.3208952271608894</v>
      </c>
      <c r="BK8" s="71">
        <f t="shared" ref="BK8" si="369">IF($AQ8=TRUE, BA8, "-")</f>
        <v>92.260796723752804</v>
      </c>
      <c r="BL8" s="71">
        <f t="shared" ref="BL8" si="370">IF($AQ8=TRUE, BB8, "-")</f>
        <v>61.261268619203832</v>
      </c>
      <c r="BM8" s="71">
        <f t="shared" ref="BM8" si="371">IF($AQ8=TRUE, BC8, "-")</f>
        <v>5.7396808737434197</v>
      </c>
      <c r="BN8" s="71">
        <f t="shared" ref="BN8" si="372">IF($AQ8=TRUE, BD8, "-")</f>
        <v>94.024983935562304</v>
      </c>
      <c r="BO8" s="71">
        <f t="shared" ref="BO8" si="373">IF($AQ8=TRUE, IF(BE8 -BH8 &gt;= 0, BE8 -BH8, 0), "-")</f>
        <v>8.3013662161017461</v>
      </c>
      <c r="BP8" s="40">
        <f t="shared" ref="BP8" si="374">IF($AQ8=TRUE, SUM(BI8:BK8), "")</f>
        <v>169.32729964461132</v>
      </c>
      <c r="BQ8" s="40">
        <f t="shared" ref="BQ8" si="375">IF($AQ8=TRUE, SUM(BL8:BO8), "")</f>
        <v>169.32729964461132</v>
      </c>
      <c r="BR8" s="40">
        <f t="shared" ref="BR8" si="376">IF($AQ8=TRUE,IF(ABS(BQ8-BP8)&lt; 0.000001, 0, ABS(BQ8-BP8)), "")</f>
        <v>0</v>
      </c>
      <c r="BS8" s="71">
        <f t="shared" ref="BS8" si="377">IF($AQ8=TRUE, BI8, "-")</f>
        <v>67.745607693697622</v>
      </c>
      <c r="BT8" s="71">
        <f t="shared" ref="BT8" si="378">IF($AQ8=TRUE, BJ8, "-")</f>
        <v>9.3208952271608894</v>
      </c>
      <c r="BU8" s="71">
        <f t="shared" ref="BU8" si="379">IF($AQ8=TRUE, BK8, "-")</f>
        <v>92.260796723752804</v>
      </c>
      <c r="BV8" s="71">
        <f t="shared" ref="BV8" si="380">IF($AQ8=TRUE, IF(BL8 -BR8 &gt;= 0, BL8 -BR8, 0), "-")</f>
        <v>61.261268619203832</v>
      </c>
      <c r="BW8" s="71">
        <f t="shared" ref="BW8" si="381">IF($AQ8=TRUE, BM8, "-")</f>
        <v>5.7396808737434197</v>
      </c>
      <c r="BX8" s="71">
        <f t="shared" ref="BX8" si="382">IF($AQ8=TRUE, BN8, "-")</f>
        <v>94.024983935562304</v>
      </c>
      <c r="BY8" s="71">
        <f t="shared" ref="BY8" si="383">IF($AQ8=TRUE, BO8, "-")</f>
        <v>8.3013662161017461</v>
      </c>
      <c r="BZ8" s="40">
        <f t="shared" ref="BZ8" si="384">IF($AQ8=TRUE, SUM(BS8:BU8), "")</f>
        <v>169.32729964461132</v>
      </c>
      <c r="CA8" s="40">
        <f t="shared" ref="CA8" si="385">IF($AQ8=TRUE, SUM(BV8:BY8), "")</f>
        <v>169.32729964461132</v>
      </c>
      <c r="CB8" s="40">
        <f t="shared" ref="CB8" si="386">IF($AQ8=TRUE,IF(ABS(CA8-BZ8)&lt; 0.000001, 0, ABS(CA8-BZ8)), "")</f>
        <v>0</v>
      </c>
      <c r="CC8" s="71">
        <f t="shared" ref="CC8" si="387">IF($AQ8=TRUE, BS8, "-")</f>
        <v>67.745607693697622</v>
      </c>
      <c r="CD8" s="71">
        <f t="shared" ref="CD8" si="388">IF($AQ8=TRUE, BT8, "-")</f>
        <v>9.3208952271608894</v>
      </c>
      <c r="CE8" s="71">
        <f t="shared" ref="CE8" si="389">IF($AQ8=TRUE, BU8, "-")</f>
        <v>92.260796723752804</v>
      </c>
      <c r="CF8" s="71">
        <f t="shared" ref="CF8" si="390">IF($AQ8=TRUE, BV8, "-")</f>
        <v>61.261268619203832</v>
      </c>
      <c r="CG8" s="71">
        <f t="shared" ref="CG8" si="391">IF($AQ8=TRUE,  IF(BW8 -CB8 &gt;= 0, BW8 -CB8, 0), "-")</f>
        <v>5.7396808737434197</v>
      </c>
      <c r="CH8" s="71">
        <f t="shared" ref="CH8" si="392">IF($AQ8=TRUE, BX8, "-")</f>
        <v>94.024983935562304</v>
      </c>
      <c r="CI8" s="71">
        <f t="shared" ref="CI8" si="393">IF($AQ8=TRUE, BY8, "-")</f>
        <v>8.3013662161017461</v>
      </c>
      <c r="CJ8" s="40">
        <f t="shared" ref="CJ8" si="394">IF($AQ8=TRUE, SUM(CC8:CE8), "")</f>
        <v>169.32729964461132</v>
      </c>
      <c r="CK8" s="40">
        <f t="shared" ref="CK8" si="395">IF($AQ8=TRUE, SUM(CF8:CI8), "")</f>
        <v>169.32729964461132</v>
      </c>
      <c r="CL8" s="40">
        <f t="shared" ref="CL8" si="396">IF($AQ8=TRUE,IF(ABS(CK8-CJ8)&lt; 0.000001, 0, ABS(CK8-CJ8)), "")</f>
        <v>0</v>
      </c>
      <c r="CM8" s="74">
        <f t="shared" ref="CM8" si="397">IF($AQ8 = TRUE, CC8, AR8)</f>
        <v>67.745607693697622</v>
      </c>
      <c r="CN8" s="74">
        <f t="shared" ref="CN8" si="398">IF($AQ8 = TRUE, CD8, AS8)</f>
        <v>9.3208952271608894</v>
      </c>
      <c r="CO8" s="74">
        <f t="shared" ref="CO8" si="399">IF($AQ8 = TRUE, CE8, AT8)</f>
        <v>92.260796723752804</v>
      </c>
      <c r="CP8" s="74">
        <f t="shared" ref="CP8" si="400">IF($AQ8 = TRUE, CF8, AU8)</f>
        <v>61.261268619203832</v>
      </c>
      <c r="CQ8" s="74">
        <f t="shared" ref="CQ8" si="401">IF($AQ8 = TRUE, CG8, AV8)</f>
        <v>5.7396808737434197</v>
      </c>
      <c r="CR8" s="74">
        <f t="shared" ref="CR8" si="402">IF($AQ8 = TRUE, CH8, AW8)</f>
        <v>94.024983935562304</v>
      </c>
      <c r="CS8" s="74">
        <f t="shared" ref="CS8" si="403">IF($AQ8 = TRUE, CI8, AX8)</f>
        <v>8.3013662161017461</v>
      </c>
      <c r="CT8" s="78">
        <f t="shared" ref="CT8" si="404">MIN(CR8,CO8)</f>
        <v>92.260796723752804</v>
      </c>
      <c r="CU8" s="78">
        <f t="shared" ref="CU8" si="405">CM8</f>
        <v>67.745607693697622</v>
      </c>
      <c r="CV8" s="78">
        <f t="shared" ref="CV8" si="406">CN8</f>
        <v>9.3208952271608894</v>
      </c>
      <c r="CW8" s="78">
        <f t="shared" ref="CW8" si="407">CO8-CT8</f>
        <v>0</v>
      </c>
      <c r="CX8" s="78">
        <f t="shared" ref="CX8" si="408">CP8</f>
        <v>61.261268619203832</v>
      </c>
      <c r="CY8" s="78">
        <f t="shared" ref="CY8" si="409">CQ8</f>
        <v>5.7396808737434197</v>
      </c>
      <c r="CZ8" s="78">
        <f t="shared" ref="CZ8" si="410">CR8-CT8</f>
        <v>1.7641872118094994</v>
      </c>
      <c r="DA8" s="78">
        <f t="shared" ref="DA8" si="411">CS8</f>
        <v>8.3013662161017461</v>
      </c>
      <c r="DB8" s="25" t="b">
        <f t="shared" ref="DB8" si="412">IF(ABS(SUM(CU8:CW8)-SUM(CX8:DA8)) &lt; 0.000001, TRUE)</f>
        <v>1</v>
      </c>
      <c r="DC8" s="115">
        <f>(Table1[[#This Row],[eCl,adj (mEq/kg) eq7]]/Reference!D$2)/1000</f>
        <v>6.7745607693697626E-2</v>
      </c>
      <c r="DD8" s="115">
        <f>(Table1[[#This Row],[eNO3,adj (mEq/kg) eq7]]/Reference!E$2)/1000</f>
        <v>9.32089522716089E-3</v>
      </c>
      <c r="DE8" s="115">
        <f>(Table1[[#This Row],[eSO4,adj,f (mEq/kg) eq7]]/Reference!F$2)/1000</f>
        <v>0</v>
      </c>
      <c r="DF8" s="115">
        <f>(Table1[[#This Row],[eNa,adj (mEq/kg) eq7]]/Reference!G$2)/1000</f>
        <v>6.1261268619203835E-2</v>
      </c>
      <c r="DG8" s="115">
        <f>(Table1[[#This Row],[eK,adj (mEq/kg) eq7]]/Reference!H$2)/1000</f>
        <v>5.7396808737434201E-3</v>
      </c>
      <c r="DH8" s="115">
        <f>(Table1[[#This Row],[eCa,adj,f (mEq/kg) eq7]]/Reference!I$2)/1000</f>
        <v>8.8209360590474969E-4</v>
      </c>
      <c r="DI8" s="115">
        <f>(Table1[[#This Row],[eMg,adj (mEq/kg) eq7]]/Reference!J$2)/1000</f>
        <v>4.1506831080508734E-3</v>
      </c>
      <c r="DJ8" s="44">
        <f>Table1[[#This Row],[cCl,adj (mol/kg) eq 8 part 1]]/SUM(Table1[[#This Row],[cCl,adj (mol/kg) eq 8 part 1]:[cMg,adj (mol/kg) eq 8 part 1]])</f>
        <v>0.45436286778370816</v>
      </c>
      <c r="DK8" s="44">
        <f>Table1[[#This Row],[cNO3,adj (mol/kg) eq 8 part 1]]/SUM(Table1[[#This Row],[cCl,adj (mol/kg) eq 8 part 1]:[cMg,adj (mol/kg) eq 8 part 1]])</f>
        <v>6.2514291773314301E-2</v>
      </c>
      <c r="DL8" s="44">
        <f>Table1[[#This Row],[cSO4,adj (mol/kg) eq 8 part 1]]/SUM(Table1[[#This Row],[cCl,adj (mol/kg) eq 8 part 1]:[cMg,adj (mol/kg) eq 8 part 1]])</f>
        <v>0</v>
      </c>
      <c r="DM8" s="44">
        <f>Table1[[#This Row],[cNa,adj (mol/kg) eq 8 part 1]]/SUM(Table1[[#This Row],[cCl,adj (mol/kg) eq 8 part 1]:[cMg,adj (mol/kg) eq 8 part 1]])</f>
        <v>0.41087306825471165</v>
      </c>
      <c r="DN8" s="44">
        <f>Table1[[#This Row],[cK,adj (mol/kg) eq 8 part 1]]/SUM(Table1[[#This Row],[cCl,adj (mol/kg) eq 8 part 1]:[cMg,adj (mol/kg) eq 8 part 1]])</f>
        <v>3.8495453074221558E-2</v>
      </c>
      <c r="DO8" s="44">
        <f>Table1[[#This Row],[cCa,adj (mol/kg) eq 8 part 1]]/SUM(Table1[[#This Row],[cCl,adj (mol/kg) eq 8 part 1]:[cMg,adj (mol/kg) eq 8 part 1]])</f>
        <v>5.916111672430089E-3</v>
      </c>
      <c r="DP8" s="44">
        <f>Table1[[#This Row],[cMg,adj (mol/kg) eq 8 part 1]]/SUM(Table1[[#This Row],[cCl,adj (mol/kg) eq 8 part 1]:[cMg,adj (mol/kg) eq 8 part 1]])</f>
        <v>2.7838207441614502E-2</v>
      </c>
      <c r="DQ8" s="46">
        <f t="shared" ref="DQ8" si="413">IF($AP8=TRUE, 0, (AJ8-CR8)/SUM($AH8:$AK8))</f>
        <v>6.9735952254086131E-2</v>
      </c>
      <c r="DR8" s="46">
        <f t="shared" ref="DR8" si="414">IF($AP8=TRUE, 0, (AK8-CS8)/SUM($AH8:$AK8))</f>
        <v>0</v>
      </c>
      <c r="DS8" s="46">
        <f t="shared" ref="DS8" si="415">IF($AP8=TRUE, 0, (AH8-CP8)/SUM($AH8:$AK8))</f>
        <v>0</v>
      </c>
      <c r="DT8" s="46">
        <f t="shared" ref="DT8" si="416">IF($AP8=TRUE, 0, (AI8-CQ8)/SUM($AH8:$AK8))</f>
        <v>0</v>
      </c>
      <c r="DU8" s="69">
        <f>((CU8*Reference!D$3)/Reference!D$2)*0.001</f>
        <v>2.4017647058823537E-3</v>
      </c>
      <c r="DV8" s="69">
        <f>((CV8*Reference!E$3)/Reference!E$2)*0.001</f>
        <v>5.7794117647058825E-4</v>
      </c>
      <c r="DW8" s="69">
        <f>((CW8*Reference!F$3)/Reference!F$2)*0.001</f>
        <v>0</v>
      </c>
      <c r="DX8" s="69">
        <f>((CX8*Reference!G$3)/Reference!G$2)*0.001</f>
        <v>1.4083823529411766E-3</v>
      </c>
      <c r="DY8" s="69">
        <f>((CY8*Reference!H$3)/Reference!H$2)*0.001</f>
        <v>2.2441176470588237E-4</v>
      </c>
      <c r="DZ8" s="69">
        <f>((CZ8*Reference!I$3)/Reference!I$2)*0.001</f>
        <v>3.5352547537450563E-5</v>
      </c>
      <c r="EA8" s="69">
        <f>((DA8*Reference!J$3)/Reference!J$2)*0.001</f>
        <v>1.0088235294117646E-4</v>
      </c>
      <c r="EB8" s="70">
        <f t="shared" ref="EB8" si="417">SUM(DU8:EA8)</f>
        <v>4.7487349004786284E-3</v>
      </c>
      <c r="EC8" s="68">
        <f t="shared" ref="EC8" si="418">(AD8-EB8)</f>
        <v>6.5346474524625494E-3</v>
      </c>
      <c r="ED8" s="68">
        <f t="shared" ref="ED8" si="419">((CT8)*(0.5*(96.064+40.078))*0.000001)</f>
        <v>6.2802846937825771E-3</v>
      </c>
      <c r="EE8" s="68">
        <f>Table1[[#This Row],[wtot,adj + wCaSO4(-) eq11]]-Table1[[#This Row],[wCaSO4 (-)]]</f>
        <v>2.5436275867997231E-4</v>
      </c>
      <c r="EF8" s="68">
        <f>IF(Table1[[#This Row],[pII]]=TRUE, ABS(SUM(DX8,DY8)-(SUM(Z8,AA8))),"Pathway I")</f>
        <v>0</v>
      </c>
      <c r="EG8" s="68">
        <f>IF(Table1[[#This Row],[pII]]=TRUE, (((ABS(Table1[[#This Row],[eCa,adj (mEq/kg) pI or pII]]-Table1[[#This Row],[eCa (mEq/kg)]]))*0.040078)/2)*0.001,"Pathway I")</f>
        <v>2.5436275867997318E-4</v>
      </c>
      <c r="EH8" s="68">
        <f>IF(Table1[[#This Row],[pII]]=TRUE, ((Table1[[#This Row],[ΔeMg (mEq/kg) eq5b]]+Table1[[#This Row],[ΔeNa (mEq/kg) eq5c]]+Table1[[#This Row],[ΔeK (mEq/kg) eq5d]])/1000000)*(60.01/2), "Pathway I")</f>
        <v>0</v>
      </c>
    </row>
    <row r="9" spans="1:138" x14ac:dyDescent="0.6">
      <c r="A9" s="2" t="s">
        <v>254</v>
      </c>
      <c r="B9" s="1" t="s">
        <v>207</v>
      </c>
      <c r="C9" s="1" t="s">
        <v>208</v>
      </c>
      <c r="D9" s="127" t="s">
        <v>208</v>
      </c>
      <c r="E9" s="127">
        <v>2011</v>
      </c>
      <c r="F9" s="1" t="s">
        <v>207</v>
      </c>
      <c r="G9" s="1" t="s">
        <v>208</v>
      </c>
      <c r="H9" s="1" t="s">
        <v>252</v>
      </c>
      <c r="I9" s="1" t="s">
        <v>253</v>
      </c>
      <c r="J9" s="1" t="s">
        <v>208</v>
      </c>
      <c r="K9" s="1" t="s">
        <v>208</v>
      </c>
      <c r="L9" s="1" t="s">
        <v>208</v>
      </c>
      <c r="M9" s="1" t="s">
        <v>208</v>
      </c>
      <c r="N9" s="1">
        <v>0.20699999999999999</v>
      </c>
      <c r="O9" s="1">
        <v>60</v>
      </c>
      <c r="P9" s="26">
        <v>4.3609999999999998</v>
      </c>
      <c r="Q9" s="26">
        <v>16.486999999999998</v>
      </c>
      <c r="R9" s="26">
        <v>16.661999999999999</v>
      </c>
      <c r="S9" s="26">
        <v>3.694</v>
      </c>
      <c r="T9" s="26">
        <v>2.637</v>
      </c>
      <c r="U9" s="26">
        <v>10.198</v>
      </c>
      <c r="V9" s="26">
        <v>2.5670000000000002</v>
      </c>
      <c r="W9" s="69">
        <f t="shared" ref="W9" si="420">(P9*($O9/1000))/($N9*1000)</f>
        <v>1.2640579710144928E-3</v>
      </c>
      <c r="X9" s="69">
        <f t="shared" ref="X9" si="421">(Q9*($O9/1000))/($N9*1000)</f>
        <v>4.7788405797101439E-3</v>
      </c>
      <c r="Y9" s="69">
        <f t="shared" ref="Y9" si="422">(R9*($O9/1000))/($N9*1000)</f>
        <v>4.8295652173913038E-3</v>
      </c>
      <c r="Z9" s="69">
        <f t="shared" ref="Z9" si="423">(S9*($O9/1000))/($N9*1000)</f>
        <v>1.0707246376811593E-3</v>
      </c>
      <c r="AA9" s="69">
        <f t="shared" ref="AA9" si="424">(T9*($O9/1000))/($N9*1000)</f>
        <v>7.6434782608695651E-4</v>
      </c>
      <c r="AB9" s="69">
        <f t="shared" ref="AB9" si="425">(U9*($O9/1000))/($N9*1000)</f>
        <v>2.9559420289855072E-3</v>
      </c>
      <c r="AC9" s="69">
        <f t="shared" ref="AC9" si="426">(V9*($O9/1000))/($N9*1000)</f>
        <v>7.4405797101449289E-4</v>
      </c>
      <c r="AD9" s="70">
        <f t="shared" ref="AD9" si="427">SUM(W9:AC9)</f>
        <v>1.6407536231884057E-2</v>
      </c>
      <c r="AE9" s="71">
        <f>((W9*Reference!D$2)/Reference!D$3)*1000</f>
        <v>35.654773007824311</v>
      </c>
      <c r="AF9" s="71">
        <f>((X9*Reference!E$2)/Reference!E$3)*1000</f>
        <v>77.071982693466865</v>
      </c>
      <c r="AG9" s="71">
        <f>((Y9*Reference!F$2)/Reference!F$3)*1000</f>
        <v>100.5489094227037</v>
      </c>
      <c r="AH9" s="71">
        <f>((Z9*Reference!G$2)/Reference!G$3)*1000</f>
        <v>46.573964455890085</v>
      </c>
      <c r="AI9" s="71">
        <f>((AA9*Reference!H$2)/Reference!H$3)*1000</f>
        <v>19.549387724963911</v>
      </c>
      <c r="AJ9" s="71">
        <f>((AB9*Reference!I$2)/Reference!I$3)*1000</f>
        <v>147.50945800616333</v>
      </c>
      <c r="AK9" s="71">
        <f>((AC9*Reference!J$2)/Reference!J$3)*1000</f>
        <v>61.226741083274455</v>
      </c>
      <c r="AL9" s="40">
        <f t="shared" ref="AL9" si="428">SUM(AE9:AG9)</f>
        <v>213.27566512399488</v>
      </c>
      <c r="AM9" s="40">
        <f t="shared" ref="AM9" si="429">SUM(AH9:AK9)</f>
        <v>274.85955127029177</v>
      </c>
      <c r="AN9" s="72">
        <f t="shared" ref="AN9" si="430">ABS(AM9-AL9)</f>
        <v>61.583886146296891</v>
      </c>
      <c r="AO9" s="24" t="str">
        <f t="shared" ref="AO9" si="431">IF(AM9&gt;AL9, "Δe,cat", "Δe,ani")</f>
        <v>Δe,cat</v>
      </c>
      <c r="AP9" s="25" t="b">
        <f t="shared" ref="AP9" si="432">IF(OR(AN9&lt;=MAX(AL9,AM9)*0.02, AL9&gt;AM9), TRUE)</f>
        <v>0</v>
      </c>
      <c r="AQ9" s="25" t="b">
        <f t="shared" ref="AQ9" si="433">IF(AND(AN9&gt;AM9*0.02, AM9&gt;AL9), TRUE)</f>
        <v>1</v>
      </c>
      <c r="AR9" s="73" t="str">
        <f t="shared" ref="AR9" si="434">IF($AP9=TRUE, (AE9*($AL9+$AM9)/(2*$AL9)), "-")</f>
        <v>-</v>
      </c>
      <c r="AS9" s="73" t="str">
        <f t="shared" ref="AS9" si="435">IF($AP9=TRUE, (AF9*($AL9+$AM9)/(2*$AL9)), "-")</f>
        <v>-</v>
      </c>
      <c r="AT9" s="73" t="str">
        <f t="shared" ref="AT9" si="436">IF($AP9=TRUE, (AG9*($AL9+$AM9)/(2*$AL9)), "-")</f>
        <v>-</v>
      </c>
      <c r="AU9" s="73" t="str">
        <f t="shared" ref="AU9" si="437">IF($AP9=TRUE, (AH9*($AL9+$AM9)/(2*$AM9)), "-")</f>
        <v>-</v>
      </c>
      <c r="AV9" s="73" t="str">
        <f t="shared" ref="AV9" si="438">IF($AP9=TRUE, (AI9*($AL9+$AM9)/(2*$AM9)), "-")</f>
        <v>-</v>
      </c>
      <c r="AW9" s="73" t="str">
        <f t="shared" ref="AW9" si="439">IF($AP9=TRUE, (AJ9*($AL9+$AM9)/(2*$AM9)), "-")</f>
        <v>-</v>
      </c>
      <c r="AX9" s="73" t="str">
        <f t="shared" ref="AX9" si="440">IF($AP9=TRUE, (AK9*($AL9+$AM9)/(2*$AM9)), "-")</f>
        <v>-</v>
      </c>
      <c r="AY9" s="71">
        <f t="shared" ref="AY9" si="441">IF($AQ9=TRUE, AE9, "-")</f>
        <v>35.654773007824311</v>
      </c>
      <c r="AZ9" s="71">
        <f t="shared" ref="AZ9" si="442">IF($AQ9=TRUE, AF9, "-")</f>
        <v>77.071982693466865</v>
      </c>
      <c r="BA9" s="71">
        <f t="shared" ref="BA9" si="443">IF($AQ9=TRUE, AG9, "-")</f>
        <v>100.5489094227037</v>
      </c>
      <c r="BB9" s="71">
        <f t="shared" ref="BB9" si="444">IF($AQ9=TRUE, AH9, "-")</f>
        <v>46.573964455890085</v>
      </c>
      <c r="BC9" s="71">
        <f t="shared" ref="BC9" si="445">IF($AQ9=TRUE, AI9, "-")</f>
        <v>19.549387724963911</v>
      </c>
      <c r="BD9" s="71">
        <f t="shared" ref="BD9" si="446">IF($AQ9=TRUE, IF(AJ9-AN9 &gt;= 0, AJ9-AN9, 0), "-")</f>
        <v>85.925571859866437</v>
      </c>
      <c r="BE9" s="71">
        <f t="shared" ref="BE9" si="447">IF($AQ9=TRUE, AK9, "-")</f>
        <v>61.226741083274455</v>
      </c>
      <c r="BF9" s="40">
        <f t="shared" ref="BF9" si="448">IF($AQ9=TRUE, SUM(AY9:BA9), "")</f>
        <v>213.27566512399488</v>
      </c>
      <c r="BG9" s="40">
        <f t="shared" ref="BG9" si="449">IF($AQ9=TRUE, SUM(BB9:BE9), "")</f>
        <v>213.27566512399488</v>
      </c>
      <c r="BH9" s="40">
        <f t="shared" ref="BH9" si="450">IF($AQ9=TRUE,IF(ABS(BG9-BF9)&lt; 0.000001, 0, ABS(BG9-BF9)), "")</f>
        <v>0</v>
      </c>
      <c r="BI9" s="71">
        <f t="shared" ref="BI9" si="451">IF($AQ9=TRUE, AY9, "-")</f>
        <v>35.654773007824311</v>
      </c>
      <c r="BJ9" s="71">
        <f t="shared" ref="BJ9" si="452">IF($AQ9=TRUE, AZ9, "-")</f>
        <v>77.071982693466865</v>
      </c>
      <c r="BK9" s="71">
        <f t="shared" ref="BK9" si="453">IF($AQ9=TRUE, BA9, "-")</f>
        <v>100.5489094227037</v>
      </c>
      <c r="BL9" s="71">
        <f t="shared" ref="BL9" si="454">IF($AQ9=TRUE, BB9, "-")</f>
        <v>46.573964455890085</v>
      </c>
      <c r="BM9" s="71">
        <f t="shared" ref="BM9" si="455">IF($AQ9=TRUE, BC9, "-")</f>
        <v>19.549387724963911</v>
      </c>
      <c r="BN9" s="71">
        <f t="shared" ref="BN9" si="456">IF($AQ9=TRUE, BD9, "-")</f>
        <v>85.925571859866437</v>
      </c>
      <c r="BO9" s="71">
        <f t="shared" ref="BO9" si="457">IF($AQ9=TRUE, IF(BE9 -BH9 &gt;= 0, BE9 -BH9, 0), "-")</f>
        <v>61.226741083274455</v>
      </c>
      <c r="BP9" s="40">
        <f t="shared" ref="BP9" si="458">IF($AQ9=TRUE, SUM(BI9:BK9), "")</f>
        <v>213.27566512399488</v>
      </c>
      <c r="BQ9" s="40">
        <f t="shared" ref="BQ9" si="459">IF($AQ9=TRUE, SUM(BL9:BO9), "")</f>
        <v>213.27566512399488</v>
      </c>
      <c r="BR9" s="40">
        <f t="shared" ref="BR9" si="460">IF($AQ9=TRUE,IF(ABS(BQ9-BP9)&lt; 0.000001, 0, ABS(BQ9-BP9)), "")</f>
        <v>0</v>
      </c>
      <c r="BS9" s="71">
        <f t="shared" ref="BS9" si="461">IF($AQ9=TRUE, BI9, "-")</f>
        <v>35.654773007824311</v>
      </c>
      <c r="BT9" s="71">
        <f t="shared" ref="BT9" si="462">IF($AQ9=TRUE, BJ9, "-")</f>
        <v>77.071982693466865</v>
      </c>
      <c r="BU9" s="71">
        <f t="shared" ref="BU9" si="463">IF($AQ9=TRUE, BK9, "-")</f>
        <v>100.5489094227037</v>
      </c>
      <c r="BV9" s="71">
        <f t="shared" ref="BV9" si="464">IF($AQ9=TRUE, IF(BL9 -BR9 &gt;= 0, BL9 -BR9, 0), "-")</f>
        <v>46.573964455890085</v>
      </c>
      <c r="BW9" s="71">
        <f t="shared" ref="BW9" si="465">IF($AQ9=TRUE, BM9, "-")</f>
        <v>19.549387724963911</v>
      </c>
      <c r="BX9" s="71">
        <f t="shared" ref="BX9" si="466">IF($AQ9=TRUE, BN9, "-")</f>
        <v>85.925571859866437</v>
      </c>
      <c r="BY9" s="71">
        <f t="shared" ref="BY9" si="467">IF($AQ9=TRUE, BO9, "-")</f>
        <v>61.226741083274455</v>
      </c>
      <c r="BZ9" s="40">
        <f t="shared" ref="BZ9" si="468">IF($AQ9=TRUE, SUM(BS9:BU9), "")</f>
        <v>213.27566512399488</v>
      </c>
      <c r="CA9" s="40">
        <f t="shared" ref="CA9" si="469">IF($AQ9=TRUE, SUM(BV9:BY9), "")</f>
        <v>213.27566512399488</v>
      </c>
      <c r="CB9" s="40">
        <f t="shared" ref="CB9" si="470">IF($AQ9=TRUE,IF(ABS(CA9-BZ9)&lt; 0.000001, 0, ABS(CA9-BZ9)), "")</f>
        <v>0</v>
      </c>
      <c r="CC9" s="71">
        <f t="shared" ref="CC9" si="471">IF($AQ9=TRUE, BS9, "-")</f>
        <v>35.654773007824311</v>
      </c>
      <c r="CD9" s="71">
        <f t="shared" ref="CD9" si="472">IF($AQ9=TRUE, BT9, "-")</f>
        <v>77.071982693466865</v>
      </c>
      <c r="CE9" s="71">
        <f t="shared" ref="CE9" si="473">IF($AQ9=TRUE, BU9, "-")</f>
        <v>100.5489094227037</v>
      </c>
      <c r="CF9" s="71">
        <f t="shared" ref="CF9" si="474">IF($AQ9=TRUE, BV9, "-")</f>
        <v>46.573964455890085</v>
      </c>
      <c r="CG9" s="71">
        <f t="shared" ref="CG9" si="475">IF($AQ9=TRUE,  IF(BW9 -CB9 &gt;= 0, BW9 -CB9, 0), "-")</f>
        <v>19.549387724963911</v>
      </c>
      <c r="CH9" s="71">
        <f t="shared" ref="CH9" si="476">IF($AQ9=TRUE, BX9, "-")</f>
        <v>85.925571859866437</v>
      </c>
      <c r="CI9" s="71">
        <f t="shared" ref="CI9" si="477">IF($AQ9=TRUE, BY9, "-")</f>
        <v>61.226741083274455</v>
      </c>
      <c r="CJ9" s="40">
        <f t="shared" ref="CJ9" si="478">IF($AQ9=TRUE, SUM(CC9:CE9), "")</f>
        <v>213.27566512399488</v>
      </c>
      <c r="CK9" s="40">
        <f t="shared" ref="CK9" si="479">IF($AQ9=TRUE, SUM(CF9:CI9), "")</f>
        <v>213.27566512399488</v>
      </c>
      <c r="CL9" s="40">
        <f t="shared" ref="CL9" si="480">IF($AQ9=TRUE,IF(ABS(CK9-CJ9)&lt; 0.000001, 0, ABS(CK9-CJ9)), "")</f>
        <v>0</v>
      </c>
      <c r="CM9" s="74">
        <f t="shared" ref="CM9" si="481">IF($AQ9 = TRUE, CC9, AR9)</f>
        <v>35.654773007824311</v>
      </c>
      <c r="CN9" s="74">
        <f t="shared" ref="CN9" si="482">IF($AQ9 = TRUE, CD9, AS9)</f>
        <v>77.071982693466865</v>
      </c>
      <c r="CO9" s="74">
        <f t="shared" ref="CO9" si="483">IF($AQ9 = TRUE, CE9, AT9)</f>
        <v>100.5489094227037</v>
      </c>
      <c r="CP9" s="74">
        <f t="shared" ref="CP9" si="484">IF($AQ9 = TRUE, CF9, AU9)</f>
        <v>46.573964455890085</v>
      </c>
      <c r="CQ9" s="74">
        <f t="shared" ref="CQ9" si="485">IF($AQ9 = TRUE, CG9, AV9)</f>
        <v>19.549387724963911</v>
      </c>
      <c r="CR9" s="74">
        <f t="shared" ref="CR9" si="486">IF($AQ9 = TRUE, CH9, AW9)</f>
        <v>85.925571859866437</v>
      </c>
      <c r="CS9" s="74">
        <f t="shared" ref="CS9" si="487">IF($AQ9 = TRUE, CI9, AX9)</f>
        <v>61.226741083274455</v>
      </c>
      <c r="CT9" s="78">
        <f t="shared" ref="CT9" si="488">MIN(CR9,CO9)</f>
        <v>85.925571859866437</v>
      </c>
      <c r="CU9" s="78">
        <f t="shared" ref="CU9" si="489">CM9</f>
        <v>35.654773007824311</v>
      </c>
      <c r="CV9" s="78">
        <f t="shared" ref="CV9" si="490">CN9</f>
        <v>77.071982693466865</v>
      </c>
      <c r="CW9" s="78">
        <f t="shared" ref="CW9" si="491">CO9-CT9</f>
        <v>14.623337562837264</v>
      </c>
      <c r="CX9" s="78">
        <f t="shared" ref="CX9" si="492">CP9</f>
        <v>46.573964455890085</v>
      </c>
      <c r="CY9" s="78">
        <f t="shared" ref="CY9" si="493">CQ9</f>
        <v>19.549387724963911</v>
      </c>
      <c r="CZ9" s="78">
        <f t="shared" ref="CZ9" si="494">CR9-CT9</f>
        <v>0</v>
      </c>
      <c r="DA9" s="78">
        <f t="shared" ref="DA9" si="495">CS9</f>
        <v>61.226741083274455</v>
      </c>
      <c r="DB9" s="25" t="b">
        <f t="shared" ref="DB9" si="496">IF(ABS(SUM(CU9:CW9)-SUM(CX9:DA9)) &lt; 0.000001, TRUE)</f>
        <v>1</v>
      </c>
      <c r="DC9" s="115">
        <f>(Table1[[#This Row],[eCl,adj (mEq/kg) eq7]]/Reference!D$2)/1000</f>
        <v>3.5654773007824311E-2</v>
      </c>
      <c r="DD9" s="115">
        <f>(Table1[[#This Row],[eNO3,adj (mEq/kg) eq7]]/Reference!E$2)/1000</f>
        <v>7.7071982693466864E-2</v>
      </c>
      <c r="DE9" s="115">
        <f>(Table1[[#This Row],[eSO4,adj,f (mEq/kg) eq7]]/Reference!F$2)/1000</f>
        <v>7.3116687814186324E-3</v>
      </c>
      <c r="DF9" s="115">
        <f>(Table1[[#This Row],[eNa,adj (mEq/kg) eq7]]/Reference!G$2)/1000</f>
        <v>4.6573964455890085E-2</v>
      </c>
      <c r="DG9" s="115">
        <f>(Table1[[#This Row],[eK,adj (mEq/kg) eq7]]/Reference!H$2)/1000</f>
        <v>1.954938772496391E-2</v>
      </c>
      <c r="DH9" s="115">
        <f>(Table1[[#This Row],[eCa,adj,f (mEq/kg) eq7]]/Reference!I$2)/1000</f>
        <v>0</v>
      </c>
      <c r="DI9" s="115">
        <f>(Table1[[#This Row],[eMg,adj (mEq/kg) eq7]]/Reference!J$2)/1000</f>
        <v>3.0613370541637229E-2</v>
      </c>
      <c r="DJ9" s="44">
        <f>Table1[[#This Row],[cCl,adj (mol/kg) eq 8 part 1]]/SUM(Table1[[#This Row],[cCl,adj (mol/kg) eq 8 part 1]:[cMg,adj (mol/kg) eq 8 part 1]])</f>
        <v>0.16447813998748309</v>
      </c>
      <c r="DK9" s="44">
        <f>Table1[[#This Row],[cNO3,adj (mol/kg) eq 8 part 1]]/SUM(Table1[[#This Row],[cCl,adj (mol/kg) eq 8 part 1]:[cMg,adj (mol/kg) eq 8 part 1]])</f>
        <v>0.3555388322283547</v>
      </c>
      <c r="DL9" s="44">
        <f>Table1[[#This Row],[cSO4,adj (mol/kg) eq 8 part 1]]/SUM(Table1[[#This Row],[cCl,adj (mol/kg) eq 8 part 1]:[cMg,adj (mol/kg) eq 8 part 1]])</f>
        <v>3.3729276052560347E-2</v>
      </c>
      <c r="DM9" s="44">
        <f>Table1[[#This Row],[cNa,adj (mol/kg) eq 8 part 1]]/SUM(Table1[[#This Row],[cCl,adj (mol/kg) eq 8 part 1]:[cMg,adj (mol/kg) eq 8 part 1]])</f>
        <v>0.21484918846256304</v>
      </c>
      <c r="DN9" s="44">
        <f>Table1[[#This Row],[cK,adj (mol/kg) eq 8 part 1]]/SUM(Table1[[#This Row],[cCl,adj (mol/kg) eq 8 part 1]:[cMg,adj (mol/kg) eq 8 part 1]])</f>
        <v>9.0182790679682046E-2</v>
      </c>
      <c r="DO9" s="44">
        <f>Table1[[#This Row],[cCa,adj (mol/kg) eq 8 part 1]]/SUM(Table1[[#This Row],[cCl,adj (mol/kg) eq 8 part 1]:[cMg,adj (mol/kg) eq 8 part 1]])</f>
        <v>0</v>
      </c>
      <c r="DP9" s="44">
        <f>Table1[[#This Row],[cMg,adj (mol/kg) eq 8 part 1]]/SUM(Table1[[#This Row],[cCl,adj (mol/kg) eq 8 part 1]:[cMg,adj (mol/kg) eq 8 part 1]])</f>
        <v>0.14122177258935673</v>
      </c>
      <c r="DQ9" s="46">
        <f t="shared" ref="DQ9" si="497">IF($AP9=TRUE, 0, (AJ9-CR9)/SUM($AH9:$AK9))</f>
        <v>0.22405583455870684</v>
      </c>
      <c r="DR9" s="46">
        <f t="shared" ref="DR9" si="498">IF($AP9=TRUE, 0, (AK9-CS9)/SUM($AH9:$AK9))</f>
        <v>0</v>
      </c>
      <c r="DS9" s="46">
        <f t="shared" ref="DS9" si="499">IF($AP9=TRUE, 0, (AH9-CP9)/SUM($AH9:$AK9))</f>
        <v>0</v>
      </c>
      <c r="DT9" s="46">
        <f t="shared" ref="DT9" si="500">IF($AP9=TRUE, 0, (AI9-CQ9)/SUM($AH9:$AK9))</f>
        <v>0</v>
      </c>
      <c r="DU9" s="69">
        <f>((CU9*Reference!D$3)/Reference!D$2)*0.001</f>
        <v>1.2640579710144928E-3</v>
      </c>
      <c r="DV9" s="69">
        <f>((CV9*Reference!E$3)/Reference!E$2)*0.001</f>
        <v>4.7788405797101439E-3</v>
      </c>
      <c r="DW9" s="69">
        <f>((CW9*Reference!F$3)/Reference!F$2)*0.001</f>
        <v>7.0238814981819938E-4</v>
      </c>
      <c r="DX9" s="69">
        <f>((CX9*Reference!G$3)/Reference!G$2)*0.001</f>
        <v>1.0707246376811593E-3</v>
      </c>
      <c r="DY9" s="69">
        <f>((CY9*Reference!H$3)/Reference!H$2)*0.001</f>
        <v>7.6434782608695651E-4</v>
      </c>
      <c r="DZ9" s="69">
        <f>((CZ9*Reference!I$3)/Reference!I$2)*0.001</f>
        <v>0</v>
      </c>
      <c r="EA9" s="69">
        <f>((DA9*Reference!J$3)/Reference!J$2)*0.001</f>
        <v>7.4405797101449278E-4</v>
      </c>
      <c r="EB9" s="70">
        <f t="shared" ref="EB9" si="501">SUM(DU9:EA9)</f>
        <v>9.3244171353254433E-3</v>
      </c>
      <c r="EC9" s="68">
        <f t="shared" ref="EC9" si="502">(AD9-EB9)</f>
        <v>7.0831190965586141E-3</v>
      </c>
      <c r="ED9" s="68">
        <f t="shared" ref="ED9" si="503">((CT9)*(0.5*(96.064+40.078))*0.000001)</f>
        <v>5.8490396020729673E-3</v>
      </c>
      <c r="EE9" s="68">
        <f>Table1[[#This Row],[wtot,adj + wCaSO4(-) eq11]]-Table1[[#This Row],[wCaSO4 (-)]]</f>
        <v>1.2340794944856468E-3</v>
      </c>
      <c r="EF9" s="68">
        <f>IF(Table1[[#This Row],[pII]]=TRUE, ABS(SUM(DX9,DY9)-(SUM(Z9,AA9))),"Pathway I")</f>
        <v>0</v>
      </c>
      <c r="EG9" s="68">
        <f>IF(Table1[[#This Row],[pII]]=TRUE, (((ABS(Table1[[#This Row],[eCa,adj (mEq/kg) pI or pII]]-Table1[[#This Row],[eCa (mEq/kg)]]))*0.040078)/2)*0.001,"Pathway I")</f>
        <v>1.2340794944856435E-3</v>
      </c>
      <c r="EH9" s="68">
        <f>IF(Table1[[#This Row],[pII]]=TRUE, ((Table1[[#This Row],[ΔeMg (mEq/kg) eq5b]]+Table1[[#This Row],[ΔeNa (mEq/kg) eq5c]]+Table1[[#This Row],[ΔeK (mEq/kg) eq5d]])/1000000)*(60.01/2), "Pathway I")</f>
        <v>0</v>
      </c>
    </row>
    <row r="10" spans="1:138" x14ac:dyDescent="0.6">
      <c r="A10" s="2" t="s">
        <v>257</v>
      </c>
      <c r="B10" s="1" t="s">
        <v>207</v>
      </c>
      <c r="C10" s="1" t="s">
        <v>208</v>
      </c>
      <c r="D10" s="127">
        <v>8</v>
      </c>
      <c r="E10" s="127">
        <v>2011</v>
      </c>
      <c r="F10" s="1" t="s">
        <v>207</v>
      </c>
      <c r="G10" s="1" t="s">
        <v>208</v>
      </c>
      <c r="H10" s="1" t="s">
        <v>255</v>
      </c>
      <c r="I10" s="1" t="s">
        <v>256</v>
      </c>
      <c r="J10" s="1" t="s">
        <v>208</v>
      </c>
      <c r="K10" s="1" t="s">
        <v>222</v>
      </c>
      <c r="L10" s="1">
        <v>100</v>
      </c>
      <c r="M10" s="1" t="s">
        <v>220</v>
      </c>
      <c r="N10" s="1">
        <v>0.36399999999999999</v>
      </c>
      <c r="O10" s="1">
        <v>70</v>
      </c>
      <c r="P10" s="26">
        <v>1.292</v>
      </c>
      <c r="Q10" s="26">
        <v>13.766</v>
      </c>
      <c r="R10" s="26">
        <v>16.844000000000001</v>
      </c>
      <c r="S10" s="26">
        <v>48.15</v>
      </c>
      <c r="T10" s="26">
        <v>11.273999999999999</v>
      </c>
      <c r="U10" s="26">
        <v>6.085</v>
      </c>
      <c r="V10" s="26">
        <v>0</v>
      </c>
      <c r="W10" s="69">
        <f t="shared" ref="W10" si="504">(P10*($O10/1000))/($N10*1000)</f>
        <v>2.4846153846153849E-4</v>
      </c>
      <c r="X10" s="69">
        <f t="shared" ref="X10" si="505">(Q10*($O10/1000))/($N10*1000)</f>
        <v>2.6473076923076927E-3</v>
      </c>
      <c r="Y10" s="69">
        <f t="shared" ref="Y10" si="506">(R10*($O10/1000))/($N10*1000)</f>
        <v>3.2392307692307694E-3</v>
      </c>
      <c r="Z10" s="69">
        <f t="shared" ref="Z10" si="507">(S10*($O10/1000))/($N10*1000)</f>
        <v>9.2596153846153852E-3</v>
      </c>
      <c r="AA10" s="69">
        <f t="shared" ref="AA10" si="508">(T10*($O10/1000))/($N10*1000)</f>
        <v>2.1680769230769232E-3</v>
      </c>
      <c r="AB10" s="69">
        <f t="shared" ref="AB10" si="509">(U10*($O10/1000))/($N10*1000)</f>
        <v>1.1701923076923079E-3</v>
      </c>
      <c r="AC10" s="69">
        <f t="shared" ref="AC10" si="510">(V10*($O10/1000))/($N10*1000)</f>
        <v>0</v>
      </c>
      <c r="AD10" s="70">
        <f t="shared" ref="AD10" si="511">SUM(W10:AC10)</f>
        <v>1.8732884615384617E-2</v>
      </c>
      <c r="AE10" s="71">
        <f>((W10*Reference!D$2)/Reference!D$3)*1000</f>
        <v>7.0082543349741631</v>
      </c>
      <c r="AF10" s="71">
        <f>((X10*Reference!E$2)/Reference!E$3)*1000</f>
        <v>42.695136873177653</v>
      </c>
      <c r="AG10" s="71">
        <f>((Y10*Reference!F$2)/Reference!F$3)*1000</f>
        <v>67.439015015630616</v>
      </c>
      <c r="AH10" s="71">
        <f>((Z10*Reference!G$2)/Reference!G$3)*1000</f>
        <v>402.77115387225246</v>
      </c>
      <c r="AI10" s="71">
        <f>((AA10*Reference!H$2)/Reference!H$3)*1000</f>
        <v>55.451948628889824</v>
      </c>
      <c r="AJ10" s="71">
        <f>((AB10*Reference!I$2)/Reference!I$3)*1000</f>
        <v>58.395743684430748</v>
      </c>
      <c r="AK10" s="71">
        <f>((AC10*Reference!J$2)/Reference!J$3)*1000</f>
        <v>0</v>
      </c>
      <c r="AL10" s="40">
        <f t="shared" ref="AL10" si="512">SUM(AE10:AG10)</f>
        <v>117.14240622378243</v>
      </c>
      <c r="AM10" s="40">
        <f t="shared" ref="AM10" si="513">SUM(AH10:AK10)</f>
        <v>516.61884618557303</v>
      </c>
      <c r="AN10" s="72">
        <f t="shared" ref="AN10" si="514">ABS(AM10-AL10)</f>
        <v>399.47643996179062</v>
      </c>
      <c r="AO10" s="24" t="str">
        <f t="shared" ref="AO10" si="515">IF(AM10&gt;AL10, "Δe,cat", "Δe,ani")</f>
        <v>Δe,cat</v>
      </c>
      <c r="AP10" s="25" t="b">
        <f t="shared" ref="AP10" si="516">IF(OR(AN10&lt;=MAX(AL10,AM10)*0.02, AL10&gt;AM10), TRUE)</f>
        <v>0</v>
      </c>
      <c r="AQ10" s="25" t="b">
        <f t="shared" ref="AQ10" si="517">IF(AND(AN10&gt;AM10*0.02, AM10&gt;AL10), TRUE)</f>
        <v>1</v>
      </c>
      <c r="AR10" s="73" t="str">
        <f t="shared" ref="AR10" si="518">IF($AP10=TRUE, (AE10*($AL10+$AM10)/(2*$AL10)), "-")</f>
        <v>-</v>
      </c>
      <c r="AS10" s="73" t="str">
        <f t="shared" ref="AS10" si="519">IF($AP10=TRUE, (AF10*($AL10+$AM10)/(2*$AL10)), "-")</f>
        <v>-</v>
      </c>
      <c r="AT10" s="73" t="str">
        <f t="shared" ref="AT10" si="520">IF($AP10=TRUE, (AG10*($AL10+$AM10)/(2*$AL10)), "-")</f>
        <v>-</v>
      </c>
      <c r="AU10" s="73" t="str">
        <f t="shared" ref="AU10" si="521">IF($AP10=TRUE, (AH10*($AL10+$AM10)/(2*$AM10)), "-")</f>
        <v>-</v>
      </c>
      <c r="AV10" s="73" t="str">
        <f t="shared" ref="AV10" si="522">IF($AP10=TRUE, (AI10*($AL10+$AM10)/(2*$AM10)), "-")</f>
        <v>-</v>
      </c>
      <c r="AW10" s="73" t="str">
        <f t="shared" ref="AW10" si="523">IF($AP10=TRUE, (AJ10*($AL10+$AM10)/(2*$AM10)), "-")</f>
        <v>-</v>
      </c>
      <c r="AX10" s="73" t="str">
        <f t="shared" ref="AX10" si="524">IF($AP10=TRUE, (AK10*($AL10+$AM10)/(2*$AM10)), "-")</f>
        <v>-</v>
      </c>
      <c r="AY10" s="71">
        <f t="shared" ref="AY10" si="525">IF($AQ10=TRUE, AE10, "-")</f>
        <v>7.0082543349741631</v>
      </c>
      <c r="AZ10" s="71">
        <f t="shared" ref="AZ10" si="526">IF($AQ10=TRUE, AF10, "-")</f>
        <v>42.695136873177653</v>
      </c>
      <c r="BA10" s="71">
        <f t="shared" ref="BA10" si="527">IF($AQ10=TRUE, AG10, "-")</f>
        <v>67.439015015630616</v>
      </c>
      <c r="BB10" s="71">
        <f t="shared" ref="BB10" si="528">IF($AQ10=TRUE, AH10, "-")</f>
        <v>402.77115387225246</v>
      </c>
      <c r="BC10" s="71">
        <f t="shared" ref="BC10" si="529">IF($AQ10=TRUE, AI10, "-")</f>
        <v>55.451948628889824</v>
      </c>
      <c r="BD10" s="71">
        <f t="shared" ref="BD10" si="530">IF($AQ10=TRUE, IF(AJ10-AN10 &gt;= 0, AJ10-AN10, 0), "-")</f>
        <v>0</v>
      </c>
      <c r="BE10" s="71">
        <f t="shared" ref="BE10" si="531">IF($AQ10=TRUE, AK10, "-")</f>
        <v>0</v>
      </c>
      <c r="BF10" s="40">
        <f t="shared" ref="BF10" si="532">IF($AQ10=TRUE, SUM(AY10:BA10), "")</f>
        <v>117.14240622378243</v>
      </c>
      <c r="BG10" s="40">
        <f t="shared" ref="BG10" si="533">IF($AQ10=TRUE, SUM(BB10:BE10), "")</f>
        <v>458.22310250114231</v>
      </c>
      <c r="BH10" s="40">
        <f t="shared" ref="BH10" si="534">IF($AQ10=TRUE,IF(ABS(BG10-BF10)&lt; 0.000001, 0, ABS(BG10-BF10)), "")</f>
        <v>341.08069627735989</v>
      </c>
      <c r="BI10" s="71">
        <f t="shared" ref="BI10" si="535">IF($AQ10=TRUE, AY10, "-")</f>
        <v>7.0082543349741631</v>
      </c>
      <c r="BJ10" s="71">
        <f t="shared" ref="BJ10" si="536">IF($AQ10=TRUE, AZ10, "-")</f>
        <v>42.695136873177653</v>
      </c>
      <c r="BK10" s="71">
        <f t="shared" ref="BK10" si="537">IF($AQ10=TRUE, BA10, "-")</f>
        <v>67.439015015630616</v>
      </c>
      <c r="BL10" s="71">
        <f t="shared" ref="BL10" si="538">IF($AQ10=TRUE, BB10, "-")</f>
        <v>402.77115387225246</v>
      </c>
      <c r="BM10" s="71">
        <f t="shared" ref="BM10" si="539">IF($AQ10=TRUE, BC10, "-")</f>
        <v>55.451948628889824</v>
      </c>
      <c r="BN10" s="71">
        <f t="shared" ref="BN10" si="540">IF($AQ10=TRUE, BD10, "-")</f>
        <v>0</v>
      </c>
      <c r="BO10" s="71">
        <f t="shared" ref="BO10" si="541">IF($AQ10=TRUE, IF(BE10 -BH10 &gt;= 0, BE10 -BH10, 0), "-")</f>
        <v>0</v>
      </c>
      <c r="BP10" s="40">
        <f t="shared" ref="BP10" si="542">IF($AQ10=TRUE, SUM(BI10:BK10), "")</f>
        <v>117.14240622378243</v>
      </c>
      <c r="BQ10" s="40">
        <f t="shared" ref="BQ10" si="543">IF($AQ10=TRUE, SUM(BL10:BO10), "")</f>
        <v>458.22310250114231</v>
      </c>
      <c r="BR10" s="40">
        <f t="shared" ref="BR10" si="544">IF($AQ10=TRUE,IF(ABS(BQ10-BP10)&lt; 0.000001, 0, ABS(BQ10-BP10)), "")</f>
        <v>341.08069627735989</v>
      </c>
      <c r="BS10" s="71">
        <f t="shared" ref="BS10" si="545">IF($AQ10=TRUE, BI10, "-")</f>
        <v>7.0082543349741631</v>
      </c>
      <c r="BT10" s="71">
        <f t="shared" ref="BT10" si="546">IF($AQ10=TRUE, BJ10, "-")</f>
        <v>42.695136873177653</v>
      </c>
      <c r="BU10" s="71">
        <f t="shared" ref="BU10" si="547">IF($AQ10=TRUE, BK10, "-")</f>
        <v>67.439015015630616</v>
      </c>
      <c r="BV10" s="71">
        <f t="shared" ref="BV10" si="548">IF($AQ10=TRUE, IF(BL10 -BR10 &gt;= 0, BL10 -BR10, 0), "-")</f>
        <v>61.690457594892564</v>
      </c>
      <c r="BW10" s="71">
        <f t="shared" ref="BW10" si="549">IF($AQ10=TRUE, BM10, "-")</f>
        <v>55.451948628889824</v>
      </c>
      <c r="BX10" s="71">
        <f t="shared" ref="BX10" si="550">IF($AQ10=TRUE, BN10, "-")</f>
        <v>0</v>
      </c>
      <c r="BY10" s="71">
        <f t="shared" ref="BY10" si="551">IF($AQ10=TRUE, BO10, "-")</f>
        <v>0</v>
      </c>
      <c r="BZ10" s="40">
        <f t="shared" ref="BZ10" si="552">IF($AQ10=TRUE, SUM(BS10:BU10), "")</f>
        <v>117.14240622378243</v>
      </c>
      <c r="CA10" s="40">
        <f t="shared" ref="CA10" si="553">IF($AQ10=TRUE, SUM(BV10:BY10), "")</f>
        <v>117.14240622378239</v>
      </c>
      <c r="CB10" s="40">
        <f t="shared" ref="CB10" si="554">IF($AQ10=TRUE,IF(ABS(CA10-BZ10)&lt; 0.000001, 0, ABS(CA10-BZ10)), "")</f>
        <v>0</v>
      </c>
      <c r="CC10" s="71">
        <f t="shared" ref="CC10" si="555">IF($AQ10=TRUE, BS10, "-")</f>
        <v>7.0082543349741631</v>
      </c>
      <c r="CD10" s="71">
        <f t="shared" ref="CD10" si="556">IF($AQ10=TRUE, BT10, "-")</f>
        <v>42.695136873177653</v>
      </c>
      <c r="CE10" s="71">
        <f t="shared" ref="CE10" si="557">IF($AQ10=TRUE, BU10, "-")</f>
        <v>67.439015015630616</v>
      </c>
      <c r="CF10" s="71">
        <f t="shared" ref="CF10" si="558">IF($AQ10=TRUE, BV10, "-")</f>
        <v>61.690457594892564</v>
      </c>
      <c r="CG10" s="71">
        <f t="shared" ref="CG10" si="559">IF($AQ10=TRUE,  IF(BW10 -CB10 &gt;= 0, BW10 -CB10, 0), "-")</f>
        <v>55.451948628889824</v>
      </c>
      <c r="CH10" s="71">
        <f t="shared" ref="CH10" si="560">IF($AQ10=TRUE, BX10, "-")</f>
        <v>0</v>
      </c>
      <c r="CI10" s="71">
        <f t="shared" ref="CI10" si="561">IF($AQ10=TRUE, BY10, "-")</f>
        <v>0</v>
      </c>
      <c r="CJ10" s="40">
        <f t="shared" ref="CJ10" si="562">IF($AQ10=TRUE, SUM(CC10:CE10), "")</f>
        <v>117.14240622378243</v>
      </c>
      <c r="CK10" s="40">
        <f t="shared" ref="CK10" si="563">IF($AQ10=TRUE, SUM(CF10:CI10), "")</f>
        <v>117.14240622378239</v>
      </c>
      <c r="CL10" s="40">
        <f t="shared" ref="CL10" si="564">IF($AQ10=TRUE,IF(ABS(CK10-CJ10)&lt; 0.000001, 0, ABS(CK10-CJ10)), "")</f>
        <v>0</v>
      </c>
      <c r="CM10" s="74">
        <f t="shared" ref="CM10" si="565">IF($AQ10 = TRUE, CC10, AR10)</f>
        <v>7.0082543349741631</v>
      </c>
      <c r="CN10" s="74">
        <f t="shared" ref="CN10" si="566">IF($AQ10 = TRUE, CD10, AS10)</f>
        <v>42.695136873177653</v>
      </c>
      <c r="CO10" s="74">
        <f t="shared" ref="CO10" si="567">IF($AQ10 = TRUE, CE10, AT10)</f>
        <v>67.439015015630616</v>
      </c>
      <c r="CP10" s="74">
        <f t="shared" ref="CP10" si="568">IF($AQ10 = TRUE, CF10, AU10)</f>
        <v>61.690457594892564</v>
      </c>
      <c r="CQ10" s="74">
        <f t="shared" ref="CQ10" si="569">IF($AQ10 = TRUE, CG10, AV10)</f>
        <v>55.451948628889824</v>
      </c>
      <c r="CR10" s="74">
        <f t="shared" ref="CR10" si="570">IF($AQ10 = TRUE, CH10, AW10)</f>
        <v>0</v>
      </c>
      <c r="CS10" s="74">
        <f t="shared" ref="CS10" si="571">IF($AQ10 = TRUE, CI10, AX10)</f>
        <v>0</v>
      </c>
      <c r="CT10" s="78">
        <f t="shared" ref="CT10" si="572">MIN(CR10,CO10)</f>
        <v>0</v>
      </c>
      <c r="CU10" s="78">
        <f t="shared" ref="CU10" si="573">CM10</f>
        <v>7.0082543349741631</v>
      </c>
      <c r="CV10" s="78">
        <f t="shared" ref="CV10" si="574">CN10</f>
        <v>42.695136873177653</v>
      </c>
      <c r="CW10" s="78">
        <f t="shared" ref="CW10" si="575">CO10-CT10</f>
        <v>67.439015015630616</v>
      </c>
      <c r="CX10" s="78">
        <f t="shared" ref="CX10" si="576">CP10</f>
        <v>61.690457594892564</v>
      </c>
      <c r="CY10" s="78">
        <f t="shared" ref="CY10" si="577">CQ10</f>
        <v>55.451948628889824</v>
      </c>
      <c r="CZ10" s="78">
        <f t="shared" ref="CZ10" si="578">CR10-CT10</f>
        <v>0</v>
      </c>
      <c r="DA10" s="78">
        <f t="shared" ref="DA10" si="579">CS10</f>
        <v>0</v>
      </c>
      <c r="DB10" s="25" t="b">
        <f t="shared" ref="DB10" si="580">IF(ABS(SUM(CU10:CW10)-SUM(CX10:DA10)) &lt; 0.000001, TRUE)</f>
        <v>1</v>
      </c>
      <c r="DC10" s="115">
        <f>(Table1[[#This Row],[eCl,adj (mEq/kg) eq7]]/Reference!D$2)/1000</f>
        <v>7.0082543349741632E-3</v>
      </c>
      <c r="DD10" s="115">
        <f>(Table1[[#This Row],[eNO3,adj (mEq/kg) eq7]]/Reference!E$2)/1000</f>
        <v>4.269513687317765E-2</v>
      </c>
      <c r="DE10" s="115">
        <f>(Table1[[#This Row],[eSO4,adj,f (mEq/kg) eq7]]/Reference!F$2)/1000</f>
        <v>3.3719507507815306E-2</v>
      </c>
      <c r="DF10" s="115">
        <f>(Table1[[#This Row],[eNa,adj (mEq/kg) eq7]]/Reference!G$2)/1000</f>
        <v>6.1690457594892563E-2</v>
      </c>
      <c r="DG10" s="115">
        <f>(Table1[[#This Row],[eK,adj (mEq/kg) eq7]]/Reference!H$2)/1000</f>
        <v>5.5451948628889823E-2</v>
      </c>
      <c r="DH10" s="115">
        <f>(Table1[[#This Row],[eCa,adj,f (mEq/kg) eq7]]/Reference!I$2)/1000</f>
        <v>0</v>
      </c>
      <c r="DI10" s="115">
        <f>(Table1[[#This Row],[eMg,adj (mEq/kg) eq7]]/Reference!J$2)/1000</f>
        <v>0</v>
      </c>
      <c r="DJ10" s="44">
        <f>Table1[[#This Row],[cCl,adj (mol/kg) eq 8 part 1]]/SUM(Table1[[#This Row],[cCl,adj (mol/kg) eq 8 part 1]:[cMg,adj (mol/kg) eq 8 part 1]])</f>
        <v>3.4942505819136896E-2</v>
      </c>
      <c r="DK10" s="44">
        <f>Table1[[#This Row],[cNO3,adj (mol/kg) eq 8 part 1]]/SUM(Table1[[#This Row],[cCl,adj (mol/kg) eq 8 part 1]:[cMg,adj (mol/kg) eq 8 part 1]])</f>
        <v>0.21287399077324673</v>
      </c>
      <c r="DL10" s="44">
        <f>Table1[[#This Row],[cSO4,adj (mol/kg) eq 8 part 1]]/SUM(Table1[[#This Row],[cCl,adj (mol/kg) eq 8 part 1]:[cMg,adj (mol/kg) eq 8 part 1]])</f>
        <v>0.16812233560507767</v>
      </c>
      <c r="DM10" s="44">
        <f>Table1[[#This Row],[cNa,adj (mol/kg) eq 8 part 1]]/SUM(Table1[[#This Row],[cCl,adj (mol/kg) eq 8 part 1]:[cMg,adj (mol/kg) eq 8 part 1]])</f>
        <v>0.30758289731828037</v>
      </c>
      <c r="DN10" s="44">
        <f>Table1[[#This Row],[cK,adj (mol/kg) eq 8 part 1]]/SUM(Table1[[#This Row],[cCl,adj (mol/kg) eq 8 part 1]:[cMg,adj (mol/kg) eq 8 part 1]])</f>
        <v>0.27647827048425838</v>
      </c>
      <c r="DO10" s="44">
        <f>Table1[[#This Row],[cCa,adj (mol/kg) eq 8 part 1]]/SUM(Table1[[#This Row],[cCl,adj (mol/kg) eq 8 part 1]:[cMg,adj (mol/kg) eq 8 part 1]])</f>
        <v>0</v>
      </c>
      <c r="DP10" s="44">
        <f>Table1[[#This Row],[cMg,adj (mol/kg) eq 8 part 1]]/SUM(Table1[[#This Row],[cCl,adj (mol/kg) eq 8 part 1]:[cMg,adj (mol/kg) eq 8 part 1]])</f>
        <v>0</v>
      </c>
      <c r="DQ10" s="46">
        <f t="shared" ref="DQ10" si="581">IF($AP10=TRUE, 0, (AJ10-CR10)/SUM($AH10:$AK10))</f>
        <v>0.11303448202788675</v>
      </c>
      <c r="DR10" s="46">
        <f t="shared" ref="DR10" si="582">IF($AP10=TRUE, 0, (AK10-CS10)/SUM($AH10:$AK10))</f>
        <v>0</v>
      </c>
      <c r="DS10" s="46">
        <f t="shared" ref="DS10" si="583">IF($AP10=TRUE, 0, (AH10-CP10)/SUM($AH10:$AK10))</f>
        <v>0.66021729326312917</v>
      </c>
      <c r="DT10" s="46">
        <f t="shared" ref="DT10" si="584">IF($AP10=TRUE, 0, (AI10-CQ10)/SUM($AH10:$AK10))</f>
        <v>0</v>
      </c>
      <c r="DU10" s="69">
        <f>((CU10*Reference!D$3)/Reference!D$2)*0.001</f>
        <v>2.4846153846153849E-4</v>
      </c>
      <c r="DV10" s="69">
        <f>((CV10*Reference!E$3)/Reference!E$2)*0.001</f>
        <v>2.6473076923076932E-3</v>
      </c>
      <c r="DW10" s="69">
        <f>((CW10*Reference!F$3)/Reference!F$2)*0.001</f>
        <v>3.2392307692307699E-3</v>
      </c>
      <c r="DX10" s="69">
        <f>((CX10*Reference!G$3)/Reference!G$2)*0.001</f>
        <v>1.4182493079204182E-3</v>
      </c>
      <c r="DY10" s="69">
        <f>((CY10*Reference!H$3)/Reference!H$2)*0.001</f>
        <v>2.1680769230769232E-3</v>
      </c>
      <c r="DZ10" s="69">
        <f>((CZ10*Reference!I$3)/Reference!I$2)*0.001</f>
        <v>0</v>
      </c>
      <c r="EA10" s="69">
        <f>((DA10*Reference!J$3)/Reference!J$2)*0.001</f>
        <v>0</v>
      </c>
      <c r="EB10" s="70">
        <f t="shared" ref="EB10" si="585">SUM(DU10:EA10)</f>
        <v>9.7213262309973434E-3</v>
      </c>
      <c r="EC10" s="68">
        <f t="shared" ref="EC10" si="586">(AD10-EB10)</f>
        <v>9.0115583843872731E-3</v>
      </c>
      <c r="ED10" s="68">
        <f t="shared" ref="ED10" si="587">((CT10)*(0.5*(96.064+40.078))*0.000001)</f>
        <v>0</v>
      </c>
      <c r="EE10" s="68">
        <f>Table1[[#This Row],[wtot,adj + wCaSO4(-) eq11]]-Table1[[#This Row],[wCaSO4 (-)]]</f>
        <v>9.0115583843872731E-3</v>
      </c>
      <c r="EF10" s="68">
        <f>IF(Table1[[#This Row],[pII]]=TRUE, ABS(SUM(DX10,DY10)-(SUM(Z10,AA10))),"Pathway I")</f>
        <v>7.841366076694967E-3</v>
      </c>
      <c r="EG10" s="68">
        <f>IF(Table1[[#This Row],[pII]]=TRUE, (((ABS(Table1[[#This Row],[eCa,adj (mEq/kg) pI or pII]]-Table1[[#This Row],[eCa (mEq/kg)]]))*0.040078)/2)*0.001,"Pathway I")</f>
        <v>1.1701923076923079E-3</v>
      </c>
      <c r="EH10" s="68">
        <f>IF(Table1[[#This Row],[pII]]=TRUE, ((Table1[[#This Row],[ΔeMg (mEq/kg) eq5b]]+Table1[[#This Row],[ΔeNa (mEq/kg) eq5c]]+Table1[[#This Row],[ΔeK (mEq/kg) eq5d]])/1000000)*(60.01/2), "Pathway I")</f>
        <v>1.0234126291802183E-2</v>
      </c>
    </row>
    <row r="11" spans="1:138" x14ac:dyDescent="0.6">
      <c r="A11" s="2" t="s">
        <v>259</v>
      </c>
      <c r="B11" s="1" t="s">
        <v>207</v>
      </c>
      <c r="C11" s="1" t="s">
        <v>208</v>
      </c>
      <c r="D11" s="127">
        <v>11</v>
      </c>
      <c r="E11" s="127">
        <v>2011</v>
      </c>
      <c r="F11" s="1" t="s">
        <v>207</v>
      </c>
      <c r="G11" s="1" t="s">
        <v>208</v>
      </c>
      <c r="H11" s="1" t="s">
        <v>226</v>
      </c>
      <c r="I11" s="1" t="s">
        <v>240</v>
      </c>
      <c r="J11" s="1" t="s">
        <v>208</v>
      </c>
      <c r="K11" s="1" t="s">
        <v>222</v>
      </c>
      <c r="L11" s="1">
        <v>150</v>
      </c>
      <c r="M11" s="1" t="s">
        <v>221</v>
      </c>
      <c r="N11" s="1">
        <v>0.997</v>
      </c>
      <c r="O11" s="1">
        <v>100</v>
      </c>
      <c r="P11" s="26">
        <v>309.91399999999999</v>
      </c>
      <c r="Q11" s="26">
        <v>163.745</v>
      </c>
      <c r="R11" s="26">
        <v>8.9849999999999994</v>
      </c>
      <c r="S11" s="26">
        <v>198.12200000000001</v>
      </c>
      <c r="T11" s="26">
        <v>32.591000000000001</v>
      </c>
      <c r="U11" s="26">
        <v>23.675000000000001</v>
      </c>
      <c r="V11" s="26">
        <v>13.912000000000001</v>
      </c>
      <c r="W11" s="69">
        <f t="shared" ref="W11" si="588">(P11*($O11/1000))/($N11*1000)</f>
        <v>3.1084653961885655E-2</v>
      </c>
      <c r="X11" s="69">
        <f t="shared" ref="X11" si="589">(Q11*($O11/1000))/($N11*1000)</f>
        <v>1.6423771313941828E-2</v>
      </c>
      <c r="Y11" s="69">
        <f t="shared" ref="Y11" si="590">(R11*($O11/1000))/($N11*1000)</f>
        <v>9.0120361083249748E-4</v>
      </c>
      <c r="Z11" s="69">
        <f t="shared" ref="Z11" si="591">(S11*($O11/1000))/($N11*1000)</f>
        <v>1.9871815446339022E-2</v>
      </c>
      <c r="AA11" s="69">
        <f t="shared" ref="AA11" si="592">(T11*($O11/1000))/($N11*1000)</f>
        <v>3.2689067201604814E-3</v>
      </c>
      <c r="AB11" s="69">
        <f t="shared" ref="AB11" si="593">(U11*($O11/1000))/($N11*1000)</f>
        <v>2.3746238716148447E-3</v>
      </c>
      <c r="AC11" s="69">
        <f t="shared" ref="AC11" si="594">(V11*($O11/1000))/($N11*1000)</f>
        <v>1.3953861584754266E-3</v>
      </c>
      <c r="AD11" s="70">
        <f t="shared" ref="AD11" si="595">SUM(W11:AC11)</f>
        <v>7.5320361083249743E-2</v>
      </c>
      <c r="AE11" s="71">
        <f>((W11*Reference!D$2)/Reference!D$3)*1000</f>
        <v>876.79228836973368</v>
      </c>
      <c r="AF11" s="71">
        <f>((X11*Reference!E$2)/Reference!E$3)*1000</f>
        <v>264.87860336750526</v>
      </c>
      <c r="AG11" s="71">
        <f>((Y11*Reference!F$2)/Reference!F$3)*1000</f>
        <v>18.762566847778512</v>
      </c>
      <c r="AH11" s="71">
        <f>((Z11*Reference!G$2)/Reference!G$3)*1000</f>
        <v>864.37651073029633</v>
      </c>
      <c r="AI11" s="71">
        <f>((AA11*Reference!H$2)/Reference!H$3)*1000</f>
        <v>83.607387537577878</v>
      </c>
      <c r="AJ11" s="71">
        <f>((AB11*Reference!I$2)/Reference!I$3)*1000</f>
        <v>118.50011834995981</v>
      </c>
      <c r="AK11" s="71">
        <f>((AC11*Reference!J$2)/Reference!J$3)*1000</f>
        <v>114.8229712796072</v>
      </c>
      <c r="AL11" s="40">
        <f t="shared" ref="AL11" si="596">SUM(AE11:AG11)</f>
        <v>1160.4334585850174</v>
      </c>
      <c r="AM11" s="40">
        <f t="shared" ref="AM11" si="597">SUM(AH11:AK11)</f>
        <v>1181.3069878974411</v>
      </c>
      <c r="AN11" s="72">
        <f t="shared" ref="AN11" si="598">ABS(AM11-AL11)</f>
        <v>20.87352931242367</v>
      </c>
      <c r="AO11" s="24" t="str">
        <f t="shared" ref="AO11" si="599">IF(AM11&gt;AL11, "Δe,cat", "Δe,ani")</f>
        <v>Δe,cat</v>
      </c>
      <c r="AP11" s="25" t="b">
        <f t="shared" ref="AP11" si="600">IF(OR(AN11&lt;=MAX(AL11,AM11)*0.02, AL11&gt;AM11), TRUE)</f>
        <v>1</v>
      </c>
      <c r="AQ11" s="25" t="b">
        <f t="shared" ref="AQ11" si="601">IF(AND(AN11&gt;AM11*0.02, AM11&gt;AL11), TRUE)</f>
        <v>0</v>
      </c>
      <c r="AR11" s="73">
        <f t="shared" ref="AR11" si="602">IF($AP11=TRUE, (AE11*($AL11+$AM11)/(2*$AL11)), "-")</f>
        <v>884.67802683961077</v>
      </c>
      <c r="AS11" s="73">
        <f t="shared" ref="AS11" si="603">IF($AP11=TRUE, (AF11*($AL11+$AM11)/(2*$AL11)), "-")</f>
        <v>267.26088183884787</v>
      </c>
      <c r="AT11" s="73">
        <f t="shared" ref="AT11" si="604">IF($AP11=TRUE, (AG11*($AL11+$AM11)/(2*$AL11)), "-")</f>
        <v>18.931314562770702</v>
      </c>
      <c r="AU11" s="73">
        <f t="shared" ref="AU11" si="605">IF($AP11=TRUE, (AH11*($AL11+$AM11)/(2*$AM11)), "-")</f>
        <v>856.73980468413447</v>
      </c>
      <c r="AV11" s="73">
        <f t="shared" ref="AV11" si="606">IF($AP11=TRUE, (AI11*($AL11+$AM11)/(2*$AM11)), "-")</f>
        <v>82.868722113441621</v>
      </c>
      <c r="AW11" s="73">
        <f t="shared" ref="AW11" si="607">IF($AP11=TRUE, (AJ11*($AL11+$AM11)/(2*$AM11)), "-")</f>
        <v>117.45317808834919</v>
      </c>
      <c r="AX11" s="73">
        <f t="shared" ref="AX11" si="608">IF($AP11=TRUE, (AK11*($AL11+$AM11)/(2*$AM11)), "-")</f>
        <v>113.80851835530413</v>
      </c>
      <c r="AY11" s="71" t="str">
        <f t="shared" ref="AY11" si="609">IF($AQ11=TRUE, AE11, "-")</f>
        <v>-</v>
      </c>
      <c r="AZ11" s="71" t="str">
        <f t="shared" ref="AZ11" si="610">IF($AQ11=TRUE, AF11, "-")</f>
        <v>-</v>
      </c>
      <c r="BA11" s="71" t="str">
        <f t="shared" ref="BA11" si="611">IF($AQ11=TRUE, AG11, "-")</f>
        <v>-</v>
      </c>
      <c r="BB11" s="71" t="str">
        <f t="shared" ref="BB11" si="612">IF($AQ11=TRUE, AH11, "-")</f>
        <v>-</v>
      </c>
      <c r="BC11" s="71" t="str">
        <f t="shared" ref="BC11" si="613">IF($AQ11=TRUE, AI11, "-")</f>
        <v>-</v>
      </c>
      <c r="BD11" s="71" t="str">
        <f t="shared" ref="BD11" si="614">IF($AQ11=TRUE, IF(AJ11-AN11 &gt;= 0, AJ11-AN11, 0), "-")</f>
        <v>-</v>
      </c>
      <c r="BE11" s="71" t="str">
        <f t="shared" ref="BE11" si="615">IF($AQ11=TRUE, AK11, "-")</f>
        <v>-</v>
      </c>
      <c r="BF11" s="40" t="str">
        <f t="shared" ref="BF11" si="616">IF($AQ11=TRUE, SUM(AY11:BA11), "")</f>
        <v/>
      </c>
      <c r="BG11" s="40" t="str">
        <f t="shared" ref="BG11" si="617">IF($AQ11=TRUE, SUM(BB11:BE11), "")</f>
        <v/>
      </c>
      <c r="BH11" s="40" t="str">
        <f t="shared" ref="BH11" si="618">IF($AQ11=TRUE,IF(ABS(BG11-BF11)&lt; 0.000001, 0, ABS(BG11-BF11)), "")</f>
        <v/>
      </c>
      <c r="BI11" s="71" t="str">
        <f t="shared" ref="BI11" si="619">IF($AQ11=TRUE, AY11, "-")</f>
        <v>-</v>
      </c>
      <c r="BJ11" s="71" t="str">
        <f t="shared" ref="BJ11" si="620">IF($AQ11=TRUE, AZ11, "-")</f>
        <v>-</v>
      </c>
      <c r="BK11" s="71" t="str">
        <f t="shared" ref="BK11" si="621">IF($AQ11=TRUE, BA11, "-")</f>
        <v>-</v>
      </c>
      <c r="BL11" s="71" t="str">
        <f t="shared" ref="BL11" si="622">IF($AQ11=TRUE, BB11, "-")</f>
        <v>-</v>
      </c>
      <c r="BM11" s="71" t="str">
        <f t="shared" ref="BM11" si="623">IF($AQ11=TRUE, BC11, "-")</f>
        <v>-</v>
      </c>
      <c r="BN11" s="71" t="str">
        <f t="shared" ref="BN11" si="624">IF($AQ11=TRUE, BD11, "-")</f>
        <v>-</v>
      </c>
      <c r="BO11" s="71" t="str">
        <f t="shared" ref="BO11" si="625">IF($AQ11=TRUE, IF(BE11 -BH11 &gt;= 0, BE11 -BH11, 0), "-")</f>
        <v>-</v>
      </c>
      <c r="BP11" s="40" t="str">
        <f t="shared" ref="BP11" si="626">IF($AQ11=TRUE, SUM(BI11:BK11), "")</f>
        <v/>
      </c>
      <c r="BQ11" s="40" t="str">
        <f t="shared" ref="BQ11" si="627">IF($AQ11=TRUE, SUM(BL11:BO11), "")</f>
        <v/>
      </c>
      <c r="BR11" s="40" t="str">
        <f t="shared" ref="BR11" si="628">IF($AQ11=TRUE,IF(ABS(BQ11-BP11)&lt; 0.000001, 0, ABS(BQ11-BP11)), "")</f>
        <v/>
      </c>
      <c r="BS11" s="71" t="str">
        <f t="shared" ref="BS11" si="629">IF($AQ11=TRUE, BI11, "-")</f>
        <v>-</v>
      </c>
      <c r="BT11" s="71" t="str">
        <f t="shared" ref="BT11" si="630">IF($AQ11=TRUE, BJ11, "-")</f>
        <v>-</v>
      </c>
      <c r="BU11" s="71" t="str">
        <f t="shared" ref="BU11" si="631">IF($AQ11=TRUE, BK11, "-")</f>
        <v>-</v>
      </c>
      <c r="BV11" s="71" t="str">
        <f t="shared" ref="BV11" si="632">IF($AQ11=TRUE, IF(BL11 -BR11 &gt;= 0, BL11 -BR11, 0), "-")</f>
        <v>-</v>
      </c>
      <c r="BW11" s="71" t="str">
        <f t="shared" ref="BW11" si="633">IF($AQ11=TRUE, BM11, "-")</f>
        <v>-</v>
      </c>
      <c r="BX11" s="71" t="str">
        <f t="shared" ref="BX11" si="634">IF($AQ11=TRUE, BN11, "-")</f>
        <v>-</v>
      </c>
      <c r="BY11" s="71" t="str">
        <f t="shared" ref="BY11" si="635">IF($AQ11=TRUE, BO11, "-")</f>
        <v>-</v>
      </c>
      <c r="BZ11" s="40" t="str">
        <f t="shared" ref="BZ11" si="636">IF($AQ11=TRUE, SUM(BS11:BU11), "")</f>
        <v/>
      </c>
      <c r="CA11" s="40" t="str">
        <f t="shared" ref="CA11" si="637">IF($AQ11=TRUE, SUM(BV11:BY11), "")</f>
        <v/>
      </c>
      <c r="CB11" s="40" t="str">
        <f t="shared" ref="CB11" si="638">IF($AQ11=TRUE,IF(ABS(CA11-BZ11)&lt; 0.000001, 0, ABS(CA11-BZ11)), "")</f>
        <v/>
      </c>
      <c r="CC11" s="71" t="str">
        <f t="shared" ref="CC11" si="639">IF($AQ11=TRUE, BS11, "-")</f>
        <v>-</v>
      </c>
      <c r="CD11" s="71" t="str">
        <f t="shared" ref="CD11" si="640">IF($AQ11=TRUE, BT11, "-")</f>
        <v>-</v>
      </c>
      <c r="CE11" s="71" t="str">
        <f t="shared" ref="CE11" si="641">IF($AQ11=TRUE, BU11, "-")</f>
        <v>-</v>
      </c>
      <c r="CF11" s="71" t="str">
        <f t="shared" ref="CF11" si="642">IF($AQ11=TRUE, BV11, "-")</f>
        <v>-</v>
      </c>
      <c r="CG11" s="71" t="str">
        <f t="shared" ref="CG11" si="643">IF($AQ11=TRUE,  IF(BW11 -CB11 &gt;= 0, BW11 -CB11, 0), "-")</f>
        <v>-</v>
      </c>
      <c r="CH11" s="71" t="str">
        <f t="shared" ref="CH11" si="644">IF($AQ11=TRUE, BX11, "-")</f>
        <v>-</v>
      </c>
      <c r="CI11" s="71" t="str">
        <f t="shared" ref="CI11" si="645">IF($AQ11=TRUE, BY11, "-")</f>
        <v>-</v>
      </c>
      <c r="CJ11" s="40" t="str">
        <f t="shared" ref="CJ11" si="646">IF($AQ11=TRUE, SUM(CC11:CE11), "")</f>
        <v/>
      </c>
      <c r="CK11" s="40" t="str">
        <f t="shared" ref="CK11" si="647">IF($AQ11=TRUE, SUM(CF11:CI11), "")</f>
        <v/>
      </c>
      <c r="CL11" s="40" t="str">
        <f t="shared" ref="CL11" si="648">IF($AQ11=TRUE,IF(ABS(CK11-CJ11)&lt; 0.000001, 0, ABS(CK11-CJ11)), "")</f>
        <v/>
      </c>
      <c r="CM11" s="74">
        <f t="shared" ref="CM11" si="649">IF($AQ11 = TRUE, CC11, AR11)</f>
        <v>884.67802683961077</v>
      </c>
      <c r="CN11" s="74">
        <f t="shared" ref="CN11" si="650">IF($AQ11 = TRUE, CD11, AS11)</f>
        <v>267.26088183884787</v>
      </c>
      <c r="CO11" s="74">
        <f t="shared" ref="CO11" si="651">IF($AQ11 = TRUE, CE11, AT11)</f>
        <v>18.931314562770702</v>
      </c>
      <c r="CP11" s="74">
        <f t="shared" ref="CP11" si="652">IF($AQ11 = TRUE, CF11, AU11)</f>
        <v>856.73980468413447</v>
      </c>
      <c r="CQ11" s="74">
        <f t="shared" ref="CQ11" si="653">IF($AQ11 = TRUE, CG11, AV11)</f>
        <v>82.868722113441621</v>
      </c>
      <c r="CR11" s="74">
        <f t="shared" ref="CR11" si="654">IF($AQ11 = TRUE, CH11, AW11)</f>
        <v>117.45317808834919</v>
      </c>
      <c r="CS11" s="74">
        <f t="shared" ref="CS11" si="655">IF($AQ11 = TRUE, CI11, AX11)</f>
        <v>113.80851835530413</v>
      </c>
      <c r="CT11" s="78">
        <f t="shared" ref="CT11" si="656">MIN(CR11,CO11)</f>
        <v>18.931314562770702</v>
      </c>
      <c r="CU11" s="78">
        <f t="shared" ref="CU11" si="657">CM11</f>
        <v>884.67802683961077</v>
      </c>
      <c r="CV11" s="78">
        <f t="shared" ref="CV11" si="658">CN11</f>
        <v>267.26088183884787</v>
      </c>
      <c r="CW11" s="78">
        <f t="shared" ref="CW11" si="659">CO11-CT11</f>
        <v>0</v>
      </c>
      <c r="CX11" s="78">
        <f t="shared" ref="CX11" si="660">CP11</f>
        <v>856.73980468413447</v>
      </c>
      <c r="CY11" s="78">
        <f t="shared" ref="CY11" si="661">CQ11</f>
        <v>82.868722113441621</v>
      </c>
      <c r="CZ11" s="78">
        <f t="shared" ref="CZ11" si="662">CR11-CT11</f>
        <v>98.521863525578482</v>
      </c>
      <c r="DA11" s="78">
        <f t="shared" ref="DA11" si="663">CS11</f>
        <v>113.80851835530413</v>
      </c>
      <c r="DB11" s="25" t="b">
        <f t="shared" ref="DB11" si="664">IF(ABS(SUM(CU11:CW11)-SUM(CX11:DA11)) &lt; 0.000001, TRUE)</f>
        <v>1</v>
      </c>
      <c r="DC11" s="115">
        <f>(Table1[[#This Row],[eCl,adj (mEq/kg) eq7]]/Reference!D$2)/1000</f>
        <v>0.88467802683961072</v>
      </c>
      <c r="DD11" s="115">
        <f>(Table1[[#This Row],[eNO3,adj (mEq/kg) eq7]]/Reference!E$2)/1000</f>
        <v>0.26726088183884789</v>
      </c>
      <c r="DE11" s="115">
        <f>(Table1[[#This Row],[eSO4,adj,f (mEq/kg) eq7]]/Reference!F$2)/1000</f>
        <v>0</v>
      </c>
      <c r="DF11" s="115">
        <f>(Table1[[#This Row],[eNa,adj (mEq/kg) eq7]]/Reference!G$2)/1000</f>
        <v>0.85673980468413446</v>
      </c>
      <c r="DG11" s="115">
        <f>(Table1[[#This Row],[eK,adj (mEq/kg) eq7]]/Reference!H$2)/1000</f>
        <v>8.2868722113441623E-2</v>
      </c>
      <c r="DH11" s="115">
        <f>(Table1[[#This Row],[eCa,adj,f (mEq/kg) eq7]]/Reference!I$2)/1000</f>
        <v>4.9260931762789242E-2</v>
      </c>
      <c r="DI11" s="115">
        <f>(Table1[[#This Row],[eMg,adj (mEq/kg) eq7]]/Reference!J$2)/1000</f>
        <v>5.6904259177652065E-2</v>
      </c>
      <c r="DJ11" s="44">
        <f>Table1[[#This Row],[cCl,adj (mol/kg) eq 8 part 1]]/SUM(Table1[[#This Row],[cCl,adj (mol/kg) eq 8 part 1]:[cMg,adj (mol/kg) eq 8 part 1]])</f>
        <v>0.40254490792189696</v>
      </c>
      <c r="DK11" s="44">
        <f>Table1[[#This Row],[cNO3,adj (mol/kg) eq 8 part 1]]/SUM(Table1[[#This Row],[cCl,adj (mol/kg) eq 8 part 1]:[cMg,adj (mol/kg) eq 8 part 1]])</f>
        <v>0.12160865739513696</v>
      </c>
      <c r="DL11" s="44">
        <f>Table1[[#This Row],[cSO4,adj (mol/kg) eq 8 part 1]]/SUM(Table1[[#This Row],[cCl,adj (mol/kg) eq 8 part 1]:[cMg,adj (mol/kg) eq 8 part 1]])</f>
        <v>0</v>
      </c>
      <c r="DM11" s="44">
        <f>Table1[[#This Row],[cNa,adj (mol/kg) eq 8 part 1]]/SUM(Table1[[#This Row],[cCl,adj (mol/kg) eq 8 part 1]:[cMg,adj (mol/kg) eq 8 part 1]])</f>
        <v>0.38983249874716719</v>
      </c>
      <c r="DN11" s="44">
        <f>Table1[[#This Row],[cK,adj (mol/kg) eq 8 part 1]]/SUM(Table1[[#This Row],[cCl,adj (mol/kg) eq 8 part 1]:[cMg,adj (mol/kg) eq 8 part 1]])</f>
        <v>3.7706805301730852E-2</v>
      </c>
      <c r="DO11" s="44">
        <f>Table1[[#This Row],[cCa,adj (mol/kg) eq 8 part 1]]/SUM(Table1[[#This Row],[cCl,adj (mol/kg) eq 8 part 1]:[cMg,adj (mol/kg) eq 8 part 1]])</f>
        <v>2.2414637460181786E-2</v>
      </c>
      <c r="DP11" s="44">
        <f>Table1[[#This Row],[cMg,adj (mol/kg) eq 8 part 1]]/SUM(Table1[[#This Row],[cCl,adj (mol/kg) eq 8 part 1]:[cMg,adj (mol/kg) eq 8 part 1]])</f>
        <v>2.5892493173886175E-2</v>
      </c>
      <c r="DQ11" s="46">
        <f t="shared" ref="DQ11" si="665">IF($AP11=TRUE, 0, (AJ11-CR11)/SUM($AH11:$AK11))</f>
        <v>0</v>
      </c>
      <c r="DR11" s="46">
        <f t="shared" ref="DR11" si="666">IF($AP11=TRUE, 0, (AK11-CS11)/SUM($AH11:$AK11))</f>
        <v>0</v>
      </c>
      <c r="DS11" s="46">
        <f t="shared" ref="DS11" si="667">IF($AP11=TRUE, 0, (AH11-CP11)/SUM($AH11:$AK11))</f>
        <v>0</v>
      </c>
      <c r="DT11" s="46">
        <f t="shared" ref="DT11" si="668">IF($AP11=TRUE, 0, (AI11-CQ11)/SUM($AH11:$AK11))</f>
        <v>0</v>
      </c>
      <c r="DU11" s="69">
        <f>((CU11*Reference!D$3)/Reference!D$2)*0.001</f>
        <v>3.1364224682136663E-2</v>
      </c>
      <c r="DV11" s="69">
        <f>((CV11*Reference!E$3)/Reference!E$2)*0.001</f>
        <v>1.6571484252329578E-2</v>
      </c>
      <c r="DW11" s="69">
        <f>((CW11*Reference!F$3)/Reference!F$2)*0.001</f>
        <v>0</v>
      </c>
      <c r="DX11" s="69">
        <f>((CX11*Reference!G$3)/Reference!G$2)*0.001</f>
        <v>1.9696249346053567E-2</v>
      </c>
      <c r="DY11" s="69">
        <f>((CY11*Reference!H$3)/Reference!H$2)*0.001</f>
        <v>3.2400261578079746E-3</v>
      </c>
      <c r="DZ11" s="69">
        <f>((CZ11*Reference!I$3)/Reference!I$2)*0.001</f>
        <v>1.9742796231890674E-3</v>
      </c>
      <c r="EA11" s="69">
        <f>((DA11*Reference!J$3)/Reference!J$2)*0.001</f>
        <v>1.3830580193128334E-3</v>
      </c>
      <c r="EB11" s="70">
        <f t="shared" ref="EB11" si="669">SUM(DU11:EA11)</f>
        <v>7.4229322080829677E-2</v>
      </c>
      <c r="EC11" s="68">
        <f t="shared" ref="EC11" si="670">(AD11-EB11)</f>
        <v>1.0910390024200661E-3</v>
      </c>
      <c r="ED11" s="68">
        <f>((CT11)*(0.5*(96.064+40.078))*0.000001)</f>
        <v>1.2886735136023644E-3</v>
      </c>
      <c r="EE11" s="68">
        <f>Table1[[#This Row],[wtot,adj + wCaSO4(-) eq11]]-Table1[[#This Row],[wCaSO4 (-)]]</f>
        <v>-1.9763451118229823E-4</v>
      </c>
      <c r="EF11" s="68" t="str">
        <f>IF(Table1[[#This Row],[pII]]=TRUE, ABS(SUM(DX11,DY11)-(SUM(Z11,AA11))),"Pathway I")</f>
        <v>Pathway I</v>
      </c>
      <c r="EG11" s="68" t="str">
        <f>IF(Table1[[#This Row],[pII]]=TRUE, (((ABS(Table1[[#This Row],[eCa,adj (mEq/kg) pI or pII]]-Table1[[#This Row],[eCa (mEq/kg)]]))*0.040078)/2)*0.001,"Pathway I")</f>
        <v>Pathway I</v>
      </c>
      <c r="EH11" s="68" t="str">
        <f>IF(Table1[[#This Row],[pII]]=TRUE, ((Table1[[#This Row],[ΔeMg (mEq/kg) eq5b]]+Table1[[#This Row],[ΔeNa (mEq/kg) eq5c]]+Table1[[#This Row],[ΔeK (mEq/kg) eq5d]])/1000000)*(60.01/2), "Pathway I")</f>
        <v>Pathway I</v>
      </c>
    </row>
    <row r="12" spans="1:138" x14ac:dyDescent="0.6">
      <c r="A12" s="2" t="s">
        <v>262</v>
      </c>
      <c r="B12" s="1" t="s">
        <v>207</v>
      </c>
      <c r="C12" s="1" t="s">
        <v>208</v>
      </c>
      <c r="D12" s="127">
        <v>1</v>
      </c>
      <c r="E12" s="127">
        <v>2011</v>
      </c>
      <c r="F12" s="1" t="s">
        <v>207</v>
      </c>
      <c r="G12" s="1" t="s">
        <v>208</v>
      </c>
      <c r="H12" s="1" t="s">
        <v>260</v>
      </c>
      <c r="I12" s="1" t="s">
        <v>261</v>
      </c>
      <c r="J12" s="1" t="s">
        <v>208</v>
      </c>
      <c r="K12" s="1" t="s">
        <v>216</v>
      </c>
      <c r="L12" s="1">
        <v>160</v>
      </c>
      <c r="M12" s="1" t="s">
        <v>211</v>
      </c>
      <c r="N12" s="1">
        <v>0.49</v>
      </c>
      <c r="O12" s="1">
        <v>70</v>
      </c>
      <c r="P12" s="26">
        <v>123.4</v>
      </c>
      <c r="Q12" s="26">
        <v>23.3</v>
      </c>
      <c r="R12" s="26">
        <v>14</v>
      </c>
      <c r="S12" s="26">
        <v>59.2</v>
      </c>
      <c r="T12" s="26">
        <v>6.6</v>
      </c>
      <c r="U12" s="26">
        <v>37.4</v>
      </c>
      <c r="V12" s="26">
        <v>0.8</v>
      </c>
      <c r="W12" s="69">
        <f t="shared" ref="W12" si="671">(P12*($O12/1000))/($N12*1000)</f>
        <v>1.7628571428571431E-2</v>
      </c>
      <c r="X12" s="69">
        <f t="shared" ref="X12" si="672">(Q12*($O12/1000))/($N12*1000)</f>
        <v>3.328571428571429E-3</v>
      </c>
      <c r="Y12" s="69">
        <f t="shared" ref="Y12" si="673">(R12*($O12/1000))/($N12*1000)</f>
        <v>2E-3</v>
      </c>
      <c r="Z12" s="69">
        <f t="shared" ref="Z12" si="674">(S12*($O12/1000))/($N12*1000)</f>
        <v>8.4571428571428593E-3</v>
      </c>
      <c r="AA12" s="69">
        <f t="shared" ref="AA12" si="675">(T12*($O12/1000))/($N12*1000)</f>
        <v>9.4285714285714285E-4</v>
      </c>
      <c r="AB12" s="69">
        <f t="shared" ref="AB12" si="676">(U12*($O12/1000))/($N12*1000)</f>
        <v>5.3428571428571431E-3</v>
      </c>
      <c r="AC12" s="69">
        <f t="shared" ref="AC12" si="677">(V12*($O12/1000))/($N12*1000)</f>
        <v>1.142857142857143E-4</v>
      </c>
      <c r="AD12" s="70">
        <f t="shared" ref="AD12" si="678">SUM(W12:AC12)</f>
        <v>3.7814285714285717E-2</v>
      </c>
      <c r="AE12" s="71">
        <f>((W12*Reference!D$2)/Reference!D$3)*1000</f>
        <v>497.24199929967062</v>
      </c>
      <c r="AF12" s="71">
        <f>((X12*Reference!E$2)/Reference!E$3)*1000</f>
        <v>53.682393303939349</v>
      </c>
      <c r="AG12" s="71">
        <f>((Y12*Reference!F$2)/Reference!F$3)*1000</f>
        <v>41.638907395069957</v>
      </c>
      <c r="AH12" s="71">
        <f>((Z12*Reference!G$2)/Reference!G$3)*1000</f>
        <v>367.86551552598786</v>
      </c>
      <c r="AI12" s="71">
        <f>((AA12*Reference!H$2)/Reference!H$3)*1000</f>
        <v>24.115041903539101</v>
      </c>
      <c r="AJ12" s="71">
        <f>((AB12*Reference!I$2)/Reference!I$3)*1000</f>
        <v>266.62294240516707</v>
      </c>
      <c r="AK12" s="71">
        <f>((AC12*Reference!J$2)/Reference!J$3)*1000</f>
        <v>9.4042965880036444</v>
      </c>
      <c r="AL12" s="40">
        <f t="shared" ref="AL12" si="679">SUM(AE12:AG12)</f>
        <v>592.56329999867989</v>
      </c>
      <c r="AM12" s="40">
        <f t="shared" ref="AM12" si="680">SUM(AH12:AK12)</f>
        <v>668.00779642269765</v>
      </c>
      <c r="AN12" s="72">
        <f t="shared" ref="AN12" si="681">ABS(AM12-AL12)</f>
        <v>75.444496424017757</v>
      </c>
      <c r="AO12" s="24" t="str">
        <f t="shared" ref="AO12" si="682">IF(AM12&gt;AL12, "Δe,cat", "Δe,ani")</f>
        <v>Δe,cat</v>
      </c>
      <c r="AP12" s="25" t="b">
        <f t="shared" ref="AP12" si="683">IF(OR(AN12&lt;=MAX(AL12,AM12)*0.02, AL12&gt;AM12), TRUE)</f>
        <v>0</v>
      </c>
      <c r="AQ12" s="25" t="b">
        <f t="shared" ref="AQ12" si="684">IF(AND(AN12&gt;AM12*0.02, AM12&gt;AL12), TRUE)</f>
        <v>1</v>
      </c>
      <c r="AR12" s="73" t="str">
        <f t="shared" ref="AR12" si="685">IF($AP12=TRUE, (AE12*($AL12+$AM12)/(2*$AL12)), "-")</f>
        <v>-</v>
      </c>
      <c r="AS12" s="73" t="str">
        <f t="shared" ref="AS12" si="686">IF($AP12=TRUE, (AF12*($AL12+$AM12)/(2*$AL12)), "-")</f>
        <v>-</v>
      </c>
      <c r="AT12" s="73" t="str">
        <f t="shared" ref="AT12" si="687">IF($AP12=TRUE, (AG12*($AL12+$AM12)/(2*$AL12)), "-")</f>
        <v>-</v>
      </c>
      <c r="AU12" s="73" t="str">
        <f t="shared" ref="AU12" si="688">IF($AP12=TRUE, (AH12*($AL12+$AM12)/(2*$AM12)), "-")</f>
        <v>-</v>
      </c>
      <c r="AV12" s="73" t="str">
        <f t="shared" ref="AV12" si="689">IF($AP12=TRUE, (AI12*($AL12+$AM12)/(2*$AM12)), "-")</f>
        <v>-</v>
      </c>
      <c r="AW12" s="73" t="str">
        <f t="shared" ref="AW12" si="690">IF($AP12=TRUE, (AJ12*($AL12+$AM12)/(2*$AM12)), "-")</f>
        <v>-</v>
      </c>
      <c r="AX12" s="73" t="str">
        <f t="shared" ref="AX12" si="691">IF($AP12=TRUE, (AK12*($AL12+$AM12)/(2*$AM12)), "-")</f>
        <v>-</v>
      </c>
      <c r="AY12" s="71">
        <f t="shared" ref="AY12" si="692">IF($AQ12=TRUE, AE12, "-")</f>
        <v>497.24199929967062</v>
      </c>
      <c r="AZ12" s="71">
        <f t="shared" ref="AZ12" si="693">IF($AQ12=TRUE, AF12, "-")</f>
        <v>53.682393303939349</v>
      </c>
      <c r="BA12" s="71">
        <f t="shared" ref="BA12" si="694">IF($AQ12=TRUE, AG12, "-")</f>
        <v>41.638907395069957</v>
      </c>
      <c r="BB12" s="71">
        <f t="shared" ref="BB12" si="695">IF($AQ12=TRUE, AH12, "-")</f>
        <v>367.86551552598786</v>
      </c>
      <c r="BC12" s="71">
        <f t="shared" ref="BC12" si="696">IF($AQ12=TRUE, AI12, "-")</f>
        <v>24.115041903539101</v>
      </c>
      <c r="BD12" s="71">
        <f t="shared" ref="BD12" si="697">IF($AQ12=TRUE, IF(AJ12-AN12 &gt;= 0, AJ12-AN12, 0), "-")</f>
        <v>191.17844598114931</v>
      </c>
      <c r="BE12" s="71">
        <f t="shared" ref="BE12" si="698">IF($AQ12=TRUE, AK12, "-")</f>
        <v>9.4042965880036444</v>
      </c>
      <c r="BF12" s="40">
        <f t="shared" ref="BF12" si="699">IF($AQ12=TRUE, SUM(AY12:BA12), "")</f>
        <v>592.56329999867989</v>
      </c>
      <c r="BG12" s="40">
        <f t="shared" ref="BG12" si="700">IF($AQ12=TRUE, SUM(BB12:BE12), "")</f>
        <v>592.56329999867989</v>
      </c>
      <c r="BH12" s="40">
        <f t="shared" ref="BH12" si="701">IF($AQ12=TRUE,IF(ABS(BG12-BF12)&lt; 0.000001, 0, ABS(BG12-BF12)), "")</f>
        <v>0</v>
      </c>
      <c r="BI12" s="71">
        <f t="shared" ref="BI12" si="702">IF($AQ12=TRUE, AY12, "-")</f>
        <v>497.24199929967062</v>
      </c>
      <c r="BJ12" s="71">
        <f t="shared" ref="BJ12" si="703">IF($AQ12=TRUE, AZ12, "-")</f>
        <v>53.682393303939349</v>
      </c>
      <c r="BK12" s="71">
        <f t="shared" ref="BK12" si="704">IF($AQ12=TRUE, BA12, "-")</f>
        <v>41.638907395069957</v>
      </c>
      <c r="BL12" s="71">
        <f t="shared" ref="BL12" si="705">IF($AQ12=TRUE, BB12, "-")</f>
        <v>367.86551552598786</v>
      </c>
      <c r="BM12" s="71">
        <f t="shared" ref="BM12" si="706">IF($AQ12=TRUE, BC12, "-")</f>
        <v>24.115041903539101</v>
      </c>
      <c r="BN12" s="71">
        <f t="shared" ref="BN12" si="707">IF($AQ12=TRUE, BD12, "-")</f>
        <v>191.17844598114931</v>
      </c>
      <c r="BO12" s="71">
        <f t="shared" ref="BO12" si="708">IF($AQ12=TRUE, IF(BE12 -BH12 &gt;= 0, BE12 -BH12, 0), "-")</f>
        <v>9.4042965880036444</v>
      </c>
      <c r="BP12" s="40">
        <f t="shared" ref="BP12" si="709">IF($AQ12=TRUE, SUM(BI12:BK12), "")</f>
        <v>592.56329999867989</v>
      </c>
      <c r="BQ12" s="40">
        <f t="shared" ref="BQ12" si="710">IF($AQ12=TRUE, SUM(BL12:BO12), "")</f>
        <v>592.56329999867989</v>
      </c>
      <c r="BR12" s="40">
        <f t="shared" ref="BR12" si="711">IF($AQ12=TRUE,IF(ABS(BQ12-BP12)&lt; 0.000001, 0, ABS(BQ12-BP12)), "")</f>
        <v>0</v>
      </c>
      <c r="BS12" s="71">
        <f t="shared" ref="BS12" si="712">IF($AQ12=TRUE, BI12, "-")</f>
        <v>497.24199929967062</v>
      </c>
      <c r="BT12" s="71">
        <f t="shared" ref="BT12" si="713">IF($AQ12=TRUE, BJ12, "-")</f>
        <v>53.682393303939349</v>
      </c>
      <c r="BU12" s="71">
        <f t="shared" ref="BU12" si="714">IF($AQ12=TRUE, BK12, "-")</f>
        <v>41.638907395069957</v>
      </c>
      <c r="BV12" s="71">
        <f t="shared" ref="BV12" si="715">IF($AQ12=TRUE, IF(BL12 -BR12 &gt;= 0, BL12 -BR12, 0), "-")</f>
        <v>367.86551552598786</v>
      </c>
      <c r="BW12" s="71">
        <f t="shared" ref="BW12" si="716">IF($AQ12=TRUE, BM12, "-")</f>
        <v>24.115041903539101</v>
      </c>
      <c r="BX12" s="71">
        <f t="shared" ref="BX12" si="717">IF($AQ12=TRUE, BN12, "-")</f>
        <v>191.17844598114931</v>
      </c>
      <c r="BY12" s="71">
        <f t="shared" ref="BY12" si="718">IF($AQ12=TRUE, BO12, "-")</f>
        <v>9.4042965880036444</v>
      </c>
      <c r="BZ12" s="40">
        <f t="shared" ref="BZ12" si="719">IF($AQ12=TRUE, SUM(BS12:BU12), "")</f>
        <v>592.56329999867989</v>
      </c>
      <c r="CA12" s="40">
        <f t="shared" ref="CA12" si="720">IF($AQ12=TRUE, SUM(BV12:BY12), "")</f>
        <v>592.56329999867989</v>
      </c>
      <c r="CB12" s="40">
        <f t="shared" ref="CB12" si="721">IF($AQ12=TRUE,IF(ABS(CA12-BZ12)&lt; 0.000001, 0, ABS(CA12-BZ12)), "")</f>
        <v>0</v>
      </c>
      <c r="CC12" s="71">
        <f t="shared" ref="CC12" si="722">IF($AQ12=TRUE, BS12, "-")</f>
        <v>497.24199929967062</v>
      </c>
      <c r="CD12" s="71">
        <f t="shared" ref="CD12" si="723">IF($AQ12=TRUE, BT12, "-")</f>
        <v>53.682393303939349</v>
      </c>
      <c r="CE12" s="71">
        <f t="shared" ref="CE12" si="724">IF($AQ12=TRUE, BU12, "-")</f>
        <v>41.638907395069957</v>
      </c>
      <c r="CF12" s="71">
        <f t="shared" ref="CF12" si="725">IF($AQ12=TRUE, BV12, "-")</f>
        <v>367.86551552598786</v>
      </c>
      <c r="CG12" s="71">
        <f t="shared" ref="CG12" si="726">IF($AQ12=TRUE,  IF(BW12 -CB12 &gt;= 0, BW12 -CB12, 0), "-")</f>
        <v>24.115041903539101</v>
      </c>
      <c r="CH12" s="71">
        <f t="shared" ref="CH12" si="727">IF($AQ12=TRUE, BX12, "-")</f>
        <v>191.17844598114931</v>
      </c>
      <c r="CI12" s="71">
        <f t="shared" ref="CI12" si="728">IF($AQ12=TRUE, BY12, "-")</f>
        <v>9.4042965880036444</v>
      </c>
      <c r="CJ12" s="40">
        <f t="shared" ref="CJ12" si="729">IF($AQ12=TRUE, SUM(CC12:CE12), "")</f>
        <v>592.56329999867989</v>
      </c>
      <c r="CK12" s="40">
        <f t="shared" ref="CK12" si="730">IF($AQ12=TRUE, SUM(CF12:CI12), "")</f>
        <v>592.56329999867989</v>
      </c>
      <c r="CL12" s="40">
        <f t="shared" ref="CL12" si="731">IF($AQ12=TRUE,IF(ABS(CK12-CJ12)&lt; 0.000001, 0, ABS(CK12-CJ12)), "")</f>
        <v>0</v>
      </c>
      <c r="CM12" s="74">
        <f t="shared" ref="CM12" si="732">IF($AQ12 = TRUE, CC12, AR12)</f>
        <v>497.24199929967062</v>
      </c>
      <c r="CN12" s="74">
        <f t="shared" ref="CN12" si="733">IF($AQ12 = TRUE, CD12, AS12)</f>
        <v>53.682393303939349</v>
      </c>
      <c r="CO12" s="74">
        <f t="shared" ref="CO12" si="734">IF($AQ12 = TRUE, CE12, AT12)</f>
        <v>41.638907395069957</v>
      </c>
      <c r="CP12" s="74">
        <f t="shared" ref="CP12" si="735">IF($AQ12 = TRUE, CF12, AU12)</f>
        <v>367.86551552598786</v>
      </c>
      <c r="CQ12" s="74">
        <f t="shared" ref="CQ12" si="736">IF($AQ12 = TRUE, CG12, AV12)</f>
        <v>24.115041903539101</v>
      </c>
      <c r="CR12" s="74">
        <f t="shared" ref="CR12" si="737">IF($AQ12 = TRUE, CH12, AW12)</f>
        <v>191.17844598114931</v>
      </c>
      <c r="CS12" s="74">
        <f t="shared" ref="CS12" si="738">IF($AQ12 = TRUE, CI12, AX12)</f>
        <v>9.4042965880036444</v>
      </c>
      <c r="CT12" s="78">
        <f t="shared" ref="CT12" si="739">MIN(CR12,CO12)</f>
        <v>41.638907395069957</v>
      </c>
      <c r="CU12" s="78">
        <f t="shared" ref="CU12" si="740">CM12</f>
        <v>497.24199929967062</v>
      </c>
      <c r="CV12" s="78">
        <f t="shared" ref="CV12" si="741">CN12</f>
        <v>53.682393303939349</v>
      </c>
      <c r="CW12" s="78">
        <f t="shared" ref="CW12" si="742">CO12-CT12</f>
        <v>0</v>
      </c>
      <c r="CX12" s="78">
        <f t="shared" ref="CX12" si="743">CP12</f>
        <v>367.86551552598786</v>
      </c>
      <c r="CY12" s="78">
        <f t="shared" ref="CY12" si="744">CQ12</f>
        <v>24.115041903539101</v>
      </c>
      <c r="CZ12" s="78">
        <f t="shared" ref="CZ12" si="745">CR12-CT12</f>
        <v>149.53953858607935</v>
      </c>
      <c r="DA12" s="78">
        <f t="shared" ref="DA12" si="746">CS12</f>
        <v>9.4042965880036444</v>
      </c>
      <c r="DB12" s="25" t="b">
        <f t="shared" ref="DB12" si="747">IF(ABS(SUM(CU12:CW12)-SUM(CX12:DA12)) &lt; 0.000001, TRUE)</f>
        <v>1</v>
      </c>
      <c r="DC12" s="115">
        <f>(Table1[[#This Row],[eCl,adj (mEq/kg) eq7]]/Reference!D$2)/1000</f>
        <v>0.49724199929967061</v>
      </c>
      <c r="DD12" s="115">
        <f>(Table1[[#This Row],[eNO3,adj (mEq/kg) eq7]]/Reference!E$2)/1000</f>
        <v>5.3682393303939348E-2</v>
      </c>
      <c r="DE12" s="115">
        <f>(Table1[[#This Row],[eSO4,adj,f (mEq/kg) eq7]]/Reference!F$2)/1000</f>
        <v>0</v>
      </c>
      <c r="DF12" s="115">
        <f>(Table1[[#This Row],[eNa,adj (mEq/kg) eq7]]/Reference!G$2)/1000</f>
        <v>0.36786551552598784</v>
      </c>
      <c r="DG12" s="115">
        <f>(Table1[[#This Row],[eK,adj (mEq/kg) eq7]]/Reference!H$2)/1000</f>
        <v>2.4115041903539101E-2</v>
      </c>
      <c r="DH12" s="115">
        <f>(Table1[[#This Row],[eCa,adj,f (mEq/kg) eq7]]/Reference!I$2)/1000</f>
        <v>7.4769769293039676E-2</v>
      </c>
      <c r="DI12" s="115">
        <f>(Table1[[#This Row],[eMg,adj (mEq/kg) eq7]]/Reference!J$2)/1000</f>
        <v>4.7021482940018226E-3</v>
      </c>
      <c r="DJ12" s="44">
        <f>Table1[[#This Row],[cCl,adj (mol/kg) eq 8 part 1]]/SUM(Table1[[#This Row],[cCl,adj (mol/kg) eq 8 part 1]:[cMg,adj (mol/kg) eq 8 part 1]])</f>
        <v>0.48635881253565316</v>
      </c>
      <c r="DK12" s="44">
        <f>Table1[[#This Row],[cNO3,adj (mol/kg) eq 8 part 1]]/SUM(Table1[[#This Row],[cCl,adj (mol/kg) eq 8 part 1]:[cMg,adj (mol/kg) eq 8 part 1]])</f>
        <v>5.2507441242188604E-2</v>
      </c>
      <c r="DL12" s="44">
        <f>Table1[[#This Row],[cSO4,adj (mol/kg) eq 8 part 1]]/SUM(Table1[[#This Row],[cCl,adj (mol/kg) eq 8 part 1]:[cMg,adj (mol/kg) eq 8 part 1]])</f>
        <v>0</v>
      </c>
      <c r="DM12" s="44">
        <f>Table1[[#This Row],[cNa,adj (mol/kg) eq 8 part 1]]/SUM(Table1[[#This Row],[cCl,adj (mol/kg) eq 8 part 1]:[cMg,adj (mol/kg) eq 8 part 1]])</f>
        <v>0.35981400516453488</v>
      </c>
      <c r="DN12" s="44">
        <f>Table1[[#This Row],[cK,adj (mol/kg) eq 8 part 1]]/SUM(Table1[[#This Row],[cCl,adj (mol/kg) eq 8 part 1]:[cMg,adj (mol/kg) eq 8 part 1]])</f>
        <v>2.3587233501939957E-2</v>
      </c>
      <c r="DO12" s="44">
        <f>Table1[[#This Row],[cCa,adj (mol/kg) eq 8 part 1]]/SUM(Table1[[#This Row],[cCl,adj (mol/kg) eq 8 part 1]:[cMg,adj (mol/kg) eq 8 part 1]])</f>
        <v>7.3133275664857153E-2</v>
      </c>
      <c r="DP12" s="44">
        <f>Table1[[#This Row],[cMg,adj (mol/kg) eq 8 part 1]]/SUM(Table1[[#This Row],[cCl,adj (mol/kg) eq 8 part 1]:[cMg,adj (mol/kg) eq 8 part 1]])</f>
        <v>4.5992318908263004E-3</v>
      </c>
      <c r="DQ12" s="46">
        <f t="shared" ref="DQ12" si="748">IF($AP12=TRUE, 0, (AJ12-CR12)/SUM($AH12:$AK12))</f>
        <v>0.11293954475986157</v>
      </c>
      <c r="DR12" s="46">
        <f t="shared" ref="DR12" si="749">IF($AP12=TRUE, 0, (AK12-CS12)/SUM($AH12:$AK12))</f>
        <v>0</v>
      </c>
      <c r="DS12" s="46">
        <f t="shared" ref="DS12" si="750">IF($AP12=TRUE, 0, (AH12-CP12)/SUM($AH12:$AK12))</f>
        <v>0</v>
      </c>
      <c r="DT12" s="46">
        <f t="shared" ref="DT12" si="751">IF($AP12=TRUE, 0, (AI12-CQ12)/SUM($AH12:$AK12))</f>
        <v>0</v>
      </c>
      <c r="DU12" s="69">
        <f>((CU12*Reference!D$3)/Reference!D$2)*0.001</f>
        <v>1.7628571428571431E-2</v>
      </c>
      <c r="DV12" s="69">
        <f>((CV12*Reference!E$3)/Reference!E$2)*0.001</f>
        <v>3.3285714285714294E-3</v>
      </c>
      <c r="DW12" s="69">
        <f>((CW12*Reference!F$3)/Reference!F$2)*0.001</f>
        <v>0</v>
      </c>
      <c r="DX12" s="69">
        <f>((CX12*Reference!G$3)/Reference!G$2)*0.001</f>
        <v>8.4571428571428593E-3</v>
      </c>
      <c r="DY12" s="69">
        <f>((CY12*Reference!H$3)/Reference!H$2)*0.001</f>
        <v>9.4285714285714296E-4</v>
      </c>
      <c r="DZ12" s="69">
        <f>((CZ12*Reference!I$3)/Reference!I$2)*0.001</f>
        <v>2.9966228137264443E-3</v>
      </c>
      <c r="EA12" s="69">
        <f>((DA12*Reference!J$3)/Reference!J$2)*0.001</f>
        <v>1.142857142857143E-4</v>
      </c>
      <c r="EB12" s="70">
        <f t="shared" ref="EB12" si="752">SUM(DU12:EA12)</f>
        <v>3.3468051385155018E-2</v>
      </c>
      <c r="EC12" s="68">
        <f t="shared" ref="EC12:EC30" si="753">(AD12-EB12)</f>
        <v>4.3462343291306993E-3</v>
      </c>
      <c r="ED12" s="68">
        <f t="shared" ref="ED12" si="754">((CT12)*(0.5*(96.064+40.078))*0.000001)</f>
        <v>2.8344020652898067E-3</v>
      </c>
      <c r="EE12" s="68">
        <f>Table1[[#This Row],[wtot,adj + wCaSO4(-) eq11]]-Table1[[#This Row],[wCaSO4 (-)]]</f>
        <v>1.5118322638408926E-3</v>
      </c>
      <c r="EF12" s="68">
        <f>IF(Table1[[#This Row],[pII]]=TRUE, ABS(SUM(DX12,DY12)-(SUM(Z12,AA12))),"Pathway I")</f>
        <v>0</v>
      </c>
      <c r="EG12" s="68">
        <f>IF(Table1[[#This Row],[pII]]=TRUE, (((ABS(Table1[[#This Row],[eCa,adj (mEq/kg) pI or pII]]-Table1[[#This Row],[eCa (mEq/kg)]]))*0.040078)/2)*0.001,"Pathway I")</f>
        <v>1.5118322638408919E-3</v>
      </c>
      <c r="EH12" s="68">
        <f>IF(Table1[[#This Row],[pII]]=TRUE, ((Table1[[#This Row],[ΔeMg (mEq/kg) eq5b]]+Table1[[#This Row],[ΔeNa (mEq/kg) eq5c]]+Table1[[#This Row],[ΔeK (mEq/kg) eq5d]])/1000000)*(60.01/2), "Pathway I")</f>
        <v>0</v>
      </c>
    </row>
    <row r="13" spans="1:138" x14ac:dyDescent="0.6">
      <c r="A13" s="2" t="s">
        <v>264</v>
      </c>
      <c r="B13" s="1" t="s">
        <v>207</v>
      </c>
      <c r="C13" s="1" t="s">
        <v>208</v>
      </c>
      <c r="D13" s="127">
        <v>6</v>
      </c>
      <c r="E13" s="127">
        <v>2012</v>
      </c>
      <c r="F13" s="1" t="s">
        <v>207</v>
      </c>
      <c r="G13" s="1" t="s">
        <v>208</v>
      </c>
      <c r="H13" s="1" t="s">
        <v>258</v>
      </c>
      <c r="I13" s="1" t="s">
        <v>263</v>
      </c>
      <c r="J13" s="1" t="s">
        <v>208</v>
      </c>
      <c r="K13" s="1" t="s">
        <v>216</v>
      </c>
      <c r="L13" s="1">
        <v>97</v>
      </c>
      <c r="M13" s="1" t="s">
        <v>211</v>
      </c>
      <c r="N13" s="1">
        <v>0.65100000000000002</v>
      </c>
      <c r="O13" s="1">
        <v>100</v>
      </c>
      <c r="P13" s="26">
        <v>16.899999999999999</v>
      </c>
      <c r="Q13" s="26">
        <v>37.880000000000003</v>
      </c>
      <c r="R13" s="26">
        <v>37.799999999999997</v>
      </c>
      <c r="S13" s="26">
        <v>17.09</v>
      </c>
      <c r="T13" s="26">
        <v>17.7</v>
      </c>
      <c r="U13" s="26">
        <v>16.100000000000001</v>
      </c>
      <c r="V13" s="26">
        <v>0.3</v>
      </c>
      <c r="W13" s="69">
        <f t="shared" ref="W13" si="755">(P13*($O13/1000))/($N13*1000)</f>
        <v>2.5960061443932409E-3</v>
      </c>
      <c r="X13" s="69">
        <f t="shared" ref="X13" si="756">(Q13*($O13/1000))/($N13*1000)</f>
        <v>5.8187403993855613E-3</v>
      </c>
      <c r="Y13" s="69">
        <f t="shared" ref="Y13" si="757">(R13*($O13/1000))/($N13*1000)</f>
        <v>5.8064516129032254E-3</v>
      </c>
      <c r="Z13" s="69">
        <f t="shared" ref="Z13" si="758">(S13*($O13/1000))/($N13*1000)</f>
        <v>2.6251920122887865E-3</v>
      </c>
      <c r="AA13" s="69">
        <f t="shared" ref="AA13" si="759">(T13*($O13/1000))/($N13*1000)</f>
        <v>2.7188940092165901E-3</v>
      </c>
      <c r="AB13" s="69">
        <f t="shared" ref="AB13" si="760">(U13*($O13/1000))/($N13*1000)</f>
        <v>2.4731182795698931E-3</v>
      </c>
      <c r="AC13" s="69">
        <f t="shared" ref="AC13" si="761">(V13*($O13/1000))/($N13*1000)</f>
        <v>4.608294930875576E-5</v>
      </c>
      <c r="AD13" s="70">
        <f t="shared" ref="AD13" si="762">SUM(W13:AC13)</f>
        <v>2.2084485407066052E-2</v>
      </c>
      <c r="AE13" s="71">
        <f>((W13*Reference!D$2)/Reference!D$3)*1000</f>
        <v>73.224497552887129</v>
      </c>
      <c r="AF13" s="71">
        <f>((X13*Reference!E$2)/Reference!E$3)*1000</f>
        <v>93.843234960229935</v>
      </c>
      <c r="AG13" s="71">
        <f>((Y13*Reference!F$2)/Reference!F$3)*1000</f>
        <v>120.887150501816</v>
      </c>
      <c r="AH13" s="71">
        <f>((Z13*Reference!G$2)/Reference!G$3)*1000</f>
        <v>114.18958261296009</v>
      </c>
      <c r="AI13" s="71">
        <f>((AA13*Reference!H$2)/Reference!H$3)*1000</f>
        <v>69.539954658299465</v>
      </c>
      <c r="AJ13" s="71">
        <f>((AB13*Reference!I$2)/Reference!I$3)*1000</f>
        <v>123.41525423274081</v>
      </c>
      <c r="AK13" s="71">
        <f>((AC13*Reference!J$2)/Reference!J$3)*1000</f>
        <v>3.7920550758079212</v>
      </c>
      <c r="AL13" s="40">
        <f t="shared" ref="AL13" si="763">SUM(AE13:AG13)</f>
        <v>287.95488301493305</v>
      </c>
      <c r="AM13" s="40">
        <f t="shared" ref="AM13" si="764">SUM(AH13:AK13)</f>
        <v>310.93684657980833</v>
      </c>
      <c r="AN13" s="72">
        <f t="shared" ref="AN13" si="765">ABS(AM13-AL13)</f>
        <v>22.981963564875286</v>
      </c>
      <c r="AO13" s="24" t="str">
        <f t="shared" ref="AO13" si="766">IF(AM13&gt;AL13, "Δe,cat", "Δe,ani")</f>
        <v>Δe,cat</v>
      </c>
      <c r="AP13" s="25" t="b">
        <f t="shared" ref="AP13" si="767">IF(OR(AN13&lt;=MAX(AL13,AM13)*0.02, AL13&gt;AM13), TRUE)</f>
        <v>0</v>
      </c>
      <c r="AQ13" s="25" t="b">
        <f t="shared" ref="AQ13" si="768">IF(AND(AN13&gt;AM13*0.02, AM13&gt;AL13), TRUE)</f>
        <v>1</v>
      </c>
      <c r="AR13" s="73" t="str">
        <f t="shared" ref="AR13" si="769">IF($AP13=TRUE, (AE13*($AL13+$AM13)/(2*$AL13)), "-")</f>
        <v>-</v>
      </c>
      <c r="AS13" s="73" t="str">
        <f t="shared" ref="AS13" si="770">IF($AP13=TRUE, (AF13*($AL13+$AM13)/(2*$AL13)), "-")</f>
        <v>-</v>
      </c>
      <c r="AT13" s="73" t="str">
        <f t="shared" ref="AT13" si="771">IF($AP13=TRUE, (AG13*($AL13+$AM13)/(2*$AL13)), "-")</f>
        <v>-</v>
      </c>
      <c r="AU13" s="73" t="str">
        <f t="shared" ref="AU13" si="772">IF($AP13=TRUE, (AH13*($AL13+$AM13)/(2*$AM13)), "-")</f>
        <v>-</v>
      </c>
      <c r="AV13" s="73" t="str">
        <f t="shared" ref="AV13" si="773">IF($AP13=TRUE, (AI13*($AL13+$AM13)/(2*$AM13)), "-")</f>
        <v>-</v>
      </c>
      <c r="AW13" s="73" t="str">
        <f t="shared" ref="AW13" si="774">IF($AP13=TRUE, (AJ13*($AL13+$AM13)/(2*$AM13)), "-")</f>
        <v>-</v>
      </c>
      <c r="AX13" s="73" t="str">
        <f t="shared" ref="AX13" si="775">IF($AP13=TRUE, (AK13*($AL13+$AM13)/(2*$AM13)), "-")</f>
        <v>-</v>
      </c>
      <c r="AY13" s="71">
        <f t="shared" ref="AY13" si="776">IF($AQ13=TRUE, AE13, "-")</f>
        <v>73.224497552887129</v>
      </c>
      <c r="AZ13" s="71">
        <f t="shared" ref="AZ13" si="777">IF($AQ13=TRUE, AF13, "-")</f>
        <v>93.843234960229935</v>
      </c>
      <c r="BA13" s="71">
        <f t="shared" ref="BA13" si="778">IF($AQ13=TRUE, AG13, "-")</f>
        <v>120.887150501816</v>
      </c>
      <c r="BB13" s="71">
        <f t="shared" ref="BB13" si="779">IF($AQ13=TRUE, AH13, "-")</f>
        <v>114.18958261296009</v>
      </c>
      <c r="BC13" s="71">
        <f t="shared" ref="BC13" si="780">IF($AQ13=TRUE, AI13, "-")</f>
        <v>69.539954658299465</v>
      </c>
      <c r="BD13" s="71">
        <f t="shared" ref="BD13" si="781">IF($AQ13=TRUE, IF(AJ13-AN13 &gt;= 0, AJ13-AN13, 0), "-")</f>
        <v>100.43329066786552</v>
      </c>
      <c r="BE13" s="71">
        <f t="shared" ref="BE13" si="782">IF($AQ13=TRUE, AK13, "-")</f>
        <v>3.7920550758079212</v>
      </c>
      <c r="BF13" s="40">
        <f t="shared" ref="BF13" si="783">IF($AQ13=TRUE, SUM(AY13:BA13), "")</f>
        <v>287.95488301493305</v>
      </c>
      <c r="BG13" s="40">
        <f t="shared" ref="BG13" si="784">IF($AQ13=TRUE, SUM(BB13:BE13), "")</f>
        <v>287.95488301493305</v>
      </c>
      <c r="BH13" s="40">
        <f t="shared" ref="BH13" si="785">IF($AQ13=TRUE,IF(ABS(BG13-BF13)&lt; 0.000001, 0, ABS(BG13-BF13)), "")</f>
        <v>0</v>
      </c>
      <c r="BI13" s="71">
        <f t="shared" ref="BI13" si="786">IF($AQ13=TRUE, AY13, "-")</f>
        <v>73.224497552887129</v>
      </c>
      <c r="BJ13" s="71">
        <f t="shared" ref="BJ13" si="787">IF($AQ13=TRUE, AZ13, "-")</f>
        <v>93.843234960229935</v>
      </c>
      <c r="BK13" s="71">
        <f t="shared" ref="BK13" si="788">IF($AQ13=TRUE, BA13, "-")</f>
        <v>120.887150501816</v>
      </c>
      <c r="BL13" s="71">
        <f t="shared" ref="BL13" si="789">IF($AQ13=TRUE, BB13, "-")</f>
        <v>114.18958261296009</v>
      </c>
      <c r="BM13" s="71">
        <f t="shared" ref="BM13" si="790">IF($AQ13=TRUE, BC13, "-")</f>
        <v>69.539954658299465</v>
      </c>
      <c r="BN13" s="71">
        <f t="shared" ref="BN13" si="791">IF($AQ13=TRUE, BD13, "-")</f>
        <v>100.43329066786552</v>
      </c>
      <c r="BO13" s="71">
        <f t="shared" ref="BO13" si="792">IF($AQ13=TRUE, IF(BE13 -BH13 &gt;= 0, BE13 -BH13, 0), "-")</f>
        <v>3.7920550758079212</v>
      </c>
      <c r="BP13" s="40">
        <f t="shared" ref="BP13" si="793">IF($AQ13=TRUE, SUM(BI13:BK13), "")</f>
        <v>287.95488301493305</v>
      </c>
      <c r="BQ13" s="40">
        <f t="shared" ref="BQ13" si="794">IF($AQ13=TRUE, SUM(BL13:BO13), "")</f>
        <v>287.95488301493305</v>
      </c>
      <c r="BR13" s="40">
        <f t="shared" ref="BR13" si="795">IF($AQ13=TRUE,IF(ABS(BQ13-BP13)&lt; 0.000001, 0, ABS(BQ13-BP13)), "")</f>
        <v>0</v>
      </c>
      <c r="BS13" s="71">
        <f t="shared" ref="BS13" si="796">IF($AQ13=TRUE, BI13, "-")</f>
        <v>73.224497552887129</v>
      </c>
      <c r="BT13" s="71">
        <f t="shared" ref="BT13" si="797">IF($AQ13=TRUE, BJ13, "-")</f>
        <v>93.843234960229935</v>
      </c>
      <c r="BU13" s="71">
        <f t="shared" ref="BU13" si="798">IF($AQ13=TRUE, BK13, "-")</f>
        <v>120.887150501816</v>
      </c>
      <c r="BV13" s="71">
        <f t="shared" ref="BV13" si="799">IF($AQ13=TRUE, IF(BL13 -BR13 &gt;= 0, BL13 -BR13, 0), "-")</f>
        <v>114.18958261296009</v>
      </c>
      <c r="BW13" s="71">
        <f t="shared" ref="BW13" si="800">IF($AQ13=TRUE, BM13, "-")</f>
        <v>69.539954658299465</v>
      </c>
      <c r="BX13" s="71">
        <f t="shared" ref="BX13" si="801">IF($AQ13=TRUE, BN13, "-")</f>
        <v>100.43329066786552</v>
      </c>
      <c r="BY13" s="71">
        <f t="shared" ref="BY13" si="802">IF($AQ13=TRUE, BO13, "-")</f>
        <v>3.7920550758079212</v>
      </c>
      <c r="BZ13" s="40">
        <f t="shared" ref="BZ13" si="803">IF($AQ13=TRUE, SUM(BS13:BU13), "")</f>
        <v>287.95488301493305</v>
      </c>
      <c r="CA13" s="40">
        <f t="shared" ref="CA13" si="804">IF($AQ13=TRUE, SUM(BV13:BY13), "")</f>
        <v>287.95488301493305</v>
      </c>
      <c r="CB13" s="40">
        <f t="shared" ref="CB13" si="805">IF($AQ13=TRUE,IF(ABS(CA13-BZ13)&lt; 0.000001, 0, ABS(CA13-BZ13)), "")</f>
        <v>0</v>
      </c>
      <c r="CC13" s="71">
        <f t="shared" ref="CC13" si="806">IF($AQ13=TRUE, BS13, "-")</f>
        <v>73.224497552887129</v>
      </c>
      <c r="CD13" s="71">
        <f t="shared" ref="CD13" si="807">IF($AQ13=TRUE, BT13, "-")</f>
        <v>93.843234960229935</v>
      </c>
      <c r="CE13" s="71">
        <f t="shared" ref="CE13" si="808">IF($AQ13=TRUE, BU13, "-")</f>
        <v>120.887150501816</v>
      </c>
      <c r="CF13" s="71">
        <f t="shared" ref="CF13" si="809">IF($AQ13=TRUE, BV13, "-")</f>
        <v>114.18958261296009</v>
      </c>
      <c r="CG13" s="71">
        <f t="shared" ref="CG13" si="810">IF($AQ13=TRUE,  IF(BW13 -CB13 &gt;= 0, BW13 -CB13, 0), "-")</f>
        <v>69.539954658299465</v>
      </c>
      <c r="CH13" s="71">
        <f t="shared" ref="CH13" si="811">IF($AQ13=TRUE, BX13, "-")</f>
        <v>100.43329066786552</v>
      </c>
      <c r="CI13" s="71">
        <f t="shared" ref="CI13" si="812">IF($AQ13=TRUE, BY13, "-")</f>
        <v>3.7920550758079212</v>
      </c>
      <c r="CJ13" s="40">
        <f t="shared" ref="CJ13" si="813">IF($AQ13=TRUE, SUM(CC13:CE13), "")</f>
        <v>287.95488301493305</v>
      </c>
      <c r="CK13" s="40">
        <f t="shared" ref="CK13" si="814">IF($AQ13=TRUE, SUM(CF13:CI13), "")</f>
        <v>287.95488301493305</v>
      </c>
      <c r="CL13" s="40">
        <f t="shared" ref="CL13" si="815">IF($AQ13=TRUE,IF(ABS(CK13-CJ13)&lt; 0.000001, 0, ABS(CK13-CJ13)), "")</f>
        <v>0</v>
      </c>
      <c r="CM13" s="74">
        <f t="shared" ref="CM13" si="816">IF($AQ13 = TRUE, CC13, AR13)</f>
        <v>73.224497552887129</v>
      </c>
      <c r="CN13" s="74">
        <f t="shared" ref="CN13" si="817">IF($AQ13 = TRUE, CD13, AS13)</f>
        <v>93.843234960229935</v>
      </c>
      <c r="CO13" s="74">
        <f t="shared" ref="CO13" si="818">IF($AQ13 = TRUE, CE13, AT13)</f>
        <v>120.887150501816</v>
      </c>
      <c r="CP13" s="74">
        <f t="shared" ref="CP13" si="819">IF($AQ13 = TRUE, CF13, AU13)</f>
        <v>114.18958261296009</v>
      </c>
      <c r="CQ13" s="74">
        <f t="shared" ref="CQ13" si="820">IF($AQ13 = TRUE, CG13, AV13)</f>
        <v>69.539954658299465</v>
      </c>
      <c r="CR13" s="74">
        <f t="shared" ref="CR13" si="821">IF($AQ13 = TRUE, CH13, AW13)</f>
        <v>100.43329066786552</v>
      </c>
      <c r="CS13" s="74">
        <f t="shared" ref="CS13" si="822">IF($AQ13 = TRUE, CI13, AX13)</f>
        <v>3.7920550758079212</v>
      </c>
      <c r="CT13" s="78">
        <f t="shared" ref="CT13" si="823">MIN(CR13,CO13)</f>
        <v>100.43329066786552</v>
      </c>
      <c r="CU13" s="78">
        <f t="shared" ref="CU13" si="824">CM13</f>
        <v>73.224497552887129</v>
      </c>
      <c r="CV13" s="78">
        <f t="shared" ref="CV13" si="825">CN13</f>
        <v>93.843234960229935</v>
      </c>
      <c r="CW13" s="78">
        <f t="shared" ref="CW13" si="826">CO13-CT13</f>
        <v>20.453859833950474</v>
      </c>
      <c r="CX13" s="78">
        <f t="shared" ref="CX13" si="827">CP13</f>
        <v>114.18958261296009</v>
      </c>
      <c r="CY13" s="78">
        <f t="shared" ref="CY13" si="828">CQ13</f>
        <v>69.539954658299465</v>
      </c>
      <c r="CZ13" s="78">
        <f t="shared" ref="CZ13" si="829">CR13-CT13</f>
        <v>0</v>
      </c>
      <c r="DA13" s="78">
        <f t="shared" ref="DA13" si="830">CS13</f>
        <v>3.7920550758079212</v>
      </c>
      <c r="DB13" s="25" t="b">
        <f t="shared" ref="DB13" si="831">IF(ABS(SUM(CU13:CW13)-SUM(CX13:DA13)) &lt; 0.000001, TRUE)</f>
        <v>1</v>
      </c>
      <c r="DC13" s="115">
        <f>(Table1[[#This Row],[eCl,adj (mEq/kg) eq7]]/Reference!D$2)/1000</f>
        <v>7.3224497552887124E-2</v>
      </c>
      <c r="DD13" s="115">
        <f>(Table1[[#This Row],[eNO3,adj (mEq/kg) eq7]]/Reference!E$2)/1000</f>
        <v>9.3843234960229935E-2</v>
      </c>
      <c r="DE13" s="115">
        <f>(Table1[[#This Row],[eSO4,adj,f (mEq/kg) eq7]]/Reference!F$2)/1000</f>
        <v>1.0226929916975238E-2</v>
      </c>
      <c r="DF13" s="115">
        <f>(Table1[[#This Row],[eNa,adj (mEq/kg) eq7]]/Reference!G$2)/1000</f>
        <v>0.1141895826129601</v>
      </c>
      <c r="DG13" s="115">
        <f>(Table1[[#This Row],[eK,adj (mEq/kg) eq7]]/Reference!H$2)/1000</f>
        <v>6.9539954658299458E-2</v>
      </c>
      <c r="DH13" s="115">
        <f>(Table1[[#This Row],[eCa,adj,f (mEq/kg) eq7]]/Reference!I$2)/1000</f>
        <v>0</v>
      </c>
      <c r="DI13" s="115">
        <f>(Table1[[#This Row],[eMg,adj (mEq/kg) eq7]]/Reference!J$2)/1000</f>
        <v>1.8960275379039605E-3</v>
      </c>
      <c r="DJ13" s="44">
        <f>Table1[[#This Row],[cCl,adj (mol/kg) eq 8 part 1]]/SUM(Table1[[#This Row],[cCl,adj (mol/kg) eq 8 part 1]:[cMg,adj (mol/kg) eq 8 part 1]])</f>
        <v>0.20176471868186541</v>
      </c>
      <c r="DK13" s="44">
        <f>Table1[[#This Row],[cNO3,adj (mol/kg) eq 8 part 1]]/SUM(Table1[[#This Row],[cCl,adj (mol/kg) eq 8 part 1]:[cMg,adj (mol/kg) eq 8 part 1]])</f>
        <v>0.25857813347604786</v>
      </c>
      <c r="DL13" s="44">
        <f>Table1[[#This Row],[cSO4,adj (mol/kg) eq 8 part 1]]/SUM(Table1[[#This Row],[cCl,adj (mol/kg) eq 8 part 1]:[cMg,adj (mol/kg) eq 8 part 1]])</f>
        <v>2.8179553382217833E-2</v>
      </c>
      <c r="DM13" s="44">
        <f>Table1[[#This Row],[cNa,adj (mol/kg) eq 8 part 1]]/SUM(Table1[[#This Row],[cCl,adj (mol/kg) eq 8 part 1]:[cMg,adj (mol/kg) eq 8 part 1]])</f>
        <v>0.31464099833068931</v>
      </c>
      <c r="DN13" s="44">
        <f>Table1[[#This Row],[cK,adj (mol/kg) eq 8 part 1]]/SUM(Table1[[#This Row],[cCl,adj (mol/kg) eq 8 part 1]:[cMg,adj (mol/kg) eq 8 part 1]])</f>
        <v>0.19161223166669933</v>
      </c>
      <c r="DO13" s="44">
        <f>Table1[[#This Row],[cCa,adj (mol/kg) eq 8 part 1]]/SUM(Table1[[#This Row],[cCl,adj (mol/kg) eq 8 part 1]:[cMg,adj (mol/kg) eq 8 part 1]])</f>
        <v>0</v>
      </c>
      <c r="DP13" s="44">
        <f>Table1[[#This Row],[cMg,adj (mol/kg) eq 8 part 1]]/SUM(Table1[[#This Row],[cCl,adj (mol/kg) eq 8 part 1]:[cMg,adj (mol/kg) eq 8 part 1]])</f>
        <v>5.224364462480072E-3</v>
      </c>
      <c r="DQ13" s="46">
        <f t="shared" ref="DQ13" si="832">IF($AP13=TRUE, 0, (AJ13-CR13)/SUM($AH13:$AK13))</f>
        <v>7.3911997943210933E-2</v>
      </c>
      <c r="DR13" s="46">
        <f t="shared" ref="DR13" si="833">IF($AP13=TRUE, 0, (AK13-CS13)/SUM($AH13:$AK13))</f>
        <v>0</v>
      </c>
      <c r="DS13" s="46">
        <f t="shared" ref="DS13" si="834">IF($AP13=TRUE, 0, (AH13-CP13)/SUM($AH13:$AK13))</f>
        <v>0</v>
      </c>
      <c r="DT13" s="46">
        <f t="shared" ref="DT13" si="835">IF($AP13=TRUE, 0, (AI13-CQ13)/SUM($AH13:$AK13))</f>
        <v>0</v>
      </c>
      <c r="DU13" s="69">
        <f>((CU13*Reference!D$3)/Reference!D$2)*0.001</f>
        <v>2.5960061443932414E-3</v>
      </c>
      <c r="DV13" s="69">
        <f>((CV13*Reference!E$3)/Reference!E$2)*0.001</f>
        <v>5.8187403993855613E-3</v>
      </c>
      <c r="DW13" s="69">
        <f>((CW13*Reference!F$3)/Reference!F$2)*0.001</f>
        <v>9.8243979554430913E-4</v>
      </c>
      <c r="DX13" s="69">
        <f>((CX13*Reference!G$3)/Reference!G$2)*0.001</f>
        <v>2.6251920122887869E-3</v>
      </c>
      <c r="DY13" s="69">
        <f>((CY13*Reference!H$3)/Reference!H$2)*0.001</f>
        <v>2.7188940092165905E-3</v>
      </c>
      <c r="DZ13" s="69">
        <f>((CZ13*Reference!I$3)/Reference!I$2)*0.001</f>
        <v>0</v>
      </c>
      <c r="EA13" s="69">
        <f>((DA13*Reference!J$3)/Reference!J$2)*0.001</f>
        <v>4.608294930875576E-5</v>
      </c>
      <c r="EB13" s="70">
        <f t="shared" ref="EB13" si="836">SUM(DU13:EA13)</f>
        <v>1.4787355310137244E-2</v>
      </c>
      <c r="EC13" s="68">
        <f t="shared" si="753"/>
        <v>7.2971300969288076E-3</v>
      </c>
      <c r="ED13" s="68">
        <f t="shared" ref="ED13" si="837">((CT13)*(0.5*(96.064+40.078))*0.000001)</f>
        <v>6.8365945290522739E-3</v>
      </c>
      <c r="EE13" s="68">
        <f>Table1[[#This Row],[wtot,adj + wCaSO4(-) eq11]]-Table1[[#This Row],[wCaSO4 (-)]]</f>
        <v>4.6053556787653376E-4</v>
      </c>
      <c r="EF13" s="68">
        <f>IF(Table1[[#This Row],[pII]]=TRUE, ABS(SUM(DX13,DY13)-(SUM(Z13,AA13))),"Pathway I")</f>
        <v>0</v>
      </c>
      <c r="EG13" s="68">
        <f>IF(Table1[[#This Row],[pII]]=TRUE, (((ABS(Table1[[#This Row],[eCa,adj (mEq/kg) pI or pII]]-Table1[[#This Row],[eCa (mEq/kg)]]))*0.040078)/2)*0.001,"Pathway I")</f>
        <v>4.6053556787653587E-4</v>
      </c>
      <c r="EH13" s="68">
        <f>IF(Table1[[#This Row],[pII]]=TRUE, ((Table1[[#This Row],[ΔeMg (mEq/kg) eq5b]]+Table1[[#This Row],[ΔeNa (mEq/kg) eq5c]]+Table1[[#This Row],[ΔeK (mEq/kg) eq5d]])/1000000)*(60.01/2), "Pathway I")</f>
        <v>0</v>
      </c>
    </row>
    <row r="14" spans="1:138" x14ac:dyDescent="0.6">
      <c r="A14" s="2" t="s">
        <v>267</v>
      </c>
      <c r="B14" s="1" t="s">
        <v>207</v>
      </c>
      <c r="C14" s="1" t="s">
        <v>208</v>
      </c>
      <c r="D14" s="127" t="s">
        <v>208</v>
      </c>
      <c r="E14" s="127">
        <v>2012</v>
      </c>
      <c r="F14" s="1" t="s">
        <v>207</v>
      </c>
      <c r="G14" s="1" t="s">
        <v>208</v>
      </c>
      <c r="H14" s="1" t="s">
        <v>265</v>
      </c>
      <c r="I14" s="1" t="s">
        <v>266</v>
      </c>
      <c r="J14" s="1" t="s">
        <v>208</v>
      </c>
      <c r="K14" s="1" t="s">
        <v>210</v>
      </c>
      <c r="L14" s="1">
        <v>165</v>
      </c>
      <c r="M14" s="1" t="s">
        <v>212</v>
      </c>
      <c r="N14" s="1">
        <v>0.81499999999999995</v>
      </c>
      <c r="O14" s="1">
        <v>100</v>
      </c>
      <c r="P14" s="26">
        <v>10.241</v>
      </c>
      <c r="Q14" s="26">
        <v>36.119999999999997</v>
      </c>
      <c r="R14" s="26">
        <v>372.69799999999998</v>
      </c>
      <c r="S14" s="26">
        <v>12.579000000000001</v>
      </c>
      <c r="T14" s="26">
        <v>11.454000000000001</v>
      </c>
      <c r="U14" s="26">
        <v>148.62799999999999</v>
      </c>
      <c r="V14" s="26">
        <v>4.6550000000000002</v>
      </c>
      <c r="W14" s="69">
        <f t="shared" ref="W14:W15" si="838">(P14*($O14/1000))/($N14*1000)</f>
        <v>1.2565644171779141E-3</v>
      </c>
      <c r="X14" s="69">
        <f t="shared" ref="X14:X15" si="839">(Q14*($O14/1000))/($N14*1000)</f>
        <v>4.4319018404907979E-3</v>
      </c>
      <c r="Y14" s="69">
        <f t="shared" ref="Y14:Y15" si="840">(R14*($O14/1000))/($N14*1000)</f>
        <v>4.5729815950920238E-2</v>
      </c>
      <c r="Z14" s="69">
        <f t="shared" ref="Z14:Z15" si="841">(S14*($O14/1000))/($N14*1000)</f>
        <v>1.5434355828220863E-3</v>
      </c>
      <c r="AA14" s="69">
        <f t="shared" ref="AA14:AA15" si="842">(T14*($O14/1000))/($N14*1000)</f>
        <v>1.4053987730061352E-3</v>
      </c>
      <c r="AB14" s="69">
        <f t="shared" ref="AB14:AB15" si="843">(U14*($O14/1000))/($N14*1000)</f>
        <v>1.8236564417177914E-2</v>
      </c>
      <c r="AC14" s="69">
        <f t="shared" ref="AC14:AC15" si="844">(V14*($O14/1000))/($N14*1000)</f>
        <v>5.7116564417177918E-4</v>
      </c>
      <c r="AD14" s="70">
        <f t="shared" ref="AD14:AD15" si="845">SUM(W14:AC14)</f>
        <v>7.3174846625766871E-2</v>
      </c>
      <c r="AE14" s="71">
        <f>((W14*Reference!D$2)/Reference!D$3)*1000</f>
        <v>35.443405359194486</v>
      </c>
      <c r="AF14" s="71">
        <f>((X14*Reference!E$2)/Reference!E$3)*1000</f>
        <v>71.476638789689176</v>
      </c>
      <c r="AG14" s="71">
        <f>((Y14*Reference!F$2)/Reference!F$3)*1000</f>
        <v>952.06978578698033</v>
      </c>
      <c r="AH14" s="71">
        <f>((Z14*Reference!G$2)/Reference!G$3)*1000</f>
        <v>67.135761562364877</v>
      </c>
      <c r="AI14" s="71">
        <f>((AA14*Reference!H$2)/Reference!H$3)*1000</f>
        <v>35.94526547205723</v>
      </c>
      <c r="AJ14" s="71">
        <f>((AB14*Reference!I$2)/Reference!I$3)*1000</f>
        <v>910.05361630709683</v>
      </c>
      <c r="AK14" s="71">
        <f>((AC14*Reference!J$2)/Reference!J$3)*1000</f>
        <v>46.999847288358701</v>
      </c>
      <c r="AL14" s="40">
        <f t="shared" ref="AL14:AL15" si="846">SUM(AE14:AG14)</f>
        <v>1058.989829935864</v>
      </c>
      <c r="AM14" s="40">
        <f t="shared" ref="AM14:AM15" si="847">SUM(AH14:AK14)</f>
        <v>1060.1344906298777</v>
      </c>
      <c r="AN14" s="72">
        <f t="shared" ref="AN14:AN15" si="848">ABS(AM14-AL14)</f>
        <v>1.1446606940137372</v>
      </c>
      <c r="AO14" s="24" t="str">
        <f t="shared" ref="AO14:AO15" si="849">IF(AM14&gt;AL14, "Δe,cat", "Δe,ani")</f>
        <v>Δe,cat</v>
      </c>
      <c r="AP14" s="25" t="b">
        <f t="shared" ref="AP14:AP15" si="850">IF(OR(AN14&lt;=MAX(AL14,AM14)*0.02, AL14&gt;AM14), TRUE)</f>
        <v>1</v>
      </c>
      <c r="AQ14" s="25" t="b">
        <f t="shared" ref="AQ14:AQ15" si="851">IF(AND(AN14&gt;AM14*0.02, AM14&gt;AL14), TRUE)</f>
        <v>0</v>
      </c>
      <c r="AR14" s="73">
        <f t="shared" ref="AR14:AR15" si="852">IF($AP14=TRUE, (AE14*($AL14+$AM14)/(2*$AL14)), "-")</f>
        <v>35.462560723972224</v>
      </c>
      <c r="AS14" s="73">
        <f t="shared" ref="AS14:AS15" si="853">IF($AP14=TRUE, (AF14*($AL14+$AM14)/(2*$AL14)), "-")</f>
        <v>71.515268291432236</v>
      </c>
      <c r="AT14" s="73">
        <f t="shared" ref="AT14:AT15" si="854">IF($AP14=TRUE, (AG14*($AL14+$AM14)/(2*$AL14)), "-")</f>
        <v>952.5843312674665</v>
      </c>
      <c r="AU14" s="73">
        <f t="shared" ref="AU14:AU15" si="855">IF($AP14=TRUE, (AH14*($AL14+$AM14)/(2*$AM14)), "-")</f>
        <v>67.099517261239725</v>
      </c>
      <c r="AV14" s="73">
        <f t="shared" ref="AV14:AV15" si="856">IF($AP14=TRUE, (AI14*($AL14+$AM14)/(2*$AM14)), "-")</f>
        <v>35.925859852824289</v>
      </c>
      <c r="AW14" s="73">
        <f t="shared" ref="AW14:AW15" si="857">IF($AP14=TRUE, (AJ14*($AL14+$AM14)/(2*$AM14)), "-")</f>
        <v>909.56230949025473</v>
      </c>
      <c r="AX14" s="73">
        <f t="shared" ref="AX14:AX15" si="858">IF($AP14=TRUE, (AK14*($AL14+$AM14)/(2*$AM14)), "-")</f>
        <v>46.974473678552052</v>
      </c>
      <c r="AY14" s="71" t="str">
        <f t="shared" ref="AY14:AY15" si="859">IF($AQ14=TRUE, AE14, "-")</f>
        <v>-</v>
      </c>
      <c r="AZ14" s="71" t="str">
        <f t="shared" ref="AZ14:AZ15" si="860">IF($AQ14=TRUE, AF14, "-")</f>
        <v>-</v>
      </c>
      <c r="BA14" s="71" t="str">
        <f t="shared" ref="BA14:BA15" si="861">IF($AQ14=TRUE, AG14, "-")</f>
        <v>-</v>
      </c>
      <c r="BB14" s="71" t="str">
        <f t="shared" ref="BB14:BB15" si="862">IF($AQ14=TRUE, AH14, "-")</f>
        <v>-</v>
      </c>
      <c r="BC14" s="71" t="str">
        <f t="shared" ref="BC14:BC15" si="863">IF($AQ14=TRUE, AI14, "-")</f>
        <v>-</v>
      </c>
      <c r="BD14" s="71" t="str">
        <f t="shared" ref="BD14:BD15" si="864">IF($AQ14=TRUE, IF(AJ14-AN14 &gt;= 0, AJ14-AN14, 0), "-")</f>
        <v>-</v>
      </c>
      <c r="BE14" s="71" t="str">
        <f t="shared" ref="BE14:BE15" si="865">IF($AQ14=TRUE, AK14, "-")</f>
        <v>-</v>
      </c>
      <c r="BF14" s="40" t="str">
        <f t="shared" ref="BF14:BF15" si="866">IF($AQ14=TRUE, SUM(AY14:BA14), "")</f>
        <v/>
      </c>
      <c r="BG14" s="40" t="str">
        <f t="shared" ref="BG14:BG15" si="867">IF($AQ14=TRUE, SUM(BB14:BE14), "")</f>
        <v/>
      </c>
      <c r="BH14" s="40" t="str">
        <f t="shared" ref="BH14:BH15" si="868">IF($AQ14=TRUE,IF(ABS(BG14-BF14)&lt; 0.000001, 0, ABS(BG14-BF14)), "")</f>
        <v/>
      </c>
      <c r="BI14" s="71" t="str">
        <f t="shared" ref="BI14:BI15" si="869">IF($AQ14=TRUE, AY14, "-")</f>
        <v>-</v>
      </c>
      <c r="BJ14" s="71" t="str">
        <f t="shared" ref="BJ14:BJ15" si="870">IF($AQ14=TRUE, AZ14, "-")</f>
        <v>-</v>
      </c>
      <c r="BK14" s="71" t="str">
        <f t="shared" ref="BK14:BK15" si="871">IF($AQ14=TRUE, BA14, "-")</f>
        <v>-</v>
      </c>
      <c r="BL14" s="71" t="str">
        <f t="shared" ref="BL14:BL15" si="872">IF($AQ14=TRUE, BB14, "-")</f>
        <v>-</v>
      </c>
      <c r="BM14" s="71" t="str">
        <f t="shared" ref="BM14:BM15" si="873">IF($AQ14=TRUE, BC14, "-")</f>
        <v>-</v>
      </c>
      <c r="BN14" s="71" t="str">
        <f t="shared" ref="BN14:BN15" si="874">IF($AQ14=TRUE, BD14, "-")</f>
        <v>-</v>
      </c>
      <c r="BO14" s="71" t="str">
        <f t="shared" ref="BO14:BO15" si="875">IF($AQ14=TRUE, IF(BE14 -BH14 &gt;= 0, BE14 -BH14, 0), "-")</f>
        <v>-</v>
      </c>
      <c r="BP14" s="40" t="str">
        <f t="shared" ref="BP14:BP15" si="876">IF($AQ14=TRUE, SUM(BI14:BK14), "")</f>
        <v/>
      </c>
      <c r="BQ14" s="40" t="str">
        <f t="shared" ref="BQ14:BQ15" si="877">IF($AQ14=TRUE, SUM(BL14:BO14), "")</f>
        <v/>
      </c>
      <c r="BR14" s="40" t="str">
        <f t="shared" ref="BR14:BR15" si="878">IF($AQ14=TRUE,IF(ABS(BQ14-BP14)&lt; 0.000001, 0, ABS(BQ14-BP14)), "")</f>
        <v/>
      </c>
      <c r="BS14" s="71" t="str">
        <f t="shared" ref="BS14:BS15" si="879">IF($AQ14=TRUE, BI14, "-")</f>
        <v>-</v>
      </c>
      <c r="BT14" s="71" t="str">
        <f t="shared" ref="BT14:BT15" si="880">IF($AQ14=TRUE, BJ14, "-")</f>
        <v>-</v>
      </c>
      <c r="BU14" s="71" t="str">
        <f t="shared" ref="BU14:BU15" si="881">IF($AQ14=TRUE, BK14, "-")</f>
        <v>-</v>
      </c>
      <c r="BV14" s="71" t="str">
        <f t="shared" ref="BV14:BV15" si="882">IF($AQ14=TRUE, IF(BL14 -BR14 &gt;= 0, BL14 -BR14, 0), "-")</f>
        <v>-</v>
      </c>
      <c r="BW14" s="71" t="str">
        <f t="shared" ref="BW14:BW15" si="883">IF($AQ14=TRUE, BM14, "-")</f>
        <v>-</v>
      </c>
      <c r="BX14" s="71" t="str">
        <f t="shared" ref="BX14:BX15" si="884">IF($AQ14=TRUE, BN14, "-")</f>
        <v>-</v>
      </c>
      <c r="BY14" s="71" t="str">
        <f t="shared" ref="BY14:BY15" si="885">IF($AQ14=TRUE, BO14, "-")</f>
        <v>-</v>
      </c>
      <c r="BZ14" s="40" t="str">
        <f t="shared" ref="BZ14:BZ15" si="886">IF($AQ14=TRUE, SUM(BS14:BU14), "")</f>
        <v/>
      </c>
      <c r="CA14" s="40" t="str">
        <f t="shared" ref="CA14:CA15" si="887">IF($AQ14=TRUE, SUM(BV14:BY14), "")</f>
        <v/>
      </c>
      <c r="CB14" s="40" t="str">
        <f t="shared" ref="CB14:CB15" si="888">IF($AQ14=TRUE,IF(ABS(CA14-BZ14)&lt; 0.000001, 0, ABS(CA14-BZ14)), "")</f>
        <v/>
      </c>
      <c r="CC14" s="71" t="str">
        <f t="shared" ref="CC14:CC15" si="889">IF($AQ14=TRUE, BS14, "-")</f>
        <v>-</v>
      </c>
      <c r="CD14" s="71" t="str">
        <f t="shared" ref="CD14:CD15" si="890">IF($AQ14=TRUE, BT14, "-")</f>
        <v>-</v>
      </c>
      <c r="CE14" s="71" t="str">
        <f t="shared" ref="CE14:CE15" si="891">IF($AQ14=TRUE, BU14, "-")</f>
        <v>-</v>
      </c>
      <c r="CF14" s="71" t="str">
        <f t="shared" ref="CF14:CF15" si="892">IF($AQ14=TRUE, BV14, "-")</f>
        <v>-</v>
      </c>
      <c r="CG14" s="71" t="str">
        <f t="shared" ref="CG14:CG15" si="893">IF($AQ14=TRUE,  IF(BW14 -CB14 &gt;= 0, BW14 -CB14, 0), "-")</f>
        <v>-</v>
      </c>
      <c r="CH14" s="71" t="str">
        <f t="shared" ref="CH14:CH15" si="894">IF($AQ14=TRUE, BX14, "-")</f>
        <v>-</v>
      </c>
      <c r="CI14" s="71" t="str">
        <f t="shared" ref="CI14:CI15" si="895">IF($AQ14=TRUE, BY14, "-")</f>
        <v>-</v>
      </c>
      <c r="CJ14" s="40" t="str">
        <f t="shared" ref="CJ14:CJ15" si="896">IF($AQ14=TRUE, SUM(CC14:CE14), "")</f>
        <v/>
      </c>
      <c r="CK14" s="40" t="str">
        <f t="shared" ref="CK14:CK15" si="897">IF($AQ14=TRUE, SUM(CF14:CI14), "")</f>
        <v/>
      </c>
      <c r="CL14" s="40" t="str">
        <f t="shared" ref="CL14:CL15" si="898">IF($AQ14=TRUE,IF(ABS(CK14-CJ14)&lt; 0.000001, 0, ABS(CK14-CJ14)), "")</f>
        <v/>
      </c>
      <c r="CM14" s="74">
        <f t="shared" ref="CM14:CM15" si="899">IF($AQ14 = TRUE, CC14, AR14)</f>
        <v>35.462560723972224</v>
      </c>
      <c r="CN14" s="74">
        <f t="shared" ref="CN14:CN15" si="900">IF($AQ14 = TRUE, CD14, AS14)</f>
        <v>71.515268291432236</v>
      </c>
      <c r="CO14" s="74">
        <f t="shared" ref="CO14:CO15" si="901">IF($AQ14 = TRUE, CE14, AT14)</f>
        <v>952.5843312674665</v>
      </c>
      <c r="CP14" s="74">
        <f t="shared" ref="CP14:CP15" si="902">IF($AQ14 = TRUE, CF14, AU14)</f>
        <v>67.099517261239725</v>
      </c>
      <c r="CQ14" s="74">
        <f t="shared" ref="CQ14:CQ15" si="903">IF($AQ14 = TRUE, CG14, AV14)</f>
        <v>35.925859852824289</v>
      </c>
      <c r="CR14" s="74">
        <f t="shared" ref="CR14:CR15" si="904">IF($AQ14 = TRUE, CH14, AW14)</f>
        <v>909.56230949025473</v>
      </c>
      <c r="CS14" s="74">
        <f t="shared" ref="CS14:CS15" si="905">IF($AQ14 = TRUE, CI14, AX14)</f>
        <v>46.974473678552052</v>
      </c>
      <c r="CT14" s="78">
        <f t="shared" ref="CT14:CT15" si="906">MIN(CR14,CO14)</f>
        <v>909.56230949025473</v>
      </c>
      <c r="CU14" s="78">
        <f t="shared" ref="CU14:CU15" si="907">CM14</f>
        <v>35.462560723972224</v>
      </c>
      <c r="CV14" s="78">
        <f t="shared" ref="CV14:CV15" si="908">CN14</f>
        <v>71.515268291432236</v>
      </c>
      <c r="CW14" s="78">
        <f t="shared" ref="CW14:CW15" si="909">CO14-CT14</f>
        <v>43.022021777211762</v>
      </c>
      <c r="CX14" s="78">
        <f t="shared" ref="CX14:CX15" si="910">CP14</f>
        <v>67.099517261239725</v>
      </c>
      <c r="CY14" s="78">
        <f t="shared" ref="CY14:CY15" si="911">CQ14</f>
        <v>35.925859852824289</v>
      </c>
      <c r="CZ14" s="78">
        <f t="shared" ref="CZ14:CZ15" si="912">CR14-CT14</f>
        <v>0</v>
      </c>
      <c r="DA14" s="78">
        <f t="shared" ref="DA14:DA15" si="913">CS14</f>
        <v>46.974473678552052</v>
      </c>
      <c r="DB14" s="25" t="b">
        <f t="shared" ref="DB14:DB15" si="914">IF(ABS(SUM(CU14:CW14)-SUM(CX14:DA14)) &lt; 0.000001, TRUE)</f>
        <v>1</v>
      </c>
      <c r="DC14" s="115">
        <f>(Table1[[#This Row],[eCl,adj (mEq/kg) eq7]]/Reference!D$2)/1000</f>
        <v>3.5462560723972227E-2</v>
      </c>
      <c r="DD14" s="115">
        <f>(Table1[[#This Row],[eNO3,adj (mEq/kg) eq7]]/Reference!E$2)/1000</f>
        <v>7.1515268291432232E-2</v>
      </c>
      <c r="DE14" s="115">
        <f>(Table1[[#This Row],[eSO4,adj,f (mEq/kg) eq7]]/Reference!F$2)/1000</f>
        <v>2.151101088860588E-2</v>
      </c>
      <c r="DF14" s="115">
        <f>(Table1[[#This Row],[eNa,adj (mEq/kg) eq7]]/Reference!G$2)/1000</f>
        <v>6.7099517261239722E-2</v>
      </c>
      <c r="DG14" s="115">
        <f>(Table1[[#This Row],[eK,adj (mEq/kg) eq7]]/Reference!H$2)/1000</f>
        <v>3.5925859852824288E-2</v>
      </c>
      <c r="DH14" s="115">
        <f>(Table1[[#This Row],[eCa,adj,f (mEq/kg) eq7]]/Reference!I$2)/1000</f>
        <v>0</v>
      </c>
      <c r="DI14" s="115">
        <f>(Table1[[#This Row],[eMg,adj (mEq/kg) eq7]]/Reference!J$2)/1000</f>
        <v>2.3487236839276025E-2</v>
      </c>
      <c r="DJ14" s="44">
        <f>Table1[[#This Row],[cCl,adj (mol/kg) eq 8 part 1]]/SUM(Table1[[#This Row],[cCl,adj (mol/kg) eq 8 part 1]:[cMg,adj (mol/kg) eq 8 part 1]])</f>
        <v>0.13906807270130406</v>
      </c>
      <c r="DK14" s="44">
        <f>Table1[[#This Row],[cNO3,adj (mol/kg) eq 8 part 1]]/SUM(Table1[[#This Row],[cCl,adj (mol/kg) eq 8 part 1]:[cMg,adj (mol/kg) eq 8 part 1]])</f>
        <v>0.28045043355493332</v>
      </c>
      <c r="DL14" s="44">
        <f>Table1[[#This Row],[cSO4,adj (mol/kg) eq 8 part 1]]/SUM(Table1[[#This Row],[cCl,adj (mol/kg) eq 8 part 1]:[cMg,adj (mol/kg) eq 8 part 1]])</f>
        <v>8.4356424495678733E-2</v>
      </c>
      <c r="DM14" s="44">
        <f>Table1[[#This Row],[cNa,adj (mol/kg) eq 8 part 1]]/SUM(Table1[[#This Row],[cCl,adj (mol/kg) eq 8 part 1]:[cMg,adj (mol/kg) eq 8 part 1]])</f>
        <v>0.26313386157702329</v>
      </c>
      <c r="DN14" s="44">
        <f>Table1[[#This Row],[cK,adj (mol/kg) eq 8 part 1]]/SUM(Table1[[#This Row],[cCl,adj (mol/kg) eq 8 part 1]:[cMg,adj (mol/kg) eq 8 part 1]])</f>
        <v>0.14088492167155045</v>
      </c>
      <c r="DO14" s="44">
        <f>Table1[[#This Row],[cCa,adj (mol/kg) eq 8 part 1]]/SUM(Table1[[#This Row],[cCl,adj (mol/kg) eq 8 part 1]:[cMg,adj (mol/kg) eq 8 part 1]])</f>
        <v>0</v>
      </c>
      <c r="DP14" s="44">
        <f>Table1[[#This Row],[cMg,adj (mol/kg) eq 8 part 1]]/SUM(Table1[[#This Row],[cCl,adj (mol/kg) eq 8 part 1]:[cMg,adj (mol/kg) eq 8 part 1]])</f>
        <v>9.2106285999510248E-2</v>
      </c>
      <c r="DQ14" s="46">
        <f t="shared" ref="DQ14:DQ15" si="915">IF($AP14=TRUE, 0, (AJ14-CR14)/SUM($AH14:$AK14))</f>
        <v>0</v>
      </c>
      <c r="DR14" s="46">
        <f t="shared" ref="DR14:DR15" si="916">IF($AP14=TRUE, 0, (AK14-CS14)/SUM($AH14:$AK14))</f>
        <v>0</v>
      </c>
      <c r="DS14" s="46">
        <f t="shared" ref="DS14:DS15" si="917">IF($AP14=TRUE, 0, (AH14-CP14)/SUM($AH14:$AK14))</f>
        <v>0</v>
      </c>
      <c r="DT14" s="46">
        <f t="shared" ref="DT14:DT15" si="918">IF($AP14=TRUE, 0, (AI14-CQ14)/SUM($AH14:$AK14))</f>
        <v>0</v>
      </c>
      <c r="DU14" s="69">
        <f>((CU14*Reference!D$3)/Reference!D$2)*0.001</f>
        <v>1.2572435265787701E-3</v>
      </c>
      <c r="DV14" s="69">
        <f>((CV14*Reference!E$3)/Reference!E$2)*0.001</f>
        <v>4.434297058883427E-3</v>
      </c>
      <c r="DW14" s="69">
        <f>((CW14*Reference!F$3)/Reference!F$2)*0.001</f>
        <v>2.0664337500030353E-3</v>
      </c>
      <c r="DX14" s="69">
        <f>((CX14*Reference!G$3)/Reference!G$2)*0.001</f>
        <v>1.5426023347478968E-3</v>
      </c>
      <c r="DY14" s="69">
        <f>((CY14*Reference!H$3)/Reference!H$2)*0.001</f>
        <v>1.40464004628368E-3</v>
      </c>
      <c r="DZ14" s="69">
        <f>((CZ14*Reference!I$3)/Reference!I$2)*0.001</f>
        <v>0</v>
      </c>
      <c r="EA14" s="69">
        <f>((DA14*Reference!J$3)/Reference!J$2)*0.001</f>
        <v>5.7085729137860389E-4</v>
      </c>
      <c r="EB14" s="70">
        <f t="shared" ref="EB14:EB15" si="919">SUM(DU14:EA14)</f>
        <v>1.1276074007875414E-2</v>
      </c>
      <c r="EC14" s="68">
        <f t="shared" si="753"/>
        <v>6.1898772617891458E-2</v>
      </c>
      <c r="ED14" s="68">
        <f t="shared" ref="ED14:ED15" si="920">((CT14)*(0.5*(96.064+40.078))*0.000001)</f>
        <v>6.1914815969311129E-2</v>
      </c>
      <c r="EE14" s="68">
        <f>Table1[[#This Row],[wtot,adj + wCaSO4(-) eq11]]-Table1[[#This Row],[wCaSO4 (-)]]</f>
        <v>-1.6043351419671448E-5</v>
      </c>
      <c r="EF14" s="68" t="str">
        <f>IF(Table1[[#This Row],[pII]]=TRUE, ABS(SUM(DX14,DY14)-(SUM(Z14,AA14))),"Pathway I")</f>
        <v>Pathway I</v>
      </c>
      <c r="EG14" s="68" t="str">
        <f>IF(Table1[[#This Row],[pII]]=TRUE, (((ABS(Table1[[#This Row],[eCa,adj (mEq/kg) pI or pII]]-Table1[[#This Row],[eCa (mEq/kg)]]))*0.040078)/2)*0.001,"Pathway I")</f>
        <v>Pathway I</v>
      </c>
      <c r="EH14" s="68" t="str">
        <f>IF(Table1[[#This Row],[pII]]=TRUE, ((Table1[[#This Row],[ΔeMg (mEq/kg) eq5b]]+Table1[[#This Row],[ΔeNa (mEq/kg) eq5c]]+Table1[[#This Row],[ΔeK (mEq/kg) eq5d]])/1000000)*(60.01/2), "Pathway I")</f>
        <v>Pathway I</v>
      </c>
    </row>
    <row r="15" spans="1:138" x14ac:dyDescent="0.6">
      <c r="A15" s="2" t="s">
        <v>269</v>
      </c>
      <c r="B15" s="1" t="s">
        <v>207</v>
      </c>
      <c r="C15" s="1" t="s">
        <v>208</v>
      </c>
      <c r="D15" s="127" t="s">
        <v>208</v>
      </c>
      <c r="E15" s="127">
        <v>2012</v>
      </c>
      <c r="F15" s="1" t="s">
        <v>207</v>
      </c>
      <c r="G15" s="1" t="s">
        <v>208</v>
      </c>
      <c r="H15" s="1" t="s">
        <v>226</v>
      </c>
      <c r="I15" s="1" t="s">
        <v>268</v>
      </c>
      <c r="J15" s="1" t="s">
        <v>208</v>
      </c>
      <c r="K15" s="1" t="s">
        <v>222</v>
      </c>
      <c r="L15" s="1" t="s">
        <v>208</v>
      </c>
      <c r="M15" s="1" t="s">
        <v>220</v>
      </c>
      <c r="N15" s="1">
        <v>0.73799999999999999</v>
      </c>
      <c r="O15" s="1">
        <v>100</v>
      </c>
      <c r="P15" s="26">
        <v>40.277999999999999</v>
      </c>
      <c r="Q15" s="26">
        <v>200.709</v>
      </c>
      <c r="R15" s="26">
        <v>406.21</v>
      </c>
      <c r="S15" s="26">
        <v>147.67500000000001</v>
      </c>
      <c r="T15" s="26">
        <v>39.225999999999999</v>
      </c>
      <c r="U15" s="26">
        <v>87.756</v>
      </c>
      <c r="V15" s="26">
        <v>13.66</v>
      </c>
      <c r="W15" s="69">
        <f t="shared" si="838"/>
        <v>5.4577235772357725E-3</v>
      </c>
      <c r="X15" s="69">
        <f t="shared" si="839"/>
        <v>2.7196341463414635E-2</v>
      </c>
      <c r="Y15" s="69">
        <f t="shared" si="840"/>
        <v>5.5042005420054205E-2</v>
      </c>
      <c r="Z15" s="69">
        <f t="shared" si="841"/>
        <v>2.0010162601626018E-2</v>
      </c>
      <c r="AA15" s="69">
        <f t="shared" si="842"/>
        <v>5.3151761517615179E-3</v>
      </c>
      <c r="AB15" s="69">
        <f t="shared" si="843"/>
        <v>1.1891056910569107E-2</v>
      </c>
      <c r="AC15" s="69">
        <f t="shared" si="844"/>
        <v>1.850948509485095E-3</v>
      </c>
      <c r="AD15" s="70">
        <f t="shared" si="845"/>
        <v>0.12676341463414634</v>
      </c>
      <c r="AE15" s="71">
        <f>((W15*Reference!D$2)/Reference!D$3)*1000</f>
        <v>153.94380617656125</v>
      </c>
      <c r="AF15" s="71">
        <f>((X15*Reference!E$2)/Reference!E$3)*1000</f>
        <v>438.61600395153664</v>
      </c>
      <c r="AG15" s="71">
        <f>((Y15*Reference!F$2)/Reference!F$3)*1000</f>
        <v>1145.9444832622878</v>
      </c>
      <c r="AH15" s="71">
        <f>((Z15*Reference!G$2)/Reference!G$3)*1000</f>
        <v>870.39428156151973</v>
      </c>
      <c r="AI15" s="71">
        <f>((AA15*Reference!H$2)/Reference!H$3)*1000</f>
        <v>135.94391960165834</v>
      </c>
      <c r="AJ15" s="71">
        <f>((AB15*Reference!I$2)/Reference!I$3)*1000</f>
        <v>593.39572386691486</v>
      </c>
      <c r="AK15" s="71">
        <f>((AC15*Reference!J$2)/Reference!J$3)*1000</f>
        <v>152.31010158280972</v>
      </c>
      <c r="AL15" s="40">
        <f t="shared" si="846"/>
        <v>1738.5042933903856</v>
      </c>
      <c r="AM15" s="40">
        <f t="shared" si="847"/>
        <v>1752.0440266129026</v>
      </c>
      <c r="AN15" s="72">
        <f t="shared" si="848"/>
        <v>13.539733222517043</v>
      </c>
      <c r="AO15" s="24" t="str">
        <f t="shared" si="849"/>
        <v>Δe,cat</v>
      </c>
      <c r="AP15" s="25" t="b">
        <f t="shared" si="850"/>
        <v>1</v>
      </c>
      <c r="AQ15" s="25" t="b">
        <f t="shared" si="851"/>
        <v>0</v>
      </c>
      <c r="AR15" s="73">
        <f t="shared" si="852"/>
        <v>154.54327494831352</v>
      </c>
      <c r="AS15" s="73">
        <f t="shared" si="853"/>
        <v>440.3240076945267</v>
      </c>
      <c r="AT15" s="73">
        <f t="shared" si="854"/>
        <v>1150.406877358804</v>
      </c>
      <c r="AU15" s="73">
        <f t="shared" si="855"/>
        <v>867.03109371014762</v>
      </c>
      <c r="AV15" s="73">
        <f t="shared" si="856"/>
        <v>135.41863474104096</v>
      </c>
      <c r="AW15" s="73">
        <f t="shared" si="857"/>
        <v>591.10285346112005</v>
      </c>
      <c r="AX15" s="73">
        <f t="shared" si="858"/>
        <v>151.72157808933551</v>
      </c>
      <c r="AY15" s="71" t="str">
        <f t="shared" si="859"/>
        <v>-</v>
      </c>
      <c r="AZ15" s="71" t="str">
        <f t="shared" si="860"/>
        <v>-</v>
      </c>
      <c r="BA15" s="71" t="str">
        <f t="shared" si="861"/>
        <v>-</v>
      </c>
      <c r="BB15" s="71" t="str">
        <f t="shared" si="862"/>
        <v>-</v>
      </c>
      <c r="BC15" s="71" t="str">
        <f t="shared" si="863"/>
        <v>-</v>
      </c>
      <c r="BD15" s="71" t="str">
        <f t="shared" si="864"/>
        <v>-</v>
      </c>
      <c r="BE15" s="71" t="str">
        <f t="shared" si="865"/>
        <v>-</v>
      </c>
      <c r="BF15" s="40" t="str">
        <f t="shared" si="866"/>
        <v/>
      </c>
      <c r="BG15" s="40" t="str">
        <f t="shared" si="867"/>
        <v/>
      </c>
      <c r="BH15" s="40" t="str">
        <f t="shared" si="868"/>
        <v/>
      </c>
      <c r="BI15" s="71" t="str">
        <f t="shared" si="869"/>
        <v>-</v>
      </c>
      <c r="BJ15" s="71" t="str">
        <f t="shared" si="870"/>
        <v>-</v>
      </c>
      <c r="BK15" s="71" t="str">
        <f t="shared" si="871"/>
        <v>-</v>
      </c>
      <c r="BL15" s="71" t="str">
        <f t="shared" si="872"/>
        <v>-</v>
      </c>
      <c r="BM15" s="71" t="str">
        <f t="shared" si="873"/>
        <v>-</v>
      </c>
      <c r="BN15" s="71" t="str">
        <f t="shared" si="874"/>
        <v>-</v>
      </c>
      <c r="BO15" s="71" t="str">
        <f t="shared" si="875"/>
        <v>-</v>
      </c>
      <c r="BP15" s="40" t="str">
        <f t="shared" si="876"/>
        <v/>
      </c>
      <c r="BQ15" s="40" t="str">
        <f t="shared" si="877"/>
        <v/>
      </c>
      <c r="BR15" s="40" t="str">
        <f t="shared" si="878"/>
        <v/>
      </c>
      <c r="BS15" s="71" t="str">
        <f t="shared" si="879"/>
        <v>-</v>
      </c>
      <c r="BT15" s="71" t="str">
        <f t="shared" si="880"/>
        <v>-</v>
      </c>
      <c r="BU15" s="71" t="str">
        <f t="shared" si="881"/>
        <v>-</v>
      </c>
      <c r="BV15" s="71" t="str">
        <f t="shared" si="882"/>
        <v>-</v>
      </c>
      <c r="BW15" s="71" t="str">
        <f t="shared" si="883"/>
        <v>-</v>
      </c>
      <c r="BX15" s="71" t="str">
        <f t="shared" si="884"/>
        <v>-</v>
      </c>
      <c r="BY15" s="71" t="str">
        <f t="shared" si="885"/>
        <v>-</v>
      </c>
      <c r="BZ15" s="40" t="str">
        <f t="shared" si="886"/>
        <v/>
      </c>
      <c r="CA15" s="40" t="str">
        <f t="shared" si="887"/>
        <v/>
      </c>
      <c r="CB15" s="40" t="str">
        <f t="shared" si="888"/>
        <v/>
      </c>
      <c r="CC15" s="71" t="str">
        <f t="shared" si="889"/>
        <v>-</v>
      </c>
      <c r="CD15" s="71" t="str">
        <f t="shared" si="890"/>
        <v>-</v>
      </c>
      <c r="CE15" s="71" t="str">
        <f t="shared" si="891"/>
        <v>-</v>
      </c>
      <c r="CF15" s="71" t="str">
        <f t="shared" si="892"/>
        <v>-</v>
      </c>
      <c r="CG15" s="71" t="str">
        <f t="shared" si="893"/>
        <v>-</v>
      </c>
      <c r="CH15" s="71" t="str">
        <f t="shared" si="894"/>
        <v>-</v>
      </c>
      <c r="CI15" s="71" t="str">
        <f t="shared" si="895"/>
        <v>-</v>
      </c>
      <c r="CJ15" s="40" t="str">
        <f t="shared" si="896"/>
        <v/>
      </c>
      <c r="CK15" s="40" t="str">
        <f t="shared" si="897"/>
        <v/>
      </c>
      <c r="CL15" s="40" t="str">
        <f t="shared" si="898"/>
        <v/>
      </c>
      <c r="CM15" s="74">
        <f t="shared" si="899"/>
        <v>154.54327494831352</v>
      </c>
      <c r="CN15" s="74">
        <f t="shared" si="900"/>
        <v>440.3240076945267</v>
      </c>
      <c r="CO15" s="74">
        <f t="shared" si="901"/>
        <v>1150.406877358804</v>
      </c>
      <c r="CP15" s="74">
        <f t="shared" si="902"/>
        <v>867.03109371014762</v>
      </c>
      <c r="CQ15" s="74">
        <f t="shared" si="903"/>
        <v>135.41863474104096</v>
      </c>
      <c r="CR15" s="74">
        <f t="shared" si="904"/>
        <v>591.10285346112005</v>
      </c>
      <c r="CS15" s="74">
        <f t="shared" si="905"/>
        <v>151.72157808933551</v>
      </c>
      <c r="CT15" s="78">
        <f t="shared" si="906"/>
        <v>591.10285346112005</v>
      </c>
      <c r="CU15" s="78">
        <f t="shared" si="907"/>
        <v>154.54327494831352</v>
      </c>
      <c r="CV15" s="78">
        <f t="shared" si="908"/>
        <v>440.3240076945267</v>
      </c>
      <c r="CW15" s="78">
        <f t="shared" si="909"/>
        <v>559.30402389768392</v>
      </c>
      <c r="CX15" s="78">
        <f t="shared" si="910"/>
        <v>867.03109371014762</v>
      </c>
      <c r="CY15" s="78">
        <f t="shared" si="911"/>
        <v>135.41863474104096</v>
      </c>
      <c r="CZ15" s="78">
        <f t="shared" si="912"/>
        <v>0</v>
      </c>
      <c r="DA15" s="78">
        <f t="shared" si="913"/>
        <v>151.72157808933551</v>
      </c>
      <c r="DB15" s="25" t="b">
        <f t="shared" si="914"/>
        <v>1</v>
      </c>
      <c r="DC15" s="115">
        <f>(Table1[[#This Row],[eCl,adj (mEq/kg) eq7]]/Reference!D$2)/1000</f>
        <v>0.15454327494831352</v>
      </c>
      <c r="DD15" s="115">
        <f>(Table1[[#This Row],[eNO3,adj (mEq/kg) eq7]]/Reference!E$2)/1000</f>
        <v>0.44032400769452668</v>
      </c>
      <c r="DE15" s="115">
        <f>(Table1[[#This Row],[eSO4,adj,f (mEq/kg) eq7]]/Reference!F$2)/1000</f>
        <v>0.27965201194884198</v>
      </c>
      <c r="DF15" s="115">
        <f>(Table1[[#This Row],[eNa,adj (mEq/kg) eq7]]/Reference!G$2)/1000</f>
        <v>0.86703109371014764</v>
      </c>
      <c r="DG15" s="115">
        <f>(Table1[[#This Row],[eK,adj (mEq/kg) eq7]]/Reference!H$2)/1000</f>
        <v>0.13541863474104096</v>
      </c>
      <c r="DH15" s="115">
        <f>(Table1[[#This Row],[eCa,adj,f (mEq/kg) eq7]]/Reference!I$2)/1000</f>
        <v>0</v>
      </c>
      <c r="DI15" s="115">
        <f>(Table1[[#This Row],[eMg,adj (mEq/kg) eq7]]/Reference!J$2)/1000</f>
        <v>7.5860789044667754E-2</v>
      </c>
      <c r="DJ15" s="44">
        <f>Table1[[#This Row],[cCl,adj (mol/kg) eq 8 part 1]]/SUM(Table1[[#This Row],[cCl,adj (mol/kg) eq 8 part 1]:[cMg,adj (mol/kg) eq 8 part 1]])</f>
        <v>7.913811740876163E-2</v>
      </c>
      <c r="DK15" s="44">
        <f>Table1[[#This Row],[cNO3,adj (mol/kg) eq 8 part 1]]/SUM(Table1[[#This Row],[cCl,adj (mol/kg) eq 8 part 1]:[cMg,adj (mol/kg) eq 8 part 1]])</f>
        <v>0.22547997012797985</v>
      </c>
      <c r="DL15" s="44">
        <f>Table1[[#This Row],[cSO4,adj (mol/kg) eq 8 part 1]]/SUM(Table1[[#This Row],[cCl,adj (mol/kg) eq 8 part 1]:[cMg,adj (mol/kg) eq 8 part 1]])</f>
        <v>0.1432034733481968</v>
      </c>
      <c r="DM15" s="44">
        <f>Table1[[#This Row],[cNa,adj (mol/kg) eq 8 part 1]]/SUM(Table1[[#This Row],[cCl,adj (mol/kg) eq 8 part 1]:[cMg,adj (mol/kg) eq 8 part 1]])</f>
        <v>0.44398702249598887</v>
      </c>
      <c r="DN15" s="44">
        <f>Table1[[#This Row],[cK,adj (mol/kg) eq 8 part 1]]/SUM(Table1[[#This Row],[cCl,adj (mol/kg) eq 8 part 1]:[cMg,adj (mol/kg) eq 8 part 1]])</f>
        <v>6.9344821500999604E-2</v>
      </c>
      <c r="DO15" s="44">
        <f>Table1[[#This Row],[cCa,adj (mol/kg) eq 8 part 1]]/SUM(Table1[[#This Row],[cCl,adj (mol/kg) eq 8 part 1]:[cMg,adj (mol/kg) eq 8 part 1]])</f>
        <v>0</v>
      </c>
      <c r="DP15" s="44">
        <f>Table1[[#This Row],[cMg,adj (mol/kg) eq 8 part 1]]/SUM(Table1[[#This Row],[cCl,adj (mol/kg) eq 8 part 1]:[cMg,adj (mol/kg) eq 8 part 1]])</f>
        <v>3.8846595118073292E-2</v>
      </c>
      <c r="DQ15" s="46">
        <f t="shared" si="915"/>
        <v>0</v>
      </c>
      <c r="DR15" s="46">
        <f t="shared" si="916"/>
        <v>0</v>
      </c>
      <c r="DS15" s="46">
        <f t="shared" si="917"/>
        <v>0</v>
      </c>
      <c r="DT15" s="46">
        <f t="shared" si="918"/>
        <v>0</v>
      </c>
      <c r="DU15" s="69">
        <f>((CU15*Reference!D$3)/Reference!D$2)*0.001</f>
        <v>5.478976363760075E-3</v>
      </c>
      <c r="DV15" s="69">
        <f>((CV15*Reference!E$3)/Reference!E$2)*0.001</f>
        <v>2.730224606469836E-2</v>
      </c>
      <c r="DW15" s="69">
        <f>((CW15*Reference!F$3)/Reference!F$2)*0.001</f>
        <v>2.6864490875853551E-2</v>
      </c>
      <c r="DX15" s="69">
        <f>((CX15*Reference!G$3)/Reference!G$2)*0.001</f>
        <v>1.9932843693182555E-2</v>
      </c>
      <c r="DY15" s="69">
        <f>((CY15*Reference!H$3)/Reference!H$2)*0.001</f>
        <v>5.2946384066956424E-3</v>
      </c>
      <c r="DZ15" s="69">
        <f>((CZ15*Reference!I$3)/Reference!I$2)*0.001</f>
        <v>0</v>
      </c>
      <c r="EA15" s="69">
        <f>((DA15*Reference!J$3)/Reference!J$2)*0.001</f>
        <v>1.8437964777306497E-3</v>
      </c>
      <c r="EB15" s="70">
        <f t="shared" si="919"/>
        <v>8.6716991881920835E-2</v>
      </c>
      <c r="EC15" s="68">
        <f t="shared" si="753"/>
        <v>4.0046422752225502E-2</v>
      </c>
      <c r="ED15" s="68">
        <f t="shared" si="920"/>
        <v>4.0236962337951904E-2</v>
      </c>
      <c r="EE15" s="68">
        <f>Table1[[#This Row],[wtot,adj + wCaSO4(-) eq11]]-Table1[[#This Row],[wCaSO4 (-)]]</f>
        <v>-1.9053958572640139E-4</v>
      </c>
      <c r="EF15" s="68" t="str">
        <f>IF(Table1[[#This Row],[pII]]=TRUE, ABS(SUM(DX15,DY15)-(SUM(Z15,AA15))),"Pathway I")</f>
        <v>Pathway I</v>
      </c>
      <c r="EG15" s="68" t="str">
        <f>IF(Table1[[#This Row],[pII]]=TRUE, (((ABS(Table1[[#This Row],[eCa,adj (mEq/kg) pI or pII]]-Table1[[#This Row],[eCa (mEq/kg)]]))*0.040078)/2)*0.001,"Pathway I")</f>
        <v>Pathway I</v>
      </c>
      <c r="EH15" s="68" t="str">
        <f>IF(Table1[[#This Row],[pII]]=TRUE, ((Table1[[#This Row],[ΔeMg (mEq/kg) eq5b]]+Table1[[#This Row],[ΔeNa (mEq/kg) eq5c]]+Table1[[#This Row],[ΔeK (mEq/kg) eq5d]])/1000000)*(60.01/2), "Pathway I")</f>
        <v>Pathway I</v>
      </c>
    </row>
    <row r="16" spans="1:138" x14ac:dyDescent="0.6">
      <c r="A16" s="2" t="s">
        <v>271</v>
      </c>
      <c r="B16" s="1" t="s">
        <v>207</v>
      </c>
      <c r="C16" s="1" t="s">
        <v>208</v>
      </c>
      <c r="D16" s="127" t="s">
        <v>208</v>
      </c>
      <c r="E16" s="127">
        <v>2012</v>
      </c>
      <c r="F16" s="1" t="s">
        <v>207</v>
      </c>
      <c r="G16" s="1" t="s">
        <v>208</v>
      </c>
      <c r="H16" s="1" t="s">
        <v>232</v>
      </c>
      <c r="I16" s="1" t="s">
        <v>270</v>
      </c>
      <c r="J16" s="1" t="s">
        <v>208</v>
      </c>
      <c r="K16" s="1" t="s">
        <v>210</v>
      </c>
      <c r="L16" s="1">
        <v>80</v>
      </c>
      <c r="M16" s="1" t="s">
        <v>212</v>
      </c>
      <c r="N16" s="1">
        <v>0.45</v>
      </c>
      <c r="O16" s="1">
        <v>100</v>
      </c>
      <c r="P16" s="26">
        <v>24.733000000000001</v>
      </c>
      <c r="Q16" s="26">
        <v>22.564</v>
      </c>
      <c r="R16" s="26">
        <v>365.48099999999999</v>
      </c>
      <c r="S16" s="26">
        <v>4.1740000000000004</v>
      </c>
      <c r="T16" s="26">
        <v>5.0090000000000003</v>
      </c>
      <c r="U16" s="26">
        <v>165.68600000000001</v>
      </c>
      <c r="V16" s="26">
        <v>2.7050000000000001</v>
      </c>
      <c r="W16" s="69">
        <f t="shared" ref="W16" si="921">(P16*($O16/1000))/($N16*1000)</f>
        <v>5.4962222222222227E-3</v>
      </c>
      <c r="X16" s="69">
        <f t="shared" ref="X16" si="922">(Q16*($O16/1000))/($N16*1000)</f>
        <v>5.0142222222222229E-3</v>
      </c>
      <c r="Y16" s="69">
        <f t="shared" ref="Y16" si="923">(R16*($O16/1000))/($N16*1000)</f>
        <v>8.1217999999999999E-2</v>
      </c>
      <c r="Z16" s="69">
        <f t="shared" ref="Z16" si="924">(S16*($O16/1000))/($N16*1000)</f>
        <v>9.2755555555555571E-4</v>
      </c>
      <c r="AA16" s="69">
        <f t="shared" ref="AA16" si="925">(T16*($O16/1000))/($N16*1000)</f>
        <v>1.1131111111111112E-3</v>
      </c>
      <c r="AB16" s="69">
        <f t="shared" ref="AB16" si="926">(U16*($O16/1000))/($N16*1000)</f>
        <v>3.6819111111111108E-2</v>
      </c>
      <c r="AC16" s="69">
        <f t="shared" ref="AC16" si="927">(V16*($O16/1000))/($N16*1000)</f>
        <v>6.0111111111111118E-4</v>
      </c>
      <c r="AD16" s="70">
        <f t="shared" ref="AD16" si="928">SUM(W16:AC16)</f>
        <v>0.13118933333333332</v>
      </c>
      <c r="AE16" s="71">
        <f>((W16*Reference!D$2)/Reference!D$3)*1000</f>
        <v>155.0297219174343</v>
      </c>
      <c r="AF16" s="71">
        <f>((X16*Reference!E$2)/Reference!E$3)*1000</f>
        <v>80.868160777974353</v>
      </c>
      <c r="AG16" s="71">
        <f>((Y16*Reference!F$2)/Reference!F$3)*1000</f>
        <v>1690.9143904063958</v>
      </c>
      <c r="AH16" s="71">
        <f>((Z16*Reference!G$2)/Reference!G$3)*1000</f>
        <v>40.346451323717389</v>
      </c>
      <c r="AI16" s="71">
        <f>((AA16*Reference!H$2)/Reference!H$3)*1000</f>
        <v>28.469552668814529</v>
      </c>
      <c r="AJ16" s="71">
        <f>((AB16*Reference!I$2)/Reference!I$3)*1000</f>
        <v>1837.3726788318331</v>
      </c>
      <c r="AK16" s="71">
        <f>((AC16*Reference!J$2)/Reference!J$3)*1000</f>
        <v>49.463987748291395</v>
      </c>
      <c r="AL16" s="40">
        <f t="shared" ref="AL16" si="929">SUM(AE16:AG16)</f>
        <v>1926.8122731018045</v>
      </c>
      <c r="AM16" s="40">
        <f t="shared" ref="AM16" si="930">SUM(AH16:AK16)</f>
        <v>1955.6526705726565</v>
      </c>
      <c r="AN16" s="72">
        <f t="shared" ref="AN16" si="931">ABS(AM16-AL16)</f>
        <v>28.84039747085194</v>
      </c>
      <c r="AO16" s="24" t="str">
        <f t="shared" ref="AO16" si="932">IF(AM16&gt;AL16, "Δe,cat", "Δe,ani")</f>
        <v>Δe,cat</v>
      </c>
      <c r="AP16" s="25" t="b">
        <f t="shared" ref="AP16" si="933">IF(OR(AN16&lt;=MAX(AL16,AM16)*0.02, AL16&gt;AM16), TRUE)</f>
        <v>1</v>
      </c>
      <c r="AQ16" s="25" t="b">
        <f t="shared" ref="AQ16" si="934">IF(AND(AN16&gt;AM16*0.02, AM16&gt;AL16), TRUE)</f>
        <v>0</v>
      </c>
      <c r="AR16" s="73">
        <f t="shared" ref="AR16" si="935">IF($AP16=TRUE, (AE16*($AL16+$AM16)/(2*$AL16)), "-")</f>
        <v>156.18995918141457</v>
      </c>
      <c r="AS16" s="73">
        <f t="shared" ref="AS16" si="936">IF($AP16=TRUE, (AF16*($AL16+$AM16)/(2*$AL16)), "-")</f>
        <v>81.473375393879579</v>
      </c>
      <c r="AT16" s="73">
        <f t="shared" ref="AT16" si="937">IF($AP16=TRUE, (AG16*($AL16+$AM16)/(2*$AL16)), "-")</f>
        <v>1703.5691372619362</v>
      </c>
      <c r="AU16" s="73">
        <f t="shared" ref="AU16" si="938">IF($AP16=TRUE, (AH16*($AL16+$AM16)/(2*$AM16)), "-")</f>
        <v>40.048952767295901</v>
      </c>
      <c r="AV16" s="73">
        <f t="shared" ref="AV16" si="939">IF($AP16=TRUE, (AI16*($AL16+$AM16)/(2*$AM16)), "-")</f>
        <v>28.259629601405649</v>
      </c>
      <c r="AW16" s="73">
        <f t="shared" ref="AW16" si="940">IF($AP16=TRUE, (AJ16*($AL16+$AM16)/(2*$AM16)), "-")</f>
        <v>1823.8246293348648</v>
      </c>
      <c r="AX16" s="73">
        <f t="shared" ref="AX16" si="941">IF($AP16=TRUE, (AK16*($AL16+$AM16)/(2*$AM16)), "-")</f>
        <v>49.099260133664323</v>
      </c>
      <c r="AY16" s="71" t="str">
        <f t="shared" ref="AY16" si="942">IF($AQ16=TRUE, AE16, "-")</f>
        <v>-</v>
      </c>
      <c r="AZ16" s="71" t="str">
        <f t="shared" ref="AZ16" si="943">IF($AQ16=TRUE, AF16, "-")</f>
        <v>-</v>
      </c>
      <c r="BA16" s="71" t="str">
        <f t="shared" ref="BA16" si="944">IF($AQ16=TRUE, AG16, "-")</f>
        <v>-</v>
      </c>
      <c r="BB16" s="71" t="str">
        <f t="shared" ref="BB16" si="945">IF($AQ16=TRUE, AH16, "-")</f>
        <v>-</v>
      </c>
      <c r="BC16" s="71" t="str">
        <f t="shared" ref="BC16" si="946">IF($AQ16=TRUE, AI16, "-")</f>
        <v>-</v>
      </c>
      <c r="BD16" s="71" t="str">
        <f t="shared" ref="BD16" si="947">IF($AQ16=TRUE, IF(AJ16-AN16 &gt;= 0, AJ16-AN16, 0), "-")</f>
        <v>-</v>
      </c>
      <c r="BE16" s="71" t="str">
        <f t="shared" ref="BE16" si="948">IF($AQ16=TRUE, AK16, "-")</f>
        <v>-</v>
      </c>
      <c r="BF16" s="40" t="str">
        <f t="shared" ref="BF16" si="949">IF($AQ16=TRUE, SUM(AY16:BA16), "")</f>
        <v/>
      </c>
      <c r="BG16" s="40" t="str">
        <f t="shared" ref="BG16" si="950">IF($AQ16=TRUE, SUM(BB16:BE16), "")</f>
        <v/>
      </c>
      <c r="BH16" s="40" t="str">
        <f t="shared" ref="BH16" si="951">IF($AQ16=TRUE,IF(ABS(BG16-BF16)&lt; 0.000001, 0, ABS(BG16-BF16)), "")</f>
        <v/>
      </c>
      <c r="BI16" s="71" t="str">
        <f t="shared" ref="BI16" si="952">IF($AQ16=TRUE, AY16, "-")</f>
        <v>-</v>
      </c>
      <c r="BJ16" s="71" t="str">
        <f t="shared" ref="BJ16" si="953">IF($AQ16=TRUE, AZ16, "-")</f>
        <v>-</v>
      </c>
      <c r="BK16" s="71" t="str">
        <f t="shared" ref="BK16" si="954">IF($AQ16=TRUE, BA16, "-")</f>
        <v>-</v>
      </c>
      <c r="BL16" s="71" t="str">
        <f t="shared" ref="BL16" si="955">IF($AQ16=TRUE, BB16, "-")</f>
        <v>-</v>
      </c>
      <c r="BM16" s="71" t="str">
        <f t="shared" ref="BM16" si="956">IF($AQ16=TRUE, BC16, "-")</f>
        <v>-</v>
      </c>
      <c r="BN16" s="71" t="str">
        <f t="shared" ref="BN16" si="957">IF($AQ16=TRUE, BD16, "-")</f>
        <v>-</v>
      </c>
      <c r="BO16" s="71" t="str">
        <f t="shared" ref="BO16" si="958">IF($AQ16=TRUE, IF(BE16 -BH16 &gt;= 0, BE16 -BH16, 0), "-")</f>
        <v>-</v>
      </c>
      <c r="BP16" s="40" t="str">
        <f t="shared" ref="BP16" si="959">IF($AQ16=TRUE, SUM(BI16:BK16), "")</f>
        <v/>
      </c>
      <c r="BQ16" s="40" t="str">
        <f t="shared" ref="BQ16" si="960">IF($AQ16=TRUE, SUM(BL16:BO16), "")</f>
        <v/>
      </c>
      <c r="BR16" s="40" t="str">
        <f t="shared" ref="BR16" si="961">IF($AQ16=TRUE,IF(ABS(BQ16-BP16)&lt; 0.000001, 0, ABS(BQ16-BP16)), "")</f>
        <v/>
      </c>
      <c r="BS16" s="71" t="str">
        <f t="shared" ref="BS16" si="962">IF($AQ16=TRUE, BI16, "-")</f>
        <v>-</v>
      </c>
      <c r="BT16" s="71" t="str">
        <f t="shared" ref="BT16" si="963">IF($AQ16=TRUE, BJ16, "-")</f>
        <v>-</v>
      </c>
      <c r="BU16" s="71" t="str">
        <f t="shared" ref="BU16" si="964">IF($AQ16=TRUE, BK16, "-")</f>
        <v>-</v>
      </c>
      <c r="BV16" s="71" t="str">
        <f t="shared" ref="BV16" si="965">IF($AQ16=TRUE, IF(BL16 -BR16 &gt;= 0, BL16 -BR16, 0), "-")</f>
        <v>-</v>
      </c>
      <c r="BW16" s="71" t="str">
        <f t="shared" ref="BW16" si="966">IF($AQ16=TRUE, BM16, "-")</f>
        <v>-</v>
      </c>
      <c r="BX16" s="71" t="str">
        <f t="shared" ref="BX16" si="967">IF($AQ16=TRUE, BN16, "-")</f>
        <v>-</v>
      </c>
      <c r="BY16" s="71" t="str">
        <f t="shared" ref="BY16" si="968">IF($AQ16=TRUE, BO16, "-")</f>
        <v>-</v>
      </c>
      <c r="BZ16" s="40" t="str">
        <f t="shared" ref="BZ16" si="969">IF($AQ16=TRUE, SUM(BS16:BU16), "")</f>
        <v/>
      </c>
      <c r="CA16" s="40" t="str">
        <f t="shared" ref="CA16" si="970">IF($AQ16=TRUE, SUM(BV16:BY16), "")</f>
        <v/>
      </c>
      <c r="CB16" s="40" t="str">
        <f t="shared" ref="CB16" si="971">IF($AQ16=TRUE,IF(ABS(CA16-BZ16)&lt; 0.000001, 0, ABS(CA16-BZ16)), "")</f>
        <v/>
      </c>
      <c r="CC16" s="71" t="str">
        <f t="shared" ref="CC16" si="972">IF($AQ16=TRUE, BS16, "-")</f>
        <v>-</v>
      </c>
      <c r="CD16" s="71" t="str">
        <f t="shared" ref="CD16" si="973">IF($AQ16=TRUE, BT16, "-")</f>
        <v>-</v>
      </c>
      <c r="CE16" s="71" t="str">
        <f t="shared" ref="CE16" si="974">IF($AQ16=TRUE, BU16, "-")</f>
        <v>-</v>
      </c>
      <c r="CF16" s="71" t="str">
        <f t="shared" ref="CF16" si="975">IF($AQ16=TRUE, BV16, "-")</f>
        <v>-</v>
      </c>
      <c r="CG16" s="71" t="str">
        <f t="shared" ref="CG16" si="976">IF($AQ16=TRUE,  IF(BW16 -CB16 &gt;= 0, BW16 -CB16, 0), "-")</f>
        <v>-</v>
      </c>
      <c r="CH16" s="71" t="str">
        <f t="shared" ref="CH16" si="977">IF($AQ16=TRUE, BX16, "-")</f>
        <v>-</v>
      </c>
      <c r="CI16" s="71" t="str">
        <f t="shared" ref="CI16" si="978">IF($AQ16=TRUE, BY16, "-")</f>
        <v>-</v>
      </c>
      <c r="CJ16" s="40" t="str">
        <f t="shared" ref="CJ16" si="979">IF($AQ16=TRUE, SUM(CC16:CE16), "")</f>
        <v/>
      </c>
      <c r="CK16" s="40" t="str">
        <f t="shared" ref="CK16" si="980">IF($AQ16=TRUE, SUM(CF16:CI16), "")</f>
        <v/>
      </c>
      <c r="CL16" s="40" t="str">
        <f t="shared" ref="CL16" si="981">IF($AQ16=TRUE,IF(ABS(CK16-CJ16)&lt; 0.000001, 0, ABS(CK16-CJ16)), "")</f>
        <v/>
      </c>
      <c r="CM16" s="74">
        <f t="shared" ref="CM16" si="982">IF($AQ16 = TRUE, CC16, AR16)</f>
        <v>156.18995918141457</v>
      </c>
      <c r="CN16" s="74">
        <f t="shared" ref="CN16" si="983">IF($AQ16 = TRUE, CD16, AS16)</f>
        <v>81.473375393879579</v>
      </c>
      <c r="CO16" s="74">
        <f t="shared" ref="CO16" si="984">IF($AQ16 = TRUE, CE16, AT16)</f>
        <v>1703.5691372619362</v>
      </c>
      <c r="CP16" s="74">
        <f t="shared" ref="CP16" si="985">IF($AQ16 = TRUE, CF16, AU16)</f>
        <v>40.048952767295901</v>
      </c>
      <c r="CQ16" s="74">
        <f t="shared" ref="CQ16" si="986">IF($AQ16 = TRUE, CG16, AV16)</f>
        <v>28.259629601405649</v>
      </c>
      <c r="CR16" s="74">
        <f t="shared" ref="CR16" si="987">IF($AQ16 = TRUE, CH16, AW16)</f>
        <v>1823.8246293348648</v>
      </c>
      <c r="CS16" s="74">
        <f t="shared" ref="CS16" si="988">IF($AQ16 = TRUE, CI16, AX16)</f>
        <v>49.099260133664323</v>
      </c>
      <c r="CT16" s="78">
        <f t="shared" ref="CT16" si="989">MIN(CR16,CO16)</f>
        <v>1703.5691372619362</v>
      </c>
      <c r="CU16" s="78">
        <f t="shared" ref="CU16" si="990">CM16</f>
        <v>156.18995918141457</v>
      </c>
      <c r="CV16" s="78">
        <f t="shared" ref="CV16" si="991">CN16</f>
        <v>81.473375393879579</v>
      </c>
      <c r="CW16" s="78">
        <f t="shared" ref="CW16" si="992">CO16-CT16</f>
        <v>0</v>
      </c>
      <c r="CX16" s="78">
        <f t="shared" ref="CX16" si="993">CP16</f>
        <v>40.048952767295901</v>
      </c>
      <c r="CY16" s="78">
        <f t="shared" ref="CY16" si="994">CQ16</f>
        <v>28.259629601405649</v>
      </c>
      <c r="CZ16" s="78">
        <f t="shared" ref="CZ16" si="995">CR16-CT16</f>
        <v>120.25549207292852</v>
      </c>
      <c r="DA16" s="78">
        <f t="shared" ref="DA16" si="996">CS16</f>
        <v>49.099260133664323</v>
      </c>
      <c r="DB16" s="25" t="b">
        <f t="shared" ref="DB16" si="997">IF(ABS(SUM(CU16:CW16)-SUM(CX16:DA16)) &lt; 0.000001, TRUE)</f>
        <v>1</v>
      </c>
      <c r="DC16" s="115">
        <f>(Table1[[#This Row],[eCl,adj (mEq/kg) eq7]]/Reference!D$2)/1000</f>
        <v>0.15618995918141457</v>
      </c>
      <c r="DD16" s="115">
        <f>(Table1[[#This Row],[eNO3,adj (mEq/kg) eq7]]/Reference!E$2)/1000</f>
        <v>8.1473375393879582E-2</v>
      </c>
      <c r="DE16" s="115">
        <f>(Table1[[#This Row],[eSO4,adj,f (mEq/kg) eq7]]/Reference!F$2)/1000</f>
        <v>0</v>
      </c>
      <c r="DF16" s="115">
        <f>(Table1[[#This Row],[eNa,adj (mEq/kg) eq7]]/Reference!G$2)/1000</f>
        <v>4.0048952767295899E-2</v>
      </c>
      <c r="DG16" s="115">
        <f>(Table1[[#This Row],[eK,adj (mEq/kg) eq7]]/Reference!H$2)/1000</f>
        <v>2.8259629601405649E-2</v>
      </c>
      <c r="DH16" s="115">
        <f>(Table1[[#This Row],[eCa,adj,f (mEq/kg) eq7]]/Reference!I$2)/1000</f>
        <v>6.0127746036464258E-2</v>
      </c>
      <c r="DI16" s="115">
        <f>(Table1[[#This Row],[eMg,adj (mEq/kg) eq7]]/Reference!J$2)/1000</f>
        <v>2.4549630066832161E-2</v>
      </c>
      <c r="DJ16" s="44">
        <f>Table1[[#This Row],[cCl,adj (mol/kg) eq 8 part 1]]/SUM(Table1[[#This Row],[cCl,adj (mol/kg) eq 8 part 1]:[cMg,adj (mol/kg) eq 8 part 1]])</f>
        <v>0.39982143052926544</v>
      </c>
      <c r="DK16" s="44">
        <f>Table1[[#This Row],[cNO3,adj (mol/kg) eq 8 part 1]]/SUM(Table1[[#This Row],[cCl,adj (mol/kg) eq 8 part 1]:[cMg,adj (mol/kg) eq 8 part 1]])</f>
        <v>0.20855887069022902</v>
      </c>
      <c r="DL16" s="44">
        <f>Table1[[#This Row],[cSO4,adj (mol/kg) eq 8 part 1]]/SUM(Table1[[#This Row],[cCl,adj (mol/kg) eq 8 part 1]:[cMg,adj (mol/kg) eq 8 part 1]])</f>
        <v>0</v>
      </c>
      <c r="DM16" s="44">
        <f>Table1[[#This Row],[cNa,adj (mol/kg) eq 8 part 1]]/SUM(Table1[[#This Row],[cCl,adj (mol/kg) eq 8 part 1]:[cMg,adj (mol/kg) eq 8 part 1]])</f>
        <v>0.10251894341057353</v>
      </c>
      <c r="DN16" s="44">
        <f>Table1[[#This Row],[cK,adj (mol/kg) eq 8 part 1]]/SUM(Table1[[#This Row],[cCl,adj (mol/kg) eq 8 part 1]:[cMg,adj (mol/kg) eq 8 part 1]])</f>
        <v>7.2340152930942411E-2</v>
      </c>
      <c r="DO16" s="44">
        <f>Table1[[#This Row],[cCa,adj (mol/kg) eq 8 part 1]]/SUM(Table1[[#This Row],[cCl,adj (mol/kg) eq 8 part 1]:[cMg,adj (mol/kg) eq 8 part 1]])</f>
        <v>0.15391745769570656</v>
      </c>
      <c r="DP16" s="44">
        <f>Table1[[#This Row],[cMg,adj (mol/kg) eq 8 part 1]]/SUM(Table1[[#This Row],[cCl,adj (mol/kg) eq 8 part 1]:[cMg,adj (mol/kg) eq 8 part 1]])</f>
        <v>6.2843144743283008E-2</v>
      </c>
      <c r="DQ16" s="46">
        <f t="shared" ref="DQ16" si="998">IF($AP16=TRUE, 0, (AJ16-CR16)/SUM($AH16:$AK16))</f>
        <v>0</v>
      </c>
      <c r="DR16" s="46">
        <f t="shared" ref="DR16" si="999">IF($AP16=TRUE, 0, (AK16-CS16)/SUM($AH16:$AK16))</f>
        <v>0</v>
      </c>
      <c r="DS16" s="46">
        <f t="shared" ref="DS16" si="1000">IF($AP16=TRUE, 0, (AH16-CP16)/SUM($AH16:$AK16))</f>
        <v>0</v>
      </c>
      <c r="DT16" s="46">
        <f t="shared" ref="DT16" si="1001">IF($AP16=TRUE, 0, (AI16-CQ16)/SUM($AH16:$AK16))</f>
        <v>0</v>
      </c>
      <c r="DU16" s="69">
        <f>((CU16*Reference!D$3)/Reference!D$2)*0.001</f>
        <v>5.5373557658709351E-3</v>
      </c>
      <c r="DV16" s="69">
        <f>((CV16*Reference!E$3)/Reference!E$2)*0.001</f>
        <v>5.0517484939599641E-3</v>
      </c>
      <c r="DW16" s="69">
        <f>((CW16*Reference!F$3)/Reference!F$2)*0.001</f>
        <v>0</v>
      </c>
      <c r="DX16" s="69">
        <f>((CX16*Reference!G$3)/Reference!G$2)*0.001</f>
        <v>9.207161327630908E-4</v>
      </c>
      <c r="DY16" s="69">
        <f>((CY16*Reference!H$3)/Reference!H$2)*0.001</f>
        <v>1.1049034760446386E-3</v>
      </c>
      <c r="DZ16" s="69">
        <f>((CZ16*Reference!I$3)/Reference!I$2)*0.001</f>
        <v>2.4097998056494146E-3</v>
      </c>
      <c r="EA16" s="69">
        <f>((DA16*Reference!J$3)/Reference!J$2)*0.001</f>
        <v>5.9667875877435575E-4</v>
      </c>
      <c r="EB16" s="70">
        <f t="shared" ref="EB16" si="1002">SUM(DU16:EA16)</f>
        <v>1.5621202433062397E-2</v>
      </c>
      <c r="EC16" s="68">
        <f t="shared" si="753"/>
        <v>0.11556813090027093</v>
      </c>
      <c r="ED16" s="68">
        <f t="shared" ref="ED16" si="1003">((CT16)*(0.5*(96.064+40.078))*0.000001)</f>
        <v>0.11596365474255727</v>
      </c>
      <c r="EE16" s="68">
        <f>Table1[[#This Row],[wtot,adj + wCaSO4(-) eq11]]-Table1[[#This Row],[wCaSO4 (-)]]</f>
        <v>-3.9552384228633275E-4</v>
      </c>
      <c r="EF16" s="68" t="str">
        <f>IF(Table1[[#This Row],[pII]]=TRUE, ABS(SUM(DX16,DY16)-(SUM(Z16,AA16))),"Pathway I")</f>
        <v>Pathway I</v>
      </c>
      <c r="EG16" s="68" t="str">
        <f>IF(Table1[[#This Row],[pII]]=TRUE, (((ABS(Table1[[#This Row],[eCa,adj (mEq/kg) pI or pII]]-Table1[[#This Row],[eCa (mEq/kg)]]))*0.040078)/2)*0.001,"Pathway I")</f>
        <v>Pathway I</v>
      </c>
      <c r="EH16" s="68" t="str">
        <f>IF(Table1[[#This Row],[pII]]=TRUE, ((Table1[[#This Row],[ΔeMg (mEq/kg) eq5b]]+Table1[[#This Row],[ΔeNa (mEq/kg) eq5c]]+Table1[[#This Row],[ΔeK (mEq/kg) eq5d]])/1000000)*(60.01/2), "Pathway I")</f>
        <v>Pathway I</v>
      </c>
    </row>
    <row r="17" spans="1:138" x14ac:dyDescent="0.6">
      <c r="A17" s="2" t="s">
        <v>277</v>
      </c>
      <c r="B17" s="1" t="s">
        <v>207</v>
      </c>
      <c r="C17" s="1" t="s">
        <v>208</v>
      </c>
      <c r="D17" s="127" t="s">
        <v>274</v>
      </c>
      <c r="E17" s="127">
        <v>2013</v>
      </c>
      <c r="F17" s="1" t="s">
        <v>207</v>
      </c>
      <c r="G17" s="1" t="s">
        <v>208</v>
      </c>
      <c r="H17" s="1" t="s">
        <v>233</v>
      </c>
      <c r="I17" s="1" t="s">
        <v>276</v>
      </c>
      <c r="J17" s="1" t="s">
        <v>208</v>
      </c>
      <c r="K17" s="1" t="s">
        <v>222</v>
      </c>
      <c r="L17" s="1" t="s">
        <v>208</v>
      </c>
      <c r="M17" s="1" t="s">
        <v>220</v>
      </c>
      <c r="N17" s="1">
        <v>0.88600000000000001</v>
      </c>
      <c r="O17" s="1">
        <v>100</v>
      </c>
      <c r="P17" s="26">
        <v>7.5250000000000004</v>
      </c>
      <c r="Q17" s="26">
        <v>63.582999999999998</v>
      </c>
      <c r="R17" s="26">
        <v>448.27600000000001</v>
      </c>
      <c r="S17" s="26">
        <v>112.855</v>
      </c>
      <c r="T17" s="26">
        <v>79.308999999999997</v>
      </c>
      <c r="U17" s="26">
        <v>54.94</v>
      </c>
      <c r="V17" s="26">
        <v>17.908000000000001</v>
      </c>
      <c r="W17" s="69">
        <f t="shared" ref="W17" si="1004">(P17*($O17/1000))/($N17*1000)</f>
        <v>8.4932279909706555E-4</v>
      </c>
      <c r="X17" s="69">
        <f t="shared" ref="X17" si="1005">(Q17*($O17/1000))/($N17*1000)</f>
        <v>7.1764108352144465E-3</v>
      </c>
      <c r="Y17" s="69">
        <f t="shared" ref="Y17" si="1006">(R17*($O17/1000))/($N17*1000)</f>
        <v>5.0595485327313776E-2</v>
      </c>
      <c r="Z17" s="69">
        <f t="shared" ref="Z17" si="1007">(S17*($O17/1000))/($N17*1000)</f>
        <v>1.2737584650112868E-2</v>
      </c>
      <c r="AA17" s="69">
        <f t="shared" ref="AA17" si="1008">(T17*($O17/1000))/($N17*1000)</f>
        <v>8.9513544018058697E-3</v>
      </c>
      <c r="AB17" s="69">
        <f t="shared" ref="AB17" si="1009">(U17*($O17/1000))/($N17*1000)</f>
        <v>6.2009029345372457E-3</v>
      </c>
      <c r="AC17" s="69">
        <f t="shared" ref="AC17" si="1010">(V17*($O17/1000))/($N17*1000)</f>
        <v>2.0212189616252824E-3</v>
      </c>
      <c r="AD17" s="70">
        <f t="shared" ref="AD17" si="1011">SUM(W17:AC17)</f>
        <v>8.8532279909706565E-2</v>
      </c>
      <c r="AE17" s="71">
        <f>((W17*Reference!D$2)/Reference!D$3)*1000</f>
        <v>23.956505402890773</v>
      </c>
      <c r="AF17" s="71">
        <f>((X17*Reference!E$2)/Reference!E$3)*1000</f>
        <v>115.73941471100585</v>
      </c>
      <c r="AG17" s="71">
        <f>((Y17*Reference!F$2)/Reference!F$3)*1000</f>
        <v>1053.3703640763194</v>
      </c>
      <c r="AH17" s="71">
        <f>((Z17*Reference!G$2)/Reference!G$3)*1000</f>
        <v>554.05451025486059</v>
      </c>
      <c r="AI17" s="71">
        <f>((AA17*Reference!H$2)/Reference!H$3)*1000</f>
        <v>228.94484931073396</v>
      </c>
      <c r="AJ17" s="71">
        <f>((AB17*Reference!I$2)/Reference!I$3)*1000</f>
        <v>309.4417353429435</v>
      </c>
      <c r="AK17" s="71">
        <f>((AC17*Reference!J$2)/Reference!J$3)*1000</f>
        <v>166.32124761368297</v>
      </c>
      <c r="AL17" s="40">
        <f t="shared" ref="AL17" si="1012">SUM(AE17:AG17)</f>
        <v>1193.066284190216</v>
      </c>
      <c r="AM17" s="40">
        <f t="shared" ref="AM17" si="1013">SUM(AH17:AK17)</f>
        <v>1258.7623425222212</v>
      </c>
      <c r="AN17" s="72">
        <f t="shared" ref="AN17" si="1014">ABS(AM17-AL17)</f>
        <v>65.696058332005123</v>
      </c>
      <c r="AO17" s="24" t="str">
        <f t="shared" ref="AO17" si="1015">IF(AM17&gt;AL17, "Δe,cat", "Δe,ani")</f>
        <v>Δe,cat</v>
      </c>
      <c r="AP17" s="25" t="b">
        <f t="shared" ref="AP17" si="1016">IF(OR(AN17&lt;=MAX(AL17,AM17)*0.02, AL17&gt;AM17), TRUE)</f>
        <v>0</v>
      </c>
      <c r="AQ17" s="25" t="b">
        <f t="shared" ref="AQ17" si="1017">IF(AND(AN17&gt;AM17*0.02, AM17&gt;AL17), TRUE)</f>
        <v>1</v>
      </c>
      <c r="AR17" s="73" t="str">
        <f t="shared" ref="AR17" si="1018">IF($AP17=TRUE, (AE17*($AL17+$AM17)/(2*$AL17)), "-")</f>
        <v>-</v>
      </c>
      <c r="AS17" s="73" t="str">
        <f t="shared" ref="AS17" si="1019">IF($AP17=TRUE, (AF17*($AL17+$AM17)/(2*$AL17)), "-")</f>
        <v>-</v>
      </c>
      <c r="AT17" s="73" t="str">
        <f t="shared" ref="AT17" si="1020">IF($AP17=TRUE, (AG17*($AL17+$AM17)/(2*$AL17)), "-")</f>
        <v>-</v>
      </c>
      <c r="AU17" s="73" t="str">
        <f t="shared" ref="AU17" si="1021">IF($AP17=TRUE, (AH17*($AL17+$AM17)/(2*$AM17)), "-")</f>
        <v>-</v>
      </c>
      <c r="AV17" s="73" t="str">
        <f t="shared" ref="AV17" si="1022">IF($AP17=TRUE, (AI17*($AL17+$AM17)/(2*$AM17)), "-")</f>
        <v>-</v>
      </c>
      <c r="AW17" s="73" t="str">
        <f t="shared" ref="AW17" si="1023">IF($AP17=TRUE, (AJ17*($AL17+$AM17)/(2*$AM17)), "-")</f>
        <v>-</v>
      </c>
      <c r="AX17" s="73" t="str">
        <f t="shared" ref="AX17" si="1024">IF($AP17=TRUE, (AK17*($AL17+$AM17)/(2*$AM17)), "-")</f>
        <v>-</v>
      </c>
      <c r="AY17" s="71">
        <f t="shared" ref="AY17" si="1025">IF($AQ17=TRUE, AE17, "-")</f>
        <v>23.956505402890773</v>
      </c>
      <c r="AZ17" s="71">
        <f t="shared" ref="AZ17" si="1026">IF($AQ17=TRUE, AF17, "-")</f>
        <v>115.73941471100585</v>
      </c>
      <c r="BA17" s="71">
        <f t="shared" ref="BA17" si="1027">IF($AQ17=TRUE, AG17, "-")</f>
        <v>1053.3703640763194</v>
      </c>
      <c r="BB17" s="71">
        <f t="shared" ref="BB17" si="1028">IF($AQ17=TRUE, AH17, "-")</f>
        <v>554.05451025486059</v>
      </c>
      <c r="BC17" s="71">
        <f t="shared" ref="BC17" si="1029">IF($AQ17=TRUE, AI17, "-")</f>
        <v>228.94484931073396</v>
      </c>
      <c r="BD17" s="71">
        <f t="shared" ref="BD17" si="1030">IF($AQ17=TRUE, IF(AJ17-AN17 &gt;= 0, AJ17-AN17, 0), "-")</f>
        <v>243.74567701093838</v>
      </c>
      <c r="BE17" s="71">
        <f t="shared" ref="BE17" si="1031">IF($AQ17=TRUE, AK17, "-")</f>
        <v>166.32124761368297</v>
      </c>
      <c r="BF17" s="40">
        <f t="shared" ref="BF17" si="1032">IF($AQ17=TRUE, SUM(AY17:BA17), "")</f>
        <v>1193.066284190216</v>
      </c>
      <c r="BG17" s="40">
        <f t="shared" ref="BG17" si="1033">IF($AQ17=TRUE, SUM(BB17:BE17), "")</f>
        <v>1193.066284190216</v>
      </c>
      <c r="BH17" s="40">
        <f t="shared" ref="BH17" si="1034">IF($AQ17=TRUE,IF(ABS(BG17-BF17)&lt; 0.000001, 0, ABS(BG17-BF17)), "")</f>
        <v>0</v>
      </c>
      <c r="BI17" s="71">
        <f t="shared" ref="BI17" si="1035">IF($AQ17=TRUE, AY17, "-")</f>
        <v>23.956505402890773</v>
      </c>
      <c r="BJ17" s="71">
        <f t="shared" ref="BJ17" si="1036">IF($AQ17=TRUE, AZ17, "-")</f>
        <v>115.73941471100585</v>
      </c>
      <c r="BK17" s="71">
        <f t="shared" ref="BK17" si="1037">IF($AQ17=TRUE, BA17, "-")</f>
        <v>1053.3703640763194</v>
      </c>
      <c r="BL17" s="71">
        <f t="shared" ref="BL17" si="1038">IF($AQ17=TRUE, BB17, "-")</f>
        <v>554.05451025486059</v>
      </c>
      <c r="BM17" s="71">
        <f t="shared" ref="BM17" si="1039">IF($AQ17=TRUE, BC17, "-")</f>
        <v>228.94484931073396</v>
      </c>
      <c r="BN17" s="71">
        <f t="shared" ref="BN17" si="1040">IF($AQ17=TRUE, BD17, "-")</f>
        <v>243.74567701093838</v>
      </c>
      <c r="BO17" s="71">
        <f t="shared" ref="BO17" si="1041">IF($AQ17=TRUE, IF(BE17 -BH17 &gt;= 0, BE17 -BH17, 0), "-")</f>
        <v>166.32124761368297</v>
      </c>
      <c r="BP17" s="40">
        <f t="shared" ref="BP17" si="1042">IF($AQ17=TRUE, SUM(BI17:BK17), "")</f>
        <v>1193.066284190216</v>
      </c>
      <c r="BQ17" s="40">
        <f t="shared" ref="BQ17" si="1043">IF($AQ17=TRUE, SUM(BL17:BO17), "")</f>
        <v>1193.066284190216</v>
      </c>
      <c r="BR17" s="40">
        <f t="shared" ref="BR17" si="1044">IF($AQ17=TRUE,IF(ABS(BQ17-BP17)&lt; 0.000001, 0, ABS(BQ17-BP17)), "")</f>
        <v>0</v>
      </c>
      <c r="BS17" s="71">
        <f t="shared" ref="BS17" si="1045">IF($AQ17=TRUE, BI17, "-")</f>
        <v>23.956505402890773</v>
      </c>
      <c r="BT17" s="71">
        <f t="shared" ref="BT17" si="1046">IF($AQ17=TRUE, BJ17, "-")</f>
        <v>115.73941471100585</v>
      </c>
      <c r="BU17" s="71">
        <f t="shared" ref="BU17" si="1047">IF($AQ17=TRUE, BK17, "-")</f>
        <v>1053.3703640763194</v>
      </c>
      <c r="BV17" s="71">
        <f t="shared" ref="BV17" si="1048">IF($AQ17=TRUE, IF(BL17 -BR17 &gt;= 0, BL17 -BR17, 0), "-")</f>
        <v>554.05451025486059</v>
      </c>
      <c r="BW17" s="71">
        <f t="shared" ref="BW17" si="1049">IF($AQ17=TRUE, BM17, "-")</f>
        <v>228.94484931073396</v>
      </c>
      <c r="BX17" s="71">
        <f t="shared" ref="BX17" si="1050">IF($AQ17=TRUE, BN17, "-")</f>
        <v>243.74567701093838</v>
      </c>
      <c r="BY17" s="71">
        <f t="shared" ref="BY17" si="1051">IF($AQ17=TRUE, BO17, "-")</f>
        <v>166.32124761368297</v>
      </c>
      <c r="BZ17" s="40">
        <f t="shared" ref="BZ17" si="1052">IF($AQ17=TRUE, SUM(BS17:BU17), "")</f>
        <v>1193.066284190216</v>
      </c>
      <c r="CA17" s="40">
        <f t="shared" ref="CA17" si="1053">IF($AQ17=TRUE, SUM(BV17:BY17), "")</f>
        <v>1193.066284190216</v>
      </c>
      <c r="CB17" s="40">
        <f t="shared" ref="CB17" si="1054">IF($AQ17=TRUE,IF(ABS(CA17-BZ17)&lt; 0.000001, 0, ABS(CA17-BZ17)), "")</f>
        <v>0</v>
      </c>
      <c r="CC17" s="71">
        <f t="shared" ref="CC17" si="1055">IF($AQ17=TRUE, BS17, "-")</f>
        <v>23.956505402890773</v>
      </c>
      <c r="CD17" s="71">
        <f t="shared" ref="CD17" si="1056">IF($AQ17=TRUE, BT17, "-")</f>
        <v>115.73941471100585</v>
      </c>
      <c r="CE17" s="71">
        <f t="shared" ref="CE17" si="1057">IF($AQ17=TRUE, BU17, "-")</f>
        <v>1053.3703640763194</v>
      </c>
      <c r="CF17" s="71">
        <f t="shared" ref="CF17" si="1058">IF($AQ17=TRUE, BV17, "-")</f>
        <v>554.05451025486059</v>
      </c>
      <c r="CG17" s="71">
        <f t="shared" ref="CG17" si="1059">IF($AQ17=TRUE,  IF(BW17 -CB17 &gt;= 0, BW17 -CB17, 0), "-")</f>
        <v>228.94484931073396</v>
      </c>
      <c r="CH17" s="71">
        <f t="shared" ref="CH17" si="1060">IF($AQ17=TRUE, BX17, "-")</f>
        <v>243.74567701093838</v>
      </c>
      <c r="CI17" s="71">
        <f t="shared" ref="CI17" si="1061">IF($AQ17=TRUE, BY17, "-")</f>
        <v>166.32124761368297</v>
      </c>
      <c r="CJ17" s="40">
        <f t="shared" ref="CJ17" si="1062">IF($AQ17=TRUE, SUM(CC17:CE17), "")</f>
        <v>1193.066284190216</v>
      </c>
      <c r="CK17" s="40">
        <f t="shared" ref="CK17" si="1063">IF($AQ17=TRUE, SUM(CF17:CI17), "")</f>
        <v>1193.066284190216</v>
      </c>
      <c r="CL17" s="40">
        <f t="shared" ref="CL17" si="1064">IF($AQ17=TRUE,IF(ABS(CK17-CJ17)&lt; 0.000001, 0, ABS(CK17-CJ17)), "")</f>
        <v>0</v>
      </c>
      <c r="CM17" s="74">
        <f t="shared" ref="CM17" si="1065">IF($AQ17 = TRUE, CC17, AR17)</f>
        <v>23.956505402890773</v>
      </c>
      <c r="CN17" s="74">
        <f t="shared" ref="CN17" si="1066">IF($AQ17 = TRUE, CD17, AS17)</f>
        <v>115.73941471100585</v>
      </c>
      <c r="CO17" s="74">
        <f t="shared" ref="CO17" si="1067">IF($AQ17 = TRUE, CE17, AT17)</f>
        <v>1053.3703640763194</v>
      </c>
      <c r="CP17" s="74">
        <f t="shared" ref="CP17" si="1068">IF($AQ17 = TRUE, CF17, AU17)</f>
        <v>554.05451025486059</v>
      </c>
      <c r="CQ17" s="74">
        <f t="shared" ref="CQ17" si="1069">IF($AQ17 = TRUE, CG17, AV17)</f>
        <v>228.94484931073396</v>
      </c>
      <c r="CR17" s="74">
        <f t="shared" ref="CR17" si="1070">IF($AQ17 = TRUE, CH17, AW17)</f>
        <v>243.74567701093838</v>
      </c>
      <c r="CS17" s="74">
        <f t="shared" ref="CS17" si="1071">IF($AQ17 = TRUE, CI17, AX17)</f>
        <v>166.32124761368297</v>
      </c>
      <c r="CT17" s="78">
        <f t="shared" ref="CT17" si="1072">MIN(CR17,CO17)</f>
        <v>243.74567701093838</v>
      </c>
      <c r="CU17" s="78">
        <f t="shared" ref="CU17" si="1073">CM17</f>
        <v>23.956505402890773</v>
      </c>
      <c r="CV17" s="78">
        <f t="shared" ref="CV17" si="1074">CN17</f>
        <v>115.73941471100585</v>
      </c>
      <c r="CW17" s="78">
        <f t="shared" ref="CW17" si="1075">CO17-CT17</f>
        <v>809.62468706538107</v>
      </c>
      <c r="CX17" s="78">
        <f t="shared" ref="CX17" si="1076">CP17</f>
        <v>554.05451025486059</v>
      </c>
      <c r="CY17" s="78">
        <f t="shared" ref="CY17" si="1077">CQ17</f>
        <v>228.94484931073396</v>
      </c>
      <c r="CZ17" s="78">
        <f t="shared" ref="CZ17" si="1078">CR17-CT17</f>
        <v>0</v>
      </c>
      <c r="DA17" s="78">
        <f t="shared" ref="DA17" si="1079">CS17</f>
        <v>166.32124761368297</v>
      </c>
      <c r="DB17" s="25" t="b">
        <f t="shared" ref="DB17" si="1080">IF(ABS(SUM(CU17:CW17)-SUM(CX17:DA17)) &lt; 0.000001, TRUE)</f>
        <v>1</v>
      </c>
      <c r="DC17" s="115">
        <f>(Table1[[#This Row],[eCl,adj (mEq/kg) eq7]]/Reference!D$2)/1000</f>
        <v>2.3956505402890772E-2</v>
      </c>
      <c r="DD17" s="115">
        <f>(Table1[[#This Row],[eNO3,adj (mEq/kg) eq7]]/Reference!E$2)/1000</f>
        <v>0.11573941471100585</v>
      </c>
      <c r="DE17" s="115">
        <f>(Table1[[#This Row],[eSO4,adj,f (mEq/kg) eq7]]/Reference!F$2)/1000</f>
        <v>0.40481234353269052</v>
      </c>
      <c r="DF17" s="115">
        <f>(Table1[[#This Row],[eNa,adj (mEq/kg) eq7]]/Reference!G$2)/1000</f>
        <v>0.55405451025486063</v>
      </c>
      <c r="DG17" s="115">
        <f>(Table1[[#This Row],[eK,adj (mEq/kg) eq7]]/Reference!H$2)/1000</f>
        <v>0.22894484931073394</v>
      </c>
      <c r="DH17" s="115">
        <f>(Table1[[#This Row],[eCa,adj,f (mEq/kg) eq7]]/Reference!I$2)/1000</f>
        <v>0</v>
      </c>
      <c r="DI17" s="115">
        <f>(Table1[[#This Row],[eMg,adj (mEq/kg) eq7]]/Reference!J$2)/1000</f>
        <v>8.3160623806841485E-2</v>
      </c>
      <c r="DJ17" s="44">
        <f>Table1[[#This Row],[cCl,adj (mol/kg) eq 8 part 1]]/SUM(Table1[[#This Row],[cCl,adj (mol/kg) eq 8 part 1]:[cMg,adj (mol/kg) eq 8 part 1]])</f>
        <v>1.6982380835121835E-2</v>
      </c>
      <c r="DK17" s="44">
        <f>Table1[[#This Row],[cNO3,adj (mol/kg) eq 8 part 1]]/SUM(Table1[[#This Row],[cCl,adj (mol/kg) eq 8 part 1]:[cMg,adj (mol/kg) eq 8 part 1]])</f>
        <v>8.2045806982316727E-2</v>
      </c>
      <c r="DL17" s="44">
        <f>Table1[[#This Row],[cSO4,adj (mol/kg) eq 8 part 1]]/SUM(Table1[[#This Row],[cCl,adj (mol/kg) eq 8 part 1]:[cMg,adj (mol/kg) eq 8 part 1]])</f>
        <v>0.28696495039717979</v>
      </c>
      <c r="DM17" s="44">
        <f>Table1[[#This Row],[cNa,adj (mol/kg) eq 8 part 1]]/SUM(Table1[[#This Row],[cCl,adj (mol/kg) eq 8 part 1]:[cMg,adj (mol/kg) eq 8 part 1]])</f>
        <v>0.39276031868277328</v>
      </c>
      <c r="DN17" s="44">
        <f>Table1[[#This Row],[cK,adj (mol/kg) eq 8 part 1]]/SUM(Table1[[#This Row],[cCl,adj (mol/kg) eq 8 part 1]:[cMg,adj (mol/kg) eq 8 part 1]])</f>
        <v>0.16229531627619218</v>
      </c>
      <c r="DO17" s="44">
        <f>Table1[[#This Row],[cCa,adj (mol/kg) eq 8 part 1]]/SUM(Table1[[#This Row],[cCl,adj (mol/kg) eq 8 part 1]:[cMg,adj (mol/kg) eq 8 part 1]])</f>
        <v>0</v>
      </c>
      <c r="DP17" s="44">
        <f>Table1[[#This Row],[cMg,adj (mol/kg) eq 8 part 1]]/SUM(Table1[[#This Row],[cCl,adj (mol/kg) eq 8 part 1]:[cMg,adj (mol/kg) eq 8 part 1]])</f>
        <v>5.8951226826416299E-2</v>
      </c>
      <c r="DQ17" s="46">
        <f t="shared" ref="DQ17" si="1081">IF($AP17=TRUE, 0, (AJ17-CR17)/SUM($AH17:$AK17))</f>
        <v>5.2190994370206446E-2</v>
      </c>
      <c r="DR17" s="46">
        <f t="shared" ref="DR17" si="1082">IF($AP17=TRUE, 0, (AK17-CS17)/SUM($AH17:$AK17))</f>
        <v>0</v>
      </c>
      <c r="DS17" s="46">
        <f t="shared" ref="DS17" si="1083">IF($AP17=TRUE, 0, (AH17-CP17)/SUM($AH17:$AK17))</f>
        <v>0</v>
      </c>
      <c r="DT17" s="46">
        <f t="shared" ref="DT17" si="1084">IF($AP17=TRUE, 0, (AI17-CQ17)/SUM($AH17:$AK17))</f>
        <v>0</v>
      </c>
      <c r="DU17" s="69">
        <f>((CU17*Reference!D$3)/Reference!D$2)*0.001</f>
        <v>8.4932279909706566E-4</v>
      </c>
      <c r="DV17" s="69">
        <f>((CV17*Reference!E$3)/Reference!E$2)*0.001</f>
        <v>7.1764108352144465E-3</v>
      </c>
      <c r="DW17" s="69">
        <f>((CW17*Reference!F$3)/Reference!F$2)*0.001</f>
        <v>3.8887892969124378E-2</v>
      </c>
      <c r="DX17" s="69">
        <f>((CX17*Reference!G$3)/Reference!G$2)*0.001</f>
        <v>1.2737584650112868E-2</v>
      </c>
      <c r="DY17" s="69">
        <f>((CY17*Reference!H$3)/Reference!H$2)*0.001</f>
        <v>8.9513544018058715E-3</v>
      </c>
      <c r="DZ17" s="69">
        <f>((CZ17*Reference!I$3)/Reference!I$2)*0.001</f>
        <v>0</v>
      </c>
      <c r="EA17" s="69">
        <f>((DA17*Reference!J$3)/Reference!J$2)*0.001</f>
        <v>2.0212189616252824E-3</v>
      </c>
      <c r="EB17" s="70">
        <f t="shared" ref="EB17" si="1085">SUM(DU17:EA17)</f>
        <v>7.062378461697992E-2</v>
      </c>
      <c r="EC17" s="68">
        <f t="shared" si="753"/>
        <v>1.7908495292726645E-2</v>
      </c>
      <c r="ED17" s="68">
        <f t="shared" ref="ED17" si="1086">((CT17)*(0.5*(96.064+40.078))*0.000001)</f>
        <v>1.6592011979811583E-2</v>
      </c>
      <c r="EE17" s="68">
        <f>Table1[[#This Row],[wtot,adj + wCaSO4(-) eq11]]-Table1[[#This Row],[wCaSO4 (-)]]</f>
        <v>1.3164833129150622E-3</v>
      </c>
      <c r="EF17" s="68">
        <f>IF(Table1[[#This Row],[pII]]=TRUE, ABS(SUM(DX17,DY17)-(SUM(Z17,AA17))),"Pathway I")</f>
        <v>0</v>
      </c>
      <c r="EG17" s="68">
        <f>IF(Table1[[#This Row],[pII]]=TRUE, (((ABS(Table1[[#This Row],[eCa,adj (mEq/kg) pI or pII]]-Table1[[#This Row],[eCa (mEq/kg)]]))*0.040078)/2)*0.001,"Pathway I")</f>
        <v>1.3164833129150509E-3</v>
      </c>
      <c r="EH17" s="68">
        <f>IF(Table1[[#This Row],[pII]]=TRUE, ((Table1[[#This Row],[ΔeMg (mEq/kg) eq5b]]+Table1[[#This Row],[ΔeNa (mEq/kg) eq5c]]+Table1[[#This Row],[ΔeK (mEq/kg) eq5d]])/1000000)*(60.01/2), "Pathway I")</f>
        <v>0</v>
      </c>
    </row>
    <row r="18" spans="1:138" x14ac:dyDescent="0.6">
      <c r="A18" s="2" t="s">
        <v>281</v>
      </c>
      <c r="B18" s="1" t="s">
        <v>207</v>
      </c>
      <c r="C18" s="1" t="s">
        <v>208</v>
      </c>
      <c r="D18" s="127" t="s">
        <v>250</v>
      </c>
      <c r="E18" s="127">
        <v>2013</v>
      </c>
      <c r="F18" s="1" t="s">
        <v>207</v>
      </c>
      <c r="G18" s="1" t="s">
        <v>208</v>
      </c>
      <c r="H18" s="1" t="s">
        <v>279</v>
      </c>
      <c r="I18" s="1" t="s">
        <v>280</v>
      </c>
      <c r="J18" s="1" t="s">
        <v>208</v>
      </c>
      <c r="K18" s="1" t="s">
        <v>222</v>
      </c>
      <c r="L18" s="1">
        <v>186</v>
      </c>
      <c r="M18" s="1" t="s">
        <v>217</v>
      </c>
      <c r="N18" s="1">
        <v>0.90900000000000003</v>
      </c>
      <c r="O18" s="1">
        <v>100</v>
      </c>
      <c r="P18" s="26">
        <v>4.7960000000000003</v>
      </c>
      <c r="Q18" s="26">
        <v>18.585000000000001</v>
      </c>
      <c r="R18" s="26">
        <v>67.299000000000007</v>
      </c>
      <c r="S18" s="26">
        <v>17.132999999999999</v>
      </c>
      <c r="T18" s="26">
        <v>27.911000000000001</v>
      </c>
      <c r="U18" s="26">
        <v>13.201000000000001</v>
      </c>
      <c r="V18" s="26">
        <v>1.472</v>
      </c>
      <c r="W18" s="69">
        <f t="shared" ref="W18" si="1087">(P18*($O18/1000))/($N18*1000)</f>
        <v>5.2761276127612764E-4</v>
      </c>
      <c r="X18" s="69">
        <f t="shared" ref="X18" si="1088">(Q18*($O18/1000))/($N18*1000)</f>
        <v>2.0445544554455446E-3</v>
      </c>
      <c r="Y18" s="69">
        <f t="shared" ref="Y18" si="1089">(R18*($O18/1000))/($N18*1000)</f>
        <v>7.4036303630363046E-3</v>
      </c>
      <c r="Z18" s="69">
        <f t="shared" ref="Z18" si="1090">(S18*($O18/1000))/($N18*1000)</f>
        <v>1.884818481848185E-3</v>
      </c>
      <c r="AA18" s="69">
        <f t="shared" ref="AA18" si="1091">(T18*($O18/1000))/($N18*1000)</f>
        <v>3.0705170517051706E-3</v>
      </c>
      <c r="AB18" s="69">
        <f t="shared" ref="AB18" si="1092">(U18*($O18/1000))/($N18*1000)</f>
        <v>1.4522552255225524E-3</v>
      </c>
      <c r="AC18" s="69">
        <f t="shared" ref="AC18" si="1093">(V18*($O18/1000))/($N18*1000)</f>
        <v>1.6193619361936195E-4</v>
      </c>
      <c r="AD18" s="70">
        <f t="shared" ref="AD18" si="1094">SUM(W18:AC18)</f>
        <v>1.6545324532453245E-2</v>
      </c>
      <c r="AE18" s="71">
        <f>((W18*Reference!D$2)/Reference!D$3)*1000</f>
        <v>14.882160209973506</v>
      </c>
      <c r="AF18" s="71">
        <f>((X18*Reference!E$2)/Reference!E$3)*1000</f>
        <v>32.974078749349559</v>
      </c>
      <c r="AG18" s="71">
        <f>((Y18*Reference!F$2)/Reference!F$3)*1000</f>
        <v>154.13953953689841</v>
      </c>
      <c r="AH18" s="71">
        <f>((Z18*Reference!G$2)/Reference!G$3)*1000</f>
        <v>81.985102322397722</v>
      </c>
      <c r="AI18" s="71">
        <f>((AA18*Reference!H$2)/Reference!H$3)*1000</f>
        <v>78.533262359365253</v>
      </c>
      <c r="AJ18" s="71">
        <f>((AB18*Reference!I$2)/Reference!I$3)*1000</f>
        <v>72.471441964297242</v>
      </c>
      <c r="AK18" s="71">
        <f>((AC18*Reference!J$2)/Reference!J$3)*1000</f>
        <v>13.325339939877551</v>
      </c>
      <c r="AL18" s="40">
        <f t="shared" ref="AL18" si="1095">SUM(AE18:AG18)</f>
        <v>201.99577849622148</v>
      </c>
      <c r="AM18" s="40">
        <f t="shared" ref="AM18" si="1096">SUM(AH18:AK18)</f>
        <v>246.31514658593778</v>
      </c>
      <c r="AN18" s="72">
        <f t="shared" ref="AN18" si="1097">ABS(AM18-AL18)</f>
        <v>44.319368089716306</v>
      </c>
      <c r="AO18" s="24" t="str">
        <f t="shared" ref="AO18" si="1098">IF(AM18&gt;AL18, "Δe,cat", "Δe,ani")</f>
        <v>Δe,cat</v>
      </c>
      <c r="AP18" s="25" t="b">
        <f t="shared" ref="AP18" si="1099">IF(OR(AN18&lt;=MAX(AL18,AM18)*0.02, AL18&gt;AM18), TRUE)</f>
        <v>0</v>
      </c>
      <c r="AQ18" s="25" t="b">
        <f t="shared" ref="AQ18" si="1100">IF(AND(AN18&gt;AM18*0.02, AM18&gt;AL18), TRUE)</f>
        <v>1</v>
      </c>
      <c r="AR18" s="73" t="str">
        <f t="shared" ref="AR18" si="1101">IF($AP18=TRUE, (AE18*($AL18+$AM18)/(2*$AL18)), "-")</f>
        <v>-</v>
      </c>
      <c r="AS18" s="73" t="str">
        <f t="shared" ref="AS18" si="1102">IF($AP18=TRUE, (AF18*($AL18+$AM18)/(2*$AL18)), "-")</f>
        <v>-</v>
      </c>
      <c r="AT18" s="73" t="str">
        <f t="shared" ref="AT18" si="1103">IF($AP18=TRUE, (AG18*($AL18+$AM18)/(2*$AL18)), "-")</f>
        <v>-</v>
      </c>
      <c r="AU18" s="73" t="str">
        <f t="shared" ref="AU18" si="1104">IF($AP18=TRUE, (AH18*($AL18+$AM18)/(2*$AM18)), "-")</f>
        <v>-</v>
      </c>
      <c r="AV18" s="73" t="str">
        <f t="shared" ref="AV18" si="1105">IF($AP18=TRUE, (AI18*($AL18+$AM18)/(2*$AM18)), "-")</f>
        <v>-</v>
      </c>
      <c r="AW18" s="73" t="str">
        <f t="shared" ref="AW18" si="1106">IF($AP18=TRUE, (AJ18*($AL18+$AM18)/(2*$AM18)), "-")</f>
        <v>-</v>
      </c>
      <c r="AX18" s="73" t="str">
        <f t="shared" ref="AX18" si="1107">IF($AP18=TRUE, (AK18*($AL18+$AM18)/(2*$AM18)), "-")</f>
        <v>-</v>
      </c>
      <c r="AY18" s="71">
        <f t="shared" ref="AY18" si="1108">IF($AQ18=TRUE, AE18, "-")</f>
        <v>14.882160209973506</v>
      </c>
      <c r="AZ18" s="71">
        <f t="shared" ref="AZ18" si="1109">IF($AQ18=TRUE, AF18, "-")</f>
        <v>32.974078749349559</v>
      </c>
      <c r="BA18" s="71">
        <f t="shared" ref="BA18" si="1110">IF($AQ18=TRUE, AG18, "-")</f>
        <v>154.13953953689841</v>
      </c>
      <c r="BB18" s="71">
        <f t="shared" ref="BB18" si="1111">IF($AQ18=TRUE, AH18, "-")</f>
        <v>81.985102322397722</v>
      </c>
      <c r="BC18" s="71">
        <f t="shared" ref="BC18" si="1112">IF($AQ18=TRUE, AI18, "-")</f>
        <v>78.533262359365253</v>
      </c>
      <c r="BD18" s="71">
        <f t="shared" ref="BD18" si="1113">IF($AQ18=TRUE, IF(AJ18-AN18 &gt;= 0, AJ18-AN18, 0), "-")</f>
        <v>28.152073874580935</v>
      </c>
      <c r="BE18" s="71">
        <f t="shared" ref="BE18" si="1114">IF($AQ18=TRUE, AK18, "-")</f>
        <v>13.325339939877551</v>
      </c>
      <c r="BF18" s="40">
        <f t="shared" ref="BF18" si="1115">IF($AQ18=TRUE, SUM(AY18:BA18), "")</f>
        <v>201.99577849622148</v>
      </c>
      <c r="BG18" s="40">
        <f t="shared" ref="BG18" si="1116">IF($AQ18=TRUE, SUM(BB18:BE18), "")</f>
        <v>201.99577849622148</v>
      </c>
      <c r="BH18" s="40">
        <f t="shared" ref="BH18" si="1117">IF($AQ18=TRUE,IF(ABS(BG18-BF18)&lt; 0.000001, 0, ABS(BG18-BF18)), "")</f>
        <v>0</v>
      </c>
      <c r="BI18" s="71">
        <f t="shared" ref="BI18" si="1118">IF($AQ18=TRUE, AY18, "-")</f>
        <v>14.882160209973506</v>
      </c>
      <c r="BJ18" s="71">
        <f t="shared" ref="BJ18" si="1119">IF($AQ18=TRUE, AZ18, "-")</f>
        <v>32.974078749349559</v>
      </c>
      <c r="BK18" s="71">
        <f t="shared" ref="BK18" si="1120">IF($AQ18=TRUE, BA18, "-")</f>
        <v>154.13953953689841</v>
      </c>
      <c r="BL18" s="71">
        <f t="shared" ref="BL18" si="1121">IF($AQ18=TRUE, BB18, "-")</f>
        <v>81.985102322397722</v>
      </c>
      <c r="BM18" s="71">
        <f t="shared" ref="BM18" si="1122">IF($AQ18=TRUE, BC18, "-")</f>
        <v>78.533262359365253</v>
      </c>
      <c r="BN18" s="71">
        <f t="shared" ref="BN18" si="1123">IF($AQ18=TRUE, BD18, "-")</f>
        <v>28.152073874580935</v>
      </c>
      <c r="BO18" s="71">
        <f t="shared" ref="BO18" si="1124">IF($AQ18=TRUE, IF(BE18 -BH18 &gt;= 0, BE18 -BH18, 0), "-")</f>
        <v>13.325339939877551</v>
      </c>
      <c r="BP18" s="40">
        <f t="shared" ref="BP18" si="1125">IF($AQ18=TRUE, SUM(BI18:BK18), "")</f>
        <v>201.99577849622148</v>
      </c>
      <c r="BQ18" s="40">
        <f t="shared" ref="BQ18" si="1126">IF($AQ18=TRUE, SUM(BL18:BO18), "")</f>
        <v>201.99577849622148</v>
      </c>
      <c r="BR18" s="40">
        <f t="shared" ref="BR18" si="1127">IF($AQ18=TRUE,IF(ABS(BQ18-BP18)&lt; 0.000001, 0, ABS(BQ18-BP18)), "")</f>
        <v>0</v>
      </c>
      <c r="BS18" s="71">
        <f t="shared" ref="BS18" si="1128">IF($AQ18=TRUE, BI18, "-")</f>
        <v>14.882160209973506</v>
      </c>
      <c r="BT18" s="71">
        <f t="shared" ref="BT18" si="1129">IF($AQ18=TRUE, BJ18, "-")</f>
        <v>32.974078749349559</v>
      </c>
      <c r="BU18" s="71">
        <f t="shared" ref="BU18" si="1130">IF($AQ18=TRUE, BK18, "-")</f>
        <v>154.13953953689841</v>
      </c>
      <c r="BV18" s="71">
        <f t="shared" ref="BV18" si="1131">IF($AQ18=TRUE, IF(BL18 -BR18 &gt;= 0, BL18 -BR18, 0), "-")</f>
        <v>81.985102322397722</v>
      </c>
      <c r="BW18" s="71">
        <f t="shared" ref="BW18" si="1132">IF($AQ18=TRUE, BM18, "-")</f>
        <v>78.533262359365253</v>
      </c>
      <c r="BX18" s="71">
        <f t="shared" ref="BX18" si="1133">IF($AQ18=TRUE, BN18, "-")</f>
        <v>28.152073874580935</v>
      </c>
      <c r="BY18" s="71">
        <f t="shared" ref="BY18" si="1134">IF($AQ18=TRUE, BO18, "-")</f>
        <v>13.325339939877551</v>
      </c>
      <c r="BZ18" s="40">
        <f t="shared" ref="BZ18" si="1135">IF($AQ18=TRUE, SUM(BS18:BU18), "")</f>
        <v>201.99577849622148</v>
      </c>
      <c r="CA18" s="40">
        <f t="shared" ref="CA18" si="1136">IF($AQ18=TRUE, SUM(BV18:BY18), "")</f>
        <v>201.99577849622148</v>
      </c>
      <c r="CB18" s="40">
        <f t="shared" ref="CB18" si="1137">IF($AQ18=TRUE,IF(ABS(CA18-BZ18)&lt; 0.000001, 0, ABS(CA18-BZ18)), "")</f>
        <v>0</v>
      </c>
      <c r="CC18" s="71">
        <f t="shared" ref="CC18" si="1138">IF($AQ18=TRUE, BS18, "-")</f>
        <v>14.882160209973506</v>
      </c>
      <c r="CD18" s="71">
        <f t="shared" ref="CD18" si="1139">IF($AQ18=TRUE, BT18, "-")</f>
        <v>32.974078749349559</v>
      </c>
      <c r="CE18" s="71">
        <f t="shared" ref="CE18" si="1140">IF($AQ18=TRUE, BU18, "-")</f>
        <v>154.13953953689841</v>
      </c>
      <c r="CF18" s="71">
        <f t="shared" ref="CF18" si="1141">IF($AQ18=TRUE, BV18, "-")</f>
        <v>81.985102322397722</v>
      </c>
      <c r="CG18" s="71">
        <f t="shared" ref="CG18" si="1142">IF($AQ18=TRUE,  IF(BW18 -CB18 &gt;= 0, BW18 -CB18, 0), "-")</f>
        <v>78.533262359365253</v>
      </c>
      <c r="CH18" s="71">
        <f t="shared" ref="CH18" si="1143">IF($AQ18=TRUE, BX18, "-")</f>
        <v>28.152073874580935</v>
      </c>
      <c r="CI18" s="71">
        <f t="shared" ref="CI18" si="1144">IF($AQ18=TRUE, BY18, "-")</f>
        <v>13.325339939877551</v>
      </c>
      <c r="CJ18" s="40">
        <f t="shared" ref="CJ18" si="1145">IF($AQ18=TRUE, SUM(CC18:CE18), "")</f>
        <v>201.99577849622148</v>
      </c>
      <c r="CK18" s="40">
        <f t="shared" ref="CK18" si="1146">IF($AQ18=TRUE, SUM(CF18:CI18), "")</f>
        <v>201.99577849622148</v>
      </c>
      <c r="CL18" s="40">
        <f t="shared" ref="CL18" si="1147">IF($AQ18=TRUE,IF(ABS(CK18-CJ18)&lt; 0.000001, 0, ABS(CK18-CJ18)), "")</f>
        <v>0</v>
      </c>
      <c r="CM18" s="74">
        <f t="shared" ref="CM18" si="1148">IF($AQ18 = TRUE, CC18, AR18)</f>
        <v>14.882160209973506</v>
      </c>
      <c r="CN18" s="74">
        <f t="shared" ref="CN18" si="1149">IF($AQ18 = TRUE, CD18, AS18)</f>
        <v>32.974078749349559</v>
      </c>
      <c r="CO18" s="74">
        <f t="shared" ref="CO18" si="1150">IF($AQ18 = TRUE, CE18, AT18)</f>
        <v>154.13953953689841</v>
      </c>
      <c r="CP18" s="74">
        <f t="shared" ref="CP18" si="1151">IF($AQ18 = TRUE, CF18, AU18)</f>
        <v>81.985102322397722</v>
      </c>
      <c r="CQ18" s="74">
        <f t="shared" ref="CQ18" si="1152">IF($AQ18 = TRUE, CG18, AV18)</f>
        <v>78.533262359365253</v>
      </c>
      <c r="CR18" s="74">
        <f t="shared" ref="CR18" si="1153">IF($AQ18 = TRUE, CH18, AW18)</f>
        <v>28.152073874580935</v>
      </c>
      <c r="CS18" s="74">
        <f t="shared" ref="CS18" si="1154">IF($AQ18 = TRUE, CI18, AX18)</f>
        <v>13.325339939877551</v>
      </c>
      <c r="CT18" s="78">
        <f t="shared" ref="CT18" si="1155">MIN(CR18,CO18)</f>
        <v>28.152073874580935</v>
      </c>
      <c r="CU18" s="78">
        <f t="shared" ref="CU18" si="1156">CM18</f>
        <v>14.882160209973506</v>
      </c>
      <c r="CV18" s="78">
        <f t="shared" ref="CV18" si="1157">CN18</f>
        <v>32.974078749349559</v>
      </c>
      <c r="CW18" s="78">
        <f t="shared" ref="CW18" si="1158">CO18-CT18</f>
        <v>125.98746566231748</v>
      </c>
      <c r="CX18" s="78">
        <f t="shared" ref="CX18" si="1159">CP18</f>
        <v>81.985102322397722</v>
      </c>
      <c r="CY18" s="78">
        <f t="shared" ref="CY18" si="1160">CQ18</f>
        <v>78.533262359365253</v>
      </c>
      <c r="CZ18" s="78">
        <f t="shared" ref="CZ18" si="1161">CR18-CT18</f>
        <v>0</v>
      </c>
      <c r="DA18" s="78">
        <f t="shared" ref="DA18" si="1162">CS18</f>
        <v>13.325339939877551</v>
      </c>
      <c r="DB18" s="25" t="b">
        <f t="shared" ref="DB18" si="1163">IF(ABS(SUM(CU18:CW18)-SUM(CX18:DA18)) &lt; 0.000001, TRUE)</f>
        <v>1</v>
      </c>
      <c r="DC18" s="115">
        <f>(Table1[[#This Row],[eCl,adj (mEq/kg) eq7]]/Reference!D$2)/1000</f>
        <v>1.4882160209973506E-2</v>
      </c>
      <c r="DD18" s="115">
        <f>(Table1[[#This Row],[eNO3,adj (mEq/kg) eq7]]/Reference!E$2)/1000</f>
        <v>3.2974078749349559E-2</v>
      </c>
      <c r="DE18" s="115">
        <f>(Table1[[#This Row],[eSO4,adj,f (mEq/kg) eq7]]/Reference!F$2)/1000</f>
        <v>6.2993732831158736E-2</v>
      </c>
      <c r="DF18" s="115">
        <f>(Table1[[#This Row],[eNa,adj (mEq/kg) eq7]]/Reference!G$2)/1000</f>
        <v>8.1985102322397724E-2</v>
      </c>
      <c r="DG18" s="115">
        <f>(Table1[[#This Row],[eK,adj (mEq/kg) eq7]]/Reference!H$2)/1000</f>
        <v>7.8533262359365252E-2</v>
      </c>
      <c r="DH18" s="115">
        <f>(Table1[[#This Row],[eCa,adj,f (mEq/kg) eq7]]/Reference!I$2)/1000</f>
        <v>0</v>
      </c>
      <c r="DI18" s="115">
        <f>(Table1[[#This Row],[eMg,adj (mEq/kg) eq7]]/Reference!J$2)/1000</f>
        <v>6.6626699699387755E-3</v>
      </c>
      <c r="DJ18" s="44">
        <f>Table1[[#This Row],[cCl,adj (mol/kg) eq 8 part 1]]/SUM(Table1[[#This Row],[cCl,adj (mol/kg) eq 8 part 1]:[cMg,adj (mol/kg) eq 8 part 1]])</f>
        <v>5.3526980319255311E-2</v>
      </c>
      <c r="DK18" s="44">
        <f>Table1[[#This Row],[cNO3,adj (mol/kg) eq 8 part 1]]/SUM(Table1[[#This Row],[cCl,adj (mol/kg) eq 8 part 1]:[cMg,adj (mol/kg) eq 8 part 1]])</f>
        <v>0.11859856629410327</v>
      </c>
      <c r="DL18" s="44">
        <f>Table1[[#This Row],[cSO4,adj (mol/kg) eq 8 part 1]]/SUM(Table1[[#This Row],[cCl,adj (mol/kg) eq 8 part 1]:[cMg,adj (mol/kg) eq 8 part 1]])</f>
        <v>0.22657089091341423</v>
      </c>
      <c r="DM18" s="44">
        <f>Table1[[#This Row],[cNa,adj (mol/kg) eq 8 part 1]]/SUM(Table1[[#This Row],[cCl,adj (mol/kg) eq 8 part 1]:[cMg,adj (mol/kg) eq 8 part 1]])</f>
        <v>0.29487755114624781</v>
      </c>
      <c r="DN18" s="44">
        <f>Table1[[#This Row],[cK,adj (mol/kg) eq 8 part 1]]/SUM(Table1[[#This Row],[cCl,adj (mol/kg) eq 8 part 1]:[cMg,adj (mol/kg) eq 8 part 1]])</f>
        <v>0.28246224536001968</v>
      </c>
      <c r="DO18" s="44">
        <f>Table1[[#This Row],[cCa,adj (mol/kg) eq 8 part 1]]/SUM(Table1[[#This Row],[cCl,adj (mol/kg) eq 8 part 1]:[cMg,adj (mol/kg) eq 8 part 1]])</f>
        <v>0</v>
      </c>
      <c r="DP18" s="44">
        <f>Table1[[#This Row],[cMg,adj (mol/kg) eq 8 part 1]]/SUM(Table1[[#This Row],[cCl,adj (mol/kg) eq 8 part 1]:[cMg,adj (mol/kg) eq 8 part 1]])</f>
        <v>2.3963765966959788E-2</v>
      </c>
      <c r="DQ18" s="46">
        <f t="shared" ref="DQ18" si="1164">IF($AP18=TRUE, 0, (AJ18-CR18)/SUM($AH18:$AK18))</f>
        <v>0.17992952810254226</v>
      </c>
      <c r="DR18" s="46">
        <f t="shared" ref="DR18" si="1165">IF($AP18=TRUE, 0, (AK18-CS18)/SUM($AH18:$AK18))</f>
        <v>0</v>
      </c>
      <c r="DS18" s="46">
        <f t="shared" ref="DS18" si="1166">IF($AP18=TRUE, 0, (AH18-CP18)/SUM($AH18:$AK18))</f>
        <v>0</v>
      </c>
      <c r="DT18" s="46">
        <f t="shared" ref="DT18" si="1167">IF($AP18=TRUE, 0, (AI18-CQ18)/SUM($AH18:$AK18))</f>
        <v>0</v>
      </c>
      <c r="DU18" s="69">
        <f>((CU18*Reference!D$3)/Reference!D$2)*0.001</f>
        <v>5.2761276127612764E-4</v>
      </c>
      <c r="DV18" s="69">
        <f>((CV18*Reference!E$3)/Reference!E$2)*0.001</f>
        <v>2.0445544554455446E-3</v>
      </c>
      <c r="DW18" s="69">
        <f>((CW18*Reference!F$3)/Reference!F$2)*0.001</f>
        <v>6.0514299506924333E-3</v>
      </c>
      <c r="DX18" s="69">
        <f>((CX18*Reference!G$3)/Reference!G$2)*0.001</f>
        <v>1.8848184818481847E-3</v>
      </c>
      <c r="DY18" s="69">
        <f>((CY18*Reference!H$3)/Reference!H$2)*0.001</f>
        <v>3.0705170517051706E-3</v>
      </c>
      <c r="DZ18" s="69">
        <f>((CZ18*Reference!I$3)/Reference!I$2)*0.001</f>
        <v>0</v>
      </c>
      <c r="EA18" s="69">
        <f>((DA18*Reference!J$3)/Reference!J$2)*0.001</f>
        <v>1.6193619361936195E-4</v>
      </c>
      <c r="EB18" s="70">
        <f t="shared" ref="EB18" si="1168">SUM(DU18:EA18)</f>
        <v>1.3740868894586821E-2</v>
      </c>
      <c r="EC18" s="68">
        <f t="shared" si="753"/>
        <v>2.8044556378664237E-3</v>
      </c>
      <c r="ED18" s="68">
        <f t="shared" ref="ED18" si="1169">((CT18)*(0.5*(96.064+40.078))*0.000001)</f>
        <v>1.9163398207165986E-3</v>
      </c>
      <c r="EE18" s="68">
        <f>Table1[[#This Row],[wtot,adj + wCaSO4(-) eq11]]-Table1[[#This Row],[wCaSO4 (-)]]</f>
        <v>8.881158171498251E-4</v>
      </c>
      <c r="EF18" s="68">
        <f>IF(Table1[[#This Row],[pII]]=TRUE, ABS(SUM(DX18,DY18)-(SUM(Z18,AA18))),"Pathway I")</f>
        <v>8.6736173798840355E-19</v>
      </c>
      <c r="EG18" s="68">
        <f>IF(Table1[[#This Row],[pII]]=TRUE, (((ABS(Table1[[#This Row],[eCa,adj (mEq/kg) pI or pII]]-Table1[[#This Row],[eCa (mEq/kg)]]))*0.040078)/2)*0.001,"Pathway I")</f>
        <v>8.881158171498251E-4</v>
      </c>
      <c r="EH18" s="68">
        <f>IF(Table1[[#This Row],[pII]]=TRUE, ((Table1[[#This Row],[ΔeMg (mEq/kg) eq5b]]+Table1[[#This Row],[ΔeNa (mEq/kg) eq5c]]+Table1[[#This Row],[ΔeK (mEq/kg) eq5d]])/1000000)*(60.01/2), "Pathway I")</f>
        <v>0</v>
      </c>
    </row>
    <row r="19" spans="1:138" x14ac:dyDescent="0.6">
      <c r="A19" s="2" t="s">
        <v>287</v>
      </c>
      <c r="B19" s="1" t="s">
        <v>207</v>
      </c>
      <c r="C19" s="1" t="s">
        <v>208</v>
      </c>
      <c r="D19" s="127" t="s">
        <v>275</v>
      </c>
      <c r="E19" s="127" t="s">
        <v>284</v>
      </c>
      <c r="F19" s="1" t="s">
        <v>207</v>
      </c>
      <c r="G19" s="1" t="s">
        <v>208</v>
      </c>
      <c r="H19" s="1" t="s">
        <v>231</v>
      </c>
      <c r="I19" s="1" t="s">
        <v>285</v>
      </c>
      <c r="J19" s="1" t="s">
        <v>208</v>
      </c>
      <c r="K19" s="1" t="s">
        <v>216</v>
      </c>
      <c r="L19" s="1" t="s">
        <v>208</v>
      </c>
      <c r="M19" s="1" t="s">
        <v>286</v>
      </c>
      <c r="N19" s="1">
        <v>0.79399999999999871</v>
      </c>
      <c r="O19" s="1">
        <v>100</v>
      </c>
      <c r="P19" s="26">
        <v>1.3480000000000001</v>
      </c>
      <c r="Q19" s="26">
        <v>3.3279999999999998</v>
      </c>
      <c r="R19" s="26">
        <v>24.248999999999999</v>
      </c>
      <c r="S19" s="26">
        <v>22.398</v>
      </c>
      <c r="T19" s="26">
        <v>4.6749999999999998</v>
      </c>
      <c r="U19" s="26">
        <v>7.0309999999999997</v>
      </c>
      <c r="V19" s="26">
        <v>0</v>
      </c>
      <c r="W19" s="69">
        <f t="shared" ref="W19" si="1170">(P19*($O19/1000))/($N19*1000)</f>
        <v>1.6977329974811111E-4</v>
      </c>
      <c r="X19" s="69">
        <f t="shared" ref="X19" si="1171">(Q19*($O19/1000))/($N19*1000)</f>
        <v>4.1914357682619713E-4</v>
      </c>
      <c r="Y19" s="69">
        <f t="shared" ref="Y19" si="1172">(R19*($O19/1000))/($N19*1000)</f>
        <v>3.0540302267002568E-3</v>
      </c>
      <c r="Z19" s="69">
        <f t="shared" ref="Z19" si="1173">(S19*($O19/1000))/($N19*1000)</f>
        <v>2.8209068010075613E-3</v>
      </c>
      <c r="AA19" s="69">
        <f t="shared" ref="AA19" si="1174">(T19*($O19/1000))/($N19*1000)</f>
        <v>5.887909319899254E-4</v>
      </c>
      <c r="AB19" s="69">
        <f t="shared" ref="AB19" si="1175">(U19*($O19/1000))/($N19*1000)</f>
        <v>8.8551637279597121E-4</v>
      </c>
      <c r="AC19" s="69">
        <f t="shared" ref="AC19" si="1176">(V19*($O19/1000))/($N19*1000)</f>
        <v>0</v>
      </c>
      <c r="AD19" s="70">
        <f t="shared" ref="AD19" si="1177">SUM(W19:AC19)</f>
        <v>7.9381612090680224E-3</v>
      </c>
      <c r="AE19" s="71">
        <f>((W19*Reference!D$2)/Reference!D$3)*1000</f>
        <v>4.7887269445799934</v>
      </c>
      <c r="AF19" s="71">
        <f>((X19*Reference!E$2)/Reference!E$3)*1000</f>
        <v>6.7598460254947126</v>
      </c>
      <c r="AG19" s="71">
        <f>((Y19*Reference!F$2)/Reference!F$3)*1000</f>
        <v>63.583240895658243</v>
      </c>
      <c r="AH19" s="71">
        <f>((Z19*Reference!G$2)/Reference!G$3)*1000</f>
        <v>122.7027084835115</v>
      </c>
      <c r="AI19" s="71">
        <f>((AA19*Reference!H$2)/Reference!H$3)*1000</f>
        <v>15.05924636083731</v>
      </c>
      <c r="AJ19" s="71">
        <f>((AB19*Reference!I$2)/Reference!I$3)*1000</f>
        <v>44.189648824590606</v>
      </c>
      <c r="AK19" s="71">
        <f>((AC19*Reference!J$2)/Reference!J$3)*1000</f>
        <v>0</v>
      </c>
      <c r="AL19" s="40">
        <f t="shared" ref="AL19" si="1178">SUM(AE19:AG19)</f>
        <v>75.131813865732951</v>
      </c>
      <c r="AM19" s="40">
        <f t="shared" ref="AM19" si="1179">SUM(AH19:AK19)</f>
        <v>181.95160366893941</v>
      </c>
      <c r="AN19" s="72">
        <f t="shared" ref="AN19" si="1180">ABS(AM19-AL19)</f>
        <v>106.81978980320646</v>
      </c>
      <c r="AO19" s="24" t="str">
        <f t="shared" ref="AO19" si="1181">IF(AM19&gt;AL19, "Δe,cat", "Δe,ani")</f>
        <v>Δe,cat</v>
      </c>
      <c r="AP19" s="25" t="b">
        <f t="shared" ref="AP19" si="1182">IF(OR(AN19&lt;=MAX(AL19,AM19)*0.02, AL19&gt;AM19), TRUE)</f>
        <v>0</v>
      </c>
      <c r="AQ19" s="25" t="b">
        <f t="shared" ref="AQ19" si="1183">IF(AND(AN19&gt;AM19*0.02, AM19&gt;AL19), TRUE)</f>
        <v>1</v>
      </c>
      <c r="AR19" s="73" t="str">
        <f t="shared" ref="AR19" si="1184">IF($AP19=TRUE, (AE19*($AL19+$AM19)/(2*$AL19)), "-")</f>
        <v>-</v>
      </c>
      <c r="AS19" s="73" t="str">
        <f t="shared" ref="AS19" si="1185">IF($AP19=TRUE, (AF19*($AL19+$AM19)/(2*$AL19)), "-")</f>
        <v>-</v>
      </c>
      <c r="AT19" s="73" t="str">
        <f t="shared" ref="AT19" si="1186">IF($AP19=TRUE, (AG19*($AL19+$AM19)/(2*$AL19)), "-")</f>
        <v>-</v>
      </c>
      <c r="AU19" s="73" t="str">
        <f t="shared" ref="AU19" si="1187">IF($AP19=TRUE, (AH19*($AL19+$AM19)/(2*$AM19)), "-")</f>
        <v>-</v>
      </c>
      <c r="AV19" s="73" t="str">
        <f t="shared" ref="AV19" si="1188">IF($AP19=TRUE, (AI19*($AL19+$AM19)/(2*$AM19)), "-")</f>
        <v>-</v>
      </c>
      <c r="AW19" s="73" t="str">
        <f t="shared" ref="AW19" si="1189">IF($AP19=TRUE, (AJ19*($AL19+$AM19)/(2*$AM19)), "-")</f>
        <v>-</v>
      </c>
      <c r="AX19" s="73" t="str">
        <f t="shared" ref="AX19" si="1190">IF($AP19=TRUE, (AK19*($AL19+$AM19)/(2*$AM19)), "-")</f>
        <v>-</v>
      </c>
      <c r="AY19" s="71">
        <f t="shared" ref="AY19" si="1191">IF($AQ19=TRUE, AE19, "-")</f>
        <v>4.7887269445799934</v>
      </c>
      <c r="AZ19" s="71">
        <f t="shared" ref="AZ19" si="1192">IF($AQ19=TRUE, AF19, "-")</f>
        <v>6.7598460254947126</v>
      </c>
      <c r="BA19" s="71">
        <f t="shared" ref="BA19" si="1193">IF($AQ19=TRUE, AG19, "-")</f>
        <v>63.583240895658243</v>
      </c>
      <c r="BB19" s="71">
        <f t="shared" ref="BB19" si="1194">IF($AQ19=TRUE, AH19, "-")</f>
        <v>122.7027084835115</v>
      </c>
      <c r="BC19" s="71">
        <f t="shared" ref="BC19" si="1195">IF($AQ19=TRUE, AI19, "-")</f>
        <v>15.05924636083731</v>
      </c>
      <c r="BD19" s="71">
        <f t="shared" ref="BD19" si="1196">IF($AQ19=TRUE, IF(AJ19-AN19 &gt;= 0, AJ19-AN19, 0), "-")</f>
        <v>0</v>
      </c>
      <c r="BE19" s="71">
        <f t="shared" ref="BE19" si="1197">IF($AQ19=TRUE, AK19, "-")</f>
        <v>0</v>
      </c>
      <c r="BF19" s="40">
        <f t="shared" ref="BF19" si="1198">IF($AQ19=TRUE, SUM(AY19:BA19), "")</f>
        <v>75.131813865732951</v>
      </c>
      <c r="BG19" s="40">
        <f t="shared" ref="BG19" si="1199">IF($AQ19=TRUE, SUM(BB19:BE19), "")</f>
        <v>137.76195484434882</v>
      </c>
      <c r="BH19" s="40">
        <f t="shared" ref="BH19" si="1200">IF($AQ19=TRUE,IF(ABS(BG19-BF19)&lt; 0.000001, 0, ABS(BG19-BF19)), "")</f>
        <v>62.63014097861587</v>
      </c>
      <c r="BI19" s="71">
        <f t="shared" ref="BI19" si="1201">IF($AQ19=TRUE, AY19, "-")</f>
        <v>4.7887269445799934</v>
      </c>
      <c r="BJ19" s="71">
        <f t="shared" ref="BJ19" si="1202">IF($AQ19=TRUE, AZ19, "-")</f>
        <v>6.7598460254947126</v>
      </c>
      <c r="BK19" s="71">
        <f t="shared" ref="BK19" si="1203">IF($AQ19=TRUE, BA19, "-")</f>
        <v>63.583240895658243</v>
      </c>
      <c r="BL19" s="71">
        <f t="shared" ref="BL19" si="1204">IF($AQ19=TRUE, BB19, "-")</f>
        <v>122.7027084835115</v>
      </c>
      <c r="BM19" s="71">
        <f t="shared" ref="BM19" si="1205">IF($AQ19=TRUE, BC19, "-")</f>
        <v>15.05924636083731</v>
      </c>
      <c r="BN19" s="71">
        <f t="shared" ref="BN19" si="1206">IF($AQ19=TRUE, BD19, "-")</f>
        <v>0</v>
      </c>
      <c r="BO19" s="71">
        <f t="shared" ref="BO19" si="1207">IF($AQ19=TRUE, IF(BE19 -BH19 &gt;= 0, BE19 -BH19, 0), "-")</f>
        <v>0</v>
      </c>
      <c r="BP19" s="40">
        <f t="shared" ref="BP19" si="1208">IF($AQ19=TRUE, SUM(BI19:BK19), "")</f>
        <v>75.131813865732951</v>
      </c>
      <c r="BQ19" s="40">
        <f t="shared" ref="BQ19" si="1209">IF($AQ19=TRUE, SUM(BL19:BO19), "")</f>
        <v>137.76195484434882</v>
      </c>
      <c r="BR19" s="40">
        <f t="shared" ref="BR19" si="1210">IF($AQ19=TRUE,IF(ABS(BQ19-BP19)&lt; 0.000001, 0, ABS(BQ19-BP19)), "")</f>
        <v>62.63014097861587</v>
      </c>
      <c r="BS19" s="71">
        <f t="shared" ref="BS19" si="1211">IF($AQ19=TRUE, BI19, "-")</f>
        <v>4.7887269445799934</v>
      </c>
      <c r="BT19" s="71">
        <f t="shared" ref="BT19" si="1212">IF($AQ19=TRUE, BJ19, "-")</f>
        <v>6.7598460254947126</v>
      </c>
      <c r="BU19" s="71">
        <f t="shared" ref="BU19" si="1213">IF($AQ19=TRUE, BK19, "-")</f>
        <v>63.583240895658243</v>
      </c>
      <c r="BV19" s="71">
        <f t="shared" ref="BV19" si="1214">IF($AQ19=TRUE, IF(BL19 -BR19 &gt;= 0, BL19 -BR19, 0), "-")</f>
        <v>60.07256750489563</v>
      </c>
      <c r="BW19" s="71">
        <f t="shared" ref="BW19" si="1215">IF($AQ19=TRUE, BM19, "-")</f>
        <v>15.05924636083731</v>
      </c>
      <c r="BX19" s="71">
        <f t="shared" ref="BX19" si="1216">IF($AQ19=TRUE, BN19, "-")</f>
        <v>0</v>
      </c>
      <c r="BY19" s="71">
        <f t="shared" ref="BY19" si="1217">IF($AQ19=TRUE, BO19, "-")</f>
        <v>0</v>
      </c>
      <c r="BZ19" s="40">
        <f t="shared" ref="BZ19" si="1218">IF($AQ19=TRUE, SUM(BS19:BU19), "")</f>
        <v>75.131813865732951</v>
      </c>
      <c r="CA19" s="40">
        <f t="shared" ref="CA19" si="1219">IF($AQ19=TRUE, SUM(BV19:BY19), "")</f>
        <v>75.131813865732937</v>
      </c>
      <c r="CB19" s="40">
        <f t="shared" ref="CB19" si="1220">IF($AQ19=TRUE,IF(ABS(CA19-BZ19)&lt; 0.000001, 0, ABS(CA19-BZ19)), "")</f>
        <v>0</v>
      </c>
      <c r="CC19" s="71">
        <f t="shared" ref="CC19" si="1221">IF($AQ19=TRUE, BS19, "-")</f>
        <v>4.7887269445799934</v>
      </c>
      <c r="CD19" s="71">
        <f t="shared" ref="CD19" si="1222">IF($AQ19=TRUE, BT19, "-")</f>
        <v>6.7598460254947126</v>
      </c>
      <c r="CE19" s="71">
        <f t="shared" ref="CE19" si="1223">IF($AQ19=TRUE, BU19, "-")</f>
        <v>63.583240895658243</v>
      </c>
      <c r="CF19" s="71">
        <f t="shared" ref="CF19" si="1224">IF($AQ19=TRUE, BV19, "-")</f>
        <v>60.07256750489563</v>
      </c>
      <c r="CG19" s="71">
        <f t="shared" ref="CG19" si="1225">IF($AQ19=TRUE,  IF(BW19 -CB19 &gt;= 0, BW19 -CB19, 0), "-")</f>
        <v>15.05924636083731</v>
      </c>
      <c r="CH19" s="71">
        <f t="shared" ref="CH19" si="1226">IF($AQ19=TRUE, BX19, "-")</f>
        <v>0</v>
      </c>
      <c r="CI19" s="71">
        <f t="shared" ref="CI19" si="1227">IF($AQ19=TRUE, BY19, "-")</f>
        <v>0</v>
      </c>
      <c r="CJ19" s="40">
        <f t="shared" ref="CJ19" si="1228">IF($AQ19=TRUE, SUM(CC19:CE19), "")</f>
        <v>75.131813865732951</v>
      </c>
      <c r="CK19" s="40">
        <f t="shared" ref="CK19" si="1229">IF($AQ19=TRUE, SUM(CF19:CI19), "")</f>
        <v>75.131813865732937</v>
      </c>
      <c r="CL19" s="40">
        <f t="shared" ref="CL19" si="1230">IF($AQ19=TRUE,IF(ABS(CK19-CJ19)&lt; 0.000001, 0, ABS(CK19-CJ19)), "")</f>
        <v>0</v>
      </c>
      <c r="CM19" s="74">
        <f t="shared" ref="CM19" si="1231">IF($AQ19 = TRUE, CC19, AR19)</f>
        <v>4.7887269445799934</v>
      </c>
      <c r="CN19" s="74">
        <f t="shared" ref="CN19" si="1232">IF($AQ19 = TRUE, CD19, AS19)</f>
        <v>6.7598460254947126</v>
      </c>
      <c r="CO19" s="74">
        <f t="shared" ref="CO19" si="1233">IF($AQ19 = TRUE, CE19, AT19)</f>
        <v>63.583240895658243</v>
      </c>
      <c r="CP19" s="74">
        <f t="shared" ref="CP19" si="1234">IF($AQ19 = TRUE, CF19, AU19)</f>
        <v>60.07256750489563</v>
      </c>
      <c r="CQ19" s="74">
        <f t="shared" ref="CQ19" si="1235">IF($AQ19 = TRUE, CG19, AV19)</f>
        <v>15.05924636083731</v>
      </c>
      <c r="CR19" s="74">
        <f t="shared" ref="CR19" si="1236">IF($AQ19 = TRUE, CH19, AW19)</f>
        <v>0</v>
      </c>
      <c r="CS19" s="74">
        <f t="shared" ref="CS19" si="1237">IF($AQ19 = TRUE, CI19, AX19)</f>
        <v>0</v>
      </c>
      <c r="CT19" s="78">
        <f t="shared" ref="CT19" si="1238">MIN(CR19,CO19)</f>
        <v>0</v>
      </c>
      <c r="CU19" s="78">
        <f t="shared" ref="CU19" si="1239">CM19</f>
        <v>4.7887269445799934</v>
      </c>
      <c r="CV19" s="78">
        <f t="shared" ref="CV19" si="1240">CN19</f>
        <v>6.7598460254947126</v>
      </c>
      <c r="CW19" s="78">
        <f t="shared" ref="CW19" si="1241">CO19-CT19</f>
        <v>63.583240895658243</v>
      </c>
      <c r="CX19" s="78">
        <f t="shared" ref="CX19" si="1242">CP19</f>
        <v>60.07256750489563</v>
      </c>
      <c r="CY19" s="78">
        <f t="shared" ref="CY19" si="1243">CQ19</f>
        <v>15.05924636083731</v>
      </c>
      <c r="CZ19" s="78">
        <f t="shared" ref="CZ19" si="1244">CR19-CT19</f>
        <v>0</v>
      </c>
      <c r="DA19" s="78">
        <f t="shared" ref="DA19" si="1245">CS19</f>
        <v>0</v>
      </c>
      <c r="DB19" s="25" t="b">
        <f t="shared" ref="DB19" si="1246">IF(ABS(SUM(CU19:CW19)-SUM(CX19:DA19)) &lt; 0.000001, TRUE)</f>
        <v>1</v>
      </c>
      <c r="DC19" s="115">
        <f>(Table1[[#This Row],[eCl,adj (mEq/kg) eq7]]/Reference!D$2)/1000</f>
        <v>4.7887269445799933E-3</v>
      </c>
      <c r="DD19" s="115">
        <f>(Table1[[#This Row],[eNO3,adj (mEq/kg) eq7]]/Reference!E$2)/1000</f>
        <v>6.7598460254947122E-3</v>
      </c>
      <c r="DE19" s="115">
        <f>(Table1[[#This Row],[eSO4,adj,f (mEq/kg) eq7]]/Reference!F$2)/1000</f>
        <v>3.1791620447829121E-2</v>
      </c>
      <c r="DF19" s="115">
        <f>(Table1[[#This Row],[eNa,adj (mEq/kg) eq7]]/Reference!G$2)/1000</f>
        <v>6.0072567504895633E-2</v>
      </c>
      <c r="DG19" s="115">
        <f>(Table1[[#This Row],[eK,adj (mEq/kg) eq7]]/Reference!H$2)/1000</f>
        <v>1.505924636083731E-2</v>
      </c>
      <c r="DH19" s="115">
        <f>(Table1[[#This Row],[eCa,adj,f (mEq/kg) eq7]]/Reference!I$2)/1000</f>
        <v>0</v>
      </c>
      <c r="DI19" s="115">
        <f>(Table1[[#This Row],[eMg,adj (mEq/kg) eq7]]/Reference!J$2)/1000</f>
        <v>0</v>
      </c>
      <c r="DJ19" s="44">
        <f>Table1[[#This Row],[cCl,adj (mol/kg) eq 8 part 1]]/SUM(Table1[[#This Row],[cCl,adj (mol/kg) eq 8 part 1]:[cMg,adj (mol/kg) eq 8 part 1]])</f>
        <v>4.042074625371362E-2</v>
      </c>
      <c r="DK19" s="44">
        <f>Table1[[#This Row],[cNO3,adj (mol/kg) eq 8 part 1]]/SUM(Table1[[#This Row],[cCl,adj (mol/kg) eq 8 part 1]:[cMg,adj (mol/kg) eq 8 part 1]])</f>
        <v>5.7058592831222964E-2</v>
      </c>
      <c r="DL19" s="44">
        <f>Table1[[#This Row],[cSO4,adj (mol/kg) eq 8 part 1]]/SUM(Table1[[#This Row],[cCl,adj (mol/kg) eq 8 part 1]:[cMg,adj (mol/kg) eq 8 part 1]])</f>
        <v>0.26834710727670896</v>
      </c>
      <c r="DM19" s="44">
        <f>Table1[[#This Row],[cNa,adj (mol/kg) eq 8 part 1]]/SUM(Table1[[#This Row],[cCl,adj (mol/kg) eq 8 part 1]:[cMg,adj (mol/kg) eq 8 part 1]])</f>
        <v>0.50706127871265327</v>
      </c>
      <c r="DN19" s="44">
        <f>Table1[[#This Row],[cK,adj (mol/kg) eq 8 part 1]]/SUM(Table1[[#This Row],[cCl,adj (mol/kg) eq 8 part 1]:[cMg,adj (mol/kg) eq 8 part 1]])</f>
        <v>0.12711227492570118</v>
      </c>
      <c r="DO19" s="44">
        <f>Table1[[#This Row],[cCa,adj (mol/kg) eq 8 part 1]]/SUM(Table1[[#This Row],[cCl,adj (mol/kg) eq 8 part 1]:[cMg,adj (mol/kg) eq 8 part 1]])</f>
        <v>0</v>
      </c>
      <c r="DP19" s="44">
        <f>Table1[[#This Row],[cMg,adj (mol/kg) eq 8 part 1]]/SUM(Table1[[#This Row],[cCl,adj (mol/kg) eq 8 part 1]:[cMg,adj (mol/kg) eq 8 part 1]])</f>
        <v>0</v>
      </c>
      <c r="DQ19" s="46">
        <f t="shared" ref="DQ19" si="1247">IF($AP19=TRUE, 0, (AJ19-CR19)/SUM($AH19:$AK19))</f>
        <v>0.24286484940794248</v>
      </c>
      <c r="DR19" s="46">
        <f t="shared" ref="DR19" si="1248">IF($AP19=TRUE, 0, (AK19-CS19)/SUM($AH19:$AK19))</f>
        <v>0</v>
      </c>
      <c r="DS19" s="46">
        <f t="shared" ref="DS19" si="1249">IF($AP19=TRUE, 0, (AH19-CP19)/SUM($AH19:$AK19))</f>
        <v>0.34421318480144475</v>
      </c>
      <c r="DT19" s="46">
        <f t="shared" ref="DT19" si="1250">IF($AP19=TRUE, 0, (AI19-CQ19)/SUM($AH19:$AK19))</f>
        <v>0</v>
      </c>
      <c r="DU19" s="69">
        <f>((CU19*Reference!D$3)/Reference!D$2)*0.001</f>
        <v>1.6977329974811111E-4</v>
      </c>
      <c r="DV19" s="69">
        <f>((CV19*Reference!E$3)/Reference!E$2)*0.001</f>
        <v>4.1914357682619713E-4</v>
      </c>
      <c r="DW19" s="69">
        <f>((CW19*Reference!F$3)/Reference!F$2)*0.001</f>
        <v>3.0540302267002568E-3</v>
      </c>
      <c r="DX19" s="69">
        <f>((CX19*Reference!G$3)/Reference!G$2)*0.001</f>
        <v>1.3810543901018894E-3</v>
      </c>
      <c r="DY19" s="69">
        <f>((CY19*Reference!H$3)/Reference!H$2)*0.001</f>
        <v>5.8879093198992551E-4</v>
      </c>
      <c r="DZ19" s="69">
        <f>((CZ19*Reference!I$3)/Reference!I$2)*0.001</f>
        <v>0</v>
      </c>
      <c r="EA19" s="69">
        <f>((DA19*Reference!J$3)/Reference!J$2)*0.001</f>
        <v>0</v>
      </c>
      <c r="EB19" s="70">
        <f t="shared" ref="EB19" si="1251">SUM(DU19:EA19)</f>
        <v>5.6127924253663803E-3</v>
      </c>
      <c r="EC19" s="68">
        <f t="shared" si="753"/>
        <v>2.3253687837016422E-3</v>
      </c>
      <c r="ED19" s="68">
        <f t="shared" ref="ED19" si="1252">((CT19)*(0.5*(96.064+40.078))*0.000001)</f>
        <v>0</v>
      </c>
      <c r="EE19" s="68">
        <f>Table1[[#This Row],[wtot,adj + wCaSO4(-) eq11]]-Table1[[#This Row],[wCaSO4 (-)]]</f>
        <v>2.3253687837016422E-3</v>
      </c>
      <c r="EF19" s="68">
        <f>IF(Table1[[#This Row],[pII]]=TRUE, ABS(SUM(DX19,DY19)-(SUM(Z19,AA19))),"Pathway I")</f>
        <v>1.4398524109056716E-3</v>
      </c>
      <c r="EG19" s="68">
        <f>IF(Table1[[#This Row],[pII]]=TRUE, (((ABS(Table1[[#This Row],[eCa,adj (mEq/kg) pI or pII]]-Table1[[#This Row],[eCa (mEq/kg)]]))*0.040078)/2)*0.001,"Pathway I")</f>
        <v>8.8551637279597121E-4</v>
      </c>
      <c r="EH19" s="68">
        <f>IF(Table1[[#This Row],[pII]]=TRUE, ((Table1[[#This Row],[ΔeMg (mEq/kg) eq5b]]+Table1[[#This Row],[ΔeNa (mEq/kg) eq5c]]+Table1[[#This Row],[ΔeK (mEq/kg) eq5d]])/1000000)*(60.01/2), "Pathway I")</f>
        <v>1.8792173800633691E-3</v>
      </c>
    </row>
    <row r="20" spans="1:138" x14ac:dyDescent="0.6">
      <c r="A20" s="2" t="s">
        <v>290</v>
      </c>
      <c r="B20" s="1" t="s">
        <v>207</v>
      </c>
      <c r="C20" s="1" t="s">
        <v>208</v>
      </c>
      <c r="D20" s="127" t="s">
        <v>250</v>
      </c>
      <c r="E20" s="127" t="s">
        <v>284</v>
      </c>
      <c r="F20" s="1" t="s">
        <v>207</v>
      </c>
      <c r="G20" s="1" t="s">
        <v>208</v>
      </c>
      <c r="H20" s="1" t="s">
        <v>288</v>
      </c>
      <c r="I20" s="1" t="s">
        <v>289</v>
      </c>
      <c r="J20" s="1" t="s">
        <v>208</v>
      </c>
      <c r="K20" s="1" t="s">
        <v>210</v>
      </c>
      <c r="L20" s="1">
        <v>45</v>
      </c>
      <c r="M20" s="1" t="s">
        <v>211</v>
      </c>
      <c r="N20" s="1">
        <v>0.54300000000000004</v>
      </c>
      <c r="O20" s="1">
        <v>100</v>
      </c>
      <c r="P20" s="26">
        <v>24.231000000000002</v>
      </c>
      <c r="Q20" s="26">
        <v>69.319000000000003</v>
      </c>
      <c r="R20" s="26">
        <v>58.695999999999998</v>
      </c>
      <c r="S20" s="26">
        <v>15.029</v>
      </c>
      <c r="T20" s="26">
        <v>5.4409999999999998</v>
      </c>
      <c r="U20" s="26">
        <v>49.847000000000001</v>
      </c>
      <c r="V20" s="26">
        <v>1.028</v>
      </c>
      <c r="W20" s="69">
        <f t="shared" ref="W20" si="1253">(P20*($O20/1000))/($N20*1000)</f>
        <v>4.4624309392265202E-3</v>
      </c>
      <c r="X20" s="69">
        <f t="shared" ref="X20" si="1254">(Q20*($O20/1000))/($N20*1000)</f>
        <v>1.2765930018416208E-2</v>
      </c>
      <c r="Y20" s="69">
        <f t="shared" ref="Y20" si="1255">(R20*($O20/1000))/($N20*1000)</f>
        <v>1.0809576427255985E-2</v>
      </c>
      <c r="Z20" s="69">
        <f t="shared" ref="Z20" si="1256">(S20*($O20/1000))/($N20*1000)</f>
        <v>2.7677716390423577E-3</v>
      </c>
      <c r="AA20" s="69">
        <f t="shared" ref="AA20" si="1257">(T20*($O20/1000))/($N20*1000)</f>
        <v>1.0020257826887662E-3</v>
      </c>
      <c r="AB20" s="69">
        <f t="shared" ref="AB20" si="1258">(U20*($O20/1000))/($N20*1000)</f>
        <v>9.1799263351749535E-3</v>
      </c>
      <c r="AC20" s="69">
        <f t="shared" ref="AC20" si="1259">(V20*($O20/1000))/($N20*1000)</f>
        <v>1.8931860036832413E-4</v>
      </c>
      <c r="AD20" s="70">
        <f t="shared" ref="AD20" si="1260">SUM(W20:AC20)</f>
        <v>4.1176979742173117E-2</v>
      </c>
      <c r="AE20" s="71">
        <f>((W20*Reference!D$2)/Reference!D$3)*1000</f>
        <v>125.86998844168484</v>
      </c>
      <c r="AF20" s="71">
        <f>((X20*Reference!E$2)/Reference!E$3)*1000</f>
        <v>205.88582544954039</v>
      </c>
      <c r="AG20" s="71">
        <f>((Y20*Reference!F$2)/Reference!F$3)*1000</f>
        <v>225.04947591722154</v>
      </c>
      <c r="AH20" s="71">
        <f>((Z20*Reference!G$2)/Reference!G$3)*1000</f>
        <v>120.39145584428505</v>
      </c>
      <c r="AI20" s="71">
        <f>((AA20*Reference!H$2)/Reference!H$3)*1000</f>
        <v>25.628372146327745</v>
      </c>
      <c r="AJ20" s="71">
        <f>((AB20*Reference!I$2)/Reference!I$3)*1000</f>
        <v>458.10301587778594</v>
      </c>
      <c r="AK20" s="71">
        <f>((AC20*Reference!J$2)/Reference!J$3)*1000</f>
        <v>15.578572340532739</v>
      </c>
      <c r="AL20" s="40">
        <f t="shared" ref="AL20" si="1261">SUM(AE20:AG20)</f>
        <v>556.80528980844679</v>
      </c>
      <c r="AM20" s="40">
        <f t="shared" ref="AM20" si="1262">SUM(AH20:AK20)</f>
        <v>619.70141620893151</v>
      </c>
      <c r="AN20" s="72">
        <f t="shared" ref="AN20" si="1263">ABS(AM20-AL20)</f>
        <v>62.896126400484718</v>
      </c>
      <c r="AO20" s="24" t="str">
        <f t="shared" ref="AO20" si="1264">IF(AM20&gt;AL20, "Δe,cat", "Δe,ani")</f>
        <v>Δe,cat</v>
      </c>
      <c r="AP20" s="25" t="b">
        <f t="shared" ref="AP20" si="1265">IF(OR(AN20&lt;=MAX(AL20,AM20)*0.02, AL20&gt;AM20), TRUE)</f>
        <v>0</v>
      </c>
      <c r="AQ20" s="25" t="b">
        <f t="shared" ref="AQ20" si="1266">IF(AND(AN20&gt;AM20*0.02, AM20&gt;AL20), TRUE)</f>
        <v>1</v>
      </c>
      <c r="AR20" s="73" t="str">
        <f t="shared" ref="AR20" si="1267">IF($AP20=TRUE, (AE20*($AL20+$AM20)/(2*$AL20)), "-")</f>
        <v>-</v>
      </c>
      <c r="AS20" s="73" t="str">
        <f t="shared" ref="AS20" si="1268">IF($AP20=TRUE, (AF20*($AL20+$AM20)/(2*$AL20)), "-")</f>
        <v>-</v>
      </c>
      <c r="AT20" s="73" t="str">
        <f t="shared" ref="AT20" si="1269">IF($AP20=TRUE, (AG20*($AL20+$AM20)/(2*$AL20)), "-")</f>
        <v>-</v>
      </c>
      <c r="AU20" s="73" t="str">
        <f t="shared" ref="AU20" si="1270">IF($AP20=TRUE, (AH20*($AL20+$AM20)/(2*$AM20)), "-")</f>
        <v>-</v>
      </c>
      <c r="AV20" s="73" t="str">
        <f t="shared" ref="AV20" si="1271">IF($AP20=TRUE, (AI20*($AL20+$AM20)/(2*$AM20)), "-")</f>
        <v>-</v>
      </c>
      <c r="AW20" s="73" t="str">
        <f t="shared" ref="AW20" si="1272">IF($AP20=TRUE, (AJ20*($AL20+$AM20)/(2*$AM20)), "-")</f>
        <v>-</v>
      </c>
      <c r="AX20" s="73" t="str">
        <f t="shared" ref="AX20" si="1273">IF($AP20=TRUE, (AK20*($AL20+$AM20)/(2*$AM20)), "-")</f>
        <v>-</v>
      </c>
      <c r="AY20" s="71">
        <f t="shared" ref="AY20" si="1274">IF($AQ20=TRUE, AE20, "-")</f>
        <v>125.86998844168484</v>
      </c>
      <c r="AZ20" s="71">
        <f t="shared" ref="AZ20" si="1275">IF($AQ20=TRUE, AF20, "-")</f>
        <v>205.88582544954039</v>
      </c>
      <c r="BA20" s="71">
        <f t="shared" ref="BA20" si="1276">IF($AQ20=TRUE, AG20, "-")</f>
        <v>225.04947591722154</v>
      </c>
      <c r="BB20" s="71">
        <f t="shared" ref="BB20" si="1277">IF($AQ20=TRUE, AH20, "-")</f>
        <v>120.39145584428505</v>
      </c>
      <c r="BC20" s="71">
        <f t="shared" ref="BC20" si="1278">IF($AQ20=TRUE, AI20, "-")</f>
        <v>25.628372146327745</v>
      </c>
      <c r="BD20" s="71">
        <f t="shared" ref="BD20" si="1279">IF($AQ20=TRUE, IF(AJ20-AN20 &gt;= 0, AJ20-AN20, 0), "-")</f>
        <v>395.20688947730122</v>
      </c>
      <c r="BE20" s="71">
        <f t="shared" ref="BE20" si="1280">IF($AQ20=TRUE, AK20, "-")</f>
        <v>15.578572340532739</v>
      </c>
      <c r="BF20" s="40">
        <f t="shared" ref="BF20" si="1281">IF($AQ20=TRUE, SUM(AY20:BA20), "")</f>
        <v>556.80528980844679</v>
      </c>
      <c r="BG20" s="40">
        <f t="shared" ref="BG20" si="1282">IF($AQ20=TRUE, SUM(BB20:BE20), "")</f>
        <v>556.80528980844679</v>
      </c>
      <c r="BH20" s="40">
        <f t="shared" ref="BH20" si="1283">IF($AQ20=TRUE,IF(ABS(BG20-BF20)&lt; 0.000001, 0, ABS(BG20-BF20)), "")</f>
        <v>0</v>
      </c>
      <c r="BI20" s="71">
        <f t="shared" ref="BI20" si="1284">IF($AQ20=TRUE, AY20, "-")</f>
        <v>125.86998844168484</v>
      </c>
      <c r="BJ20" s="71">
        <f t="shared" ref="BJ20" si="1285">IF($AQ20=TRUE, AZ20, "-")</f>
        <v>205.88582544954039</v>
      </c>
      <c r="BK20" s="71">
        <f t="shared" ref="BK20" si="1286">IF($AQ20=TRUE, BA20, "-")</f>
        <v>225.04947591722154</v>
      </c>
      <c r="BL20" s="71">
        <f t="shared" ref="BL20" si="1287">IF($AQ20=TRUE, BB20, "-")</f>
        <v>120.39145584428505</v>
      </c>
      <c r="BM20" s="71">
        <f t="shared" ref="BM20" si="1288">IF($AQ20=TRUE, BC20, "-")</f>
        <v>25.628372146327745</v>
      </c>
      <c r="BN20" s="71">
        <f t="shared" ref="BN20" si="1289">IF($AQ20=TRUE, BD20, "-")</f>
        <v>395.20688947730122</v>
      </c>
      <c r="BO20" s="71">
        <f t="shared" ref="BO20" si="1290">IF($AQ20=TRUE, IF(BE20 -BH20 &gt;= 0, BE20 -BH20, 0), "-")</f>
        <v>15.578572340532739</v>
      </c>
      <c r="BP20" s="40">
        <f t="shared" ref="BP20" si="1291">IF($AQ20=TRUE, SUM(BI20:BK20), "")</f>
        <v>556.80528980844679</v>
      </c>
      <c r="BQ20" s="40">
        <f t="shared" ref="BQ20" si="1292">IF($AQ20=TRUE, SUM(BL20:BO20), "")</f>
        <v>556.80528980844679</v>
      </c>
      <c r="BR20" s="40">
        <f t="shared" ref="BR20" si="1293">IF($AQ20=TRUE,IF(ABS(BQ20-BP20)&lt; 0.000001, 0, ABS(BQ20-BP20)), "")</f>
        <v>0</v>
      </c>
      <c r="BS20" s="71">
        <f t="shared" ref="BS20" si="1294">IF($AQ20=TRUE, BI20, "-")</f>
        <v>125.86998844168484</v>
      </c>
      <c r="BT20" s="71">
        <f t="shared" ref="BT20" si="1295">IF($AQ20=TRUE, BJ20, "-")</f>
        <v>205.88582544954039</v>
      </c>
      <c r="BU20" s="71">
        <f t="shared" ref="BU20" si="1296">IF($AQ20=TRUE, BK20, "-")</f>
        <v>225.04947591722154</v>
      </c>
      <c r="BV20" s="71">
        <f t="shared" ref="BV20" si="1297">IF($AQ20=TRUE, IF(BL20 -BR20 &gt;= 0, BL20 -BR20, 0), "-")</f>
        <v>120.39145584428505</v>
      </c>
      <c r="BW20" s="71">
        <f t="shared" ref="BW20" si="1298">IF($AQ20=TRUE, BM20, "-")</f>
        <v>25.628372146327745</v>
      </c>
      <c r="BX20" s="71">
        <f t="shared" ref="BX20" si="1299">IF($AQ20=TRUE, BN20, "-")</f>
        <v>395.20688947730122</v>
      </c>
      <c r="BY20" s="71">
        <f t="shared" ref="BY20" si="1300">IF($AQ20=TRUE, BO20, "-")</f>
        <v>15.578572340532739</v>
      </c>
      <c r="BZ20" s="40">
        <f t="shared" ref="BZ20" si="1301">IF($AQ20=TRUE, SUM(BS20:BU20), "")</f>
        <v>556.80528980844679</v>
      </c>
      <c r="CA20" s="40">
        <f t="shared" ref="CA20" si="1302">IF($AQ20=TRUE, SUM(BV20:BY20), "")</f>
        <v>556.80528980844679</v>
      </c>
      <c r="CB20" s="40">
        <f t="shared" ref="CB20" si="1303">IF($AQ20=TRUE,IF(ABS(CA20-BZ20)&lt; 0.000001, 0, ABS(CA20-BZ20)), "")</f>
        <v>0</v>
      </c>
      <c r="CC20" s="71">
        <f t="shared" ref="CC20" si="1304">IF($AQ20=TRUE, BS20, "-")</f>
        <v>125.86998844168484</v>
      </c>
      <c r="CD20" s="71">
        <f t="shared" ref="CD20" si="1305">IF($AQ20=TRUE, BT20, "-")</f>
        <v>205.88582544954039</v>
      </c>
      <c r="CE20" s="71">
        <f t="shared" ref="CE20" si="1306">IF($AQ20=TRUE, BU20, "-")</f>
        <v>225.04947591722154</v>
      </c>
      <c r="CF20" s="71">
        <f t="shared" ref="CF20" si="1307">IF($AQ20=TRUE, BV20, "-")</f>
        <v>120.39145584428505</v>
      </c>
      <c r="CG20" s="71">
        <f t="shared" ref="CG20" si="1308">IF($AQ20=TRUE,  IF(BW20 -CB20 &gt;= 0, BW20 -CB20, 0), "-")</f>
        <v>25.628372146327745</v>
      </c>
      <c r="CH20" s="71">
        <f t="shared" ref="CH20" si="1309">IF($AQ20=TRUE, BX20, "-")</f>
        <v>395.20688947730122</v>
      </c>
      <c r="CI20" s="71">
        <f t="shared" ref="CI20" si="1310">IF($AQ20=TRUE, BY20, "-")</f>
        <v>15.578572340532739</v>
      </c>
      <c r="CJ20" s="40">
        <f t="shared" ref="CJ20" si="1311">IF($AQ20=TRUE, SUM(CC20:CE20), "")</f>
        <v>556.80528980844679</v>
      </c>
      <c r="CK20" s="40">
        <f t="shared" ref="CK20" si="1312">IF($AQ20=TRUE, SUM(CF20:CI20), "")</f>
        <v>556.80528980844679</v>
      </c>
      <c r="CL20" s="40">
        <f t="shared" ref="CL20" si="1313">IF($AQ20=TRUE,IF(ABS(CK20-CJ20)&lt; 0.000001, 0, ABS(CK20-CJ20)), "")</f>
        <v>0</v>
      </c>
      <c r="CM20" s="74">
        <f t="shared" ref="CM20" si="1314">IF($AQ20 = TRUE, CC20, AR20)</f>
        <v>125.86998844168484</v>
      </c>
      <c r="CN20" s="74">
        <f t="shared" ref="CN20" si="1315">IF($AQ20 = TRUE, CD20, AS20)</f>
        <v>205.88582544954039</v>
      </c>
      <c r="CO20" s="74">
        <f t="shared" ref="CO20" si="1316">IF($AQ20 = TRUE, CE20, AT20)</f>
        <v>225.04947591722154</v>
      </c>
      <c r="CP20" s="74">
        <f t="shared" ref="CP20" si="1317">IF($AQ20 = TRUE, CF20, AU20)</f>
        <v>120.39145584428505</v>
      </c>
      <c r="CQ20" s="74">
        <f t="shared" ref="CQ20" si="1318">IF($AQ20 = TRUE, CG20, AV20)</f>
        <v>25.628372146327745</v>
      </c>
      <c r="CR20" s="74">
        <f t="shared" ref="CR20" si="1319">IF($AQ20 = TRUE, CH20, AW20)</f>
        <v>395.20688947730122</v>
      </c>
      <c r="CS20" s="74">
        <f t="shared" ref="CS20" si="1320">IF($AQ20 = TRUE, CI20, AX20)</f>
        <v>15.578572340532739</v>
      </c>
      <c r="CT20" s="78">
        <f t="shared" ref="CT20" si="1321">MIN(CR20,CO20)</f>
        <v>225.04947591722154</v>
      </c>
      <c r="CU20" s="78">
        <f t="shared" ref="CU20" si="1322">CM20</f>
        <v>125.86998844168484</v>
      </c>
      <c r="CV20" s="78">
        <f t="shared" ref="CV20" si="1323">CN20</f>
        <v>205.88582544954039</v>
      </c>
      <c r="CW20" s="78">
        <f t="shared" ref="CW20" si="1324">CO20-CT20</f>
        <v>0</v>
      </c>
      <c r="CX20" s="78">
        <f t="shared" ref="CX20" si="1325">CP20</f>
        <v>120.39145584428505</v>
      </c>
      <c r="CY20" s="78">
        <f t="shared" ref="CY20" si="1326">CQ20</f>
        <v>25.628372146327745</v>
      </c>
      <c r="CZ20" s="78">
        <f t="shared" ref="CZ20" si="1327">CR20-CT20</f>
        <v>170.15741356007968</v>
      </c>
      <c r="DA20" s="78">
        <f t="shared" ref="DA20" si="1328">CS20</f>
        <v>15.578572340532739</v>
      </c>
      <c r="DB20" s="25" t="b">
        <f t="shared" ref="DB20" si="1329">IF(ABS(SUM(CU20:CW20)-SUM(CX20:DA20)) &lt; 0.000001, TRUE)</f>
        <v>1</v>
      </c>
      <c r="DC20" s="115">
        <f>(Table1[[#This Row],[eCl,adj (mEq/kg) eq7]]/Reference!D$2)/1000</f>
        <v>0.12586998844168484</v>
      </c>
      <c r="DD20" s="115">
        <f>(Table1[[#This Row],[eNO3,adj (mEq/kg) eq7]]/Reference!E$2)/1000</f>
        <v>0.2058858254495404</v>
      </c>
      <c r="DE20" s="115">
        <f>(Table1[[#This Row],[eSO4,adj,f (mEq/kg) eq7]]/Reference!F$2)/1000</f>
        <v>0</v>
      </c>
      <c r="DF20" s="115">
        <f>(Table1[[#This Row],[eNa,adj (mEq/kg) eq7]]/Reference!G$2)/1000</f>
        <v>0.12039145584428505</v>
      </c>
      <c r="DG20" s="115">
        <f>(Table1[[#This Row],[eK,adj (mEq/kg) eq7]]/Reference!H$2)/1000</f>
        <v>2.5628372146327745E-2</v>
      </c>
      <c r="DH20" s="115">
        <f>(Table1[[#This Row],[eCa,adj,f (mEq/kg) eq7]]/Reference!I$2)/1000</f>
        <v>8.5078706780039842E-2</v>
      </c>
      <c r="DI20" s="115">
        <f>(Table1[[#This Row],[eMg,adj (mEq/kg) eq7]]/Reference!J$2)/1000</f>
        <v>7.7892861702663699E-3</v>
      </c>
      <c r="DJ20" s="44">
        <f>Table1[[#This Row],[cCl,adj (mol/kg) eq 8 part 1]]/SUM(Table1[[#This Row],[cCl,adj (mol/kg) eq 8 part 1]:[cMg,adj (mol/kg) eq 8 part 1]])</f>
        <v>0.22057547085180348</v>
      </c>
      <c r="DK20" s="44">
        <f>Table1[[#This Row],[cNO3,adj (mol/kg) eq 8 part 1]]/SUM(Table1[[#This Row],[cCl,adj (mol/kg) eq 8 part 1]:[cMg,adj (mol/kg) eq 8 part 1]])</f>
        <v>0.3607957977312794</v>
      </c>
      <c r="DL20" s="44">
        <f>Table1[[#This Row],[cSO4,adj (mol/kg) eq 8 part 1]]/SUM(Table1[[#This Row],[cCl,adj (mol/kg) eq 8 part 1]:[cMg,adj (mol/kg) eq 8 part 1]])</f>
        <v>0</v>
      </c>
      <c r="DM20" s="44">
        <f>Table1[[#This Row],[cNa,adj (mol/kg) eq 8 part 1]]/SUM(Table1[[#This Row],[cCl,adj (mol/kg) eq 8 part 1]:[cMg,adj (mol/kg) eq 8 part 1]])</f>
        <v>0.21097485102010888</v>
      </c>
      <c r="DN20" s="44">
        <f>Table1[[#This Row],[cK,adj (mol/kg) eq 8 part 1]]/SUM(Table1[[#This Row],[cCl,adj (mol/kg) eq 8 part 1]:[cMg,adj (mol/kg) eq 8 part 1]])</f>
        <v>4.491134323064231E-2</v>
      </c>
      <c r="DO20" s="44">
        <f>Table1[[#This Row],[cCa,adj (mol/kg) eq 8 part 1]]/SUM(Table1[[#This Row],[cCl,adj (mol/kg) eq 8 part 1]:[cMg,adj (mol/kg) eq 8 part 1]])</f>
        <v>0.14909253619391702</v>
      </c>
      <c r="DP20" s="44">
        <f>Table1[[#This Row],[cMg,adj (mol/kg) eq 8 part 1]]/SUM(Table1[[#This Row],[cCl,adj (mol/kg) eq 8 part 1]:[cMg,adj (mol/kg) eq 8 part 1]])</f>
        <v>1.3650000972248819E-2</v>
      </c>
      <c r="DQ20" s="46">
        <f t="shared" ref="DQ20" si="1330">IF($AP20=TRUE, 0, (AJ20-CR20)/SUM($AH20:$AK20))</f>
        <v>0.10149424344591036</v>
      </c>
      <c r="DR20" s="46">
        <f t="shared" ref="DR20" si="1331">IF($AP20=TRUE, 0, (AK20-CS20)/SUM($AH20:$AK20))</f>
        <v>0</v>
      </c>
      <c r="DS20" s="46">
        <f t="shared" ref="DS20" si="1332">IF($AP20=TRUE, 0, (AH20-CP20)/SUM($AH20:$AK20))</f>
        <v>0</v>
      </c>
      <c r="DT20" s="46">
        <f t="shared" ref="DT20" si="1333">IF($AP20=TRUE, 0, (AI20-CQ20)/SUM($AH20:$AK20))</f>
        <v>0</v>
      </c>
      <c r="DU20" s="69">
        <f>((CU20*Reference!D$3)/Reference!D$2)*0.001</f>
        <v>4.4624309392265202E-3</v>
      </c>
      <c r="DV20" s="69">
        <f>((CV20*Reference!E$3)/Reference!E$2)*0.001</f>
        <v>1.2765930018416208E-2</v>
      </c>
      <c r="DW20" s="69">
        <f>((CW20*Reference!F$3)/Reference!F$2)*0.001</f>
        <v>0</v>
      </c>
      <c r="DX20" s="69">
        <f>((CX20*Reference!G$3)/Reference!G$2)*0.001</f>
        <v>2.7677716390423577E-3</v>
      </c>
      <c r="DY20" s="69">
        <f>((CY20*Reference!H$3)/Reference!H$2)*0.001</f>
        <v>1.0020257826887662E-3</v>
      </c>
      <c r="DZ20" s="69">
        <f>((CZ20*Reference!I$3)/Reference!I$2)*0.001</f>
        <v>3.4097844103304371E-3</v>
      </c>
      <c r="EA20" s="69">
        <f>((DA20*Reference!J$3)/Reference!J$2)*0.001</f>
        <v>1.8931860036832413E-4</v>
      </c>
      <c r="EB20" s="70">
        <f t="shared" ref="EB20" si="1334">SUM(DU20:EA20)</f>
        <v>2.4597261390072608E-2</v>
      </c>
      <c r="EC20" s="68">
        <f t="shared" si="753"/>
        <v>1.6579718352100509E-2</v>
      </c>
      <c r="ED20" s="68">
        <f t="shared" ref="ED20" si="1335">((CT20)*(0.5*(96.064+40.078))*0.000001)</f>
        <v>1.5319342875161186E-2</v>
      </c>
      <c r="EE20" s="68">
        <f>Table1[[#This Row],[wtot,adj + wCaSO4(-) eq11]]-Table1[[#This Row],[wCaSO4 (-)]]</f>
        <v>1.2603754769393224E-3</v>
      </c>
      <c r="EF20" s="68">
        <f>IF(Table1[[#This Row],[pII]]=TRUE, ABS(SUM(DX20,DY20)-(SUM(Z20,AA20))),"Pathway I")</f>
        <v>0</v>
      </c>
      <c r="EG20" s="68">
        <f>IF(Table1[[#This Row],[pII]]=TRUE, (((ABS(Table1[[#This Row],[eCa,adj (mEq/kg) pI or pII]]-Table1[[#This Row],[eCa (mEq/kg)]]))*0.040078)/2)*0.001,"Pathway I")</f>
        <v>1.2603754769393133E-3</v>
      </c>
      <c r="EH20" s="68">
        <f>IF(Table1[[#This Row],[pII]]=TRUE, ((Table1[[#This Row],[ΔeMg (mEq/kg) eq5b]]+Table1[[#This Row],[ΔeNa (mEq/kg) eq5c]]+Table1[[#This Row],[ΔeK (mEq/kg) eq5d]])/1000000)*(60.01/2), "Pathway I")</f>
        <v>0</v>
      </c>
    </row>
    <row r="21" spans="1:138" x14ac:dyDescent="0.6">
      <c r="A21" s="2" t="s">
        <v>297</v>
      </c>
      <c r="B21" s="1" t="s">
        <v>207</v>
      </c>
      <c r="C21" s="1" t="s">
        <v>208</v>
      </c>
      <c r="D21" s="127" t="s">
        <v>278</v>
      </c>
      <c r="E21" s="127" t="s">
        <v>292</v>
      </c>
      <c r="F21" s="1" t="s">
        <v>207</v>
      </c>
      <c r="G21" s="1" t="s">
        <v>208</v>
      </c>
      <c r="H21" s="1" t="s">
        <v>295</v>
      </c>
      <c r="I21" s="1" t="s">
        <v>296</v>
      </c>
      <c r="J21" s="1" t="s">
        <v>208</v>
      </c>
      <c r="K21" s="1" t="s">
        <v>222</v>
      </c>
      <c r="L21" s="1">
        <v>125</v>
      </c>
      <c r="M21" s="1" t="s">
        <v>220</v>
      </c>
      <c r="N21" s="1">
        <v>1.218</v>
      </c>
      <c r="O21" s="1">
        <v>100</v>
      </c>
      <c r="P21" s="26">
        <v>96.826999999999998</v>
      </c>
      <c r="Q21" s="26">
        <v>23.748999999999999</v>
      </c>
      <c r="R21" s="26">
        <v>45.405999999999999</v>
      </c>
      <c r="S21" s="26">
        <v>69.936000000000007</v>
      </c>
      <c r="T21" s="26">
        <v>7.7569999999999997</v>
      </c>
      <c r="U21" s="26">
        <v>16.850000000000001</v>
      </c>
      <c r="V21" s="26">
        <v>0.81399999999999995</v>
      </c>
      <c r="W21" s="69">
        <f t="shared" ref="W21" si="1336">(P21*($O21/1000))/($N21*1000)</f>
        <v>7.949671592775041E-3</v>
      </c>
      <c r="X21" s="69">
        <f t="shared" ref="X21" si="1337">(Q21*($O21/1000))/($N21*1000)</f>
        <v>1.9498357963875204E-3</v>
      </c>
      <c r="Y21" s="69">
        <f t="shared" ref="Y21" si="1338">(R21*($O21/1000))/($N21*1000)</f>
        <v>3.7279146141215112E-3</v>
      </c>
      <c r="Z21" s="69">
        <f t="shared" ref="Z21" si="1339">(S21*($O21/1000))/($N21*1000)</f>
        <v>5.7418719211822667E-3</v>
      </c>
      <c r="AA21" s="69">
        <f t="shared" ref="AA21" si="1340">(T21*($O21/1000))/($N21*1000)</f>
        <v>6.368637110016421E-4</v>
      </c>
      <c r="AB21" s="69">
        <f t="shared" ref="AB21" si="1341">(U21*($O21/1000))/($N21*1000)</f>
        <v>1.3834154351395733E-3</v>
      </c>
      <c r="AC21" s="69">
        <f t="shared" ref="AC21" si="1342">(V21*($O21/1000))/($N21*1000)</f>
        <v>6.6830870279146147E-5</v>
      </c>
      <c r="AD21" s="70">
        <f t="shared" ref="AD21" si="1343">SUM(W21:AC21)</f>
        <v>2.1456403940886701E-2</v>
      </c>
      <c r="AE21" s="71">
        <f>((W21*Reference!D$2)/Reference!D$3)*1000</f>
        <v>224.23317808728365</v>
      </c>
      <c r="AF21" s="71">
        <f>((X21*Reference!E$2)/Reference!E$3)*1000</f>
        <v>31.446479171606118</v>
      </c>
      <c r="AG21" s="71">
        <f>((Y21*Reference!F$2)/Reference!F$3)*1000</f>
        <v>77.61314569706677</v>
      </c>
      <c r="AH21" s="71">
        <f>((Z21*Reference!G$2)/Reference!G$3)*1000</f>
        <v>249.75771487482024</v>
      </c>
      <c r="AI21" s="71">
        <f>((AA21*Reference!H$2)/Reference!H$3)*1000</f>
        <v>16.288782658111533</v>
      </c>
      <c r="AJ21" s="71">
        <f>((AB21*Reference!I$2)/Reference!I$3)*1000</f>
        <v>69.036151262017725</v>
      </c>
      <c r="AK21" s="71">
        <f>((AC21*Reference!J$2)/Reference!J$3)*1000</f>
        <v>5.4993515967205227</v>
      </c>
      <c r="AL21" s="40">
        <f t="shared" ref="AL21" si="1344">SUM(AE21:AG21)</f>
        <v>333.29280295595652</v>
      </c>
      <c r="AM21" s="40">
        <f t="shared" ref="AM21" si="1345">SUM(AH21:AK21)</f>
        <v>340.58200039167002</v>
      </c>
      <c r="AN21" s="72">
        <f t="shared" ref="AN21" si="1346">ABS(AM21-AL21)</f>
        <v>7.2891974357135041</v>
      </c>
      <c r="AO21" s="24" t="str">
        <f t="shared" ref="AO21" si="1347">IF(AM21&gt;AL21, "Δe,cat", "Δe,ani")</f>
        <v>Δe,cat</v>
      </c>
      <c r="AP21" s="25" t="b">
        <f t="shared" ref="AP21" si="1348">IF(OR(AN21&lt;=MAX(AL21,AM21)*0.02, AL21&gt;AM21), TRUE)</f>
        <v>0</v>
      </c>
      <c r="AQ21" s="25" t="b">
        <f t="shared" ref="AQ21" si="1349">IF(AND(AN21&gt;AM21*0.02, AM21&gt;AL21), TRUE)</f>
        <v>1</v>
      </c>
      <c r="AR21" s="73" t="str">
        <f t="shared" ref="AR21" si="1350">IF($AP21=TRUE, (AE21*($AL21+$AM21)/(2*$AL21)), "-")</f>
        <v>-</v>
      </c>
      <c r="AS21" s="73" t="str">
        <f t="shared" ref="AS21" si="1351">IF($AP21=TRUE, (AF21*($AL21+$AM21)/(2*$AL21)), "-")</f>
        <v>-</v>
      </c>
      <c r="AT21" s="73" t="str">
        <f t="shared" ref="AT21" si="1352">IF($AP21=TRUE, (AG21*($AL21+$AM21)/(2*$AL21)), "-")</f>
        <v>-</v>
      </c>
      <c r="AU21" s="73" t="str">
        <f t="shared" ref="AU21" si="1353">IF($AP21=TRUE, (AH21*($AL21+$AM21)/(2*$AM21)), "-")</f>
        <v>-</v>
      </c>
      <c r="AV21" s="73" t="str">
        <f t="shared" ref="AV21" si="1354">IF($AP21=TRUE, (AI21*($AL21+$AM21)/(2*$AM21)), "-")</f>
        <v>-</v>
      </c>
      <c r="AW21" s="73" t="str">
        <f t="shared" ref="AW21" si="1355">IF($AP21=TRUE, (AJ21*($AL21+$AM21)/(2*$AM21)), "-")</f>
        <v>-</v>
      </c>
      <c r="AX21" s="73" t="str">
        <f t="shared" ref="AX21" si="1356">IF($AP21=TRUE, (AK21*($AL21+$AM21)/(2*$AM21)), "-")</f>
        <v>-</v>
      </c>
      <c r="AY21" s="71">
        <f t="shared" ref="AY21" si="1357">IF($AQ21=TRUE, AE21, "-")</f>
        <v>224.23317808728365</v>
      </c>
      <c r="AZ21" s="71">
        <f t="shared" ref="AZ21" si="1358">IF($AQ21=TRUE, AF21, "-")</f>
        <v>31.446479171606118</v>
      </c>
      <c r="BA21" s="71">
        <f t="shared" ref="BA21" si="1359">IF($AQ21=TRUE, AG21, "-")</f>
        <v>77.61314569706677</v>
      </c>
      <c r="BB21" s="71">
        <f t="shared" ref="BB21" si="1360">IF($AQ21=TRUE, AH21, "-")</f>
        <v>249.75771487482024</v>
      </c>
      <c r="BC21" s="71">
        <f t="shared" ref="BC21" si="1361">IF($AQ21=TRUE, AI21, "-")</f>
        <v>16.288782658111533</v>
      </c>
      <c r="BD21" s="71">
        <f t="shared" ref="BD21" si="1362">IF($AQ21=TRUE, IF(AJ21-AN21 &gt;= 0, AJ21-AN21, 0), "-")</f>
        <v>61.746953826304221</v>
      </c>
      <c r="BE21" s="71">
        <f t="shared" ref="BE21" si="1363">IF($AQ21=TRUE, AK21, "-")</f>
        <v>5.4993515967205227</v>
      </c>
      <c r="BF21" s="40">
        <f t="shared" ref="BF21" si="1364">IF($AQ21=TRUE, SUM(AY21:BA21), "")</f>
        <v>333.29280295595652</v>
      </c>
      <c r="BG21" s="40">
        <f t="shared" ref="BG21" si="1365">IF($AQ21=TRUE, SUM(BB21:BE21), "")</f>
        <v>333.29280295595652</v>
      </c>
      <c r="BH21" s="40">
        <f t="shared" ref="BH21" si="1366">IF($AQ21=TRUE,IF(ABS(BG21-BF21)&lt; 0.000001, 0, ABS(BG21-BF21)), "")</f>
        <v>0</v>
      </c>
      <c r="BI21" s="71">
        <f t="shared" ref="BI21" si="1367">IF($AQ21=TRUE, AY21, "-")</f>
        <v>224.23317808728365</v>
      </c>
      <c r="BJ21" s="71">
        <f t="shared" ref="BJ21" si="1368">IF($AQ21=TRUE, AZ21, "-")</f>
        <v>31.446479171606118</v>
      </c>
      <c r="BK21" s="71">
        <f t="shared" ref="BK21" si="1369">IF($AQ21=TRUE, BA21, "-")</f>
        <v>77.61314569706677</v>
      </c>
      <c r="BL21" s="71">
        <f t="shared" ref="BL21" si="1370">IF($AQ21=TRUE, BB21, "-")</f>
        <v>249.75771487482024</v>
      </c>
      <c r="BM21" s="71">
        <f t="shared" ref="BM21" si="1371">IF($AQ21=TRUE, BC21, "-")</f>
        <v>16.288782658111533</v>
      </c>
      <c r="BN21" s="71">
        <f t="shared" ref="BN21" si="1372">IF($AQ21=TRUE, BD21, "-")</f>
        <v>61.746953826304221</v>
      </c>
      <c r="BO21" s="71">
        <f t="shared" ref="BO21" si="1373">IF($AQ21=TRUE, IF(BE21 -BH21 &gt;= 0, BE21 -BH21, 0), "-")</f>
        <v>5.4993515967205227</v>
      </c>
      <c r="BP21" s="40">
        <f t="shared" ref="BP21" si="1374">IF($AQ21=TRUE, SUM(BI21:BK21), "")</f>
        <v>333.29280295595652</v>
      </c>
      <c r="BQ21" s="40">
        <f t="shared" ref="BQ21" si="1375">IF($AQ21=TRUE, SUM(BL21:BO21), "")</f>
        <v>333.29280295595652</v>
      </c>
      <c r="BR21" s="40">
        <f t="shared" ref="BR21" si="1376">IF($AQ21=TRUE,IF(ABS(BQ21-BP21)&lt; 0.000001, 0, ABS(BQ21-BP21)), "")</f>
        <v>0</v>
      </c>
      <c r="BS21" s="71">
        <f t="shared" ref="BS21" si="1377">IF($AQ21=TRUE, BI21, "-")</f>
        <v>224.23317808728365</v>
      </c>
      <c r="BT21" s="71">
        <f t="shared" ref="BT21" si="1378">IF($AQ21=TRUE, BJ21, "-")</f>
        <v>31.446479171606118</v>
      </c>
      <c r="BU21" s="71">
        <f t="shared" ref="BU21" si="1379">IF($AQ21=TRUE, BK21, "-")</f>
        <v>77.61314569706677</v>
      </c>
      <c r="BV21" s="71">
        <f t="shared" ref="BV21" si="1380">IF($AQ21=TRUE, IF(BL21 -BR21 &gt;= 0, BL21 -BR21, 0), "-")</f>
        <v>249.75771487482024</v>
      </c>
      <c r="BW21" s="71">
        <f t="shared" ref="BW21" si="1381">IF($AQ21=TRUE, BM21, "-")</f>
        <v>16.288782658111533</v>
      </c>
      <c r="BX21" s="71">
        <f t="shared" ref="BX21" si="1382">IF($AQ21=TRUE, BN21, "-")</f>
        <v>61.746953826304221</v>
      </c>
      <c r="BY21" s="71">
        <f t="shared" ref="BY21" si="1383">IF($AQ21=TRUE, BO21, "-")</f>
        <v>5.4993515967205227</v>
      </c>
      <c r="BZ21" s="40">
        <f t="shared" ref="BZ21" si="1384">IF($AQ21=TRUE, SUM(BS21:BU21), "")</f>
        <v>333.29280295595652</v>
      </c>
      <c r="CA21" s="40">
        <f t="shared" ref="CA21" si="1385">IF($AQ21=TRUE, SUM(BV21:BY21), "")</f>
        <v>333.29280295595652</v>
      </c>
      <c r="CB21" s="40">
        <f t="shared" ref="CB21" si="1386">IF($AQ21=TRUE,IF(ABS(CA21-BZ21)&lt; 0.000001, 0, ABS(CA21-BZ21)), "")</f>
        <v>0</v>
      </c>
      <c r="CC21" s="71">
        <f t="shared" ref="CC21" si="1387">IF($AQ21=TRUE, BS21, "-")</f>
        <v>224.23317808728365</v>
      </c>
      <c r="CD21" s="71">
        <f t="shared" ref="CD21" si="1388">IF($AQ21=TRUE, BT21, "-")</f>
        <v>31.446479171606118</v>
      </c>
      <c r="CE21" s="71">
        <f t="shared" ref="CE21" si="1389">IF($AQ21=TRUE, BU21, "-")</f>
        <v>77.61314569706677</v>
      </c>
      <c r="CF21" s="71">
        <f t="shared" ref="CF21" si="1390">IF($AQ21=TRUE, BV21, "-")</f>
        <v>249.75771487482024</v>
      </c>
      <c r="CG21" s="71">
        <f t="shared" ref="CG21" si="1391">IF($AQ21=TRUE,  IF(BW21 -CB21 &gt;= 0, BW21 -CB21, 0), "-")</f>
        <v>16.288782658111533</v>
      </c>
      <c r="CH21" s="71">
        <f t="shared" ref="CH21" si="1392">IF($AQ21=TRUE, BX21, "-")</f>
        <v>61.746953826304221</v>
      </c>
      <c r="CI21" s="71">
        <f t="shared" ref="CI21" si="1393">IF($AQ21=TRUE, BY21, "-")</f>
        <v>5.4993515967205227</v>
      </c>
      <c r="CJ21" s="40">
        <f t="shared" ref="CJ21" si="1394">IF($AQ21=TRUE, SUM(CC21:CE21), "")</f>
        <v>333.29280295595652</v>
      </c>
      <c r="CK21" s="40">
        <f t="shared" ref="CK21" si="1395">IF($AQ21=TRUE, SUM(CF21:CI21), "")</f>
        <v>333.29280295595652</v>
      </c>
      <c r="CL21" s="40">
        <f t="shared" ref="CL21" si="1396">IF($AQ21=TRUE,IF(ABS(CK21-CJ21)&lt; 0.000001, 0, ABS(CK21-CJ21)), "")</f>
        <v>0</v>
      </c>
      <c r="CM21" s="74">
        <f t="shared" ref="CM21" si="1397">IF($AQ21 = TRUE, CC21, AR21)</f>
        <v>224.23317808728365</v>
      </c>
      <c r="CN21" s="74">
        <f t="shared" ref="CN21" si="1398">IF($AQ21 = TRUE, CD21, AS21)</f>
        <v>31.446479171606118</v>
      </c>
      <c r="CO21" s="74">
        <f t="shared" ref="CO21" si="1399">IF($AQ21 = TRUE, CE21, AT21)</f>
        <v>77.61314569706677</v>
      </c>
      <c r="CP21" s="74">
        <f t="shared" ref="CP21" si="1400">IF($AQ21 = TRUE, CF21, AU21)</f>
        <v>249.75771487482024</v>
      </c>
      <c r="CQ21" s="74">
        <f t="shared" ref="CQ21" si="1401">IF($AQ21 = TRUE, CG21, AV21)</f>
        <v>16.288782658111533</v>
      </c>
      <c r="CR21" s="74">
        <f t="shared" ref="CR21" si="1402">IF($AQ21 = TRUE, CH21, AW21)</f>
        <v>61.746953826304221</v>
      </c>
      <c r="CS21" s="74">
        <f t="shared" ref="CS21" si="1403">IF($AQ21 = TRUE, CI21, AX21)</f>
        <v>5.4993515967205227</v>
      </c>
      <c r="CT21" s="78">
        <f t="shared" ref="CT21" si="1404">MIN(CR21,CO21)</f>
        <v>61.746953826304221</v>
      </c>
      <c r="CU21" s="78">
        <f t="shared" ref="CU21" si="1405">CM21</f>
        <v>224.23317808728365</v>
      </c>
      <c r="CV21" s="78">
        <f t="shared" ref="CV21" si="1406">CN21</f>
        <v>31.446479171606118</v>
      </c>
      <c r="CW21" s="78">
        <f t="shared" ref="CW21" si="1407">CO21-CT21</f>
        <v>15.866191870762549</v>
      </c>
      <c r="CX21" s="78">
        <f t="shared" ref="CX21" si="1408">CP21</f>
        <v>249.75771487482024</v>
      </c>
      <c r="CY21" s="78">
        <f t="shared" ref="CY21" si="1409">CQ21</f>
        <v>16.288782658111533</v>
      </c>
      <c r="CZ21" s="78">
        <f t="shared" ref="CZ21" si="1410">CR21-CT21</f>
        <v>0</v>
      </c>
      <c r="DA21" s="78">
        <f t="shared" ref="DA21" si="1411">CS21</f>
        <v>5.4993515967205227</v>
      </c>
      <c r="DB21" s="25" t="b">
        <f t="shared" ref="DB21" si="1412">IF(ABS(SUM(CU21:CW21)-SUM(CX21:DA21)) &lt; 0.000001, TRUE)</f>
        <v>1</v>
      </c>
      <c r="DC21" s="115">
        <f>(Table1[[#This Row],[eCl,adj (mEq/kg) eq7]]/Reference!D$2)/1000</f>
        <v>0.22423317808728366</v>
      </c>
      <c r="DD21" s="115">
        <f>(Table1[[#This Row],[eNO3,adj (mEq/kg) eq7]]/Reference!E$2)/1000</f>
        <v>3.1446479171606118E-2</v>
      </c>
      <c r="DE21" s="115">
        <f>(Table1[[#This Row],[eSO4,adj,f (mEq/kg) eq7]]/Reference!F$2)/1000</f>
        <v>7.9330959353812753E-3</v>
      </c>
      <c r="DF21" s="115">
        <f>(Table1[[#This Row],[eNa,adj (mEq/kg) eq7]]/Reference!G$2)/1000</f>
        <v>0.24975771487482024</v>
      </c>
      <c r="DG21" s="115">
        <f>(Table1[[#This Row],[eK,adj (mEq/kg) eq7]]/Reference!H$2)/1000</f>
        <v>1.6288782658111532E-2</v>
      </c>
      <c r="DH21" s="115">
        <f>(Table1[[#This Row],[eCa,adj,f (mEq/kg) eq7]]/Reference!I$2)/1000</f>
        <v>0</v>
      </c>
      <c r="DI21" s="115">
        <f>(Table1[[#This Row],[eMg,adj (mEq/kg) eq7]]/Reference!J$2)/1000</f>
        <v>2.7496757983602612E-3</v>
      </c>
      <c r="DJ21" s="44">
        <f>Table1[[#This Row],[cCl,adj (mol/kg) eq 8 part 1]]/SUM(Table1[[#This Row],[cCl,adj (mol/kg) eq 8 part 1]:[cMg,adj (mol/kg) eq 8 part 1]])</f>
        <v>0.42116720234313604</v>
      </c>
      <c r="DK21" s="44">
        <f>Table1[[#This Row],[cNO3,adj (mol/kg) eq 8 part 1]]/SUM(Table1[[#This Row],[cCl,adj (mol/kg) eq 8 part 1]:[cMg,adj (mol/kg) eq 8 part 1]])</f>
        <v>5.9064522784811439E-2</v>
      </c>
      <c r="DL21" s="44">
        <f>Table1[[#This Row],[cSO4,adj (mol/kg) eq 8 part 1]]/SUM(Table1[[#This Row],[cCl,adj (mol/kg) eq 8 part 1]:[cMg,adj (mol/kg) eq 8 part 1]])</f>
        <v>1.4900381154673176E-2</v>
      </c>
      <c r="DM21" s="44">
        <f>Table1[[#This Row],[cNa,adj (mol/kg) eq 8 part 1]]/SUM(Table1[[#This Row],[cCl,adj (mol/kg) eq 8 part 1]:[cMg,adj (mol/kg) eq 8 part 1]])</f>
        <v>0.46910880421316226</v>
      </c>
      <c r="DN21" s="44">
        <f>Table1[[#This Row],[cK,adj (mol/kg) eq 8 part 1]]/SUM(Table1[[#This Row],[cCl,adj (mol/kg) eq 8 part 1]:[cMg,adj (mol/kg) eq 8 part 1]])</f>
        <v>3.0594495784302827E-2</v>
      </c>
      <c r="DO21" s="44">
        <f>Table1[[#This Row],[cCa,adj (mol/kg) eq 8 part 1]]/SUM(Table1[[#This Row],[cCl,adj (mol/kg) eq 8 part 1]:[cMg,adj (mol/kg) eq 8 part 1]])</f>
        <v>0</v>
      </c>
      <c r="DP21" s="44">
        <f>Table1[[#This Row],[cMg,adj (mol/kg) eq 8 part 1]]/SUM(Table1[[#This Row],[cCl,adj (mol/kg) eq 8 part 1]:[cMg,adj (mol/kg) eq 8 part 1]])</f>
        <v>5.1645937199143455E-3</v>
      </c>
      <c r="DQ21" s="46">
        <f t="shared" ref="DQ21" si="1413">IF($AP21=TRUE, 0, (AJ21-CR21)/SUM($AH21:$AK21))</f>
        <v>2.1402180465588058E-2</v>
      </c>
      <c r="DR21" s="46">
        <f t="shared" ref="DR21" si="1414">IF($AP21=TRUE, 0, (AK21-CS21)/SUM($AH21:$AK21))</f>
        <v>0</v>
      </c>
      <c r="DS21" s="46">
        <f t="shared" ref="DS21" si="1415">IF($AP21=TRUE, 0, (AH21-CP21)/SUM($AH21:$AK21))</f>
        <v>0</v>
      </c>
      <c r="DT21" s="46">
        <f t="shared" ref="DT21" si="1416">IF($AP21=TRUE, 0, (AI21-CQ21)/SUM($AH21:$AK21))</f>
        <v>0</v>
      </c>
      <c r="DU21" s="69">
        <f>((CU21*Reference!D$3)/Reference!D$2)*0.001</f>
        <v>7.949671592775041E-3</v>
      </c>
      <c r="DV21" s="69">
        <f>((CV21*Reference!E$3)/Reference!E$2)*0.001</f>
        <v>1.9498357963875202E-3</v>
      </c>
      <c r="DW21" s="69">
        <f>((CW21*Reference!F$3)/Reference!F$2)*0.001</f>
        <v>7.6208492793646682E-4</v>
      </c>
      <c r="DX21" s="69">
        <f>((CX21*Reference!G$3)/Reference!G$2)*0.001</f>
        <v>5.7418719211822667E-3</v>
      </c>
      <c r="DY21" s="69">
        <f>((CY21*Reference!H$3)/Reference!H$2)*0.001</f>
        <v>6.3686371100164221E-4</v>
      </c>
      <c r="DZ21" s="69">
        <f>((CZ21*Reference!I$3)/Reference!I$2)*0.001</f>
        <v>0</v>
      </c>
      <c r="EA21" s="69">
        <f>((DA21*Reference!J$3)/Reference!J$2)*0.001</f>
        <v>6.6830870279146147E-5</v>
      </c>
      <c r="EB21" s="70">
        <f t="shared" ref="EB21" si="1417">SUM(DU21:EA21)</f>
        <v>1.7107158819562086E-2</v>
      </c>
      <c r="EC21" s="68">
        <f t="shared" si="753"/>
        <v>4.3492451213246151E-3</v>
      </c>
      <c r="ED21" s="68">
        <f t="shared" ref="ED21" si="1418">((CT21)*(0.5*(96.064+40.078))*0.000001)</f>
        <v>4.2031768939103549E-3</v>
      </c>
      <c r="EE21" s="68">
        <f>Table1[[#This Row],[wtot,adj + wCaSO4(-) eq11]]-Table1[[#This Row],[wCaSO4 (-)]]</f>
        <v>1.4606822741426023E-4</v>
      </c>
      <c r="EF21" s="68">
        <f>IF(Table1[[#This Row],[pII]]=TRUE, ABS(SUM(DX21,DY21)-(SUM(Z21,AA21))),"Pathway I")</f>
        <v>8.6736173798840355E-19</v>
      </c>
      <c r="EG21" s="68">
        <f>IF(Table1[[#This Row],[pII]]=TRUE, (((ABS(Table1[[#This Row],[eCa,adj (mEq/kg) pI or pII]]-Table1[[#This Row],[eCa (mEq/kg)]]))*0.040078)/2)*0.001,"Pathway I")</f>
        <v>1.4606822741426292E-4</v>
      </c>
      <c r="EH21" s="68">
        <f>IF(Table1[[#This Row],[pII]]=TRUE, ((Table1[[#This Row],[ΔeMg (mEq/kg) eq5b]]+Table1[[#This Row],[ΔeNa (mEq/kg) eq5c]]+Table1[[#This Row],[ΔeK (mEq/kg) eq5d]])/1000000)*(60.01/2), "Pathway I")</f>
        <v>0</v>
      </c>
    </row>
    <row r="22" spans="1:138" x14ac:dyDescent="0.6">
      <c r="A22" s="2" t="s">
        <v>301</v>
      </c>
      <c r="B22" s="1" t="s">
        <v>207</v>
      </c>
      <c r="C22" s="1" t="s">
        <v>208</v>
      </c>
      <c r="D22" s="127">
        <v>2</v>
      </c>
      <c r="E22" s="127">
        <v>2017</v>
      </c>
      <c r="F22" s="1" t="s">
        <v>207</v>
      </c>
      <c r="G22" s="1" t="s">
        <v>208</v>
      </c>
      <c r="H22" s="1" t="s">
        <v>300</v>
      </c>
      <c r="I22" s="1" t="s">
        <v>291</v>
      </c>
      <c r="J22" s="1" t="s">
        <v>208</v>
      </c>
      <c r="K22" s="1" t="s">
        <v>299</v>
      </c>
      <c r="L22" s="1">
        <v>50</v>
      </c>
      <c r="M22" s="1" t="s">
        <v>211</v>
      </c>
      <c r="N22" s="1">
        <v>1.1379999999999999</v>
      </c>
      <c r="O22" s="1">
        <v>100</v>
      </c>
      <c r="P22" s="26">
        <v>24.747</v>
      </c>
      <c r="Q22" s="26">
        <v>150.52600000000001</v>
      </c>
      <c r="R22" s="26">
        <v>338.13099999999997</v>
      </c>
      <c r="S22" s="26">
        <v>25.236000000000001</v>
      </c>
      <c r="T22" s="26">
        <v>19.905999999999999</v>
      </c>
      <c r="U22" s="26">
        <v>180.77600000000001</v>
      </c>
      <c r="V22" s="26">
        <v>4.3449999999999998</v>
      </c>
      <c r="W22" s="69">
        <f t="shared" ref="W22" si="1419">(P22*($O22/1000))/($N22*1000)</f>
        <v>2.1746045694200355E-3</v>
      </c>
      <c r="X22" s="69">
        <f t="shared" ref="X22" si="1420">(Q22*($O22/1000))/($N22*1000)</f>
        <v>1.3227240773286469E-2</v>
      </c>
      <c r="Y22" s="69">
        <f t="shared" ref="Y22" si="1421">(R22*($O22/1000))/($N22*1000)</f>
        <v>2.9712741652021087E-2</v>
      </c>
      <c r="Z22" s="69">
        <f t="shared" ref="Z22" si="1422">(S22*($O22/1000))/($N22*1000)</f>
        <v>2.2175746924428825E-3</v>
      </c>
      <c r="AA22" s="69">
        <f t="shared" ref="AA22" si="1423">(T22*($O22/1000))/($N22*1000)</f>
        <v>1.7492091388400701E-3</v>
      </c>
      <c r="AB22" s="69">
        <f t="shared" ref="AB22" si="1424">(U22*($O22/1000))/($N22*1000)</f>
        <v>1.5885413005272409E-2</v>
      </c>
      <c r="AC22" s="69">
        <f t="shared" ref="AC22" si="1425">(V22*($O22/1000))/($N22*1000)</f>
        <v>3.8181019332161686E-4</v>
      </c>
      <c r="AD22" s="70">
        <f t="shared" ref="AD22" si="1426">SUM(W22:AC22)</f>
        <v>6.5348594024604578E-2</v>
      </c>
      <c r="AE22" s="71">
        <f>((W22*Reference!D$2)/Reference!D$3)*1000</f>
        <v>61.338193407555302</v>
      </c>
      <c r="AF22" s="71">
        <f>((X22*Reference!E$2)/Reference!E$3)*1000</f>
        <v>213.32573350310167</v>
      </c>
      <c r="AG22" s="71">
        <f>((Y22*Reference!F$2)/Reference!F$3)*1000</f>
        <v>618.60304905107205</v>
      </c>
      <c r="AH22" s="71">
        <f>((Z22*Reference!G$2)/Reference!G$3)*1000</f>
        <v>96.459202739361373</v>
      </c>
      <c r="AI22" s="71">
        <f>((AA22*Reference!H$2)/Reference!H$3)*1000</f>
        <v>44.738751783071642</v>
      </c>
      <c r="AJ22" s="71">
        <f>((AB22*Reference!I$2)/Reference!I$3)*1000</f>
        <v>792.72483683179837</v>
      </c>
      <c r="AK22" s="71">
        <f>((AC22*Reference!J$2)/Reference!J$3)*1000</f>
        <v>31.418242610295565</v>
      </c>
      <c r="AL22" s="40">
        <f t="shared" ref="AL22" si="1427">SUM(AE22:AG22)</f>
        <v>893.26697596172903</v>
      </c>
      <c r="AM22" s="40">
        <f t="shared" ref="AM22" si="1428">SUM(AH22:AK22)</f>
        <v>965.3410339645269</v>
      </c>
      <c r="AN22" s="72">
        <f t="shared" ref="AN22" si="1429">ABS(AM22-AL22)</f>
        <v>72.074058002797869</v>
      </c>
      <c r="AO22" s="24" t="str">
        <f t="shared" ref="AO22" si="1430">IF(AM22&gt;AL22, "Δe,cat", "Δe,ani")</f>
        <v>Δe,cat</v>
      </c>
      <c r="AP22" s="25" t="b">
        <f t="shared" ref="AP22" si="1431">IF(OR(AN22&lt;=MAX(AL22,AM22)*0.02, AL22&gt;AM22), TRUE)</f>
        <v>0</v>
      </c>
      <c r="AQ22" s="25" t="b">
        <f t="shared" ref="AQ22" si="1432">IF(AND(AN22&gt;AM22*0.02, AM22&gt;AL22), TRUE)</f>
        <v>1</v>
      </c>
      <c r="AR22" s="73" t="str">
        <f t="shared" ref="AR22" si="1433">IF($AP22=TRUE, (AE22*($AL22+$AM22)/(2*$AL22)), "-")</f>
        <v>-</v>
      </c>
      <c r="AS22" s="73" t="str">
        <f t="shared" ref="AS22" si="1434">IF($AP22=TRUE, (AF22*($AL22+$AM22)/(2*$AL22)), "-")</f>
        <v>-</v>
      </c>
      <c r="AT22" s="73" t="str">
        <f t="shared" ref="AT22" si="1435">IF($AP22=TRUE, (AG22*($AL22+$AM22)/(2*$AL22)), "-")</f>
        <v>-</v>
      </c>
      <c r="AU22" s="73" t="str">
        <f t="shared" ref="AU22" si="1436">IF($AP22=TRUE, (AH22*($AL22+$AM22)/(2*$AM22)), "-")</f>
        <v>-</v>
      </c>
      <c r="AV22" s="73" t="str">
        <f t="shared" ref="AV22" si="1437">IF($AP22=TRUE, (AI22*($AL22+$AM22)/(2*$AM22)), "-")</f>
        <v>-</v>
      </c>
      <c r="AW22" s="73" t="str">
        <f t="shared" ref="AW22" si="1438">IF($AP22=TRUE, (AJ22*($AL22+$AM22)/(2*$AM22)), "-")</f>
        <v>-</v>
      </c>
      <c r="AX22" s="73" t="str">
        <f t="shared" ref="AX22" si="1439">IF($AP22=TRUE, (AK22*($AL22+$AM22)/(2*$AM22)), "-")</f>
        <v>-</v>
      </c>
      <c r="AY22" s="71">
        <f t="shared" ref="AY22" si="1440">IF($AQ22=TRUE, AE22, "-")</f>
        <v>61.338193407555302</v>
      </c>
      <c r="AZ22" s="71">
        <f t="shared" ref="AZ22" si="1441">IF($AQ22=TRUE, AF22, "-")</f>
        <v>213.32573350310167</v>
      </c>
      <c r="BA22" s="71">
        <f t="shared" ref="BA22" si="1442">IF($AQ22=TRUE, AG22, "-")</f>
        <v>618.60304905107205</v>
      </c>
      <c r="BB22" s="71">
        <f t="shared" ref="BB22" si="1443">IF($AQ22=TRUE, AH22, "-")</f>
        <v>96.459202739361373</v>
      </c>
      <c r="BC22" s="71">
        <f t="shared" ref="BC22" si="1444">IF($AQ22=TRUE, AI22, "-")</f>
        <v>44.738751783071642</v>
      </c>
      <c r="BD22" s="71">
        <f t="shared" ref="BD22" si="1445">IF($AQ22=TRUE, IF(AJ22-AN22 &gt;= 0, AJ22-AN22, 0), "-")</f>
        <v>720.6507788290005</v>
      </c>
      <c r="BE22" s="71">
        <f t="shared" ref="BE22" si="1446">IF($AQ22=TRUE, AK22, "-")</f>
        <v>31.418242610295565</v>
      </c>
      <c r="BF22" s="40">
        <f t="shared" ref="BF22" si="1447">IF($AQ22=TRUE, SUM(AY22:BA22), "")</f>
        <v>893.26697596172903</v>
      </c>
      <c r="BG22" s="40">
        <f t="shared" ref="BG22" si="1448">IF($AQ22=TRUE, SUM(BB22:BE22), "")</f>
        <v>893.26697596172914</v>
      </c>
      <c r="BH22" s="40">
        <f t="shared" ref="BH22" si="1449">IF($AQ22=TRUE,IF(ABS(BG22-BF22)&lt; 0.000001, 0, ABS(BG22-BF22)), "")</f>
        <v>0</v>
      </c>
      <c r="BI22" s="71">
        <f t="shared" ref="BI22" si="1450">IF($AQ22=TRUE, AY22, "-")</f>
        <v>61.338193407555302</v>
      </c>
      <c r="BJ22" s="71">
        <f t="shared" ref="BJ22" si="1451">IF($AQ22=TRUE, AZ22, "-")</f>
        <v>213.32573350310167</v>
      </c>
      <c r="BK22" s="71">
        <f t="shared" ref="BK22" si="1452">IF($AQ22=TRUE, BA22, "-")</f>
        <v>618.60304905107205</v>
      </c>
      <c r="BL22" s="71">
        <f t="shared" ref="BL22" si="1453">IF($AQ22=TRUE, BB22, "-")</f>
        <v>96.459202739361373</v>
      </c>
      <c r="BM22" s="71">
        <f t="shared" ref="BM22" si="1454">IF($AQ22=TRUE, BC22, "-")</f>
        <v>44.738751783071642</v>
      </c>
      <c r="BN22" s="71">
        <f t="shared" ref="BN22" si="1455">IF($AQ22=TRUE, BD22, "-")</f>
        <v>720.6507788290005</v>
      </c>
      <c r="BO22" s="71">
        <f t="shared" ref="BO22" si="1456">IF($AQ22=TRUE, IF(BE22 -BH22 &gt;= 0, BE22 -BH22, 0), "-")</f>
        <v>31.418242610295565</v>
      </c>
      <c r="BP22" s="40">
        <f t="shared" ref="BP22" si="1457">IF($AQ22=TRUE, SUM(BI22:BK22), "")</f>
        <v>893.26697596172903</v>
      </c>
      <c r="BQ22" s="40">
        <f t="shared" ref="BQ22" si="1458">IF($AQ22=TRUE, SUM(BL22:BO22), "")</f>
        <v>893.26697596172914</v>
      </c>
      <c r="BR22" s="40">
        <f t="shared" ref="BR22" si="1459">IF($AQ22=TRUE,IF(ABS(BQ22-BP22)&lt; 0.000001, 0, ABS(BQ22-BP22)), "")</f>
        <v>0</v>
      </c>
      <c r="BS22" s="71">
        <f t="shared" ref="BS22" si="1460">IF($AQ22=TRUE, BI22, "-")</f>
        <v>61.338193407555302</v>
      </c>
      <c r="BT22" s="71">
        <f t="shared" ref="BT22" si="1461">IF($AQ22=TRUE, BJ22, "-")</f>
        <v>213.32573350310167</v>
      </c>
      <c r="BU22" s="71">
        <f t="shared" ref="BU22" si="1462">IF($AQ22=TRUE, BK22, "-")</f>
        <v>618.60304905107205</v>
      </c>
      <c r="BV22" s="71">
        <f t="shared" ref="BV22" si="1463">IF($AQ22=TRUE, IF(BL22 -BR22 &gt;= 0, BL22 -BR22, 0), "-")</f>
        <v>96.459202739361373</v>
      </c>
      <c r="BW22" s="71">
        <f t="shared" ref="BW22" si="1464">IF($AQ22=TRUE, BM22, "-")</f>
        <v>44.738751783071642</v>
      </c>
      <c r="BX22" s="71">
        <f t="shared" ref="BX22" si="1465">IF($AQ22=TRUE, BN22, "-")</f>
        <v>720.6507788290005</v>
      </c>
      <c r="BY22" s="71">
        <f t="shared" ref="BY22" si="1466">IF($AQ22=TRUE, BO22, "-")</f>
        <v>31.418242610295565</v>
      </c>
      <c r="BZ22" s="40">
        <f t="shared" ref="BZ22" si="1467">IF($AQ22=TRUE, SUM(BS22:BU22), "")</f>
        <v>893.26697596172903</v>
      </c>
      <c r="CA22" s="40">
        <f t="shared" ref="CA22" si="1468">IF($AQ22=TRUE, SUM(BV22:BY22), "")</f>
        <v>893.26697596172914</v>
      </c>
      <c r="CB22" s="40">
        <f t="shared" ref="CB22" si="1469">IF($AQ22=TRUE,IF(ABS(CA22-BZ22)&lt; 0.000001, 0, ABS(CA22-BZ22)), "")</f>
        <v>0</v>
      </c>
      <c r="CC22" s="71">
        <f t="shared" ref="CC22" si="1470">IF($AQ22=TRUE, BS22, "-")</f>
        <v>61.338193407555302</v>
      </c>
      <c r="CD22" s="71">
        <f t="shared" ref="CD22" si="1471">IF($AQ22=TRUE, BT22, "-")</f>
        <v>213.32573350310167</v>
      </c>
      <c r="CE22" s="71">
        <f t="shared" ref="CE22" si="1472">IF($AQ22=TRUE, BU22, "-")</f>
        <v>618.60304905107205</v>
      </c>
      <c r="CF22" s="71">
        <f t="shared" ref="CF22" si="1473">IF($AQ22=TRUE, BV22, "-")</f>
        <v>96.459202739361373</v>
      </c>
      <c r="CG22" s="71">
        <f t="shared" ref="CG22" si="1474">IF($AQ22=TRUE,  IF(BW22 -CB22 &gt;= 0, BW22 -CB22, 0), "-")</f>
        <v>44.738751783071642</v>
      </c>
      <c r="CH22" s="71">
        <f t="shared" ref="CH22" si="1475">IF($AQ22=TRUE, BX22, "-")</f>
        <v>720.6507788290005</v>
      </c>
      <c r="CI22" s="71">
        <f t="shared" ref="CI22" si="1476">IF($AQ22=TRUE, BY22, "-")</f>
        <v>31.418242610295565</v>
      </c>
      <c r="CJ22" s="40">
        <f t="shared" ref="CJ22" si="1477">IF($AQ22=TRUE, SUM(CC22:CE22), "")</f>
        <v>893.26697596172903</v>
      </c>
      <c r="CK22" s="40">
        <f t="shared" ref="CK22" si="1478">IF($AQ22=TRUE, SUM(CF22:CI22), "")</f>
        <v>893.26697596172914</v>
      </c>
      <c r="CL22" s="40">
        <f t="shared" ref="CL22" si="1479">IF($AQ22=TRUE,IF(ABS(CK22-CJ22)&lt; 0.000001, 0, ABS(CK22-CJ22)), "")</f>
        <v>0</v>
      </c>
      <c r="CM22" s="74">
        <f t="shared" ref="CM22" si="1480">IF($AQ22 = TRUE, CC22, AR22)</f>
        <v>61.338193407555302</v>
      </c>
      <c r="CN22" s="74">
        <f t="shared" ref="CN22" si="1481">IF($AQ22 = TRUE, CD22, AS22)</f>
        <v>213.32573350310167</v>
      </c>
      <c r="CO22" s="74">
        <f t="shared" ref="CO22" si="1482">IF($AQ22 = TRUE, CE22, AT22)</f>
        <v>618.60304905107205</v>
      </c>
      <c r="CP22" s="74">
        <f t="shared" ref="CP22" si="1483">IF($AQ22 = TRUE, CF22, AU22)</f>
        <v>96.459202739361373</v>
      </c>
      <c r="CQ22" s="74">
        <f t="shared" ref="CQ22" si="1484">IF($AQ22 = TRUE, CG22, AV22)</f>
        <v>44.738751783071642</v>
      </c>
      <c r="CR22" s="74">
        <f t="shared" ref="CR22" si="1485">IF($AQ22 = TRUE, CH22, AW22)</f>
        <v>720.6507788290005</v>
      </c>
      <c r="CS22" s="74">
        <f t="shared" ref="CS22" si="1486">IF($AQ22 = TRUE, CI22, AX22)</f>
        <v>31.418242610295565</v>
      </c>
      <c r="CT22" s="78">
        <f t="shared" ref="CT22" si="1487">MIN(CR22,CO22)</f>
        <v>618.60304905107205</v>
      </c>
      <c r="CU22" s="78">
        <f t="shared" ref="CU22" si="1488">CM22</f>
        <v>61.338193407555302</v>
      </c>
      <c r="CV22" s="78">
        <f t="shared" ref="CV22" si="1489">CN22</f>
        <v>213.32573350310167</v>
      </c>
      <c r="CW22" s="78">
        <f t="shared" ref="CW22" si="1490">CO22-CT22</f>
        <v>0</v>
      </c>
      <c r="CX22" s="78">
        <f t="shared" ref="CX22" si="1491">CP22</f>
        <v>96.459202739361373</v>
      </c>
      <c r="CY22" s="78">
        <f t="shared" ref="CY22" si="1492">CQ22</f>
        <v>44.738751783071642</v>
      </c>
      <c r="CZ22" s="78">
        <f t="shared" ref="CZ22" si="1493">CR22-CT22</f>
        <v>102.04772977792845</v>
      </c>
      <c r="DA22" s="78">
        <f t="shared" ref="DA22" si="1494">CS22</f>
        <v>31.418242610295565</v>
      </c>
      <c r="DB22" s="25" t="b">
        <f t="shared" ref="DB22" si="1495">IF(ABS(SUM(CU22:CW22)-SUM(CX22:DA22)) &lt; 0.000001, TRUE)</f>
        <v>1</v>
      </c>
      <c r="DC22" s="115">
        <f>(Table1[[#This Row],[eCl,adj (mEq/kg) eq7]]/Reference!D$2)/1000</f>
        <v>6.1338193407555301E-2</v>
      </c>
      <c r="DD22" s="115">
        <f>(Table1[[#This Row],[eNO3,adj (mEq/kg) eq7]]/Reference!E$2)/1000</f>
        <v>0.21332573350310166</v>
      </c>
      <c r="DE22" s="115">
        <f>(Table1[[#This Row],[eSO4,adj,f (mEq/kg) eq7]]/Reference!F$2)/1000</f>
        <v>0</v>
      </c>
      <c r="DF22" s="115">
        <f>(Table1[[#This Row],[eNa,adj (mEq/kg) eq7]]/Reference!G$2)/1000</f>
        <v>9.6459202739361372E-2</v>
      </c>
      <c r="DG22" s="115">
        <f>(Table1[[#This Row],[eK,adj (mEq/kg) eq7]]/Reference!H$2)/1000</f>
        <v>4.4738751783071642E-2</v>
      </c>
      <c r="DH22" s="115">
        <f>(Table1[[#This Row],[eCa,adj,f (mEq/kg) eq7]]/Reference!I$2)/1000</f>
        <v>5.1023864888964224E-2</v>
      </c>
      <c r="DI22" s="115">
        <f>(Table1[[#This Row],[eMg,adj (mEq/kg) eq7]]/Reference!J$2)/1000</f>
        <v>1.5709121305147782E-2</v>
      </c>
      <c r="DJ22" s="44">
        <f>Table1[[#This Row],[cCl,adj (mol/kg) eq 8 part 1]]/SUM(Table1[[#This Row],[cCl,adj (mol/kg) eq 8 part 1]:[cMg,adj (mol/kg) eq 8 part 1]])</f>
        <v>0.12710079928769202</v>
      </c>
      <c r="DK22" s="44">
        <f>Table1[[#This Row],[cNO3,adj (mol/kg) eq 8 part 1]]/SUM(Table1[[#This Row],[cCl,adj (mol/kg) eq 8 part 1]:[cMg,adj (mol/kg) eq 8 part 1]])</f>
        <v>0.4420389602400267</v>
      </c>
      <c r="DL22" s="44">
        <f>Table1[[#This Row],[cSO4,adj (mol/kg) eq 8 part 1]]/SUM(Table1[[#This Row],[cCl,adj (mol/kg) eq 8 part 1]:[cMg,adj (mol/kg) eq 8 part 1]])</f>
        <v>0</v>
      </c>
      <c r="DM22" s="44">
        <f>Table1[[#This Row],[cNa,adj (mol/kg) eq 8 part 1]]/SUM(Table1[[#This Row],[cCl,adj (mol/kg) eq 8 part 1]:[cMg,adj (mol/kg) eq 8 part 1]])</f>
        <v>0.19987614707472356</v>
      </c>
      <c r="DN22" s="44">
        <f>Table1[[#This Row],[cK,adj (mol/kg) eq 8 part 1]]/SUM(Table1[[#This Row],[cCl,adj (mol/kg) eq 8 part 1]:[cMg,adj (mol/kg) eq 8 part 1]])</f>
        <v>9.2704574342120288E-2</v>
      </c>
      <c r="DO22" s="44">
        <f>Table1[[#This Row],[cCa,adj (mol/kg) eq 8 part 1]]/SUM(Table1[[#This Row],[cCl,adj (mol/kg) eq 8 part 1]:[cMg,adj (mol/kg) eq 8 part 1]])</f>
        <v>0.10572815483893516</v>
      </c>
      <c r="DP22" s="44">
        <f>Table1[[#This Row],[cMg,adj (mol/kg) eq 8 part 1]]/SUM(Table1[[#This Row],[cCl,adj (mol/kg) eq 8 part 1]:[cMg,adj (mol/kg) eq 8 part 1]])</f>
        <v>3.2551364216502336E-2</v>
      </c>
      <c r="DQ22" s="46">
        <f t="shared" ref="DQ22" si="1496">IF($AP22=TRUE, 0, (AJ22-CR22)/SUM($AH22:$AK22))</f>
        <v>7.4661757313681493E-2</v>
      </c>
      <c r="DR22" s="46">
        <f t="shared" ref="DR22" si="1497">IF($AP22=TRUE, 0, (AK22-CS22)/SUM($AH22:$AK22))</f>
        <v>0</v>
      </c>
      <c r="DS22" s="46">
        <f t="shared" ref="DS22" si="1498">IF($AP22=TRUE, 0, (AH22-CP22)/SUM($AH22:$AK22))</f>
        <v>0</v>
      </c>
      <c r="DT22" s="46">
        <f t="shared" ref="DT22" si="1499">IF($AP22=TRUE, 0, (AI22-CQ22)/SUM($AH22:$AK22))</f>
        <v>0</v>
      </c>
      <c r="DU22" s="69">
        <f>((CU22*Reference!D$3)/Reference!D$2)*0.001</f>
        <v>2.1746045694200355E-3</v>
      </c>
      <c r="DV22" s="69">
        <f>((CV22*Reference!E$3)/Reference!E$2)*0.001</f>
        <v>1.3227240773286469E-2</v>
      </c>
      <c r="DW22" s="69">
        <f>((CW22*Reference!F$3)/Reference!F$2)*0.001</f>
        <v>0</v>
      </c>
      <c r="DX22" s="69">
        <f>((CX22*Reference!G$3)/Reference!G$2)*0.001</f>
        <v>2.2175746924428825E-3</v>
      </c>
      <c r="DY22" s="69">
        <f>((CY22*Reference!H$3)/Reference!H$2)*0.001</f>
        <v>1.7492091388400701E-3</v>
      </c>
      <c r="DZ22" s="69">
        <f>((CZ22*Reference!I$3)/Reference!I$2)*0.001</f>
        <v>2.044934457019908E-3</v>
      </c>
      <c r="EA22" s="69">
        <f>((DA22*Reference!J$3)/Reference!J$2)*0.001</f>
        <v>3.8181019332161686E-4</v>
      </c>
      <c r="EB22" s="70">
        <f t="shared" ref="EB22" si="1500">SUM(DU22:EA22)</f>
        <v>2.1795373824330982E-2</v>
      </c>
      <c r="EC22" s="68">
        <f t="shared" si="753"/>
        <v>4.3553220200273593E-2</v>
      </c>
      <c r="ED22" s="68">
        <f t="shared" ref="ED22" si="1501">((CT22)*(0.5*(96.064+40.078))*0.000001)</f>
        <v>4.2108928151955521E-2</v>
      </c>
      <c r="EE22" s="68">
        <f>Table1[[#This Row],[wtot,adj + wCaSO4(-) eq11]]-Table1[[#This Row],[wCaSO4 (-)]]</f>
        <v>1.4442920483180716E-3</v>
      </c>
      <c r="EF22" s="68">
        <f>IF(Table1[[#This Row],[pII]]=TRUE, ABS(SUM(DX22,DY22)-(SUM(Z22,AA22))),"Pathway I")</f>
        <v>0</v>
      </c>
      <c r="EG22" s="68">
        <f>IF(Table1[[#This Row],[pII]]=TRUE, (((ABS(Table1[[#This Row],[eCa,adj (mEq/kg) pI or pII]]-Table1[[#This Row],[eCa (mEq/kg)]]))*0.040078)/2)*0.001,"Pathway I")</f>
        <v>1.4442920483180666E-3</v>
      </c>
      <c r="EH22" s="68">
        <f>IF(Table1[[#This Row],[pII]]=TRUE, ((Table1[[#This Row],[ΔeMg (mEq/kg) eq5b]]+Table1[[#This Row],[ΔeNa (mEq/kg) eq5c]]+Table1[[#This Row],[ΔeK (mEq/kg) eq5d]])/1000000)*(60.01/2), "Pathway I")</f>
        <v>0</v>
      </c>
    </row>
    <row r="23" spans="1:138" x14ac:dyDescent="0.6">
      <c r="A23" s="2" t="s">
        <v>304</v>
      </c>
      <c r="B23" s="1" t="s">
        <v>207</v>
      </c>
      <c r="C23" s="1" t="s">
        <v>305</v>
      </c>
      <c r="D23" s="127" t="s">
        <v>208</v>
      </c>
      <c r="E23" s="127">
        <v>2017</v>
      </c>
      <c r="F23" s="1" t="s">
        <v>207</v>
      </c>
      <c r="G23" s="1">
        <v>8400</v>
      </c>
      <c r="H23" s="1" t="s">
        <v>302</v>
      </c>
      <c r="I23" s="1" t="s">
        <v>303</v>
      </c>
      <c r="J23" s="1" t="s">
        <v>208</v>
      </c>
      <c r="K23" s="1" t="s">
        <v>210</v>
      </c>
      <c r="L23" s="1">
        <v>500</v>
      </c>
      <c r="M23" s="1" t="s">
        <v>220</v>
      </c>
      <c r="N23" s="1">
        <v>1.512</v>
      </c>
      <c r="O23" s="1">
        <v>100</v>
      </c>
      <c r="P23" s="26">
        <v>13.073</v>
      </c>
      <c r="Q23" s="26">
        <v>10.909000000000001</v>
      </c>
      <c r="R23" s="26">
        <v>1295.6600000000001</v>
      </c>
      <c r="S23" s="26">
        <v>47.131</v>
      </c>
      <c r="T23" s="26">
        <v>134.904</v>
      </c>
      <c r="U23" s="26">
        <v>462.33600000000001</v>
      </c>
      <c r="V23" s="26">
        <v>0</v>
      </c>
      <c r="W23" s="69">
        <f t="shared" ref="W23" si="1502">(P23*($O23/1000))/($N23*1000)</f>
        <v>8.6461640211640215E-4</v>
      </c>
      <c r="X23" s="69">
        <f t="shared" ref="X23" si="1503">(Q23*($O23/1000))/($N23*1000)</f>
        <v>7.2149470899470912E-4</v>
      </c>
      <c r="Y23" s="69">
        <f t="shared" ref="Y23" si="1504">(R23*($O23/1000))/($N23*1000)</f>
        <v>8.5691798941798944E-2</v>
      </c>
      <c r="Z23" s="69">
        <f t="shared" ref="Z23" si="1505">(S23*($O23/1000))/($N23*1000)</f>
        <v>3.1171296296296294E-3</v>
      </c>
      <c r="AA23" s="69">
        <f t="shared" ref="AA23" si="1506">(T23*($O23/1000))/($N23*1000)</f>
        <v>8.9222222222222237E-3</v>
      </c>
      <c r="AB23" s="69">
        <f t="shared" ref="AB23" si="1507">(U23*($O23/1000))/($N23*1000)</f>
        <v>3.057777777777778E-2</v>
      </c>
      <c r="AC23" s="69">
        <f t="shared" ref="AC23" si="1508">(V23*($O23/1000))/($N23*1000)</f>
        <v>0</v>
      </c>
      <c r="AD23" s="70">
        <f t="shared" ref="AD23" si="1509">SUM(W23:AC23)</f>
        <v>0.12989503968253968</v>
      </c>
      <c r="AE23" s="71">
        <f>((W23*Reference!D$2)/Reference!D$3)*1000</f>
        <v>24.387885890676937</v>
      </c>
      <c r="AF23" s="71">
        <f>((X23*Reference!E$2)/Reference!E$3)*1000</f>
        <v>11.636091808787841</v>
      </c>
      <c r="AG23" s="71">
        <f>((Y23*Reference!F$2)/Reference!F$3)*1000</f>
        <v>1784.0564403272599</v>
      </c>
      <c r="AH23" s="71">
        <f>((Z23*Reference!G$2)/Reference!G$3)*1000</f>
        <v>135.58769403978454</v>
      </c>
      <c r="AI23" s="71">
        <f>((AA23*Reference!H$2)/Reference!H$3)*1000</f>
        <v>228.1997483834904</v>
      </c>
      <c r="AJ23" s="71">
        <f>((AB23*Reference!I$2)/Reference!I$3)*1000</f>
        <v>1525.9133578410988</v>
      </c>
      <c r="AK23" s="71">
        <f>((AC23*Reference!J$2)/Reference!J$3)*1000</f>
        <v>0</v>
      </c>
      <c r="AL23" s="40">
        <f t="shared" ref="AL23" si="1510">SUM(AE23:AG23)</f>
        <v>1820.0804180267246</v>
      </c>
      <c r="AM23" s="40">
        <f t="shared" ref="AM23" si="1511">SUM(AH23:AK23)</f>
        <v>1889.7008002643738</v>
      </c>
      <c r="AN23" s="72">
        <f t="shared" ref="AN23" si="1512">ABS(AM23-AL23)</f>
        <v>69.62038223764921</v>
      </c>
      <c r="AO23" s="24" t="str">
        <f t="shared" ref="AO23" si="1513">IF(AM23&gt;AL23, "Δe,cat", "Δe,ani")</f>
        <v>Δe,cat</v>
      </c>
      <c r="AP23" s="25" t="b">
        <f t="shared" ref="AP23" si="1514">IF(OR(AN23&lt;=MAX(AL23,AM23)*0.02, AL23&gt;AM23), TRUE)</f>
        <v>0</v>
      </c>
      <c r="AQ23" s="25" t="b">
        <f t="shared" ref="AQ23" si="1515">IF(AND(AN23&gt;AM23*0.02, AM23&gt;AL23), TRUE)</f>
        <v>1</v>
      </c>
      <c r="AR23" s="73" t="str">
        <f t="shared" ref="AR23" si="1516">IF($AP23=TRUE, (AE23*($AL23+$AM23)/(2*$AL23)), "-")</f>
        <v>-</v>
      </c>
      <c r="AS23" s="73" t="str">
        <f t="shared" ref="AS23" si="1517">IF($AP23=TRUE, (AF23*($AL23+$AM23)/(2*$AL23)), "-")</f>
        <v>-</v>
      </c>
      <c r="AT23" s="73" t="str">
        <f t="shared" ref="AT23" si="1518">IF($AP23=TRUE, (AG23*($AL23+$AM23)/(2*$AL23)), "-")</f>
        <v>-</v>
      </c>
      <c r="AU23" s="73" t="str">
        <f t="shared" ref="AU23" si="1519">IF($AP23=TRUE, (AH23*($AL23+$AM23)/(2*$AM23)), "-")</f>
        <v>-</v>
      </c>
      <c r="AV23" s="73" t="str">
        <f t="shared" ref="AV23" si="1520">IF($AP23=TRUE, (AI23*($AL23+$AM23)/(2*$AM23)), "-")</f>
        <v>-</v>
      </c>
      <c r="AW23" s="73" t="str">
        <f t="shared" ref="AW23" si="1521">IF($AP23=TRUE, (AJ23*($AL23+$AM23)/(2*$AM23)), "-")</f>
        <v>-</v>
      </c>
      <c r="AX23" s="73" t="str">
        <f t="shared" ref="AX23" si="1522">IF($AP23=TRUE, (AK23*($AL23+$AM23)/(2*$AM23)), "-")</f>
        <v>-</v>
      </c>
      <c r="AY23" s="71">
        <f t="shared" ref="AY23" si="1523">IF($AQ23=TRUE, AE23, "-")</f>
        <v>24.387885890676937</v>
      </c>
      <c r="AZ23" s="71">
        <f t="shared" ref="AZ23" si="1524">IF($AQ23=TRUE, AF23, "-")</f>
        <v>11.636091808787841</v>
      </c>
      <c r="BA23" s="71">
        <f t="shared" ref="BA23" si="1525">IF($AQ23=TRUE, AG23, "-")</f>
        <v>1784.0564403272599</v>
      </c>
      <c r="BB23" s="71">
        <f t="shared" ref="BB23" si="1526">IF($AQ23=TRUE, AH23, "-")</f>
        <v>135.58769403978454</v>
      </c>
      <c r="BC23" s="71">
        <f t="shared" ref="BC23" si="1527">IF($AQ23=TRUE, AI23, "-")</f>
        <v>228.1997483834904</v>
      </c>
      <c r="BD23" s="71">
        <f t="shared" ref="BD23" si="1528">IF($AQ23=TRUE, IF(AJ23-AN23 &gt;= 0, AJ23-AN23, 0), "-")</f>
        <v>1456.2929756034496</v>
      </c>
      <c r="BE23" s="71">
        <f t="shared" ref="BE23" si="1529">IF($AQ23=TRUE, AK23, "-")</f>
        <v>0</v>
      </c>
      <c r="BF23" s="40">
        <f t="shared" ref="BF23" si="1530">IF($AQ23=TRUE, SUM(AY23:BA23), "")</f>
        <v>1820.0804180267246</v>
      </c>
      <c r="BG23" s="40">
        <f t="shared" ref="BG23" si="1531">IF($AQ23=TRUE, SUM(BB23:BE23), "")</f>
        <v>1820.0804180267246</v>
      </c>
      <c r="BH23" s="40">
        <f t="shared" ref="BH23" si="1532">IF($AQ23=TRUE,IF(ABS(BG23-BF23)&lt; 0.000001, 0, ABS(BG23-BF23)), "")</f>
        <v>0</v>
      </c>
      <c r="BI23" s="71">
        <f t="shared" ref="BI23" si="1533">IF($AQ23=TRUE, AY23, "-")</f>
        <v>24.387885890676937</v>
      </c>
      <c r="BJ23" s="71">
        <f t="shared" ref="BJ23" si="1534">IF($AQ23=TRUE, AZ23, "-")</f>
        <v>11.636091808787841</v>
      </c>
      <c r="BK23" s="71">
        <f t="shared" ref="BK23" si="1535">IF($AQ23=TRUE, BA23, "-")</f>
        <v>1784.0564403272599</v>
      </c>
      <c r="BL23" s="71">
        <f t="shared" ref="BL23" si="1536">IF($AQ23=TRUE, BB23, "-")</f>
        <v>135.58769403978454</v>
      </c>
      <c r="BM23" s="71">
        <f t="shared" ref="BM23" si="1537">IF($AQ23=TRUE, BC23, "-")</f>
        <v>228.1997483834904</v>
      </c>
      <c r="BN23" s="71">
        <f t="shared" ref="BN23" si="1538">IF($AQ23=TRUE, BD23, "-")</f>
        <v>1456.2929756034496</v>
      </c>
      <c r="BO23" s="71">
        <f t="shared" ref="BO23" si="1539">IF($AQ23=TRUE, IF(BE23 -BH23 &gt;= 0, BE23 -BH23, 0), "-")</f>
        <v>0</v>
      </c>
      <c r="BP23" s="40">
        <f t="shared" ref="BP23" si="1540">IF($AQ23=TRUE, SUM(BI23:BK23), "")</f>
        <v>1820.0804180267246</v>
      </c>
      <c r="BQ23" s="40">
        <f t="shared" ref="BQ23" si="1541">IF($AQ23=TRUE, SUM(BL23:BO23), "")</f>
        <v>1820.0804180267246</v>
      </c>
      <c r="BR23" s="40">
        <f t="shared" ref="BR23" si="1542">IF($AQ23=TRUE,IF(ABS(BQ23-BP23)&lt; 0.000001, 0, ABS(BQ23-BP23)), "")</f>
        <v>0</v>
      </c>
      <c r="BS23" s="71">
        <f t="shared" ref="BS23" si="1543">IF($AQ23=TRUE, BI23, "-")</f>
        <v>24.387885890676937</v>
      </c>
      <c r="BT23" s="71">
        <f t="shared" ref="BT23" si="1544">IF($AQ23=TRUE, BJ23, "-")</f>
        <v>11.636091808787841</v>
      </c>
      <c r="BU23" s="71">
        <f t="shared" ref="BU23" si="1545">IF($AQ23=TRUE, BK23, "-")</f>
        <v>1784.0564403272599</v>
      </c>
      <c r="BV23" s="71">
        <f t="shared" ref="BV23" si="1546">IF($AQ23=TRUE, IF(BL23 -BR23 &gt;= 0, BL23 -BR23, 0), "-")</f>
        <v>135.58769403978454</v>
      </c>
      <c r="BW23" s="71">
        <f t="shared" ref="BW23" si="1547">IF($AQ23=TRUE, BM23, "-")</f>
        <v>228.1997483834904</v>
      </c>
      <c r="BX23" s="71">
        <f t="shared" ref="BX23" si="1548">IF($AQ23=TRUE, BN23, "-")</f>
        <v>1456.2929756034496</v>
      </c>
      <c r="BY23" s="71">
        <f t="shared" ref="BY23" si="1549">IF($AQ23=TRUE, BO23, "-")</f>
        <v>0</v>
      </c>
      <c r="BZ23" s="40">
        <f t="shared" ref="BZ23" si="1550">IF($AQ23=TRUE, SUM(BS23:BU23), "")</f>
        <v>1820.0804180267246</v>
      </c>
      <c r="CA23" s="40">
        <f t="shared" ref="CA23" si="1551">IF($AQ23=TRUE, SUM(BV23:BY23), "")</f>
        <v>1820.0804180267246</v>
      </c>
      <c r="CB23" s="40">
        <f t="shared" ref="CB23" si="1552">IF($AQ23=TRUE,IF(ABS(CA23-BZ23)&lt; 0.000001, 0, ABS(CA23-BZ23)), "")</f>
        <v>0</v>
      </c>
      <c r="CC23" s="71">
        <f t="shared" ref="CC23" si="1553">IF($AQ23=TRUE, BS23, "-")</f>
        <v>24.387885890676937</v>
      </c>
      <c r="CD23" s="71">
        <f t="shared" ref="CD23" si="1554">IF($AQ23=TRUE, BT23, "-")</f>
        <v>11.636091808787841</v>
      </c>
      <c r="CE23" s="71">
        <f t="shared" ref="CE23" si="1555">IF($AQ23=TRUE, BU23, "-")</f>
        <v>1784.0564403272599</v>
      </c>
      <c r="CF23" s="71">
        <f t="shared" ref="CF23" si="1556">IF($AQ23=TRUE, BV23, "-")</f>
        <v>135.58769403978454</v>
      </c>
      <c r="CG23" s="71">
        <f t="shared" ref="CG23" si="1557">IF($AQ23=TRUE,  IF(BW23 -CB23 &gt;= 0, BW23 -CB23, 0), "-")</f>
        <v>228.1997483834904</v>
      </c>
      <c r="CH23" s="71">
        <f t="shared" ref="CH23" si="1558">IF($AQ23=TRUE, BX23, "-")</f>
        <v>1456.2929756034496</v>
      </c>
      <c r="CI23" s="71">
        <f t="shared" ref="CI23" si="1559">IF($AQ23=TRUE, BY23, "-")</f>
        <v>0</v>
      </c>
      <c r="CJ23" s="40">
        <f t="shared" ref="CJ23" si="1560">IF($AQ23=TRUE, SUM(CC23:CE23), "")</f>
        <v>1820.0804180267246</v>
      </c>
      <c r="CK23" s="40">
        <f t="shared" ref="CK23" si="1561">IF($AQ23=TRUE, SUM(CF23:CI23), "")</f>
        <v>1820.0804180267246</v>
      </c>
      <c r="CL23" s="40">
        <f t="shared" ref="CL23" si="1562">IF($AQ23=TRUE,IF(ABS(CK23-CJ23)&lt; 0.000001, 0, ABS(CK23-CJ23)), "")</f>
        <v>0</v>
      </c>
      <c r="CM23" s="74">
        <f t="shared" ref="CM23" si="1563">IF($AQ23 = TRUE, CC23, AR23)</f>
        <v>24.387885890676937</v>
      </c>
      <c r="CN23" s="74">
        <f t="shared" ref="CN23" si="1564">IF($AQ23 = TRUE, CD23, AS23)</f>
        <v>11.636091808787841</v>
      </c>
      <c r="CO23" s="74">
        <f t="shared" ref="CO23" si="1565">IF($AQ23 = TRUE, CE23, AT23)</f>
        <v>1784.0564403272599</v>
      </c>
      <c r="CP23" s="74">
        <f t="shared" ref="CP23" si="1566">IF($AQ23 = TRUE, CF23, AU23)</f>
        <v>135.58769403978454</v>
      </c>
      <c r="CQ23" s="74">
        <f t="shared" ref="CQ23" si="1567">IF($AQ23 = TRUE, CG23, AV23)</f>
        <v>228.1997483834904</v>
      </c>
      <c r="CR23" s="74">
        <f t="shared" ref="CR23" si="1568">IF($AQ23 = TRUE, CH23, AW23)</f>
        <v>1456.2929756034496</v>
      </c>
      <c r="CS23" s="74">
        <f t="shared" ref="CS23" si="1569">IF($AQ23 = TRUE, CI23, AX23)</f>
        <v>0</v>
      </c>
      <c r="CT23" s="78">
        <f t="shared" ref="CT23" si="1570">MIN(CR23,CO23)</f>
        <v>1456.2929756034496</v>
      </c>
      <c r="CU23" s="78">
        <f t="shared" ref="CU23" si="1571">CM23</f>
        <v>24.387885890676937</v>
      </c>
      <c r="CV23" s="78">
        <f t="shared" ref="CV23" si="1572">CN23</f>
        <v>11.636091808787841</v>
      </c>
      <c r="CW23" s="78">
        <f t="shared" ref="CW23" si="1573">CO23-CT23</f>
        <v>327.76346472381033</v>
      </c>
      <c r="CX23" s="78">
        <f t="shared" ref="CX23" si="1574">CP23</f>
        <v>135.58769403978454</v>
      </c>
      <c r="CY23" s="78">
        <f t="shared" ref="CY23" si="1575">CQ23</f>
        <v>228.1997483834904</v>
      </c>
      <c r="CZ23" s="78">
        <f t="shared" ref="CZ23" si="1576">CR23-CT23</f>
        <v>0</v>
      </c>
      <c r="DA23" s="78">
        <f t="shared" ref="DA23" si="1577">CS23</f>
        <v>0</v>
      </c>
      <c r="DB23" s="25" t="b">
        <f t="shared" ref="DB23" si="1578">IF(ABS(SUM(CU23:CW23)-SUM(CX23:DA23)) &lt; 0.000001, TRUE)</f>
        <v>1</v>
      </c>
      <c r="DC23" s="115">
        <f>(Table1[[#This Row],[eCl,adj (mEq/kg) eq7]]/Reference!D$2)/1000</f>
        <v>2.4387885890676936E-2</v>
      </c>
      <c r="DD23" s="115">
        <f>(Table1[[#This Row],[eNO3,adj (mEq/kg) eq7]]/Reference!E$2)/1000</f>
        <v>1.163609180878784E-2</v>
      </c>
      <c r="DE23" s="115">
        <f>(Table1[[#This Row],[eSO4,adj,f (mEq/kg) eq7]]/Reference!F$2)/1000</f>
        <v>0.16388173236190517</v>
      </c>
      <c r="DF23" s="115">
        <f>(Table1[[#This Row],[eNa,adj (mEq/kg) eq7]]/Reference!G$2)/1000</f>
        <v>0.13558769403978455</v>
      </c>
      <c r="DG23" s="115">
        <f>(Table1[[#This Row],[eK,adj (mEq/kg) eq7]]/Reference!H$2)/1000</f>
        <v>0.22819974838349041</v>
      </c>
      <c r="DH23" s="115">
        <f>(Table1[[#This Row],[eCa,adj,f (mEq/kg) eq7]]/Reference!I$2)/1000</f>
        <v>0</v>
      </c>
      <c r="DI23" s="115">
        <f>(Table1[[#This Row],[eMg,adj (mEq/kg) eq7]]/Reference!J$2)/1000</f>
        <v>0</v>
      </c>
      <c r="DJ23" s="44">
        <f>Table1[[#This Row],[cCl,adj (mol/kg) eq 8 part 1]]/SUM(Table1[[#This Row],[cCl,adj (mol/kg) eq 8 part 1]:[cMg,adj (mol/kg) eq 8 part 1]])</f>
        <v>4.3264470719894484E-2</v>
      </c>
      <c r="DK23" s="44">
        <f>Table1[[#This Row],[cNO3,adj (mol/kg) eq 8 part 1]]/SUM(Table1[[#This Row],[cCl,adj (mol/kg) eq 8 part 1]:[cMg,adj (mol/kg) eq 8 part 1]])</f>
        <v>2.0642599182726117E-2</v>
      </c>
      <c r="DL23" s="44">
        <f>Table1[[#This Row],[cSO4,adj (mol/kg) eq 8 part 1]]/SUM(Table1[[#This Row],[cCl,adj (mol/kg) eq 8 part 1]:[cMg,adj (mol/kg) eq 8 part 1]])</f>
        <v>0.29072862006491967</v>
      </c>
      <c r="DM23" s="44">
        <f>Table1[[#This Row],[cNa,adj (mol/kg) eq 8 part 1]]/SUM(Table1[[#This Row],[cCl,adj (mol/kg) eq 8 part 1]:[cMg,adj (mol/kg) eq 8 part 1]])</f>
        <v>0.24053457708709344</v>
      </c>
      <c r="DN23" s="44">
        <f>Table1[[#This Row],[cK,adj (mol/kg) eq 8 part 1]]/SUM(Table1[[#This Row],[cCl,adj (mol/kg) eq 8 part 1]:[cMg,adj (mol/kg) eq 8 part 1]])</f>
        <v>0.40482973294536623</v>
      </c>
      <c r="DO23" s="44">
        <f>Table1[[#This Row],[cCa,adj (mol/kg) eq 8 part 1]]/SUM(Table1[[#This Row],[cCl,adj (mol/kg) eq 8 part 1]:[cMg,adj (mol/kg) eq 8 part 1]])</f>
        <v>0</v>
      </c>
      <c r="DP23" s="44">
        <f>Table1[[#This Row],[cMg,adj (mol/kg) eq 8 part 1]]/SUM(Table1[[#This Row],[cCl,adj (mol/kg) eq 8 part 1]:[cMg,adj (mol/kg) eq 8 part 1]])</f>
        <v>0</v>
      </c>
      <c r="DQ23" s="46">
        <f t="shared" ref="DQ23" si="1579">IF($AP23=TRUE, 0, (AJ23-CR23)/SUM($AH23:$AK23))</f>
        <v>3.6842013417102401E-2</v>
      </c>
      <c r="DR23" s="46">
        <f t="shared" ref="DR23" si="1580">IF($AP23=TRUE, 0, (AK23-CS23)/SUM($AH23:$AK23))</f>
        <v>0</v>
      </c>
      <c r="DS23" s="46">
        <f t="shared" ref="DS23" si="1581">IF($AP23=TRUE, 0, (AH23-CP23)/SUM($AH23:$AK23))</f>
        <v>0</v>
      </c>
      <c r="DT23" s="46">
        <f t="shared" ref="DT23" si="1582">IF($AP23=TRUE, 0, (AI23-CQ23)/SUM($AH23:$AK23))</f>
        <v>0</v>
      </c>
      <c r="DU23" s="69">
        <f>((CU23*Reference!D$3)/Reference!D$2)*0.001</f>
        <v>8.6461640211640226E-4</v>
      </c>
      <c r="DV23" s="69">
        <f>((CV23*Reference!E$3)/Reference!E$2)*0.001</f>
        <v>7.2149470899470923E-4</v>
      </c>
      <c r="DW23" s="69">
        <f>((CW23*Reference!F$3)/Reference!F$2)*0.001</f>
        <v>1.5743134737614056E-2</v>
      </c>
      <c r="DX23" s="69">
        <f>((CX23*Reference!G$3)/Reference!G$2)*0.001</f>
        <v>3.1171296296296299E-3</v>
      </c>
      <c r="DY23" s="69">
        <f>((CY23*Reference!H$3)/Reference!H$2)*0.001</f>
        <v>8.922222222222222E-3</v>
      </c>
      <c r="DZ23" s="69">
        <f>((CZ23*Reference!I$3)/Reference!I$2)*0.001</f>
        <v>0</v>
      </c>
      <c r="EA23" s="69">
        <f>((DA23*Reference!J$3)/Reference!J$2)*0.001</f>
        <v>0</v>
      </c>
      <c r="EB23" s="70">
        <f t="shared" ref="EB23" si="1583">SUM(DU23:EA23)</f>
        <v>2.9368597700577016E-2</v>
      </c>
      <c r="EC23" s="68">
        <f t="shared" si="753"/>
        <v>0.10052644198196267</v>
      </c>
      <c r="ED23" s="68">
        <f t="shared" ref="ED23" si="1584">((CT23)*(0.5*(96.064+40.078))*0.000001)</f>
        <v>9.9131319142302401E-2</v>
      </c>
      <c r="EE23" s="68">
        <f>Table1[[#This Row],[wtot,adj + wCaSO4(-) eq11]]-Table1[[#This Row],[wCaSO4 (-)]]</f>
        <v>1.3951228396602705E-3</v>
      </c>
      <c r="EF23" s="68">
        <f>IF(Table1[[#This Row],[pII]]=TRUE, ABS(SUM(DX23,DY23)-(SUM(Z23,AA23))),"Pathway I")</f>
        <v>1.7347234759768071E-18</v>
      </c>
      <c r="EG23" s="68">
        <f>IF(Table1[[#This Row],[pII]]=TRUE, (((ABS(Table1[[#This Row],[eCa,adj (mEq/kg) pI or pII]]-Table1[[#This Row],[eCa (mEq/kg)]]))*0.040078)/2)*0.001,"Pathway I")</f>
        <v>1.3951228396602527E-3</v>
      </c>
      <c r="EH23" s="68">
        <f>IF(Table1[[#This Row],[pII]]=TRUE, ((Table1[[#This Row],[ΔeMg (mEq/kg) eq5b]]+Table1[[#This Row],[ΔeNa (mEq/kg) eq5c]]+Table1[[#This Row],[ΔeK (mEq/kg) eq5d]])/1000000)*(60.01/2), "Pathway I")</f>
        <v>0</v>
      </c>
    </row>
    <row r="24" spans="1:138" x14ac:dyDescent="0.6">
      <c r="A24" s="2" t="s">
        <v>308</v>
      </c>
      <c r="B24" s="1" t="s">
        <v>207</v>
      </c>
      <c r="C24" s="1" t="s">
        <v>309</v>
      </c>
      <c r="D24" s="127" t="s">
        <v>208</v>
      </c>
      <c r="E24" s="127">
        <v>2017</v>
      </c>
      <c r="F24" s="1" t="s">
        <v>207</v>
      </c>
      <c r="G24" s="1">
        <v>4400</v>
      </c>
      <c r="H24" s="1" t="s">
        <v>306</v>
      </c>
      <c r="I24" s="1" t="s">
        <v>307</v>
      </c>
      <c r="J24" s="1" t="s">
        <v>208</v>
      </c>
      <c r="K24" s="1" t="s">
        <v>210</v>
      </c>
      <c r="L24" s="1">
        <v>95</v>
      </c>
      <c r="M24" s="1" t="s">
        <v>212</v>
      </c>
      <c r="N24" s="1">
        <v>0.84</v>
      </c>
      <c r="O24" s="1">
        <v>100</v>
      </c>
      <c r="P24" s="26">
        <v>10.353999999999999</v>
      </c>
      <c r="Q24" s="26">
        <v>163.21199999999999</v>
      </c>
      <c r="R24" s="26">
        <v>22.256</v>
      </c>
      <c r="S24" s="26">
        <v>5.4790000000000001</v>
      </c>
      <c r="T24" s="26">
        <v>8.7270000000000003</v>
      </c>
      <c r="U24" s="26">
        <v>70.002300000000005</v>
      </c>
      <c r="V24" s="26">
        <v>3.31</v>
      </c>
      <c r="W24" s="69">
        <f t="shared" ref="W24" si="1585">(P24*($O24/1000))/($N24*1000)</f>
        <v>1.2326190476190475E-3</v>
      </c>
      <c r="X24" s="69">
        <f t="shared" ref="X24" si="1586">(Q24*($O24/1000))/($N24*1000)</f>
        <v>1.9430000000000003E-2</v>
      </c>
      <c r="Y24" s="69">
        <f t="shared" ref="Y24" si="1587">(R24*($O24/1000))/($N24*1000)</f>
        <v>2.6495238095238095E-3</v>
      </c>
      <c r="Z24" s="69">
        <f t="shared" ref="Z24" si="1588">(S24*($O24/1000))/($N24*1000)</f>
        <v>6.5226190476190484E-4</v>
      </c>
      <c r="AA24" s="69">
        <f t="shared" ref="AA24" si="1589">(T24*($O24/1000))/($N24*1000)</f>
        <v>1.0389285714285715E-3</v>
      </c>
      <c r="AB24" s="69">
        <f t="shared" ref="AB24" si="1590">(U24*($O24/1000))/($N24*1000)</f>
        <v>8.3336071428571443E-3</v>
      </c>
      <c r="AC24" s="69">
        <f t="shared" ref="AC24" si="1591">(V24*($O24/1000))/($N24*1000)</f>
        <v>3.9404761904761906E-4</v>
      </c>
      <c r="AD24" s="70">
        <f t="shared" ref="AD24" si="1592">SUM(W24:AC24)</f>
        <v>3.3730988095238106E-2</v>
      </c>
      <c r="AE24" s="71">
        <f>((W24*Reference!D$2)/Reference!D$3)*1000</f>
        <v>34.767987984527203</v>
      </c>
      <c r="AF24" s="71">
        <f>((X24*Reference!E$2)/Reference!E$3)*1000</f>
        <v>313.36233104157901</v>
      </c>
      <c r="AG24" s="71">
        <f>((Y24*Reference!F$2)/Reference!F$3)*1000</f>
        <v>55.161638272897434</v>
      </c>
      <c r="AH24" s="71">
        <f>((Z24*Reference!G$2)/Reference!G$3)*1000</f>
        <v>28.371835016425781</v>
      </c>
      <c r="AI24" s="71">
        <f>((AA24*Reference!H$2)/Reference!H$3)*1000</f>
        <v>26.572218521740623</v>
      </c>
      <c r="AJ24" s="71">
        <f>((AB24*Reference!I$2)/Reference!I$3)*1000</f>
        <v>415.86941178986694</v>
      </c>
      <c r="AK24" s="71">
        <f>((AC24*Reference!J$2)/Reference!J$3)*1000</f>
        <v>32.425230944054228</v>
      </c>
      <c r="AL24" s="40">
        <f t="shared" ref="AL24" si="1593">SUM(AE24:AG24)</f>
        <v>403.29195729900368</v>
      </c>
      <c r="AM24" s="40">
        <f t="shared" ref="AM24" si="1594">SUM(AH24:AK24)</f>
        <v>503.23869627208757</v>
      </c>
      <c r="AN24" s="72">
        <f t="shared" ref="AN24" si="1595">ABS(AM24-AL24)</f>
        <v>99.946738973083882</v>
      </c>
      <c r="AO24" s="24" t="str">
        <f t="shared" ref="AO24" si="1596">IF(AM24&gt;AL24, "Δe,cat", "Δe,ani")</f>
        <v>Δe,cat</v>
      </c>
      <c r="AP24" s="25" t="b">
        <f t="shared" ref="AP24" si="1597">IF(OR(AN24&lt;=MAX(AL24,AM24)*0.02, AL24&gt;AM24), TRUE)</f>
        <v>0</v>
      </c>
      <c r="AQ24" s="25" t="b">
        <f t="shared" ref="AQ24" si="1598">IF(AND(AN24&gt;AM24*0.02, AM24&gt;AL24), TRUE)</f>
        <v>1</v>
      </c>
      <c r="AR24" s="73" t="str">
        <f t="shared" ref="AR24" si="1599">IF($AP24=TRUE, (AE24*($AL24+$AM24)/(2*$AL24)), "-")</f>
        <v>-</v>
      </c>
      <c r="AS24" s="73" t="str">
        <f t="shared" ref="AS24" si="1600">IF($AP24=TRUE, (AF24*($AL24+$AM24)/(2*$AL24)), "-")</f>
        <v>-</v>
      </c>
      <c r="AT24" s="73" t="str">
        <f t="shared" ref="AT24" si="1601">IF($AP24=TRUE, (AG24*($AL24+$AM24)/(2*$AL24)), "-")</f>
        <v>-</v>
      </c>
      <c r="AU24" s="73" t="str">
        <f t="shared" ref="AU24" si="1602">IF($AP24=TRUE, (AH24*($AL24+$AM24)/(2*$AM24)), "-")</f>
        <v>-</v>
      </c>
      <c r="AV24" s="73" t="str">
        <f t="shared" ref="AV24" si="1603">IF($AP24=TRUE, (AI24*($AL24+$AM24)/(2*$AM24)), "-")</f>
        <v>-</v>
      </c>
      <c r="AW24" s="73" t="str">
        <f t="shared" ref="AW24" si="1604">IF($AP24=TRUE, (AJ24*($AL24+$AM24)/(2*$AM24)), "-")</f>
        <v>-</v>
      </c>
      <c r="AX24" s="73" t="str">
        <f t="shared" ref="AX24" si="1605">IF($AP24=TRUE, (AK24*($AL24+$AM24)/(2*$AM24)), "-")</f>
        <v>-</v>
      </c>
      <c r="AY24" s="71">
        <f t="shared" ref="AY24" si="1606">IF($AQ24=TRUE, AE24, "-")</f>
        <v>34.767987984527203</v>
      </c>
      <c r="AZ24" s="71">
        <f t="shared" ref="AZ24" si="1607">IF($AQ24=TRUE, AF24, "-")</f>
        <v>313.36233104157901</v>
      </c>
      <c r="BA24" s="71">
        <f t="shared" ref="BA24" si="1608">IF($AQ24=TRUE, AG24, "-")</f>
        <v>55.161638272897434</v>
      </c>
      <c r="BB24" s="71">
        <f t="shared" ref="BB24" si="1609">IF($AQ24=TRUE, AH24, "-")</f>
        <v>28.371835016425781</v>
      </c>
      <c r="BC24" s="71">
        <f t="shared" ref="BC24" si="1610">IF($AQ24=TRUE, AI24, "-")</f>
        <v>26.572218521740623</v>
      </c>
      <c r="BD24" s="71">
        <f t="shared" ref="BD24" si="1611">IF($AQ24=TRUE, IF(AJ24-AN24 &gt;= 0, AJ24-AN24, 0), "-")</f>
        <v>315.92267281678306</v>
      </c>
      <c r="BE24" s="71">
        <f t="shared" ref="BE24" si="1612">IF($AQ24=TRUE, AK24, "-")</f>
        <v>32.425230944054228</v>
      </c>
      <c r="BF24" s="40">
        <f t="shared" ref="BF24" si="1613">IF($AQ24=TRUE, SUM(AY24:BA24), "")</f>
        <v>403.29195729900368</v>
      </c>
      <c r="BG24" s="40">
        <f t="shared" ref="BG24" si="1614">IF($AQ24=TRUE, SUM(BB24:BE24), "")</f>
        <v>403.29195729900374</v>
      </c>
      <c r="BH24" s="40">
        <f t="shared" ref="BH24" si="1615">IF($AQ24=TRUE,IF(ABS(BG24-BF24)&lt; 0.000001, 0, ABS(BG24-BF24)), "")</f>
        <v>0</v>
      </c>
      <c r="BI24" s="71">
        <f t="shared" ref="BI24" si="1616">IF($AQ24=TRUE, AY24, "-")</f>
        <v>34.767987984527203</v>
      </c>
      <c r="BJ24" s="71">
        <f t="shared" ref="BJ24" si="1617">IF($AQ24=TRUE, AZ24, "-")</f>
        <v>313.36233104157901</v>
      </c>
      <c r="BK24" s="71">
        <f t="shared" ref="BK24" si="1618">IF($AQ24=TRUE, BA24, "-")</f>
        <v>55.161638272897434</v>
      </c>
      <c r="BL24" s="71">
        <f t="shared" ref="BL24" si="1619">IF($AQ24=TRUE, BB24, "-")</f>
        <v>28.371835016425781</v>
      </c>
      <c r="BM24" s="71">
        <f t="shared" ref="BM24" si="1620">IF($AQ24=TRUE, BC24, "-")</f>
        <v>26.572218521740623</v>
      </c>
      <c r="BN24" s="71">
        <f t="shared" ref="BN24" si="1621">IF($AQ24=TRUE, BD24, "-")</f>
        <v>315.92267281678306</v>
      </c>
      <c r="BO24" s="71">
        <f t="shared" ref="BO24" si="1622">IF($AQ24=TRUE, IF(BE24 -BH24 &gt;= 0, BE24 -BH24, 0), "-")</f>
        <v>32.425230944054228</v>
      </c>
      <c r="BP24" s="40">
        <f t="shared" ref="BP24" si="1623">IF($AQ24=TRUE, SUM(BI24:BK24), "")</f>
        <v>403.29195729900368</v>
      </c>
      <c r="BQ24" s="40">
        <f t="shared" ref="BQ24" si="1624">IF($AQ24=TRUE, SUM(BL24:BO24), "")</f>
        <v>403.29195729900374</v>
      </c>
      <c r="BR24" s="40">
        <f t="shared" ref="BR24" si="1625">IF($AQ24=TRUE,IF(ABS(BQ24-BP24)&lt; 0.000001, 0, ABS(BQ24-BP24)), "")</f>
        <v>0</v>
      </c>
      <c r="BS24" s="71">
        <f t="shared" ref="BS24" si="1626">IF($AQ24=TRUE, BI24, "-")</f>
        <v>34.767987984527203</v>
      </c>
      <c r="BT24" s="71">
        <f t="shared" ref="BT24" si="1627">IF($AQ24=TRUE, BJ24, "-")</f>
        <v>313.36233104157901</v>
      </c>
      <c r="BU24" s="71">
        <f t="shared" ref="BU24" si="1628">IF($AQ24=TRUE, BK24, "-")</f>
        <v>55.161638272897434</v>
      </c>
      <c r="BV24" s="71">
        <f t="shared" ref="BV24" si="1629">IF($AQ24=TRUE, IF(BL24 -BR24 &gt;= 0, BL24 -BR24, 0), "-")</f>
        <v>28.371835016425781</v>
      </c>
      <c r="BW24" s="71">
        <f t="shared" ref="BW24" si="1630">IF($AQ24=TRUE, BM24, "-")</f>
        <v>26.572218521740623</v>
      </c>
      <c r="BX24" s="71">
        <f t="shared" ref="BX24" si="1631">IF($AQ24=TRUE, BN24, "-")</f>
        <v>315.92267281678306</v>
      </c>
      <c r="BY24" s="71">
        <f t="shared" ref="BY24" si="1632">IF($AQ24=TRUE, BO24, "-")</f>
        <v>32.425230944054228</v>
      </c>
      <c r="BZ24" s="40">
        <f t="shared" ref="BZ24" si="1633">IF($AQ24=TRUE, SUM(BS24:BU24), "")</f>
        <v>403.29195729900368</v>
      </c>
      <c r="CA24" s="40">
        <f t="shared" ref="CA24" si="1634">IF($AQ24=TRUE, SUM(BV24:BY24), "")</f>
        <v>403.29195729900374</v>
      </c>
      <c r="CB24" s="40">
        <f t="shared" ref="CB24" si="1635">IF($AQ24=TRUE,IF(ABS(CA24-BZ24)&lt; 0.000001, 0, ABS(CA24-BZ24)), "")</f>
        <v>0</v>
      </c>
      <c r="CC24" s="71">
        <f t="shared" ref="CC24" si="1636">IF($AQ24=TRUE, BS24, "-")</f>
        <v>34.767987984527203</v>
      </c>
      <c r="CD24" s="71">
        <f t="shared" ref="CD24" si="1637">IF($AQ24=TRUE, BT24, "-")</f>
        <v>313.36233104157901</v>
      </c>
      <c r="CE24" s="71">
        <f t="shared" ref="CE24" si="1638">IF($AQ24=TRUE, BU24, "-")</f>
        <v>55.161638272897434</v>
      </c>
      <c r="CF24" s="71">
        <f t="shared" ref="CF24" si="1639">IF($AQ24=TRUE, BV24, "-")</f>
        <v>28.371835016425781</v>
      </c>
      <c r="CG24" s="71">
        <f t="shared" ref="CG24" si="1640">IF($AQ24=TRUE,  IF(BW24 -CB24 &gt;= 0, BW24 -CB24, 0), "-")</f>
        <v>26.572218521740623</v>
      </c>
      <c r="CH24" s="71">
        <f t="shared" ref="CH24" si="1641">IF($AQ24=TRUE, BX24, "-")</f>
        <v>315.92267281678306</v>
      </c>
      <c r="CI24" s="71">
        <f t="shared" ref="CI24" si="1642">IF($AQ24=TRUE, BY24, "-")</f>
        <v>32.425230944054228</v>
      </c>
      <c r="CJ24" s="40">
        <f t="shared" ref="CJ24" si="1643">IF($AQ24=TRUE, SUM(CC24:CE24), "")</f>
        <v>403.29195729900368</v>
      </c>
      <c r="CK24" s="40">
        <f t="shared" ref="CK24" si="1644">IF($AQ24=TRUE, SUM(CF24:CI24), "")</f>
        <v>403.29195729900374</v>
      </c>
      <c r="CL24" s="40">
        <f t="shared" ref="CL24" si="1645">IF($AQ24=TRUE,IF(ABS(CK24-CJ24)&lt; 0.000001, 0, ABS(CK24-CJ24)), "")</f>
        <v>0</v>
      </c>
      <c r="CM24" s="74">
        <f t="shared" ref="CM24" si="1646">IF($AQ24 = TRUE, CC24, AR24)</f>
        <v>34.767987984527203</v>
      </c>
      <c r="CN24" s="74">
        <f t="shared" ref="CN24" si="1647">IF($AQ24 = TRUE, CD24, AS24)</f>
        <v>313.36233104157901</v>
      </c>
      <c r="CO24" s="74">
        <f t="shared" ref="CO24" si="1648">IF($AQ24 = TRUE, CE24, AT24)</f>
        <v>55.161638272897434</v>
      </c>
      <c r="CP24" s="74">
        <f t="shared" ref="CP24" si="1649">IF($AQ24 = TRUE, CF24, AU24)</f>
        <v>28.371835016425781</v>
      </c>
      <c r="CQ24" s="74">
        <f t="shared" ref="CQ24" si="1650">IF($AQ24 = TRUE, CG24, AV24)</f>
        <v>26.572218521740623</v>
      </c>
      <c r="CR24" s="74">
        <f t="shared" ref="CR24" si="1651">IF($AQ24 = TRUE, CH24, AW24)</f>
        <v>315.92267281678306</v>
      </c>
      <c r="CS24" s="74">
        <f t="shared" ref="CS24" si="1652">IF($AQ24 = TRUE, CI24, AX24)</f>
        <v>32.425230944054228</v>
      </c>
      <c r="CT24" s="78">
        <f t="shared" ref="CT24" si="1653">MIN(CR24,CO24)</f>
        <v>55.161638272897434</v>
      </c>
      <c r="CU24" s="78">
        <f t="shared" ref="CU24" si="1654">CM24</f>
        <v>34.767987984527203</v>
      </c>
      <c r="CV24" s="78">
        <f t="shared" ref="CV24" si="1655">CN24</f>
        <v>313.36233104157901</v>
      </c>
      <c r="CW24" s="78">
        <f t="shared" ref="CW24" si="1656">CO24-CT24</f>
        <v>0</v>
      </c>
      <c r="CX24" s="78">
        <f t="shared" ref="CX24" si="1657">CP24</f>
        <v>28.371835016425781</v>
      </c>
      <c r="CY24" s="78">
        <f t="shared" ref="CY24" si="1658">CQ24</f>
        <v>26.572218521740623</v>
      </c>
      <c r="CZ24" s="78">
        <f t="shared" ref="CZ24" si="1659">CR24-CT24</f>
        <v>260.76103454388561</v>
      </c>
      <c r="DA24" s="78">
        <f t="shared" ref="DA24" si="1660">CS24</f>
        <v>32.425230944054228</v>
      </c>
      <c r="DB24" s="25" t="b">
        <f t="shared" ref="DB24" si="1661">IF(ABS(SUM(CU24:CW24)-SUM(CX24:DA24)) &lt; 0.000001, TRUE)</f>
        <v>1</v>
      </c>
      <c r="DC24" s="115">
        <f>(Table1[[#This Row],[eCl,adj (mEq/kg) eq7]]/Reference!D$2)/1000</f>
        <v>3.4767987984527203E-2</v>
      </c>
      <c r="DD24" s="115">
        <f>(Table1[[#This Row],[eNO3,adj (mEq/kg) eq7]]/Reference!E$2)/1000</f>
        <v>0.31336233104157901</v>
      </c>
      <c r="DE24" s="115">
        <f>(Table1[[#This Row],[eSO4,adj,f (mEq/kg) eq7]]/Reference!F$2)/1000</f>
        <v>0</v>
      </c>
      <c r="DF24" s="115">
        <f>(Table1[[#This Row],[eNa,adj (mEq/kg) eq7]]/Reference!G$2)/1000</f>
        <v>2.8371835016425782E-2</v>
      </c>
      <c r="DG24" s="115">
        <f>(Table1[[#This Row],[eK,adj (mEq/kg) eq7]]/Reference!H$2)/1000</f>
        <v>2.6572218521740625E-2</v>
      </c>
      <c r="DH24" s="115">
        <f>(Table1[[#This Row],[eCa,adj,f (mEq/kg) eq7]]/Reference!I$2)/1000</f>
        <v>0.1303805172719428</v>
      </c>
      <c r="DI24" s="115">
        <f>(Table1[[#This Row],[eMg,adj (mEq/kg) eq7]]/Reference!J$2)/1000</f>
        <v>1.6212615472027115E-2</v>
      </c>
      <c r="DJ24" s="44">
        <f>Table1[[#This Row],[cCl,adj (mol/kg) eq 8 part 1]]/SUM(Table1[[#This Row],[cCl,adj (mol/kg) eq 8 part 1]:[cMg,adj (mol/kg) eq 8 part 1]])</f>
        <v>6.3252762167612608E-2</v>
      </c>
      <c r="DK24" s="44">
        <f>Table1[[#This Row],[cNO3,adj (mol/kg) eq 8 part 1]]/SUM(Table1[[#This Row],[cCl,adj (mol/kg) eq 8 part 1]:[cMg,adj (mol/kg) eq 8 part 1]])</f>
        <v>0.57009433523972231</v>
      </c>
      <c r="DL24" s="44">
        <f>Table1[[#This Row],[cSO4,adj (mol/kg) eq 8 part 1]]/SUM(Table1[[#This Row],[cCl,adj (mol/kg) eq 8 part 1]:[cMg,adj (mol/kg) eq 8 part 1]])</f>
        <v>0</v>
      </c>
      <c r="DM24" s="44">
        <f>Table1[[#This Row],[cNa,adj (mol/kg) eq 8 part 1]]/SUM(Table1[[#This Row],[cCl,adj (mol/kg) eq 8 part 1]:[cMg,adj (mol/kg) eq 8 part 1]])</f>
        <v>5.1616358512070727E-2</v>
      </c>
      <c r="DN24" s="44">
        <f>Table1[[#This Row],[cK,adj (mol/kg) eq 8 part 1]]/SUM(Table1[[#This Row],[cCl,adj (mol/kg) eq 8 part 1]:[cMg,adj (mol/kg) eq 8 part 1]])</f>
        <v>4.8342349265924789E-2</v>
      </c>
      <c r="DO24" s="44">
        <f>Table1[[#This Row],[cCa,adj (mol/kg) eq 8 part 1]]/SUM(Table1[[#This Row],[cCl,adj (mol/kg) eq 8 part 1]:[cMg,adj (mol/kg) eq 8 part 1]])</f>
        <v>0.23719888116512913</v>
      </c>
      <c r="DP24" s="44">
        <f>Table1[[#This Row],[cMg,adj (mol/kg) eq 8 part 1]]/SUM(Table1[[#This Row],[cCl,adj (mol/kg) eq 8 part 1]:[cMg,adj (mol/kg) eq 8 part 1]])</f>
        <v>2.9495313649540562E-2</v>
      </c>
      <c r="DQ24" s="46">
        <f t="shared" ref="DQ24" si="1662">IF($AP24=TRUE, 0, (AJ24-CR24)/SUM($AH24:$AK24))</f>
        <v>0.19860702230069641</v>
      </c>
      <c r="DR24" s="46">
        <f t="shared" ref="DR24" si="1663">IF($AP24=TRUE, 0, (AK24-CS24)/SUM($AH24:$AK24))</f>
        <v>0</v>
      </c>
      <c r="DS24" s="46">
        <f t="shared" ref="DS24" si="1664">IF($AP24=TRUE, 0, (AH24-CP24)/SUM($AH24:$AK24))</f>
        <v>0</v>
      </c>
      <c r="DT24" s="46">
        <f t="shared" ref="DT24" si="1665">IF($AP24=TRUE, 0, (AI24-CQ24)/SUM($AH24:$AK24))</f>
        <v>0</v>
      </c>
      <c r="DU24" s="69">
        <f>((CU24*Reference!D$3)/Reference!D$2)*0.001</f>
        <v>1.2326190476190475E-3</v>
      </c>
      <c r="DV24" s="69">
        <f>((CV24*Reference!E$3)/Reference!E$2)*0.001</f>
        <v>1.9430000000000003E-2</v>
      </c>
      <c r="DW24" s="69">
        <f>((CW24*Reference!F$3)/Reference!F$2)*0.001</f>
        <v>0</v>
      </c>
      <c r="DX24" s="69">
        <f>((CX24*Reference!G$3)/Reference!G$2)*0.001</f>
        <v>6.5226190476190494E-4</v>
      </c>
      <c r="DY24" s="69">
        <f>((CY24*Reference!H$3)/Reference!H$2)*0.001</f>
        <v>1.0389285714285715E-3</v>
      </c>
      <c r="DZ24" s="69">
        <f>((CZ24*Reference!I$3)/Reference!I$2)*0.001</f>
        <v>5.2253903712249248E-3</v>
      </c>
      <c r="EA24" s="69">
        <f>((DA24*Reference!J$3)/Reference!J$2)*0.001</f>
        <v>3.9404761904761901E-4</v>
      </c>
      <c r="EB24" s="70">
        <f t="shared" ref="EB24" si="1666">SUM(DU24:EA24)</f>
        <v>2.7973247514082075E-2</v>
      </c>
      <c r="EC24" s="68">
        <f t="shared" si="753"/>
        <v>5.7577405811560303E-3</v>
      </c>
      <c r="ED24" s="68">
        <f t="shared" ref="ED24" si="1667">((CT24)*(0.5*(96.064+40.078))*0.000001)</f>
        <v>3.7549078788744008E-3</v>
      </c>
      <c r="EE24" s="68">
        <f>Table1[[#This Row],[wtot,adj + wCaSO4(-) eq11]]-Table1[[#This Row],[wCaSO4 (-)]]</f>
        <v>2.0028327022816295E-3</v>
      </c>
      <c r="EF24" s="68">
        <f>IF(Table1[[#This Row],[pII]]=TRUE, ABS(SUM(DX24,DY24)-(SUM(Z24,AA24))),"Pathway I")</f>
        <v>0</v>
      </c>
      <c r="EG24" s="68">
        <f>IF(Table1[[#This Row],[pII]]=TRUE, (((ABS(Table1[[#This Row],[eCa,adj (mEq/kg) pI or pII]]-Table1[[#This Row],[eCa (mEq/kg)]]))*0.040078)/2)*0.001,"Pathway I")</f>
        <v>2.0028327022816282E-3</v>
      </c>
      <c r="EH24" s="68">
        <f>IF(Table1[[#This Row],[pII]]=TRUE, ((Table1[[#This Row],[ΔeMg (mEq/kg) eq5b]]+Table1[[#This Row],[ΔeNa (mEq/kg) eq5c]]+Table1[[#This Row],[ΔeK (mEq/kg) eq5d]])/1000000)*(60.01/2), "Pathway I")</f>
        <v>0</v>
      </c>
    </row>
    <row r="25" spans="1:138" x14ac:dyDescent="0.6">
      <c r="A25" s="2" t="s">
        <v>311</v>
      </c>
      <c r="B25" s="1" t="s">
        <v>207</v>
      </c>
      <c r="C25" s="1" t="s">
        <v>312</v>
      </c>
      <c r="D25" s="127" t="s">
        <v>208</v>
      </c>
      <c r="E25" s="127">
        <v>2018</v>
      </c>
      <c r="F25" s="1" t="s">
        <v>207</v>
      </c>
      <c r="G25" s="1" t="s">
        <v>208</v>
      </c>
      <c r="H25" s="1" t="s">
        <v>230</v>
      </c>
      <c r="I25" s="1" t="s">
        <v>310</v>
      </c>
      <c r="J25" s="1" t="s">
        <v>208</v>
      </c>
      <c r="K25" s="1" t="s">
        <v>216</v>
      </c>
      <c r="L25" s="1">
        <v>230</v>
      </c>
      <c r="M25" s="1" t="s">
        <v>220</v>
      </c>
      <c r="N25" s="1">
        <v>1.3779999999999999</v>
      </c>
      <c r="O25" s="1">
        <v>100</v>
      </c>
      <c r="P25" s="26">
        <v>46.99</v>
      </c>
      <c r="Q25" s="26">
        <v>55.908999999999999</v>
      </c>
      <c r="R25" s="26">
        <v>403.26900000000001</v>
      </c>
      <c r="S25" s="26">
        <v>34.756</v>
      </c>
      <c r="T25" s="26">
        <v>25.420999999999999</v>
      </c>
      <c r="U25" s="26">
        <v>121.339</v>
      </c>
      <c r="V25" s="26">
        <v>38.591999999999999</v>
      </c>
      <c r="W25" s="69">
        <f t="shared" ref="W25" si="1668">(P25*($O25/1000))/($N25*1000)</f>
        <v>3.4100145137880991E-3</v>
      </c>
      <c r="X25" s="69">
        <f t="shared" ref="X25" si="1669">(Q25*($O25/1000))/($N25*1000)</f>
        <v>4.0572568940493471E-3</v>
      </c>
      <c r="Y25" s="69">
        <f t="shared" ref="Y25" si="1670">(R25*($O25/1000))/($N25*1000)</f>
        <v>2.9264804063860669E-2</v>
      </c>
      <c r="Z25" s="69">
        <f t="shared" ref="Z25" si="1671">(S25*($O25/1000))/($N25*1000)</f>
        <v>2.5222060957910014E-3</v>
      </c>
      <c r="AA25" s="69">
        <f t="shared" ref="AA25" si="1672">(T25*($O25/1000))/($N25*1000)</f>
        <v>1.8447750362844703E-3</v>
      </c>
      <c r="AB25" s="69">
        <f t="shared" ref="AB25" si="1673">(U25*($O25/1000))/($N25*1000)</f>
        <v>8.8054426705370097E-3</v>
      </c>
      <c r="AC25" s="69">
        <f t="shared" ref="AC25" si="1674">(V25*($O25/1000))/($N25*1000)</f>
        <v>2.8005805515239476E-3</v>
      </c>
      <c r="AD25" s="70">
        <f t="shared" ref="AD25" si="1675">SUM(W25:AC25)</f>
        <v>5.2705079825834542E-2</v>
      </c>
      <c r="AE25" s="71">
        <f>((W25*Reference!D$2)/Reference!D$3)*1000</f>
        <v>96.184903090261088</v>
      </c>
      <c r="AF25" s="71">
        <f>((X25*Reference!E$2)/Reference!E$3)*1000</f>
        <v>65.434455890572309</v>
      </c>
      <c r="AG25" s="71">
        <f>((Y25*Reference!F$2)/Reference!F$3)*1000</f>
        <v>609.27723317498067</v>
      </c>
      <c r="AH25" s="71">
        <f>((Z25*Reference!G$2)/Reference!G$3)*1000</f>
        <v>109.70994121345642</v>
      </c>
      <c r="AI25" s="71">
        <f>((AA25*Reference!H$2)/Reference!H$3)*1000</f>
        <v>47.182998654275771</v>
      </c>
      <c r="AJ25" s="71">
        <f>((AB25*Reference!I$2)/Reference!I$3)*1000</f>
        <v>439.4152737430515</v>
      </c>
      <c r="AK25" s="71">
        <f>((AC25*Reference!J$2)/Reference!J$3)*1000</f>
        <v>230.45303859485273</v>
      </c>
      <c r="AL25" s="40">
        <f t="shared" ref="AL25" si="1676">SUM(AE25:AG25)</f>
        <v>770.89659215581401</v>
      </c>
      <c r="AM25" s="40">
        <f t="shared" ref="AM25" si="1677">SUM(AH25:AK25)</f>
        <v>826.76125220563642</v>
      </c>
      <c r="AN25" s="72">
        <f t="shared" ref="AN25" si="1678">ABS(AM25-AL25)</f>
        <v>55.864660049822419</v>
      </c>
      <c r="AO25" s="24" t="str">
        <f t="shared" ref="AO25" si="1679">IF(AM25&gt;AL25, "Δe,cat", "Δe,ani")</f>
        <v>Δe,cat</v>
      </c>
      <c r="AP25" s="25" t="b">
        <f t="shared" ref="AP25" si="1680">IF(OR(AN25&lt;=MAX(AL25,AM25)*0.02, AL25&gt;AM25), TRUE)</f>
        <v>0</v>
      </c>
      <c r="AQ25" s="25" t="b">
        <f t="shared" ref="AQ25" si="1681">IF(AND(AN25&gt;AM25*0.02, AM25&gt;AL25), TRUE)</f>
        <v>1</v>
      </c>
      <c r="AR25" s="73" t="str">
        <f t="shared" ref="AR25" si="1682">IF($AP25=TRUE, (AE25*($AL25+$AM25)/(2*$AL25)), "-")</f>
        <v>-</v>
      </c>
      <c r="AS25" s="73" t="str">
        <f t="shared" ref="AS25" si="1683">IF($AP25=TRUE, (AF25*($AL25+$AM25)/(2*$AL25)), "-")</f>
        <v>-</v>
      </c>
      <c r="AT25" s="73" t="str">
        <f t="shared" ref="AT25" si="1684">IF($AP25=TRUE, (AG25*($AL25+$AM25)/(2*$AL25)), "-")</f>
        <v>-</v>
      </c>
      <c r="AU25" s="73" t="str">
        <f t="shared" ref="AU25" si="1685">IF($AP25=TRUE, (AH25*($AL25+$AM25)/(2*$AM25)), "-")</f>
        <v>-</v>
      </c>
      <c r="AV25" s="73" t="str">
        <f t="shared" ref="AV25" si="1686">IF($AP25=TRUE, (AI25*($AL25+$AM25)/(2*$AM25)), "-")</f>
        <v>-</v>
      </c>
      <c r="AW25" s="73" t="str">
        <f t="shared" ref="AW25" si="1687">IF($AP25=TRUE, (AJ25*($AL25+$AM25)/(2*$AM25)), "-")</f>
        <v>-</v>
      </c>
      <c r="AX25" s="73" t="str">
        <f t="shared" ref="AX25" si="1688">IF($AP25=TRUE, (AK25*($AL25+$AM25)/(2*$AM25)), "-")</f>
        <v>-</v>
      </c>
      <c r="AY25" s="71">
        <f t="shared" ref="AY25" si="1689">IF($AQ25=TRUE, AE25, "-")</f>
        <v>96.184903090261088</v>
      </c>
      <c r="AZ25" s="71">
        <f t="shared" ref="AZ25" si="1690">IF($AQ25=TRUE, AF25, "-")</f>
        <v>65.434455890572309</v>
      </c>
      <c r="BA25" s="71">
        <f t="shared" ref="BA25" si="1691">IF($AQ25=TRUE, AG25, "-")</f>
        <v>609.27723317498067</v>
      </c>
      <c r="BB25" s="71">
        <f t="shared" ref="BB25" si="1692">IF($AQ25=TRUE, AH25, "-")</f>
        <v>109.70994121345642</v>
      </c>
      <c r="BC25" s="71">
        <f t="shared" ref="BC25" si="1693">IF($AQ25=TRUE, AI25, "-")</f>
        <v>47.182998654275771</v>
      </c>
      <c r="BD25" s="71">
        <f t="shared" ref="BD25" si="1694">IF($AQ25=TRUE, IF(AJ25-AN25 &gt;= 0, AJ25-AN25, 0), "-")</f>
        <v>383.55061369322908</v>
      </c>
      <c r="BE25" s="71">
        <f t="shared" ref="BE25" si="1695">IF($AQ25=TRUE, AK25, "-")</f>
        <v>230.45303859485273</v>
      </c>
      <c r="BF25" s="40">
        <f t="shared" ref="BF25" si="1696">IF($AQ25=TRUE, SUM(AY25:BA25), "")</f>
        <v>770.89659215581401</v>
      </c>
      <c r="BG25" s="40">
        <f t="shared" ref="BG25" si="1697">IF($AQ25=TRUE, SUM(BB25:BE25), "")</f>
        <v>770.89659215581401</v>
      </c>
      <c r="BH25" s="40">
        <f t="shared" ref="BH25" si="1698">IF($AQ25=TRUE,IF(ABS(BG25-BF25)&lt; 0.000001, 0, ABS(BG25-BF25)), "")</f>
        <v>0</v>
      </c>
      <c r="BI25" s="71">
        <f t="shared" ref="BI25" si="1699">IF($AQ25=TRUE, AY25, "-")</f>
        <v>96.184903090261088</v>
      </c>
      <c r="BJ25" s="71">
        <f t="shared" ref="BJ25" si="1700">IF($AQ25=TRUE, AZ25, "-")</f>
        <v>65.434455890572309</v>
      </c>
      <c r="BK25" s="71">
        <f t="shared" ref="BK25" si="1701">IF($AQ25=TRUE, BA25, "-")</f>
        <v>609.27723317498067</v>
      </c>
      <c r="BL25" s="71">
        <f t="shared" ref="BL25" si="1702">IF($AQ25=TRUE, BB25, "-")</f>
        <v>109.70994121345642</v>
      </c>
      <c r="BM25" s="71">
        <f t="shared" ref="BM25" si="1703">IF($AQ25=TRUE, BC25, "-")</f>
        <v>47.182998654275771</v>
      </c>
      <c r="BN25" s="71">
        <f t="shared" ref="BN25" si="1704">IF($AQ25=TRUE, BD25, "-")</f>
        <v>383.55061369322908</v>
      </c>
      <c r="BO25" s="71">
        <f t="shared" ref="BO25" si="1705">IF($AQ25=TRUE, IF(BE25 -BH25 &gt;= 0, BE25 -BH25, 0), "-")</f>
        <v>230.45303859485273</v>
      </c>
      <c r="BP25" s="40">
        <f t="shared" ref="BP25" si="1706">IF($AQ25=TRUE, SUM(BI25:BK25), "")</f>
        <v>770.89659215581401</v>
      </c>
      <c r="BQ25" s="40">
        <f t="shared" ref="BQ25" si="1707">IF($AQ25=TRUE, SUM(BL25:BO25), "")</f>
        <v>770.89659215581401</v>
      </c>
      <c r="BR25" s="40">
        <f t="shared" ref="BR25" si="1708">IF($AQ25=TRUE,IF(ABS(BQ25-BP25)&lt; 0.000001, 0, ABS(BQ25-BP25)), "")</f>
        <v>0</v>
      </c>
      <c r="BS25" s="71">
        <f t="shared" ref="BS25" si="1709">IF($AQ25=TRUE, BI25, "-")</f>
        <v>96.184903090261088</v>
      </c>
      <c r="BT25" s="71">
        <f t="shared" ref="BT25" si="1710">IF($AQ25=TRUE, BJ25, "-")</f>
        <v>65.434455890572309</v>
      </c>
      <c r="BU25" s="71">
        <f t="shared" ref="BU25" si="1711">IF($AQ25=TRUE, BK25, "-")</f>
        <v>609.27723317498067</v>
      </c>
      <c r="BV25" s="71">
        <f t="shared" ref="BV25" si="1712">IF($AQ25=TRUE, IF(BL25 -BR25 &gt;= 0, BL25 -BR25, 0), "-")</f>
        <v>109.70994121345642</v>
      </c>
      <c r="BW25" s="71">
        <f t="shared" ref="BW25" si="1713">IF($AQ25=TRUE, BM25, "-")</f>
        <v>47.182998654275771</v>
      </c>
      <c r="BX25" s="71">
        <f t="shared" ref="BX25" si="1714">IF($AQ25=TRUE, BN25, "-")</f>
        <v>383.55061369322908</v>
      </c>
      <c r="BY25" s="71">
        <f t="shared" ref="BY25" si="1715">IF($AQ25=TRUE, BO25, "-")</f>
        <v>230.45303859485273</v>
      </c>
      <c r="BZ25" s="40">
        <f t="shared" ref="BZ25" si="1716">IF($AQ25=TRUE, SUM(BS25:BU25), "")</f>
        <v>770.89659215581401</v>
      </c>
      <c r="CA25" s="40">
        <f t="shared" ref="CA25" si="1717">IF($AQ25=TRUE, SUM(BV25:BY25), "")</f>
        <v>770.89659215581401</v>
      </c>
      <c r="CB25" s="40">
        <f t="shared" ref="CB25" si="1718">IF($AQ25=TRUE,IF(ABS(CA25-BZ25)&lt; 0.000001, 0, ABS(CA25-BZ25)), "")</f>
        <v>0</v>
      </c>
      <c r="CC25" s="71">
        <f t="shared" ref="CC25" si="1719">IF($AQ25=TRUE, BS25, "-")</f>
        <v>96.184903090261088</v>
      </c>
      <c r="CD25" s="71">
        <f t="shared" ref="CD25" si="1720">IF($AQ25=TRUE, BT25, "-")</f>
        <v>65.434455890572309</v>
      </c>
      <c r="CE25" s="71">
        <f t="shared" ref="CE25" si="1721">IF($AQ25=TRUE, BU25, "-")</f>
        <v>609.27723317498067</v>
      </c>
      <c r="CF25" s="71">
        <f t="shared" ref="CF25" si="1722">IF($AQ25=TRUE, BV25, "-")</f>
        <v>109.70994121345642</v>
      </c>
      <c r="CG25" s="71">
        <f t="shared" ref="CG25" si="1723">IF($AQ25=TRUE,  IF(BW25 -CB25 &gt;= 0, BW25 -CB25, 0), "-")</f>
        <v>47.182998654275771</v>
      </c>
      <c r="CH25" s="71">
        <f t="shared" ref="CH25" si="1724">IF($AQ25=TRUE, BX25, "-")</f>
        <v>383.55061369322908</v>
      </c>
      <c r="CI25" s="71">
        <f t="shared" ref="CI25" si="1725">IF($AQ25=TRUE, BY25, "-")</f>
        <v>230.45303859485273</v>
      </c>
      <c r="CJ25" s="40">
        <f t="shared" ref="CJ25" si="1726">IF($AQ25=TRUE, SUM(CC25:CE25), "")</f>
        <v>770.89659215581401</v>
      </c>
      <c r="CK25" s="40">
        <f t="shared" ref="CK25" si="1727">IF($AQ25=TRUE, SUM(CF25:CI25), "")</f>
        <v>770.89659215581401</v>
      </c>
      <c r="CL25" s="40">
        <f t="shared" ref="CL25" si="1728">IF($AQ25=TRUE,IF(ABS(CK25-CJ25)&lt; 0.000001, 0, ABS(CK25-CJ25)), "")</f>
        <v>0</v>
      </c>
      <c r="CM25" s="74">
        <f t="shared" ref="CM25" si="1729">IF($AQ25 = TRUE, CC25, AR25)</f>
        <v>96.184903090261088</v>
      </c>
      <c r="CN25" s="74">
        <f t="shared" ref="CN25" si="1730">IF($AQ25 = TRUE, CD25, AS25)</f>
        <v>65.434455890572309</v>
      </c>
      <c r="CO25" s="74">
        <f t="shared" ref="CO25" si="1731">IF($AQ25 = TRUE, CE25, AT25)</f>
        <v>609.27723317498067</v>
      </c>
      <c r="CP25" s="74">
        <f t="shared" ref="CP25" si="1732">IF($AQ25 = TRUE, CF25, AU25)</f>
        <v>109.70994121345642</v>
      </c>
      <c r="CQ25" s="74">
        <f t="shared" ref="CQ25" si="1733">IF($AQ25 = TRUE, CG25, AV25)</f>
        <v>47.182998654275771</v>
      </c>
      <c r="CR25" s="74">
        <f t="shared" ref="CR25" si="1734">IF($AQ25 = TRUE, CH25, AW25)</f>
        <v>383.55061369322908</v>
      </c>
      <c r="CS25" s="74">
        <f t="shared" ref="CS25" si="1735">IF($AQ25 = TRUE, CI25, AX25)</f>
        <v>230.45303859485273</v>
      </c>
      <c r="CT25" s="78">
        <f t="shared" ref="CT25" si="1736">MIN(CR25,CO25)</f>
        <v>383.55061369322908</v>
      </c>
      <c r="CU25" s="78">
        <f t="shared" ref="CU25" si="1737">CM25</f>
        <v>96.184903090261088</v>
      </c>
      <c r="CV25" s="78">
        <f t="shared" ref="CV25" si="1738">CN25</f>
        <v>65.434455890572309</v>
      </c>
      <c r="CW25" s="78">
        <f t="shared" ref="CW25" si="1739">CO25-CT25</f>
        <v>225.72661948175158</v>
      </c>
      <c r="CX25" s="78">
        <f t="shared" ref="CX25" si="1740">CP25</f>
        <v>109.70994121345642</v>
      </c>
      <c r="CY25" s="78">
        <f t="shared" ref="CY25" si="1741">CQ25</f>
        <v>47.182998654275771</v>
      </c>
      <c r="CZ25" s="78">
        <f t="shared" ref="CZ25" si="1742">CR25-CT25</f>
        <v>0</v>
      </c>
      <c r="DA25" s="78">
        <f t="shared" ref="DA25" si="1743">CS25</f>
        <v>230.45303859485273</v>
      </c>
      <c r="DB25" s="25" t="b">
        <f t="shared" ref="DB25" si="1744">IF(ABS(SUM(CU25:CW25)-SUM(CX25:DA25)) &lt; 0.000001, TRUE)</f>
        <v>1</v>
      </c>
      <c r="DC25" s="115">
        <f>(Table1[[#This Row],[eCl,adj (mEq/kg) eq7]]/Reference!D$2)/1000</f>
        <v>9.6184903090261092E-2</v>
      </c>
      <c r="DD25" s="115">
        <f>(Table1[[#This Row],[eNO3,adj (mEq/kg) eq7]]/Reference!E$2)/1000</f>
        <v>6.5434455890572313E-2</v>
      </c>
      <c r="DE25" s="115">
        <f>(Table1[[#This Row],[eSO4,adj,f (mEq/kg) eq7]]/Reference!F$2)/1000</f>
        <v>0.11286330974087579</v>
      </c>
      <c r="DF25" s="115">
        <f>(Table1[[#This Row],[eNa,adj (mEq/kg) eq7]]/Reference!G$2)/1000</f>
        <v>0.10970994121345642</v>
      </c>
      <c r="DG25" s="115">
        <f>(Table1[[#This Row],[eK,adj (mEq/kg) eq7]]/Reference!H$2)/1000</f>
        <v>4.7182998654275769E-2</v>
      </c>
      <c r="DH25" s="115">
        <f>(Table1[[#This Row],[eCa,adj,f (mEq/kg) eq7]]/Reference!I$2)/1000</f>
        <v>0</v>
      </c>
      <c r="DI25" s="115">
        <f>(Table1[[#This Row],[eMg,adj (mEq/kg) eq7]]/Reference!J$2)/1000</f>
        <v>0.11522651929742636</v>
      </c>
      <c r="DJ25" s="44">
        <f>Table1[[#This Row],[cCl,adj (mol/kg) eq 8 part 1]]/SUM(Table1[[#This Row],[cCl,adj (mol/kg) eq 8 part 1]:[cMg,adj (mol/kg) eq 8 part 1]])</f>
        <v>0.17596876810945905</v>
      </c>
      <c r="DK25" s="44">
        <f>Table1[[#This Row],[cNO3,adj (mol/kg) eq 8 part 1]]/SUM(Table1[[#This Row],[cCl,adj (mol/kg) eq 8 part 1]:[cMg,adj (mol/kg) eq 8 part 1]])</f>
        <v>0.11971130837623729</v>
      </c>
      <c r="DL25" s="44">
        <f>Table1[[#This Row],[cSO4,adj (mol/kg) eq 8 part 1]]/SUM(Table1[[#This Row],[cCl,adj (mol/kg) eq 8 part 1]:[cMg,adj (mol/kg) eq 8 part 1]])</f>
        <v>0.20648165088050213</v>
      </c>
      <c r="DM25" s="44">
        <f>Table1[[#This Row],[cNa,adj (mol/kg) eq 8 part 1]]/SUM(Table1[[#This Row],[cCl,adj (mol/kg) eq 8 part 1]:[cMg,adj (mol/kg) eq 8 part 1]])</f>
        <v>0.20071261273275451</v>
      </c>
      <c r="DN25" s="44">
        <f>Table1[[#This Row],[cK,adj (mol/kg) eq 8 part 1]]/SUM(Table1[[#This Row],[cCl,adj (mol/kg) eq 8 part 1]:[cMg,adj (mol/kg) eq 8 part 1]])</f>
        <v>8.6320554288148346E-2</v>
      </c>
      <c r="DO25" s="44">
        <f>Table1[[#This Row],[cCa,adj (mol/kg) eq 8 part 1]]/SUM(Table1[[#This Row],[cCl,adj (mol/kg) eq 8 part 1]:[cMg,adj (mol/kg) eq 8 part 1]])</f>
        <v>0</v>
      </c>
      <c r="DP25" s="44">
        <f>Table1[[#This Row],[cMg,adj (mol/kg) eq 8 part 1]]/SUM(Table1[[#This Row],[cCl,adj (mol/kg) eq 8 part 1]:[cMg,adj (mol/kg) eq 8 part 1]])</f>
        <v>0.21080510561289881</v>
      </c>
      <c r="DQ25" s="46">
        <f t="shared" ref="DQ25" si="1745">IF($AP25=TRUE, 0, (AJ25-CR25)/SUM($AH25:$AK25))</f>
        <v>6.7570486522906689E-2</v>
      </c>
      <c r="DR25" s="46">
        <f t="shared" ref="DR25" si="1746">IF($AP25=TRUE, 0, (AK25-CS25)/SUM($AH25:$AK25))</f>
        <v>0</v>
      </c>
      <c r="DS25" s="46">
        <f t="shared" ref="DS25" si="1747">IF($AP25=TRUE, 0, (AH25-CP25)/SUM($AH25:$AK25))</f>
        <v>0</v>
      </c>
      <c r="DT25" s="46">
        <f t="shared" ref="DT25" si="1748">IF($AP25=TRUE, 0, (AI25-CQ25)/SUM($AH25:$AK25))</f>
        <v>0</v>
      </c>
      <c r="DU25" s="69">
        <f>((CU25*Reference!D$3)/Reference!D$2)*0.001</f>
        <v>3.4100145137880991E-3</v>
      </c>
      <c r="DV25" s="69">
        <f>((CV25*Reference!E$3)/Reference!E$2)*0.001</f>
        <v>4.0572568940493471E-3</v>
      </c>
      <c r="DW25" s="69">
        <f>((CW25*Reference!F$3)/Reference!F$2)*0.001</f>
        <v>1.0842100986947491E-2</v>
      </c>
      <c r="DX25" s="69">
        <f>((CX25*Reference!G$3)/Reference!G$2)*0.001</f>
        <v>2.5222060957910014E-3</v>
      </c>
      <c r="DY25" s="69">
        <f>((CY25*Reference!H$3)/Reference!H$2)*0.001</f>
        <v>1.8447750362844705E-3</v>
      </c>
      <c r="DZ25" s="69">
        <f>((CZ25*Reference!I$3)/Reference!I$2)*0.001</f>
        <v>0</v>
      </c>
      <c r="EA25" s="69">
        <f>((DA25*Reference!J$3)/Reference!J$2)*0.001</f>
        <v>2.800580551523948E-3</v>
      </c>
      <c r="EB25" s="70">
        <f t="shared" ref="EB25" si="1749">SUM(DU25:EA25)</f>
        <v>2.5476934078384361E-2</v>
      </c>
      <c r="EC25" s="68">
        <f t="shared" si="753"/>
        <v>2.722814574745018E-2</v>
      </c>
      <c r="ED25" s="68">
        <f t="shared" ref="ED25" si="1750">((CT25)*(0.5*(96.064+40.078))*0.000001)</f>
        <v>2.6108673824711798E-2</v>
      </c>
      <c r="EE25" s="68">
        <f>Table1[[#This Row],[wtot,adj + wCaSO4(-) eq11]]-Table1[[#This Row],[wCaSO4 (-)]]</f>
        <v>1.1194719227383826E-3</v>
      </c>
      <c r="EF25" s="68">
        <f>IF(Table1[[#This Row],[pII]]=TRUE, ABS(SUM(DX25,DY25)-(SUM(Z25,AA25))),"Pathway I")</f>
        <v>0</v>
      </c>
      <c r="EG25" s="68">
        <f>IF(Table1[[#This Row],[pII]]=TRUE, (((ABS(Table1[[#This Row],[eCa,adj (mEq/kg) pI or pII]]-Table1[[#This Row],[eCa (mEq/kg)]]))*0.040078)/2)*0.001,"Pathway I")</f>
        <v>1.1194719227383917E-3</v>
      </c>
      <c r="EH25" s="68">
        <f>IF(Table1[[#This Row],[pII]]=TRUE, ((Table1[[#This Row],[ΔeMg (mEq/kg) eq5b]]+Table1[[#This Row],[ΔeNa (mEq/kg) eq5c]]+Table1[[#This Row],[ΔeK (mEq/kg) eq5d]])/1000000)*(60.01/2), "Pathway I")</f>
        <v>0</v>
      </c>
    </row>
    <row r="26" spans="1:138" x14ac:dyDescent="0.6">
      <c r="A26" s="2" t="s">
        <v>316</v>
      </c>
      <c r="B26" s="1" t="s">
        <v>207</v>
      </c>
      <c r="C26" s="1" t="s">
        <v>317</v>
      </c>
      <c r="D26" s="127" t="s">
        <v>208</v>
      </c>
      <c r="E26" s="127">
        <v>2018</v>
      </c>
      <c r="F26" s="1" t="s">
        <v>207</v>
      </c>
      <c r="G26" s="1" t="s">
        <v>208</v>
      </c>
      <c r="H26" s="1" t="s">
        <v>313</v>
      </c>
      <c r="I26" s="1" t="s">
        <v>314</v>
      </c>
      <c r="J26" s="1" t="s">
        <v>208</v>
      </c>
      <c r="K26" s="1" t="s">
        <v>222</v>
      </c>
      <c r="L26" s="1">
        <v>110</v>
      </c>
      <c r="M26" s="1" t="s">
        <v>220</v>
      </c>
      <c r="N26" s="1">
        <v>1.5269999999999999</v>
      </c>
      <c r="O26" s="1">
        <v>100</v>
      </c>
      <c r="P26" s="26">
        <v>15.108000000000001</v>
      </c>
      <c r="Q26" s="26">
        <v>36.965000000000003</v>
      </c>
      <c r="R26" s="26">
        <v>8.6340000000000003</v>
      </c>
      <c r="S26" s="26">
        <v>11.026</v>
      </c>
      <c r="T26" s="26">
        <v>22.605</v>
      </c>
      <c r="U26" s="26">
        <v>17.096</v>
      </c>
      <c r="V26" s="26">
        <v>0.68799999999999994</v>
      </c>
      <c r="W26" s="69">
        <f t="shared" ref="W26" si="1751">(P26*($O26/1000))/($N26*1000)</f>
        <v>9.8939096267190588E-4</v>
      </c>
      <c r="X26" s="69">
        <f t="shared" ref="X26" si="1752">(Q26*($O26/1000))/($N26*1000)</f>
        <v>2.4207596594629996E-3</v>
      </c>
      <c r="Y26" s="69">
        <f t="shared" ref="Y26" si="1753">(R26*($O26/1000))/($N26*1000)</f>
        <v>5.6542239685658155E-4</v>
      </c>
      <c r="Z26" s="69">
        <f t="shared" ref="Z26" si="1754">(S26*($O26/1000))/($N26*1000)</f>
        <v>7.2206941715782585E-4</v>
      </c>
      <c r="AA26" s="69">
        <f t="shared" ref="AA26" si="1755">(T26*($O26/1000))/($N26*1000)</f>
        <v>1.4803536345776031E-3</v>
      </c>
      <c r="AB26" s="69">
        <f t="shared" ref="AB26" si="1756">(U26*($O26/1000))/($N26*1000)</f>
        <v>1.1195808775376556E-3</v>
      </c>
      <c r="AC26" s="69">
        <f t="shared" ref="AC26" si="1757">(V26*($O26/1000))/($N26*1000)</f>
        <v>4.5055664702030127E-5</v>
      </c>
      <c r="AD26" s="70">
        <f t="shared" ref="AD26" si="1758">SUM(W26:AC26)</f>
        <v>7.3426326129666019E-3</v>
      </c>
      <c r="AE26" s="71">
        <f>((W26*Reference!D$2)/Reference!D$3)*1000</f>
        <v>27.907351560583706</v>
      </c>
      <c r="AF26" s="71">
        <f>((X26*Reference!E$2)/Reference!E$3)*1000</f>
        <v>39.04142510451593</v>
      </c>
      <c r="AG26" s="71">
        <f>((Y26*Reference!F$2)/Reference!F$3)*1000</f>
        <v>11.771785410904846</v>
      </c>
      <c r="AH26" s="71">
        <f>((Z26*Reference!G$2)/Reference!G$3)*1000</f>
        <v>31.408295079699187</v>
      </c>
      <c r="AI26" s="71">
        <f>((AA26*Reference!H$2)/Reference!H$3)*1000</f>
        <v>37.862352955949568</v>
      </c>
      <c r="AJ26" s="71">
        <f>((AB26*Reference!I$2)/Reference!I$3)*1000</f>
        <v>55.870097187367413</v>
      </c>
      <c r="AK26" s="71">
        <f>((AC26*Reference!J$2)/Reference!J$3)*1000</f>
        <v>3.7075222959909588</v>
      </c>
      <c r="AL26" s="40">
        <f t="shared" ref="AL26" si="1759">SUM(AE26:AG26)</f>
        <v>78.720562076004484</v>
      </c>
      <c r="AM26" s="40">
        <f t="shared" ref="AM26" si="1760">SUM(AH26:AK26)</f>
        <v>128.84826751900712</v>
      </c>
      <c r="AN26" s="72">
        <f t="shared" ref="AN26" si="1761">ABS(AM26-AL26)</f>
        <v>50.12770544300264</v>
      </c>
      <c r="AO26" s="24" t="str">
        <f t="shared" ref="AO26" si="1762">IF(AM26&gt;AL26, "Δe,cat", "Δe,ani")</f>
        <v>Δe,cat</v>
      </c>
      <c r="AP26" s="25" t="b">
        <f t="shared" ref="AP26" si="1763">IF(OR(AN26&lt;=MAX(AL26,AM26)*0.02, AL26&gt;AM26), TRUE)</f>
        <v>0</v>
      </c>
      <c r="AQ26" s="25" t="b">
        <f t="shared" ref="AQ26" si="1764">IF(AND(AN26&gt;AM26*0.02, AM26&gt;AL26), TRUE)</f>
        <v>1</v>
      </c>
      <c r="AR26" s="73" t="str">
        <f t="shared" ref="AR26" si="1765">IF($AP26=TRUE, (AE26*($AL26+$AM26)/(2*$AL26)), "-")</f>
        <v>-</v>
      </c>
      <c r="AS26" s="73" t="str">
        <f t="shared" ref="AS26" si="1766">IF($AP26=TRUE, (AF26*($AL26+$AM26)/(2*$AL26)), "-")</f>
        <v>-</v>
      </c>
      <c r="AT26" s="73" t="str">
        <f t="shared" ref="AT26" si="1767">IF($AP26=TRUE, (AG26*($AL26+$AM26)/(2*$AL26)), "-")</f>
        <v>-</v>
      </c>
      <c r="AU26" s="73" t="str">
        <f t="shared" ref="AU26" si="1768">IF($AP26=TRUE, (AH26*($AL26+$AM26)/(2*$AM26)), "-")</f>
        <v>-</v>
      </c>
      <c r="AV26" s="73" t="str">
        <f t="shared" ref="AV26" si="1769">IF($AP26=TRUE, (AI26*($AL26+$AM26)/(2*$AM26)), "-")</f>
        <v>-</v>
      </c>
      <c r="AW26" s="73" t="str">
        <f t="shared" ref="AW26" si="1770">IF($AP26=TRUE, (AJ26*($AL26+$AM26)/(2*$AM26)), "-")</f>
        <v>-</v>
      </c>
      <c r="AX26" s="73" t="str">
        <f t="shared" ref="AX26" si="1771">IF($AP26=TRUE, (AK26*($AL26+$AM26)/(2*$AM26)), "-")</f>
        <v>-</v>
      </c>
      <c r="AY26" s="71">
        <f t="shared" ref="AY26" si="1772">IF($AQ26=TRUE, AE26, "-")</f>
        <v>27.907351560583706</v>
      </c>
      <c r="AZ26" s="71">
        <f t="shared" ref="AZ26" si="1773">IF($AQ26=TRUE, AF26, "-")</f>
        <v>39.04142510451593</v>
      </c>
      <c r="BA26" s="71">
        <f t="shared" ref="BA26" si="1774">IF($AQ26=TRUE, AG26, "-")</f>
        <v>11.771785410904846</v>
      </c>
      <c r="BB26" s="71">
        <f t="shared" ref="BB26" si="1775">IF($AQ26=TRUE, AH26, "-")</f>
        <v>31.408295079699187</v>
      </c>
      <c r="BC26" s="71">
        <f t="shared" ref="BC26" si="1776">IF($AQ26=TRUE, AI26, "-")</f>
        <v>37.862352955949568</v>
      </c>
      <c r="BD26" s="71">
        <f t="shared" ref="BD26" si="1777">IF($AQ26=TRUE, IF(AJ26-AN26 &gt;= 0, AJ26-AN26, 0), "-")</f>
        <v>5.7423917443647738</v>
      </c>
      <c r="BE26" s="71">
        <f t="shared" ref="BE26" si="1778">IF($AQ26=TRUE, AK26, "-")</f>
        <v>3.7075222959909588</v>
      </c>
      <c r="BF26" s="40">
        <f t="shared" ref="BF26" si="1779">IF($AQ26=TRUE, SUM(AY26:BA26), "")</f>
        <v>78.720562076004484</v>
      </c>
      <c r="BG26" s="40">
        <f t="shared" ref="BG26" si="1780">IF($AQ26=TRUE, SUM(BB26:BE26), "")</f>
        <v>78.72056207600447</v>
      </c>
      <c r="BH26" s="40">
        <f t="shared" ref="BH26" si="1781">IF($AQ26=TRUE,IF(ABS(BG26-BF26)&lt; 0.000001, 0, ABS(BG26-BF26)), "")</f>
        <v>0</v>
      </c>
      <c r="BI26" s="71">
        <f t="shared" ref="BI26" si="1782">IF($AQ26=TRUE, AY26, "-")</f>
        <v>27.907351560583706</v>
      </c>
      <c r="BJ26" s="71">
        <f t="shared" ref="BJ26" si="1783">IF($AQ26=TRUE, AZ26, "-")</f>
        <v>39.04142510451593</v>
      </c>
      <c r="BK26" s="71">
        <f t="shared" ref="BK26" si="1784">IF($AQ26=TRUE, BA26, "-")</f>
        <v>11.771785410904846</v>
      </c>
      <c r="BL26" s="71">
        <f t="shared" ref="BL26" si="1785">IF($AQ26=TRUE, BB26, "-")</f>
        <v>31.408295079699187</v>
      </c>
      <c r="BM26" s="71">
        <f t="shared" ref="BM26" si="1786">IF($AQ26=TRUE, BC26, "-")</f>
        <v>37.862352955949568</v>
      </c>
      <c r="BN26" s="71">
        <f t="shared" ref="BN26" si="1787">IF($AQ26=TRUE, BD26, "-")</f>
        <v>5.7423917443647738</v>
      </c>
      <c r="BO26" s="71">
        <f t="shared" ref="BO26" si="1788">IF($AQ26=TRUE, IF(BE26 -BH26 &gt;= 0, BE26 -BH26, 0), "-")</f>
        <v>3.7075222959909588</v>
      </c>
      <c r="BP26" s="40">
        <f t="shared" ref="BP26" si="1789">IF($AQ26=TRUE, SUM(BI26:BK26), "")</f>
        <v>78.720562076004484</v>
      </c>
      <c r="BQ26" s="40">
        <f t="shared" ref="BQ26" si="1790">IF($AQ26=TRUE, SUM(BL26:BO26), "")</f>
        <v>78.72056207600447</v>
      </c>
      <c r="BR26" s="40">
        <f t="shared" ref="BR26" si="1791">IF($AQ26=TRUE,IF(ABS(BQ26-BP26)&lt; 0.000001, 0, ABS(BQ26-BP26)), "")</f>
        <v>0</v>
      </c>
      <c r="BS26" s="71">
        <f t="shared" ref="BS26" si="1792">IF($AQ26=TRUE, BI26, "-")</f>
        <v>27.907351560583706</v>
      </c>
      <c r="BT26" s="71">
        <f t="shared" ref="BT26" si="1793">IF($AQ26=TRUE, BJ26, "-")</f>
        <v>39.04142510451593</v>
      </c>
      <c r="BU26" s="71">
        <f t="shared" ref="BU26" si="1794">IF($AQ26=TRUE, BK26, "-")</f>
        <v>11.771785410904846</v>
      </c>
      <c r="BV26" s="71">
        <f t="shared" ref="BV26" si="1795">IF($AQ26=TRUE, IF(BL26 -BR26 &gt;= 0, BL26 -BR26, 0), "-")</f>
        <v>31.408295079699187</v>
      </c>
      <c r="BW26" s="71">
        <f t="shared" ref="BW26" si="1796">IF($AQ26=TRUE, BM26, "-")</f>
        <v>37.862352955949568</v>
      </c>
      <c r="BX26" s="71">
        <f t="shared" ref="BX26" si="1797">IF($AQ26=TRUE, BN26, "-")</f>
        <v>5.7423917443647738</v>
      </c>
      <c r="BY26" s="71">
        <f t="shared" ref="BY26" si="1798">IF($AQ26=TRUE, BO26, "-")</f>
        <v>3.7075222959909588</v>
      </c>
      <c r="BZ26" s="40">
        <f t="shared" ref="BZ26" si="1799">IF($AQ26=TRUE, SUM(BS26:BU26), "")</f>
        <v>78.720562076004484</v>
      </c>
      <c r="CA26" s="40">
        <f t="shared" ref="CA26" si="1800">IF($AQ26=TRUE, SUM(BV26:BY26), "")</f>
        <v>78.72056207600447</v>
      </c>
      <c r="CB26" s="40">
        <f t="shared" ref="CB26" si="1801">IF($AQ26=TRUE,IF(ABS(CA26-BZ26)&lt; 0.000001, 0, ABS(CA26-BZ26)), "")</f>
        <v>0</v>
      </c>
      <c r="CC26" s="71">
        <f t="shared" ref="CC26" si="1802">IF($AQ26=TRUE, BS26, "-")</f>
        <v>27.907351560583706</v>
      </c>
      <c r="CD26" s="71">
        <f t="shared" ref="CD26" si="1803">IF($AQ26=TRUE, BT26, "-")</f>
        <v>39.04142510451593</v>
      </c>
      <c r="CE26" s="71">
        <f t="shared" ref="CE26" si="1804">IF($AQ26=TRUE, BU26, "-")</f>
        <v>11.771785410904846</v>
      </c>
      <c r="CF26" s="71">
        <f t="shared" ref="CF26" si="1805">IF($AQ26=TRUE, BV26, "-")</f>
        <v>31.408295079699187</v>
      </c>
      <c r="CG26" s="71">
        <f t="shared" ref="CG26" si="1806">IF($AQ26=TRUE,  IF(BW26 -CB26 &gt;= 0, BW26 -CB26, 0), "-")</f>
        <v>37.862352955949568</v>
      </c>
      <c r="CH26" s="71">
        <f t="shared" ref="CH26" si="1807">IF($AQ26=TRUE, BX26, "-")</f>
        <v>5.7423917443647738</v>
      </c>
      <c r="CI26" s="71">
        <f t="shared" ref="CI26" si="1808">IF($AQ26=TRUE, BY26, "-")</f>
        <v>3.7075222959909588</v>
      </c>
      <c r="CJ26" s="40">
        <f t="shared" ref="CJ26" si="1809">IF($AQ26=TRUE, SUM(CC26:CE26), "")</f>
        <v>78.720562076004484</v>
      </c>
      <c r="CK26" s="40">
        <f t="shared" ref="CK26" si="1810">IF($AQ26=TRUE, SUM(CF26:CI26), "")</f>
        <v>78.72056207600447</v>
      </c>
      <c r="CL26" s="40">
        <f t="shared" ref="CL26" si="1811">IF($AQ26=TRUE,IF(ABS(CK26-CJ26)&lt; 0.000001, 0, ABS(CK26-CJ26)), "")</f>
        <v>0</v>
      </c>
      <c r="CM26" s="74">
        <f t="shared" ref="CM26" si="1812">IF($AQ26 = TRUE, CC26, AR26)</f>
        <v>27.907351560583706</v>
      </c>
      <c r="CN26" s="74">
        <f t="shared" ref="CN26" si="1813">IF($AQ26 = TRUE, CD26, AS26)</f>
        <v>39.04142510451593</v>
      </c>
      <c r="CO26" s="74">
        <f t="shared" ref="CO26" si="1814">IF($AQ26 = TRUE, CE26, AT26)</f>
        <v>11.771785410904846</v>
      </c>
      <c r="CP26" s="74">
        <f t="shared" ref="CP26" si="1815">IF($AQ26 = TRUE, CF26, AU26)</f>
        <v>31.408295079699187</v>
      </c>
      <c r="CQ26" s="74">
        <f t="shared" ref="CQ26" si="1816">IF($AQ26 = TRUE, CG26, AV26)</f>
        <v>37.862352955949568</v>
      </c>
      <c r="CR26" s="74">
        <f t="shared" ref="CR26" si="1817">IF($AQ26 = TRUE, CH26, AW26)</f>
        <v>5.7423917443647738</v>
      </c>
      <c r="CS26" s="74">
        <f t="shared" ref="CS26" si="1818">IF($AQ26 = TRUE, CI26, AX26)</f>
        <v>3.7075222959909588</v>
      </c>
      <c r="CT26" s="78">
        <f t="shared" ref="CT26" si="1819">MIN(CR26,CO26)</f>
        <v>5.7423917443647738</v>
      </c>
      <c r="CU26" s="78">
        <f t="shared" ref="CU26" si="1820">CM26</f>
        <v>27.907351560583706</v>
      </c>
      <c r="CV26" s="78">
        <f t="shared" ref="CV26" si="1821">CN26</f>
        <v>39.04142510451593</v>
      </c>
      <c r="CW26" s="78">
        <f t="shared" ref="CW26" si="1822">CO26-CT26</f>
        <v>6.0293936665400718</v>
      </c>
      <c r="CX26" s="78">
        <f t="shared" ref="CX26" si="1823">CP26</f>
        <v>31.408295079699187</v>
      </c>
      <c r="CY26" s="78">
        <f t="shared" ref="CY26" si="1824">CQ26</f>
        <v>37.862352955949568</v>
      </c>
      <c r="CZ26" s="78">
        <f t="shared" ref="CZ26" si="1825">CR26-CT26</f>
        <v>0</v>
      </c>
      <c r="DA26" s="78">
        <f t="shared" ref="DA26" si="1826">CS26</f>
        <v>3.7075222959909588</v>
      </c>
      <c r="DB26" s="25" t="b">
        <f t="shared" ref="DB26" si="1827">IF(ABS(SUM(CU26:CW26)-SUM(CX26:DA26)) &lt; 0.000001, TRUE)</f>
        <v>1</v>
      </c>
      <c r="DC26" s="115">
        <f>(Table1[[#This Row],[eCl,adj (mEq/kg) eq7]]/Reference!D$2)/1000</f>
        <v>2.7907351560583705E-2</v>
      </c>
      <c r="DD26" s="115">
        <f>(Table1[[#This Row],[eNO3,adj (mEq/kg) eq7]]/Reference!E$2)/1000</f>
        <v>3.9041425104515928E-2</v>
      </c>
      <c r="DE26" s="115">
        <f>(Table1[[#This Row],[eSO4,adj,f (mEq/kg) eq7]]/Reference!F$2)/1000</f>
        <v>3.0146968332700357E-3</v>
      </c>
      <c r="DF26" s="115">
        <f>(Table1[[#This Row],[eNa,adj (mEq/kg) eq7]]/Reference!G$2)/1000</f>
        <v>3.1408295079699187E-2</v>
      </c>
      <c r="DG26" s="115">
        <f>(Table1[[#This Row],[eK,adj (mEq/kg) eq7]]/Reference!H$2)/1000</f>
        <v>3.7862352955949571E-2</v>
      </c>
      <c r="DH26" s="115">
        <f>(Table1[[#This Row],[eCa,adj,f (mEq/kg) eq7]]/Reference!I$2)/1000</f>
        <v>0</v>
      </c>
      <c r="DI26" s="115">
        <f>(Table1[[#This Row],[eMg,adj (mEq/kg) eq7]]/Reference!J$2)/1000</f>
        <v>1.8537611479954794E-3</v>
      </c>
      <c r="DJ26" s="44">
        <f>Table1[[#This Row],[cCl,adj (mol/kg) eq 8 part 1]]/SUM(Table1[[#This Row],[cCl,adj (mol/kg) eq 8 part 1]:[cMg,adj (mol/kg) eq 8 part 1]])</f>
        <v>0.1978011933418955</v>
      </c>
      <c r="DK26" s="44">
        <f>Table1[[#This Row],[cNO3,adj (mol/kg) eq 8 part 1]]/SUM(Table1[[#This Row],[cCl,adj (mol/kg) eq 8 part 1]:[cMg,adj (mol/kg) eq 8 part 1]])</f>
        <v>0.2767170671382751</v>
      </c>
      <c r="DL26" s="44">
        <f>Table1[[#This Row],[cSO4,adj (mol/kg) eq 8 part 1]]/SUM(Table1[[#This Row],[cCl,adj (mol/kg) eq 8 part 1]:[cMg,adj (mol/kg) eq 8 part 1]])</f>
        <v>2.1367510632111526E-2</v>
      </c>
      <c r="DM26" s="44">
        <f>Table1[[#This Row],[cNa,adj (mol/kg) eq 8 part 1]]/SUM(Table1[[#This Row],[cCl,adj (mol/kg) eq 8 part 1]:[cMg,adj (mol/kg) eq 8 part 1]])</f>
        <v>0.22261511394630321</v>
      </c>
      <c r="DN26" s="44">
        <f>Table1[[#This Row],[cK,adj (mol/kg) eq 8 part 1]]/SUM(Table1[[#This Row],[cCl,adj (mol/kg) eq 8 part 1]:[cMg,adj (mol/kg) eq 8 part 1]])</f>
        <v>0.26836006208473862</v>
      </c>
      <c r="DO26" s="44">
        <f>Table1[[#This Row],[cCa,adj (mol/kg) eq 8 part 1]]/SUM(Table1[[#This Row],[cCl,adj (mol/kg) eq 8 part 1]:[cMg,adj (mol/kg) eq 8 part 1]])</f>
        <v>0</v>
      </c>
      <c r="DP26" s="44">
        <f>Table1[[#This Row],[cMg,adj (mol/kg) eq 8 part 1]]/SUM(Table1[[#This Row],[cCl,adj (mol/kg) eq 8 part 1]:[cMg,adj (mol/kg) eq 8 part 1]])</f>
        <v>1.3139052856675972E-2</v>
      </c>
      <c r="DQ26" s="46">
        <f t="shared" ref="DQ26" si="1828">IF($AP26=TRUE, 0, (AJ26-CR26)/SUM($AH26:$AK26))</f>
        <v>0.38904446608572385</v>
      </c>
      <c r="DR26" s="46">
        <f t="shared" ref="DR26" si="1829">IF($AP26=TRUE, 0, (AK26-CS26)/SUM($AH26:$AK26))</f>
        <v>0</v>
      </c>
      <c r="DS26" s="46">
        <f t="shared" ref="DS26" si="1830">IF($AP26=TRUE, 0, (AH26-CP26)/SUM($AH26:$AK26))</f>
        <v>0</v>
      </c>
      <c r="DT26" s="46">
        <f t="shared" ref="DT26" si="1831">IF($AP26=TRUE, 0, (AI26-CQ26)/SUM($AH26:$AK26))</f>
        <v>0</v>
      </c>
      <c r="DU26" s="69">
        <f>((CU26*Reference!D$3)/Reference!D$2)*0.001</f>
        <v>9.8939096267190588E-4</v>
      </c>
      <c r="DV26" s="69">
        <f>((CV26*Reference!E$3)/Reference!E$2)*0.001</f>
        <v>2.420759659463E-3</v>
      </c>
      <c r="DW26" s="69">
        <f>((CW26*Reference!F$3)/Reference!F$2)*0.001</f>
        <v>2.8960383659125275E-4</v>
      </c>
      <c r="DX26" s="69">
        <f>((CX26*Reference!G$3)/Reference!G$2)*0.001</f>
        <v>7.2206941715782585E-4</v>
      </c>
      <c r="DY26" s="69">
        <f>((CY26*Reference!H$3)/Reference!H$2)*0.001</f>
        <v>1.4803536345776031E-3</v>
      </c>
      <c r="DZ26" s="69">
        <f>((CZ26*Reference!I$3)/Reference!I$2)*0.001</f>
        <v>0</v>
      </c>
      <c r="EA26" s="69">
        <f>((DA26*Reference!J$3)/Reference!J$2)*0.001</f>
        <v>4.5055664702030134E-5</v>
      </c>
      <c r="EB26" s="70">
        <f t="shared" ref="EB26" si="1832">SUM(DU26:EA26)</f>
        <v>5.9472331751636177E-3</v>
      </c>
      <c r="EC26" s="68">
        <f t="shared" si="753"/>
        <v>1.3953994378029843E-3</v>
      </c>
      <c r="ED26" s="68">
        <f t="shared" ref="ED26" si="1833">((CT26)*(0.5*(96.064+40.078))*0.000001)</f>
        <v>3.9089034843065452E-4</v>
      </c>
      <c r="EE26" s="68">
        <f>Table1[[#This Row],[wtot,adj + wCaSO4(-) eq11]]-Table1[[#This Row],[wCaSO4 (-)]]</f>
        <v>1.0045090893723296E-3</v>
      </c>
      <c r="EF26" s="68">
        <f>IF(Table1[[#This Row],[pII]]=TRUE, ABS(SUM(DX26,DY26)-(SUM(Z26,AA26))),"Pathway I")</f>
        <v>0</v>
      </c>
      <c r="EG26" s="68">
        <f>IF(Table1[[#This Row],[pII]]=TRUE, (((ABS(Table1[[#This Row],[eCa,adj (mEq/kg) pI or pII]]-Table1[[#This Row],[eCa (mEq/kg)]]))*0.040078)/2)*0.001,"Pathway I")</f>
        <v>1.0045090893723299E-3</v>
      </c>
      <c r="EH26" s="68">
        <f>IF(Table1[[#This Row],[pII]]=TRUE, ((Table1[[#This Row],[ΔeMg (mEq/kg) eq5b]]+Table1[[#This Row],[ΔeNa (mEq/kg) eq5c]]+Table1[[#This Row],[ΔeK (mEq/kg) eq5d]])/1000000)*(60.01/2), "Pathway I")</f>
        <v>0</v>
      </c>
    </row>
    <row r="27" spans="1:138" x14ac:dyDescent="0.6">
      <c r="A27" s="2" t="s">
        <v>321</v>
      </c>
      <c r="B27" s="1" t="s">
        <v>207</v>
      </c>
      <c r="C27" s="1" t="s">
        <v>315</v>
      </c>
      <c r="D27" s="127">
        <v>10</v>
      </c>
      <c r="E27" s="127">
        <v>2019</v>
      </c>
      <c r="F27" s="1" t="s">
        <v>207</v>
      </c>
      <c r="G27" s="1" t="s">
        <v>208</v>
      </c>
      <c r="H27" s="1" t="s">
        <v>319</v>
      </c>
      <c r="I27" s="1" t="s">
        <v>320</v>
      </c>
      <c r="J27" s="1" t="s">
        <v>208</v>
      </c>
      <c r="K27" s="1" t="s">
        <v>219</v>
      </c>
      <c r="L27" s="1" t="s">
        <v>208</v>
      </c>
      <c r="M27" s="1" t="s">
        <v>220</v>
      </c>
      <c r="N27" s="1">
        <v>1.0129999999999999</v>
      </c>
      <c r="O27" s="1">
        <v>100</v>
      </c>
      <c r="P27" s="26">
        <v>73.623000000000005</v>
      </c>
      <c r="Q27" s="26">
        <v>132.94999999999999</v>
      </c>
      <c r="R27" s="26">
        <v>13.311999999999999</v>
      </c>
      <c r="S27" s="26">
        <v>51.095999999999997</v>
      </c>
      <c r="T27" s="26">
        <v>24.925999999999998</v>
      </c>
      <c r="U27" s="26">
        <v>38.588000000000001</v>
      </c>
      <c r="V27" s="26">
        <v>3.9180000000000001</v>
      </c>
      <c r="W27" s="69">
        <f t="shared" ref="W27" si="1834">(P27*($O27/1000))/($N27*1000)</f>
        <v>7.2678183613030618E-3</v>
      </c>
      <c r="X27" s="69">
        <f t="shared" ref="X27" si="1835">(Q27*($O27/1000))/($N27*1000)</f>
        <v>1.3124383020730504E-2</v>
      </c>
      <c r="Y27" s="69">
        <f t="shared" ref="Y27" si="1836">(R27*($O27/1000))/($N27*1000)</f>
        <v>1.3141164856860811E-3</v>
      </c>
      <c r="Z27" s="69">
        <f t="shared" ref="Z27" si="1837">(S27*($O27/1000))/($N27*1000)</f>
        <v>5.0440276406712743E-3</v>
      </c>
      <c r="AA27" s="69">
        <f t="shared" ref="AA27" si="1838">(T27*($O27/1000))/($N27*1000)</f>
        <v>2.4606120434353409E-3</v>
      </c>
      <c r="AB27" s="69">
        <f t="shared" ref="AB27" si="1839">(U27*($O27/1000))/($N27*1000)</f>
        <v>3.8092793682132291E-3</v>
      </c>
      <c r="AC27" s="69">
        <f t="shared" ref="AC27" si="1840">(V27*($O27/1000))/($N27*1000)</f>
        <v>3.8677196446199416E-4</v>
      </c>
      <c r="AD27" s="70">
        <f t="shared" ref="AD27" si="1841">SUM(W27:AC27)</f>
        <v>3.3407008884501488E-2</v>
      </c>
      <c r="AE27" s="71">
        <f>((W27*Reference!D$2)/Reference!D$3)*1000</f>
        <v>205.00041918677738</v>
      </c>
      <c r="AF27" s="71">
        <f>((X27*Reference!E$2)/Reference!E$3)*1000</f>
        <v>211.66686859797377</v>
      </c>
      <c r="AG27" s="71">
        <f>((Y27*Reference!F$2)/Reference!F$3)*1000</f>
        <v>27.359187326908753</v>
      </c>
      <c r="AH27" s="71">
        <f>((Z27*Reference!G$2)/Reference!G$3)*1000</f>
        <v>219.40315538074478</v>
      </c>
      <c r="AI27" s="71">
        <f>((AA27*Reference!H$2)/Reference!H$3)*1000</f>
        <v>62.933990568268719</v>
      </c>
      <c r="AJ27" s="71">
        <f>((AB27*Reference!I$2)/Reference!I$3)*1000</f>
        <v>190.09328650198256</v>
      </c>
      <c r="AK27" s="71">
        <f>((AC27*Reference!J$2)/Reference!J$3)*1000</f>
        <v>31.826534825097237</v>
      </c>
      <c r="AL27" s="40">
        <f t="shared" ref="AL27" si="1842">SUM(AE27:AG27)</f>
        <v>444.02647511165986</v>
      </c>
      <c r="AM27" s="40">
        <f t="shared" ref="AM27" si="1843">SUM(AH27:AK27)</f>
        <v>504.25696727609329</v>
      </c>
      <c r="AN27" s="72">
        <f t="shared" ref="AN27" si="1844">ABS(AM27-AL27)</f>
        <v>60.230492164433429</v>
      </c>
      <c r="AO27" s="24" t="str">
        <f t="shared" ref="AO27" si="1845">IF(AM27&gt;AL27, "Δe,cat", "Δe,ani")</f>
        <v>Δe,cat</v>
      </c>
      <c r="AP27" s="25" t="b">
        <f t="shared" ref="AP27" si="1846">IF(OR(AN27&lt;=MAX(AL27,AM27)*0.02, AL27&gt;AM27), TRUE)</f>
        <v>0</v>
      </c>
      <c r="AQ27" s="25" t="b">
        <f t="shared" ref="AQ27" si="1847">IF(AND(AN27&gt;AM27*0.02, AM27&gt;AL27), TRUE)</f>
        <v>1</v>
      </c>
      <c r="AR27" s="73" t="str">
        <f t="shared" ref="AR27" si="1848">IF($AP27=TRUE, (AE27*($AL27+$AM27)/(2*$AL27)), "-")</f>
        <v>-</v>
      </c>
      <c r="AS27" s="73" t="str">
        <f t="shared" ref="AS27" si="1849">IF($AP27=TRUE, (AF27*($AL27+$AM27)/(2*$AL27)), "-")</f>
        <v>-</v>
      </c>
      <c r="AT27" s="73" t="str">
        <f t="shared" ref="AT27" si="1850">IF($AP27=TRUE, (AG27*($AL27+$AM27)/(2*$AL27)), "-")</f>
        <v>-</v>
      </c>
      <c r="AU27" s="73" t="str">
        <f t="shared" ref="AU27" si="1851">IF($AP27=TRUE, (AH27*($AL27+$AM27)/(2*$AM27)), "-")</f>
        <v>-</v>
      </c>
      <c r="AV27" s="73" t="str">
        <f t="shared" ref="AV27" si="1852">IF($AP27=TRUE, (AI27*($AL27+$AM27)/(2*$AM27)), "-")</f>
        <v>-</v>
      </c>
      <c r="AW27" s="73" t="str">
        <f t="shared" ref="AW27" si="1853">IF($AP27=TRUE, (AJ27*($AL27+$AM27)/(2*$AM27)), "-")</f>
        <v>-</v>
      </c>
      <c r="AX27" s="73" t="str">
        <f t="shared" ref="AX27" si="1854">IF($AP27=TRUE, (AK27*($AL27+$AM27)/(2*$AM27)), "-")</f>
        <v>-</v>
      </c>
      <c r="AY27" s="71">
        <f t="shared" ref="AY27" si="1855">IF($AQ27=TRUE, AE27, "-")</f>
        <v>205.00041918677738</v>
      </c>
      <c r="AZ27" s="71">
        <f t="shared" ref="AZ27" si="1856">IF($AQ27=TRUE, AF27, "-")</f>
        <v>211.66686859797377</v>
      </c>
      <c r="BA27" s="71">
        <f t="shared" ref="BA27" si="1857">IF($AQ27=TRUE, AG27, "-")</f>
        <v>27.359187326908753</v>
      </c>
      <c r="BB27" s="71">
        <f t="shared" ref="BB27" si="1858">IF($AQ27=TRUE, AH27, "-")</f>
        <v>219.40315538074478</v>
      </c>
      <c r="BC27" s="71">
        <f t="shared" ref="BC27" si="1859">IF($AQ27=TRUE, AI27, "-")</f>
        <v>62.933990568268719</v>
      </c>
      <c r="BD27" s="71">
        <f t="shared" ref="BD27" si="1860">IF($AQ27=TRUE, IF(AJ27-AN27 &gt;= 0, AJ27-AN27, 0), "-")</f>
        <v>129.86279433754913</v>
      </c>
      <c r="BE27" s="71">
        <f t="shared" ref="BE27" si="1861">IF($AQ27=TRUE, AK27, "-")</f>
        <v>31.826534825097237</v>
      </c>
      <c r="BF27" s="40">
        <f t="shared" ref="BF27" si="1862">IF($AQ27=TRUE, SUM(AY27:BA27), "")</f>
        <v>444.02647511165986</v>
      </c>
      <c r="BG27" s="40">
        <f t="shared" ref="BG27" si="1863">IF($AQ27=TRUE, SUM(BB27:BE27), "")</f>
        <v>444.02647511165986</v>
      </c>
      <c r="BH27" s="40">
        <f t="shared" ref="BH27" si="1864">IF($AQ27=TRUE,IF(ABS(BG27-BF27)&lt; 0.000001, 0, ABS(BG27-BF27)), "")</f>
        <v>0</v>
      </c>
      <c r="BI27" s="71">
        <f t="shared" ref="BI27" si="1865">IF($AQ27=TRUE, AY27, "-")</f>
        <v>205.00041918677738</v>
      </c>
      <c r="BJ27" s="71">
        <f t="shared" ref="BJ27" si="1866">IF($AQ27=TRUE, AZ27, "-")</f>
        <v>211.66686859797377</v>
      </c>
      <c r="BK27" s="71">
        <f t="shared" ref="BK27" si="1867">IF($AQ27=TRUE, BA27, "-")</f>
        <v>27.359187326908753</v>
      </c>
      <c r="BL27" s="71">
        <f t="shared" ref="BL27" si="1868">IF($AQ27=TRUE, BB27, "-")</f>
        <v>219.40315538074478</v>
      </c>
      <c r="BM27" s="71">
        <f t="shared" ref="BM27" si="1869">IF($AQ27=TRUE, BC27, "-")</f>
        <v>62.933990568268719</v>
      </c>
      <c r="BN27" s="71">
        <f t="shared" ref="BN27" si="1870">IF($AQ27=TRUE, BD27, "-")</f>
        <v>129.86279433754913</v>
      </c>
      <c r="BO27" s="71">
        <f t="shared" ref="BO27" si="1871">IF($AQ27=TRUE, IF(BE27 -BH27 &gt;= 0, BE27 -BH27, 0), "-")</f>
        <v>31.826534825097237</v>
      </c>
      <c r="BP27" s="40">
        <f t="shared" ref="BP27" si="1872">IF($AQ27=TRUE, SUM(BI27:BK27), "")</f>
        <v>444.02647511165986</v>
      </c>
      <c r="BQ27" s="40">
        <f t="shared" ref="BQ27" si="1873">IF($AQ27=TRUE, SUM(BL27:BO27), "")</f>
        <v>444.02647511165986</v>
      </c>
      <c r="BR27" s="40">
        <f t="shared" ref="BR27" si="1874">IF($AQ27=TRUE,IF(ABS(BQ27-BP27)&lt; 0.000001, 0, ABS(BQ27-BP27)), "")</f>
        <v>0</v>
      </c>
      <c r="BS27" s="71">
        <f t="shared" ref="BS27" si="1875">IF($AQ27=TRUE, BI27, "-")</f>
        <v>205.00041918677738</v>
      </c>
      <c r="BT27" s="71">
        <f t="shared" ref="BT27" si="1876">IF($AQ27=TRUE, BJ27, "-")</f>
        <v>211.66686859797377</v>
      </c>
      <c r="BU27" s="71">
        <f t="shared" ref="BU27" si="1877">IF($AQ27=TRUE, BK27, "-")</f>
        <v>27.359187326908753</v>
      </c>
      <c r="BV27" s="71">
        <f t="shared" ref="BV27" si="1878">IF($AQ27=TRUE, IF(BL27 -BR27 &gt;= 0, BL27 -BR27, 0), "-")</f>
        <v>219.40315538074478</v>
      </c>
      <c r="BW27" s="71">
        <f t="shared" ref="BW27" si="1879">IF($AQ27=TRUE, BM27, "-")</f>
        <v>62.933990568268719</v>
      </c>
      <c r="BX27" s="71">
        <f t="shared" ref="BX27" si="1880">IF($AQ27=TRUE, BN27, "-")</f>
        <v>129.86279433754913</v>
      </c>
      <c r="BY27" s="71">
        <f t="shared" ref="BY27" si="1881">IF($AQ27=TRUE, BO27, "-")</f>
        <v>31.826534825097237</v>
      </c>
      <c r="BZ27" s="40">
        <f t="shared" ref="BZ27" si="1882">IF($AQ27=TRUE, SUM(BS27:BU27), "")</f>
        <v>444.02647511165986</v>
      </c>
      <c r="CA27" s="40">
        <f t="shared" ref="CA27" si="1883">IF($AQ27=TRUE, SUM(BV27:BY27), "")</f>
        <v>444.02647511165986</v>
      </c>
      <c r="CB27" s="40">
        <f t="shared" ref="CB27" si="1884">IF($AQ27=TRUE,IF(ABS(CA27-BZ27)&lt; 0.000001, 0, ABS(CA27-BZ27)), "")</f>
        <v>0</v>
      </c>
      <c r="CC27" s="71">
        <f t="shared" ref="CC27" si="1885">IF($AQ27=TRUE, BS27, "-")</f>
        <v>205.00041918677738</v>
      </c>
      <c r="CD27" s="71">
        <f t="shared" ref="CD27" si="1886">IF($AQ27=TRUE, BT27, "-")</f>
        <v>211.66686859797377</v>
      </c>
      <c r="CE27" s="71">
        <f t="shared" ref="CE27" si="1887">IF($AQ27=TRUE, BU27, "-")</f>
        <v>27.359187326908753</v>
      </c>
      <c r="CF27" s="71">
        <f t="shared" ref="CF27" si="1888">IF($AQ27=TRUE, BV27, "-")</f>
        <v>219.40315538074478</v>
      </c>
      <c r="CG27" s="71">
        <f t="shared" ref="CG27" si="1889">IF($AQ27=TRUE,  IF(BW27 -CB27 &gt;= 0, BW27 -CB27, 0), "-")</f>
        <v>62.933990568268719</v>
      </c>
      <c r="CH27" s="71">
        <f t="shared" ref="CH27" si="1890">IF($AQ27=TRUE, BX27, "-")</f>
        <v>129.86279433754913</v>
      </c>
      <c r="CI27" s="71">
        <f t="shared" ref="CI27" si="1891">IF($AQ27=TRUE, BY27, "-")</f>
        <v>31.826534825097237</v>
      </c>
      <c r="CJ27" s="40">
        <f t="shared" ref="CJ27" si="1892">IF($AQ27=TRUE, SUM(CC27:CE27), "")</f>
        <v>444.02647511165986</v>
      </c>
      <c r="CK27" s="40">
        <f t="shared" ref="CK27" si="1893">IF($AQ27=TRUE, SUM(CF27:CI27), "")</f>
        <v>444.02647511165986</v>
      </c>
      <c r="CL27" s="40">
        <f t="shared" ref="CL27" si="1894">IF($AQ27=TRUE,IF(ABS(CK27-CJ27)&lt; 0.000001, 0, ABS(CK27-CJ27)), "")</f>
        <v>0</v>
      </c>
      <c r="CM27" s="74">
        <f t="shared" ref="CM27" si="1895">IF($AQ27 = TRUE, CC27, AR27)</f>
        <v>205.00041918677738</v>
      </c>
      <c r="CN27" s="74">
        <f t="shared" ref="CN27" si="1896">IF($AQ27 = TRUE, CD27, AS27)</f>
        <v>211.66686859797377</v>
      </c>
      <c r="CO27" s="74">
        <f t="shared" ref="CO27" si="1897">IF($AQ27 = TRUE, CE27, AT27)</f>
        <v>27.359187326908753</v>
      </c>
      <c r="CP27" s="74">
        <f t="shared" ref="CP27" si="1898">IF($AQ27 = TRUE, CF27, AU27)</f>
        <v>219.40315538074478</v>
      </c>
      <c r="CQ27" s="74">
        <f t="shared" ref="CQ27" si="1899">IF($AQ27 = TRUE, CG27, AV27)</f>
        <v>62.933990568268719</v>
      </c>
      <c r="CR27" s="74">
        <f t="shared" ref="CR27" si="1900">IF($AQ27 = TRUE, CH27, AW27)</f>
        <v>129.86279433754913</v>
      </c>
      <c r="CS27" s="74">
        <f t="shared" ref="CS27" si="1901">IF($AQ27 = TRUE, CI27, AX27)</f>
        <v>31.826534825097237</v>
      </c>
      <c r="CT27" s="78">
        <f t="shared" ref="CT27" si="1902">MIN(CR27,CO27)</f>
        <v>27.359187326908753</v>
      </c>
      <c r="CU27" s="78">
        <f t="shared" ref="CU27" si="1903">CM27</f>
        <v>205.00041918677738</v>
      </c>
      <c r="CV27" s="78">
        <f t="shared" ref="CV27" si="1904">CN27</f>
        <v>211.66686859797377</v>
      </c>
      <c r="CW27" s="78">
        <f t="shared" ref="CW27" si="1905">CO27-CT27</f>
        <v>0</v>
      </c>
      <c r="CX27" s="78">
        <f t="shared" ref="CX27" si="1906">CP27</f>
        <v>219.40315538074478</v>
      </c>
      <c r="CY27" s="78">
        <f t="shared" ref="CY27" si="1907">CQ27</f>
        <v>62.933990568268719</v>
      </c>
      <c r="CZ27" s="78">
        <f t="shared" ref="CZ27" si="1908">CR27-CT27</f>
        <v>102.50360701064038</v>
      </c>
      <c r="DA27" s="78">
        <f t="shared" ref="DA27" si="1909">CS27</f>
        <v>31.826534825097237</v>
      </c>
      <c r="DB27" s="25" t="b">
        <f t="shared" ref="DB27" si="1910">IF(ABS(SUM(CU27:CW27)-SUM(CX27:DA27)) &lt; 0.000001, TRUE)</f>
        <v>1</v>
      </c>
      <c r="DC27" s="115">
        <f>(Table1[[#This Row],[eCl,adj (mEq/kg) eq7]]/Reference!D$2)/1000</f>
        <v>0.20500041918677739</v>
      </c>
      <c r="DD27" s="115">
        <f>(Table1[[#This Row],[eNO3,adj (mEq/kg) eq7]]/Reference!E$2)/1000</f>
        <v>0.21166686859797376</v>
      </c>
      <c r="DE27" s="115">
        <f>(Table1[[#This Row],[eSO4,adj,f (mEq/kg) eq7]]/Reference!F$2)/1000</f>
        <v>0</v>
      </c>
      <c r="DF27" s="115">
        <f>(Table1[[#This Row],[eNa,adj (mEq/kg) eq7]]/Reference!G$2)/1000</f>
        <v>0.21940315538074479</v>
      </c>
      <c r="DG27" s="115">
        <f>(Table1[[#This Row],[eK,adj (mEq/kg) eq7]]/Reference!H$2)/1000</f>
        <v>6.2933990568268719E-2</v>
      </c>
      <c r="DH27" s="115">
        <f>(Table1[[#This Row],[eCa,adj,f (mEq/kg) eq7]]/Reference!I$2)/1000</f>
        <v>5.1251803505320187E-2</v>
      </c>
      <c r="DI27" s="115">
        <f>(Table1[[#This Row],[eMg,adj (mEq/kg) eq7]]/Reference!J$2)/1000</f>
        <v>1.5913267412548619E-2</v>
      </c>
      <c r="DJ27" s="44">
        <f>Table1[[#This Row],[cCl,adj (mol/kg) eq 8 part 1]]/SUM(Table1[[#This Row],[cCl,adj (mol/kg) eq 8 part 1]:[cMg,adj (mol/kg) eq 8 part 1]])</f>
        <v>0.26756535980897356</v>
      </c>
      <c r="DK27" s="44">
        <f>Table1[[#This Row],[cNO3,adj (mol/kg) eq 8 part 1]]/SUM(Table1[[#This Row],[cCl,adj (mol/kg) eq 8 part 1]:[cMg,adj (mol/kg) eq 8 part 1]])</f>
        <v>0.27626637096997964</v>
      </c>
      <c r="DL27" s="44">
        <f>Table1[[#This Row],[cSO4,adj (mol/kg) eq 8 part 1]]/SUM(Table1[[#This Row],[cCl,adj (mol/kg) eq 8 part 1]:[cMg,adj (mol/kg) eq 8 part 1]])</f>
        <v>0</v>
      </c>
      <c r="DM27" s="44">
        <f>Table1[[#This Row],[cNa,adj (mol/kg) eq 8 part 1]]/SUM(Table1[[#This Row],[cCl,adj (mol/kg) eq 8 part 1]:[cMg,adj (mol/kg) eq 8 part 1]])</f>
        <v>0.2863637276721217</v>
      </c>
      <c r="DN27" s="44">
        <f>Table1[[#This Row],[cK,adj (mol/kg) eq 8 part 1]]/SUM(Table1[[#This Row],[cCl,adj (mol/kg) eq 8 part 1]:[cMg,adj (mol/kg) eq 8 part 1]])</f>
        <v>8.2141079991018329E-2</v>
      </c>
      <c r="DO27" s="44">
        <f>Table1[[#This Row],[cCa,adj (mol/kg) eq 8 part 1]]/SUM(Table1[[#This Row],[cCl,adj (mol/kg) eq 8 part 1]:[cMg,adj (mol/kg) eq 8 part 1]])</f>
        <v>6.6893557096903325E-2</v>
      </c>
      <c r="DP27" s="44">
        <f>Table1[[#This Row],[cMg,adj (mol/kg) eq 8 part 1]]/SUM(Table1[[#This Row],[cCl,adj (mol/kg) eq 8 part 1]:[cMg,adj (mol/kg) eq 8 part 1]])</f>
        <v>2.0769904461003255E-2</v>
      </c>
      <c r="DQ27" s="46">
        <f t="shared" ref="DQ27" si="1911">IF($AP27=TRUE, 0, (AJ27-CR27)/SUM($AH27:$AK27))</f>
        <v>0.11944404554246987</v>
      </c>
      <c r="DR27" s="46">
        <f t="shared" ref="DR27" si="1912">IF($AP27=TRUE, 0, (AK27-CS27)/SUM($AH27:$AK27))</f>
        <v>0</v>
      </c>
      <c r="DS27" s="46">
        <f t="shared" ref="DS27" si="1913">IF($AP27=TRUE, 0, (AH27-CP27)/SUM($AH27:$AK27))</f>
        <v>0</v>
      </c>
      <c r="DT27" s="46">
        <f t="shared" ref="DT27" si="1914">IF($AP27=TRUE, 0, (AI27-CQ27)/SUM($AH27:$AK27))</f>
        <v>0</v>
      </c>
      <c r="DU27" s="69">
        <f>((CU27*Reference!D$3)/Reference!D$2)*0.001</f>
        <v>7.2678183613030618E-3</v>
      </c>
      <c r="DV27" s="69">
        <f>((CV27*Reference!E$3)/Reference!E$2)*0.001</f>
        <v>1.3124383020730506E-2</v>
      </c>
      <c r="DW27" s="69">
        <f>((CW27*Reference!F$3)/Reference!F$2)*0.001</f>
        <v>0</v>
      </c>
      <c r="DX27" s="69">
        <f>((CX27*Reference!G$3)/Reference!G$2)*0.001</f>
        <v>5.0440276406712743E-3</v>
      </c>
      <c r="DY27" s="69">
        <f>((CY27*Reference!H$3)/Reference!H$2)*0.001</f>
        <v>2.4606120434353409E-3</v>
      </c>
      <c r="DZ27" s="69">
        <f>((CZ27*Reference!I$3)/Reference!I$2)*0.001</f>
        <v>2.0540697808862224E-3</v>
      </c>
      <c r="EA27" s="69">
        <f>((DA27*Reference!J$3)/Reference!J$2)*0.001</f>
        <v>3.8677196446199421E-4</v>
      </c>
      <c r="EB27" s="70">
        <f t="shared" ref="EB27" si="1915">SUM(DU27:EA27)</f>
        <v>3.0337682811488399E-2</v>
      </c>
      <c r="EC27" s="68">
        <f t="shared" si="753"/>
        <v>3.0693260730130893E-3</v>
      </c>
      <c r="ED27" s="68">
        <f t="shared" ref="ED27" si="1916">((CT27)*(0.5*(96.064+40.078))*0.000001)</f>
        <v>1.8623672405300054E-3</v>
      </c>
      <c r="EE27" s="68">
        <f>Table1[[#This Row],[wtot,adj + wCaSO4(-) eq11]]-Table1[[#This Row],[wCaSO4 (-)]]</f>
        <v>1.2069588324830839E-3</v>
      </c>
      <c r="EF27" s="68">
        <f>IF(Table1[[#This Row],[pII]]=TRUE, ABS(SUM(DX27,DY27)-(SUM(Z27,AA27))),"Pathway I")</f>
        <v>0</v>
      </c>
      <c r="EG27" s="68">
        <f>IF(Table1[[#This Row],[pII]]=TRUE, (((ABS(Table1[[#This Row],[eCa,adj (mEq/kg) pI or pII]]-Table1[[#This Row],[eCa (mEq/kg)]]))*0.040078)/2)*0.001,"Pathway I")</f>
        <v>1.2069588324830815E-3</v>
      </c>
      <c r="EH27" s="68">
        <f>IF(Table1[[#This Row],[pII]]=TRUE, ((Table1[[#This Row],[ΔeMg (mEq/kg) eq5b]]+Table1[[#This Row],[ΔeNa (mEq/kg) eq5c]]+Table1[[#This Row],[ΔeK (mEq/kg) eq5d]])/1000000)*(60.01/2), "Pathway I")</f>
        <v>0</v>
      </c>
    </row>
    <row r="28" spans="1:138" x14ac:dyDescent="0.6">
      <c r="A28" s="2" t="s">
        <v>322</v>
      </c>
      <c r="B28" s="1" t="s">
        <v>207</v>
      </c>
      <c r="C28" s="1" t="s">
        <v>318</v>
      </c>
      <c r="D28" s="127">
        <v>1</v>
      </c>
      <c r="E28" s="127">
        <v>2020</v>
      </c>
      <c r="F28" s="1" t="s">
        <v>207</v>
      </c>
      <c r="G28" s="1" t="s">
        <v>208</v>
      </c>
      <c r="H28" s="1" t="s">
        <v>248</v>
      </c>
      <c r="I28" s="1" t="s">
        <v>323</v>
      </c>
      <c r="J28" s="1" t="s">
        <v>208</v>
      </c>
      <c r="K28" s="1" t="s">
        <v>208</v>
      </c>
      <c r="L28" s="1" t="s">
        <v>208</v>
      </c>
      <c r="M28" s="1" t="s">
        <v>208</v>
      </c>
      <c r="N28" s="1">
        <v>0.48499999999999999</v>
      </c>
      <c r="O28" s="1">
        <v>100</v>
      </c>
      <c r="P28" s="26">
        <v>38.658000000000001</v>
      </c>
      <c r="Q28" s="26">
        <v>2.1269999999999998</v>
      </c>
      <c r="R28" s="26">
        <v>270.34100000000001</v>
      </c>
      <c r="S28" s="26">
        <v>11.6</v>
      </c>
      <c r="T28" s="26">
        <v>5.2519999999999998</v>
      </c>
      <c r="U28" s="26">
        <v>129.875</v>
      </c>
      <c r="V28" s="26">
        <v>0.77200000000000002</v>
      </c>
      <c r="W28" s="69">
        <f t="shared" ref="W28" si="1917">(P28*($O28/1000))/($N28*1000)</f>
        <v>7.9707216494845357E-3</v>
      </c>
      <c r="X28" s="69">
        <f t="shared" ref="X28" si="1918">(Q28*($O28/1000))/($N28*1000)</f>
        <v>4.3855670103092785E-4</v>
      </c>
      <c r="Y28" s="69">
        <f t="shared" ref="Y28" si="1919">(R28*($O28/1000))/($N28*1000)</f>
        <v>5.5740412371134022E-2</v>
      </c>
      <c r="Z28" s="69">
        <f t="shared" ref="Z28" si="1920">(S28*($O28/1000))/($N28*1000)</f>
        <v>2.3917525773195876E-3</v>
      </c>
      <c r="AA28" s="69">
        <f t="shared" ref="AA28" si="1921">(T28*($O28/1000))/($N28*1000)</f>
        <v>1.0828865979381442E-3</v>
      </c>
      <c r="AB28" s="69">
        <f t="shared" ref="AB28" si="1922">(U28*($O28/1000))/($N28*1000)</f>
        <v>2.6778350515463917E-2</v>
      </c>
      <c r="AC28" s="69">
        <f t="shared" ref="AC28" si="1923">(V28*($O28/1000))/($N28*1000)</f>
        <v>1.5917525773195877E-4</v>
      </c>
      <c r="AD28" s="70">
        <f t="shared" ref="AD28" si="1924">SUM(W28:AC28)</f>
        <v>9.4561855670103098E-2</v>
      </c>
      <c r="AE28" s="71">
        <f>((W28*Reference!D$2)/Reference!D$3)*1000</f>
        <v>224.82692854097252</v>
      </c>
      <c r="AF28" s="71">
        <f>((X28*Reference!E$2)/Reference!E$3)*1000</f>
        <v>7.0729361878001225</v>
      </c>
      <c r="AG28" s="71">
        <f>((Y28*Reference!F$2)/Reference!F$3)*1000</f>
        <v>1160.4849344423308</v>
      </c>
      <c r="AH28" s="71">
        <f>((Z28*Reference!G$2)/Reference!G$3)*1000</f>
        <v>104.03552473081014</v>
      </c>
      <c r="AI28" s="71">
        <f>((AA28*Reference!H$2)/Reference!H$3)*1000</f>
        <v>27.696513606426475</v>
      </c>
      <c r="AJ28" s="71">
        <f>((AB28*Reference!I$2)/Reference!I$3)*1000</f>
        <v>1336.3117179232456</v>
      </c>
      <c r="AK28" s="71">
        <f>((AC28*Reference!J$2)/Reference!J$3)*1000</f>
        <v>13.098149165353529</v>
      </c>
      <c r="AL28" s="40">
        <f t="shared" ref="AL28" si="1925">SUM(AE28:AG28)</f>
        <v>1392.3847991711034</v>
      </c>
      <c r="AM28" s="40">
        <f t="shared" ref="AM28" si="1926">SUM(AH28:AK28)</f>
        <v>1481.1419054258358</v>
      </c>
      <c r="AN28" s="72">
        <f t="shared" ref="AN28" si="1927">ABS(AM28-AL28)</f>
        <v>88.757106254732435</v>
      </c>
      <c r="AO28" s="24" t="str">
        <f t="shared" ref="AO28" si="1928">IF(AM28&gt;AL28, "Δe,cat", "Δe,ani")</f>
        <v>Δe,cat</v>
      </c>
      <c r="AP28" s="25" t="b">
        <f t="shared" ref="AP28" si="1929">IF(OR(AN28&lt;=MAX(AL28,AM28)*0.02, AL28&gt;AM28), TRUE)</f>
        <v>0</v>
      </c>
      <c r="AQ28" s="25" t="b">
        <f t="shared" ref="AQ28" si="1930">IF(AND(AN28&gt;AM28*0.02, AM28&gt;AL28), TRUE)</f>
        <v>1</v>
      </c>
      <c r="AR28" s="73" t="str">
        <f t="shared" ref="AR28" si="1931">IF($AP28=TRUE, (AE28*($AL28+$AM28)/(2*$AL28)), "-")</f>
        <v>-</v>
      </c>
      <c r="AS28" s="73" t="str">
        <f t="shared" ref="AS28" si="1932">IF($AP28=TRUE, (AF28*($AL28+$AM28)/(2*$AL28)), "-")</f>
        <v>-</v>
      </c>
      <c r="AT28" s="73" t="str">
        <f t="shared" ref="AT28" si="1933">IF($AP28=TRUE, (AG28*($AL28+$AM28)/(2*$AL28)), "-")</f>
        <v>-</v>
      </c>
      <c r="AU28" s="73" t="str">
        <f t="shared" ref="AU28" si="1934">IF($AP28=TRUE, (AH28*($AL28+$AM28)/(2*$AM28)), "-")</f>
        <v>-</v>
      </c>
      <c r="AV28" s="73" t="str">
        <f t="shared" ref="AV28" si="1935">IF($AP28=TRUE, (AI28*($AL28+$AM28)/(2*$AM28)), "-")</f>
        <v>-</v>
      </c>
      <c r="AW28" s="73" t="str">
        <f t="shared" ref="AW28" si="1936">IF($AP28=TRUE, (AJ28*($AL28+$AM28)/(2*$AM28)), "-")</f>
        <v>-</v>
      </c>
      <c r="AX28" s="73" t="str">
        <f t="shared" ref="AX28" si="1937">IF($AP28=TRUE, (AK28*($AL28+$AM28)/(2*$AM28)), "-")</f>
        <v>-</v>
      </c>
      <c r="AY28" s="71">
        <f t="shared" ref="AY28" si="1938">IF($AQ28=TRUE, AE28, "-")</f>
        <v>224.82692854097252</v>
      </c>
      <c r="AZ28" s="71">
        <f t="shared" ref="AZ28" si="1939">IF($AQ28=TRUE, AF28, "-")</f>
        <v>7.0729361878001225</v>
      </c>
      <c r="BA28" s="71">
        <f t="shared" ref="BA28" si="1940">IF($AQ28=TRUE, AG28, "-")</f>
        <v>1160.4849344423308</v>
      </c>
      <c r="BB28" s="71">
        <f t="shared" ref="BB28" si="1941">IF($AQ28=TRUE, AH28, "-")</f>
        <v>104.03552473081014</v>
      </c>
      <c r="BC28" s="71">
        <f t="shared" ref="BC28" si="1942">IF($AQ28=TRUE, AI28, "-")</f>
        <v>27.696513606426475</v>
      </c>
      <c r="BD28" s="71">
        <f t="shared" ref="BD28" si="1943">IF($AQ28=TRUE, IF(AJ28-AN28 &gt;= 0, AJ28-AN28, 0), "-")</f>
        <v>1247.5546116685132</v>
      </c>
      <c r="BE28" s="71">
        <f t="shared" ref="BE28" si="1944">IF($AQ28=TRUE, AK28, "-")</f>
        <v>13.098149165353529</v>
      </c>
      <c r="BF28" s="40">
        <f t="shared" ref="BF28" si="1945">IF($AQ28=TRUE, SUM(AY28:BA28), "")</f>
        <v>1392.3847991711034</v>
      </c>
      <c r="BG28" s="40">
        <f t="shared" ref="BG28" si="1946">IF($AQ28=TRUE, SUM(BB28:BE28), "")</f>
        <v>1392.3847991711034</v>
      </c>
      <c r="BH28" s="40">
        <f t="shared" ref="BH28" si="1947">IF($AQ28=TRUE,IF(ABS(BG28-BF28)&lt; 0.000001, 0, ABS(BG28-BF28)), "")</f>
        <v>0</v>
      </c>
      <c r="BI28" s="71">
        <f t="shared" ref="BI28" si="1948">IF($AQ28=TRUE, AY28, "-")</f>
        <v>224.82692854097252</v>
      </c>
      <c r="BJ28" s="71">
        <f t="shared" ref="BJ28" si="1949">IF($AQ28=TRUE, AZ28, "-")</f>
        <v>7.0729361878001225</v>
      </c>
      <c r="BK28" s="71">
        <f t="shared" ref="BK28" si="1950">IF($AQ28=TRUE, BA28, "-")</f>
        <v>1160.4849344423308</v>
      </c>
      <c r="BL28" s="71">
        <f t="shared" ref="BL28" si="1951">IF($AQ28=TRUE, BB28, "-")</f>
        <v>104.03552473081014</v>
      </c>
      <c r="BM28" s="71">
        <f t="shared" ref="BM28" si="1952">IF($AQ28=TRUE, BC28, "-")</f>
        <v>27.696513606426475</v>
      </c>
      <c r="BN28" s="71">
        <f t="shared" ref="BN28" si="1953">IF($AQ28=TRUE, BD28, "-")</f>
        <v>1247.5546116685132</v>
      </c>
      <c r="BO28" s="71">
        <f t="shared" ref="BO28" si="1954">IF($AQ28=TRUE, IF(BE28 -BH28 &gt;= 0, BE28 -BH28, 0), "-")</f>
        <v>13.098149165353529</v>
      </c>
      <c r="BP28" s="40">
        <f t="shared" ref="BP28" si="1955">IF($AQ28=TRUE, SUM(BI28:BK28), "")</f>
        <v>1392.3847991711034</v>
      </c>
      <c r="BQ28" s="40">
        <f t="shared" ref="BQ28" si="1956">IF($AQ28=TRUE, SUM(BL28:BO28), "")</f>
        <v>1392.3847991711034</v>
      </c>
      <c r="BR28" s="40">
        <f t="shared" ref="BR28" si="1957">IF($AQ28=TRUE,IF(ABS(BQ28-BP28)&lt; 0.000001, 0, ABS(BQ28-BP28)), "")</f>
        <v>0</v>
      </c>
      <c r="BS28" s="71">
        <f t="shared" ref="BS28" si="1958">IF($AQ28=TRUE, BI28, "-")</f>
        <v>224.82692854097252</v>
      </c>
      <c r="BT28" s="71">
        <f t="shared" ref="BT28" si="1959">IF($AQ28=TRUE, BJ28, "-")</f>
        <v>7.0729361878001225</v>
      </c>
      <c r="BU28" s="71">
        <f t="shared" ref="BU28" si="1960">IF($AQ28=TRUE, BK28, "-")</f>
        <v>1160.4849344423308</v>
      </c>
      <c r="BV28" s="71">
        <f t="shared" ref="BV28" si="1961">IF($AQ28=TRUE, IF(BL28 -BR28 &gt;= 0, BL28 -BR28, 0), "-")</f>
        <v>104.03552473081014</v>
      </c>
      <c r="BW28" s="71">
        <f t="shared" ref="BW28" si="1962">IF($AQ28=TRUE, BM28, "-")</f>
        <v>27.696513606426475</v>
      </c>
      <c r="BX28" s="71">
        <f t="shared" ref="BX28" si="1963">IF($AQ28=TRUE, BN28, "-")</f>
        <v>1247.5546116685132</v>
      </c>
      <c r="BY28" s="71">
        <f t="shared" ref="BY28" si="1964">IF($AQ28=TRUE, BO28, "-")</f>
        <v>13.098149165353529</v>
      </c>
      <c r="BZ28" s="40">
        <f t="shared" ref="BZ28" si="1965">IF($AQ28=TRUE, SUM(BS28:BU28), "")</f>
        <v>1392.3847991711034</v>
      </c>
      <c r="CA28" s="40">
        <f t="shared" ref="CA28" si="1966">IF($AQ28=TRUE, SUM(BV28:BY28), "")</f>
        <v>1392.3847991711034</v>
      </c>
      <c r="CB28" s="40">
        <f t="shared" ref="CB28" si="1967">IF($AQ28=TRUE,IF(ABS(CA28-BZ28)&lt; 0.000001, 0, ABS(CA28-BZ28)), "")</f>
        <v>0</v>
      </c>
      <c r="CC28" s="71">
        <f t="shared" ref="CC28" si="1968">IF($AQ28=TRUE, BS28, "-")</f>
        <v>224.82692854097252</v>
      </c>
      <c r="CD28" s="71">
        <f t="shared" ref="CD28" si="1969">IF($AQ28=TRUE, BT28, "-")</f>
        <v>7.0729361878001225</v>
      </c>
      <c r="CE28" s="71">
        <f t="shared" ref="CE28" si="1970">IF($AQ28=TRUE, BU28, "-")</f>
        <v>1160.4849344423308</v>
      </c>
      <c r="CF28" s="71">
        <f t="shared" ref="CF28" si="1971">IF($AQ28=TRUE, BV28, "-")</f>
        <v>104.03552473081014</v>
      </c>
      <c r="CG28" s="71">
        <f t="shared" ref="CG28" si="1972">IF($AQ28=TRUE,  IF(BW28 -CB28 &gt;= 0, BW28 -CB28, 0), "-")</f>
        <v>27.696513606426475</v>
      </c>
      <c r="CH28" s="71">
        <f t="shared" ref="CH28" si="1973">IF($AQ28=TRUE, BX28, "-")</f>
        <v>1247.5546116685132</v>
      </c>
      <c r="CI28" s="71">
        <f t="shared" ref="CI28" si="1974">IF($AQ28=TRUE, BY28, "-")</f>
        <v>13.098149165353529</v>
      </c>
      <c r="CJ28" s="40">
        <f t="shared" ref="CJ28" si="1975">IF($AQ28=TRUE, SUM(CC28:CE28), "")</f>
        <v>1392.3847991711034</v>
      </c>
      <c r="CK28" s="40">
        <f t="shared" ref="CK28" si="1976">IF($AQ28=TRUE, SUM(CF28:CI28), "")</f>
        <v>1392.3847991711034</v>
      </c>
      <c r="CL28" s="40">
        <f t="shared" ref="CL28" si="1977">IF($AQ28=TRUE,IF(ABS(CK28-CJ28)&lt; 0.000001, 0, ABS(CK28-CJ28)), "")</f>
        <v>0</v>
      </c>
      <c r="CM28" s="74">
        <f t="shared" ref="CM28" si="1978">IF($AQ28 = TRUE, CC28, AR28)</f>
        <v>224.82692854097252</v>
      </c>
      <c r="CN28" s="74">
        <f t="shared" ref="CN28" si="1979">IF($AQ28 = TRUE, CD28, AS28)</f>
        <v>7.0729361878001225</v>
      </c>
      <c r="CO28" s="74">
        <f t="shared" ref="CO28" si="1980">IF($AQ28 = TRUE, CE28, AT28)</f>
        <v>1160.4849344423308</v>
      </c>
      <c r="CP28" s="74">
        <f t="shared" ref="CP28" si="1981">IF($AQ28 = TRUE, CF28, AU28)</f>
        <v>104.03552473081014</v>
      </c>
      <c r="CQ28" s="74">
        <f t="shared" ref="CQ28" si="1982">IF($AQ28 = TRUE, CG28, AV28)</f>
        <v>27.696513606426475</v>
      </c>
      <c r="CR28" s="74">
        <f t="shared" ref="CR28" si="1983">IF($AQ28 = TRUE, CH28, AW28)</f>
        <v>1247.5546116685132</v>
      </c>
      <c r="CS28" s="74">
        <f t="shared" ref="CS28" si="1984">IF($AQ28 = TRUE, CI28, AX28)</f>
        <v>13.098149165353529</v>
      </c>
      <c r="CT28" s="78">
        <f t="shared" ref="CT28" si="1985">MIN(CR28,CO28)</f>
        <v>1160.4849344423308</v>
      </c>
      <c r="CU28" s="78">
        <f t="shared" ref="CU28" si="1986">CM28</f>
        <v>224.82692854097252</v>
      </c>
      <c r="CV28" s="78">
        <f t="shared" ref="CV28" si="1987">CN28</f>
        <v>7.0729361878001225</v>
      </c>
      <c r="CW28" s="78">
        <f t="shared" ref="CW28" si="1988">CO28-CT28</f>
        <v>0</v>
      </c>
      <c r="CX28" s="78">
        <f t="shared" ref="CX28" si="1989">CP28</f>
        <v>104.03552473081014</v>
      </c>
      <c r="CY28" s="78">
        <f t="shared" ref="CY28" si="1990">CQ28</f>
        <v>27.696513606426475</v>
      </c>
      <c r="CZ28" s="78">
        <f t="shared" ref="CZ28" si="1991">CR28-CT28</f>
        <v>87.069677226182421</v>
      </c>
      <c r="DA28" s="78">
        <f t="shared" ref="DA28" si="1992">CS28</f>
        <v>13.098149165353529</v>
      </c>
      <c r="DB28" s="25" t="b">
        <f t="shared" ref="DB28" si="1993">IF(ABS(SUM(CU28:CW28)-SUM(CX28:DA28)) &lt; 0.000001, TRUE)</f>
        <v>1</v>
      </c>
      <c r="DC28" s="115">
        <f>(Table1[[#This Row],[eCl,adj (mEq/kg) eq7]]/Reference!D$2)/1000</f>
        <v>0.22482692854097253</v>
      </c>
      <c r="DD28" s="115">
        <f>(Table1[[#This Row],[eNO3,adj (mEq/kg) eq7]]/Reference!E$2)/1000</f>
        <v>7.0729361878001228E-3</v>
      </c>
      <c r="DE28" s="115">
        <f>(Table1[[#This Row],[eSO4,adj,f (mEq/kg) eq7]]/Reference!F$2)/1000</f>
        <v>0</v>
      </c>
      <c r="DF28" s="115">
        <f>(Table1[[#This Row],[eNa,adj (mEq/kg) eq7]]/Reference!G$2)/1000</f>
        <v>0.10403552473081014</v>
      </c>
      <c r="DG28" s="115">
        <f>(Table1[[#This Row],[eK,adj (mEq/kg) eq7]]/Reference!H$2)/1000</f>
        <v>2.7696513606426474E-2</v>
      </c>
      <c r="DH28" s="115">
        <f>(Table1[[#This Row],[eCa,adj,f (mEq/kg) eq7]]/Reference!I$2)/1000</f>
        <v>4.3534838613091209E-2</v>
      </c>
      <c r="DI28" s="115">
        <f>(Table1[[#This Row],[eMg,adj (mEq/kg) eq7]]/Reference!J$2)/1000</f>
        <v>6.5490745826767647E-3</v>
      </c>
      <c r="DJ28" s="44">
        <f>Table1[[#This Row],[cCl,adj (mol/kg) eq 8 part 1]]/SUM(Table1[[#This Row],[cCl,adj (mol/kg) eq 8 part 1]:[cMg,adj (mol/kg) eq 8 part 1]])</f>
        <v>0.54343324500486112</v>
      </c>
      <c r="DK28" s="44">
        <f>Table1[[#This Row],[cNO3,adj (mol/kg) eq 8 part 1]]/SUM(Table1[[#This Row],[cCl,adj (mol/kg) eq 8 part 1]:[cMg,adj (mol/kg) eq 8 part 1]])</f>
        <v>1.7096122289230409E-2</v>
      </c>
      <c r="DL28" s="44">
        <f>Table1[[#This Row],[cSO4,adj (mol/kg) eq 8 part 1]]/SUM(Table1[[#This Row],[cCl,adj (mol/kg) eq 8 part 1]:[cMg,adj (mol/kg) eq 8 part 1]])</f>
        <v>0</v>
      </c>
      <c r="DM28" s="44">
        <f>Table1[[#This Row],[cNa,adj (mol/kg) eq 8 part 1]]/SUM(Table1[[#This Row],[cCl,adj (mol/kg) eq 8 part 1]:[cMg,adj (mol/kg) eq 8 part 1]])</f>
        <v>0.25146615295215596</v>
      </c>
      <c r="DN28" s="44">
        <f>Table1[[#This Row],[cK,adj (mol/kg) eq 8 part 1]]/SUM(Table1[[#This Row],[cCl,adj (mol/kg) eq 8 part 1]:[cMg,adj (mol/kg) eq 8 part 1]])</f>
        <v>6.6945745165569392E-2</v>
      </c>
      <c r="DO28" s="44">
        <f>Table1[[#This Row],[cCa,adj (mol/kg) eq 8 part 1]]/SUM(Table1[[#This Row],[cCl,adj (mol/kg) eq 8 part 1]:[cMg,adj (mol/kg) eq 8 part 1]])</f>
        <v>0.10522884768211203</v>
      </c>
      <c r="DP28" s="44">
        <f>Table1[[#This Row],[cMg,adj (mol/kg) eq 8 part 1]]/SUM(Table1[[#This Row],[cCl,adj (mol/kg) eq 8 part 1]:[cMg,adj (mol/kg) eq 8 part 1]])</f>
        <v>1.5829886906070952E-2</v>
      </c>
      <c r="DQ28" s="46">
        <f t="shared" ref="DQ28" si="1994">IF($AP28=TRUE, 0, (AJ28-CR28)/SUM($AH28:$AK28))</f>
        <v>5.9924782311262956E-2</v>
      </c>
      <c r="DR28" s="46">
        <f t="shared" ref="DR28" si="1995">IF($AP28=TRUE, 0, (AK28-CS28)/SUM($AH28:$AK28))</f>
        <v>0</v>
      </c>
      <c r="DS28" s="46">
        <f t="shared" ref="DS28" si="1996">IF($AP28=TRUE, 0, (AH28-CP28)/SUM($AH28:$AK28))</f>
        <v>0</v>
      </c>
      <c r="DT28" s="46">
        <f t="shared" ref="DT28" si="1997">IF($AP28=TRUE, 0, (AI28-CQ28)/SUM($AH28:$AK28))</f>
        <v>0</v>
      </c>
      <c r="DU28" s="69">
        <f>((CU28*Reference!D$3)/Reference!D$2)*0.001</f>
        <v>7.9707216494845357E-3</v>
      </c>
      <c r="DV28" s="69">
        <f>((CV28*Reference!E$3)/Reference!E$2)*0.001</f>
        <v>4.385567010309278E-4</v>
      </c>
      <c r="DW28" s="69">
        <f>((CW28*Reference!F$3)/Reference!F$2)*0.001</f>
        <v>0</v>
      </c>
      <c r="DX28" s="69">
        <f>((CX28*Reference!G$3)/Reference!G$2)*0.001</f>
        <v>2.3917525773195876E-3</v>
      </c>
      <c r="DY28" s="69">
        <f>((CY28*Reference!H$3)/Reference!H$2)*0.001</f>
        <v>1.0828865979381444E-3</v>
      </c>
      <c r="DZ28" s="69">
        <f>((CZ28*Reference!I$3)/Reference!I$2)*0.001</f>
        <v>1.7447892619354697E-3</v>
      </c>
      <c r="EA28" s="69">
        <f>((DA28*Reference!J$3)/Reference!J$2)*0.001</f>
        <v>1.5917525773195877E-4</v>
      </c>
      <c r="EB28" s="70">
        <f t="shared" ref="EB28" si="1998">SUM(DU28:EA28)</f>
        <v>1.3787882045440625E-2</v>
      </c>
      <c r="EC28" s="68">
        <f t="shared" si="753"/>
        <v>8.0773973624662473E-2</v>
      </c>
      <c r="ED28" s="68">
        <f t="shared" ref="ED28" si="1999">((CT28)*(0.5*(96.064+40.078))*0.000001)</f>
        <v>7.8995369972423887E-2</v>
      </c>
      <c r="EE28" s="68">
        <f>Table1[[#This Row],[wtot,adj + wCaSO4(-) eq11]]-Table1[[#This Row],[wCaSO4 (-)]]</f>
        <v>1.7786036522385862E-3</v>
      </c>
      <c r="EF28" s="68">
        <f>IF(Table1[[#This Row],[pII]]=TRUE, ABS(SUM(DX28,DY28)-(SUM(Z28,AA28))),"Pathway I")</f>
        <v>0</v>
      </c>
      <c r="EG28" s="68">
        <f>IF(Table1[[#This Row],[pII]]=TRUE, (((ABS(Table1[[#This Row],[eCa,adj (mEq/kg) pI or pII]]-Table1[[#This Row],[eCa (mEq/kg)]]))*0.040078)/2)*0.001,"Pathway I")</f>
        <v>1.7786036522385834E-3</v>
      </c>
      <c r="EH28" s="68">
        <f>IF(Table1[[#This Row],[pII]]=TRUE, ((Table1[[#This Row],[ΔeMg (mEq/kg) eq5b]]+Table1[[#This Row],[ΔeNa (mEq/kg) eq5c]]+Table1[[#This Row],[ΔeK (mEq/kg) eq5d]])/1000000)*(60.01/2), "Pathway I")</f>
        <v>0</v>
      </c>
    </row>
    <row r="29" spans="1:138" x14ac:dyDescent="0.6">
      <c r="A29" s="128"/>
      <c r="B29" s="128"/>
      <c r="C29" s="128"/>
      <c r="D29" s="129"/>
      <c r="E29" s="129"/>
      <c r="F29" s="128"/>
      <c r="G29" s="128"/>
      <c r="H29" s="128"/>
      <c r="I29" s="128"/>
      <c r="J29" s="128"/>
      <c r="K29" s="128"/>
      <c r="L29" s="128"/>
      <c r="M29" s="128"/>
      <c r="N29" s="128"/>
      <c r="O29" s="128"/>
      <c r="W29" s="130" t="e">
        <f t="shared" ref="W29:W30" si="2000">(P29*($O29/1000))/($N29*1000)</f>
        <v>#DIV/0!</v>
      </c>
      <c r="X29" s="130" t="e">
        <f t="shared" ref="X29:X30" si="2001">(Q29*($O29/1000))/($N29*1000)</f>
        <v>#DIV/0!</v>
      </c>
      <c r="Y29" s="130" t="e">
        <f t="shared" ref="Y29:Y30" si="2002">(R29*($O29/1000))/($N29*1000)</f>
        <v>#DIV/0!</v>
      </c>
      <c r="Z29" s="130" t="e">
        <f t="shared" ref="Z29:Z30" si="2003">(S29*($O29/1000))/($N29*1000)</f>
        <v>#DIV/0!</v>
      </c>
      <c r="AA29" s="130" t="e">
        <f t="shared" ref="AA29:AA30" si="2004">(T29*($O29/1000))/($N29*1000)</f>
        <v>#DIV/0!</v>
      </c>
      <c r="AB29" s="130" t="e">
        <f t="shared" ref="AB29:AB30" si="2005">(U29*($O29/1000))/($N29*1000)</f>
        <v>#DIV/0!</v>
      </c>
      <c r="AC29" s="130" t="e">
        <f t="shared" ref="AC29:AC30" si="2006">(V29*($O29/1000))/($N29*1000)</f>
        <v>#DIV/0!</v>
      </c>
      <c r="AD29" s="131" t="e">
        <f t="shared" ref="AD29:AD30" si="2007">SUM(W29:AC29)</f>
        <v>#DIV/0!</v>
      </c>
      <c r="AE29" s="71" t="e">
        <f>((W29*Reference!D$2)/Reference!D$3)*1000</f>
        <v>#DIV/0!</v>
      </c>
      <c r="AF29" s="71" t="e">
        <f>((X29*Reference!E$2)/Reference!E$3)*1000</f>
        <v>#DIV/0!</v>
      </c>
      <c r="AG29" s="71" t="e">
        <f>((Y29*Reference!F$2)/Reference!F$3)*1000</f>
        <v>#DIV/0!</v>
      </c>
      <c r="AH29" s="71" t="e">
        <f>((Z29*Reference!G$2)/Reference!G$3)*1000</f>
        <v>#DIV/0!</v>
      </c>
      <c r="AI29" s="71" t="e">
        <f>((AA29*Reference!H$2)/Reference!H$3)*1000</f>
        <v>#DIV/0!</v>
      </c>
      <c r="AJ29" s="71" t="e">
        <f>((AB29*Reference!I$2)/Reference!I$3)*1000</f>
        <v>#DIV/0!</v>
      </c>
      <c r="AK29" s="71" t="e">
        <f>((AC29*Reference!J$2)/Reference!J$3)*1000</f>
        <v>#DIV/0!</v>
      </c>
      <c r="AL29" s="40" t="e">
        <f t="shared" ref="AL29:AL30" si="2008">SUM(AE29:AG29)</f>
        <v>#DIV/0!</v>
      </c>
      <c r="AM29" s="40" t="e">
        <f t="shared" ref="AM29:AM30" si="2009">SUM(AH29:AK29)</f>
        <v>#DIV/0!</v>
      </c>
      <c r="AN29" s="72" t="e">
        <f t="shared" ref="AN29:AN30" si="2010">ABS(AM29-AL29)</f>
        <v>#DIV/0!</v>
      </c>
      <c r="AO29" s="132" t="e">
        <f t="shared" ref="AO29:AO30" si="2011">IF(AM29&gt;AL29, "Δe,cat", "Δe,ani")</f>
        <v>#DIV/0!</v>
      </c>
      <c r="AP29" s="25" t="e">
        <f t="shared" ref="AP29:AP30" si="2012">IF(OR(AN29&lt;=MAX(AL29,AM29)*0.02, AL29&gt;AM29), TRUE)</f>
        <v>#DIV/0!</v>
      </c>
      <c r="AQ29" s="25" t="e">
        <f t="shared" ref="AQ29:AQ30" si="2013">IF(AND(AN29&gt;AM29*0.02, AM29&gt;AL29), TRUE)</f>
        <v>#DIV/0!</v>
      </c>
      <c r="AR29" s="73" t="e">
        <f t="shared" ref="AR29:AR30" si="2014">IF($AP29=TRUE, (AE29*($AL29+$AM29)/(2*$AL29)), "-")</f>
        <v>#DIV/0!</v>
      </c>
      <c r="AS29" s="73" t="e">
        <f t="shared" ref="AS29:AS30" si="2015">IF($AP29=TRUE, (AF29*($AL29+$AM29)/(2*$AL29)), "-")</f>
        <v>#DIV/0!</v>
      </c>
      <c r="AT29" s="73" t="e">
        <f t="shared" ref="AT29:AT30" si="2016">IF($AP29=TRUE, (AG29*($AL29+$AM29)/(2*$AL29)), "-")</f>
        <v>#DIV/0!</v>
      </c>
      <c r="AU29" s="73" t="e">
        <f t="shared" ref="AU29:AU30" si="2017">IF($AP29=TRUE, (AH29*($AL29+$AM29)/(2*$AM29)), "-")</f>
        <v>#DIV/0!</v>
      </c>
      <c r="AV29" s="73" t="e">
        <f t="shared" ref="AV29:AV30" si="2018">IF($AP29=TRUE, (AI29*($AL29+$AM29)/(2*$AM29)), "-")</f>
        <v>#DIV/0!</v>
      </c>
      <c r="AW29" s="73" t="e">
        <f t="shared" ref="AW29:AW30" si="2019">IF($AP29=TRUE, (AJ29*($AL29+$AM29)/(2*$AM29)), "-")</f>
        <v>#DIV/0!</v>
      </c>
      <c r="AX29" s="73" t="e">
        <f t="shared" ref="AX29:AX30" si="2020">IF($AP29=TRUE, (AK29*($AL29+$AM29)/(2*$AM29)), "-")</f>
        <v>#DIV/0!</v>
      </c>
      <c r="AY29" s="71" t="e">
        <f t="shared" ref="AY29:AY30" si="2021">IF($AQ29=TRUE, AE29, "-")</f>
        <v>#DIV/0!</v>
      </c>
      <c r="AZ29" s="71" t="e">
        <f t="shared" ref="AZ29:AZ30" si="2022">IF($AQ29=TRUE, AF29, "-")</f>
        <v>#DIV/0!</v>
      </c>
      <c r="BA29" s="71" t="e">
        <f t="shared" ref="BA29:BA30" si="2023">IF($AQ29=TRUE, AG29, "-")</f>
        <v>#DIV/0!</v>
      </c>
      <c r="BB29" s="71" t="e">
        <f t="shared" ref="BB29:BB30" si="2024">IF($AQ29=TRUE, AH29, "-")</f>
        <v>#DIV/0!</v>
      </c>
      <c r="BC29" s="71" t="e">
        <f t="shared" ref="BC29:BC30" si="2025">IF($AQ29=TRUE, AI29, "-")</f>
        <v>#DIV/0!</v>
      </c>
      <c r="BD29" s="71" t="e">
        <f t="shared" ref="BD29:BD30" si="2026">IF($AQ29=TRUE, IF(AJ29-AN29 &gt;= 0, AJ29-AN29, 0), "-")</f>
        <v>#DIV/0!</v>
      </c>
      <c r="BE29" s="71" t="e">
        <f t="shared" ref="BE29:BE30" si="2027">IF($AQ29=TRUE, AK29, "-")</f>
        <v>#DIV/0!</v>
      </c>
      <c r="BF29" s="40" t="e">
        <f t="shared" ref="BF29:BF30" si="2028">IF($AQ29=TRUE, SUM(AY29:BA29), "")</f>
        <v>#DIV/0!</v>
      </c>
      <c r="BG29" s="40" t="e">
        <f t="shared" ref="BG29:BG30" si="2029">IF($AQ29=TRUE, SUM(BB29:BE29), "")</f>
        <v>#DIV/0!</v>
      </c>
      <c r="BH29" s="40" t="e">
        <f t="shared" ref="BH29:BH30" si="2030">IF($AQ29=TRUE,IF(ABS(BG29-BF29)&lt; 0.000001, 0, ABS(BG29-BF29)), "")</f>
        <v>#DIV/0!</v>
      </c>
      <c r="BI29" s="71" t="e">
        <f t="shared" ref="BI29:BI30" si="2031">IF($AQ29=TRUE, AY29, "-")</f>
        <v>#DIV/0!</v>
      </c>
      <c r="BJ29" s="71" t="e">
        <f t="shared" ref="BJ29:BJ30" si="2032">IF($AQ29=TRUE, AZ29, "-")</f>
        <v>#DIV/0!</v>
      </c>
      <c r="BK29" s="71" t="e">
        <f t="shared" ref="BK29:BK30" si="2033">IF($AQ29=TRUE, BA29, "-")</f>
        <v>#DIV/0!</v>
      </c>
      <c r="BL29" s="71" t="e">
        <f t="shared" ref="BL29:BL30" si="2034">IF($AQ29=TRUE, BB29, "-")</f>
        <v>#DIV/0!</v>
      </c>
      <c r="BM29" s="71" t="e">
        <f t="shared" ref="BM29:BM30" si="2035">IF($AQ29=TRUE, BC29, "-")</f>
        <v>#DIV/0!</v>
      </c>
      <c r="BN29" s="71" t="e">
        <f t="shared" ref="BN29:BN30" si="2036">IF($AQ29=TRUE, BD29, "-")</f>
        <v>#DIV/0!</v>
      </c>
      <c r="BO29" s="71" t="e">
        <f t="shared" ref="BO29:BO30" si="2037">IF($AQ29=TRUE, IF(BE29 -BH29 &gt;= 0, BE29 -BH29, 0), "-")</f>
        <v>#DIV/0!</v>
      </c>
      <c r="BP29" s="40" t="e">
        <f t="shared" ref="BP29:BP30" si="2038">IF($AQ29=TRUE, SUM(BI29:BK29), "")</f>
        <v>#DIV/0!</v>
      </c>
      <c r="BQ29" s="40" t="e">
        <f t="shared" ref="BQ29:BQ30" si="2039">IF($AQ29=TRUE, SUM(BL29:BO29), "")</f>
        <v>#DIV/0!</v>
      </c>
      <c r="BR29" s="40" t="e">
        <f t="shared" ref="BR29:BR30" si="2040">IF($AQ29=TRUE,IF(ABS(BQ29-BP29)&lt; 0.000001, 0, ABS(BQ29-BP29)), "")</f>
        <v>#DIV/0!</v>
      </c>
      <c r="BS29" s="71" t="e">
        <f t="shared" ref="BS29:BS30" si="2041">IF($AQ29=TRUE, BI29, "-")</f>
        <v>#DIV/0!</v>
      </c>
      <c r="BT29" s="71" t="e">
        <f t="shared" ref="BT29:BT30" si="2042">IF($AQ29=TRUE, BJ29, "-")</f>
        <v>#DIV/0!</v>
      </c>
      <c r="BU29" s="71" t="e">
        <f t="shared" ref="BU29:BU30" si="2043">IF($AQ29=TRUE, BK29, "-")</f>
        <v>#DIV/0!</v>
      </c>
      <c r="BV29" s="71" t="e">
        <f t="shared" ref="BV29:BV30" si="2044">IF($AQ29=TRUE, IF(BL29 -BR29 &gt;= 0, BL29 -BR29, 0), "-")</f>
        <v>#DIV/0!</v>
      </c>
      <c r="BW29" s="71" t="e">
        <f t="shared" ref="BW29:BW30" si="2045">IF($AQ29=TRUE, BM29, "-")</f>
        <v>#DIV/0!</v>
      </c>
      <c r="BX29" s="71" t="e">
        <f t="shared" ref="BX29:BX30" si="2046">IF($AQ29=TRUE, BN29, "-")</f>
        <v>#DIV/0!</v>
      </c>
      <c r="BY29" s="71" t="e">
        <f t="shared" ref="BY29:BY30" si="2047">IF($AQ29=TRUE, BO29, "-")</f>
        <v>#DIV/0!</v>
      </c>
      <c r="BZ29" s="40" t="e">
        <f t="shared" ref="BZ29:BZ30" si="2048">IF($AQ29=TRUE, SUM(BS29:BU29), "")</f>
        <v>#DIV/0!</v>
      </c>
      <c r="CA29" s="40" t="e">
        <f t="shared" ref="CA29:CA30" si="2049">IF($AQ29=TRUE, SUM(BV29:BY29), "")</f>
        <v>#DIV/0!</v>
      </c>
      <c r="CB29" s="40" t="e">
        <f t="shared" ref="CB29:CB30" si="2050">IF($AQ29=TRUE,IF(ABS(CA29-BZ29)&lt; 0.000001, 0, ABS(CA29-BZ29)), "")</f>
        <v>#DIV/0!</v>
      </c>
      <c r="CC29" s="71" t="e">
        <f t="shared" ref="CC29:CC30" si="2051">IF($AQ29=TRUE, BS29, "-")</f>
        <v>#DIV/0!</v>
      </c>
      <c r="CD29" s="71" t="e">
        <f t="shared" ref="CD29:CD30" si="2052">IF($AQ29=TRUE, BT29, "-")</f>
        <v>#DIV/0!</v>
      </c>
      <c r="CE29" s="71" t="e">
        <f t="shared" ref="CE29:CE30" si="2053">IF($AQ29=TRUE, BU29, "-")</f>
        <v>#DIV/0!</v>
      </c>
      <c r="CF29" s="71" t="e">
        <f t="shared" ref="CF29:CF30" si="2054">IF($AQ29=TRUE, BV29, "-")</f>
        <v>#DIV/0!</v>
      </c>
      <c r="CG29" s="71" t="e">
        <f t="shared" ref="CG29:CG30" si="2055">IF($AQ29=TRUE,  IF(BW29 -CB29 &gt;= 0, BW29 -CB29, 0), "-")</f>
        <v>#DIV/0!</v>
      </c>
      <c r="CH29" s="71" t="e">
        <f t="shared" ref="CH29:CH30" si="2056">IF($AQ29=TRUE, BX29, "-")</f>
        <v>#DIV/0!</v>
      </c>
      <c r="CI29" s="71" t="e">
        <f t="shared" ref="CI29:CI30" si="2057">IF($AQ29=TRUE, BY29, "-")</f>
        <v>#DIV/0!</v>
      </c>
      <c r="CJ29" s="40" t="e">
        <f t="shared" ref="CJ29:CJ30" si="2058">IF($AQ29=TRUE, SUM(CC29:CE29), "")</f>
        <v>#DIV/0!</v>
      </c>
      <c r="CK29" s="40" t="e">
        <f t="shared" ref="CK29:CK30" si="2059">IF($AQ29=TRUE, SUM(CF29:CI29), "")</f>
        <v>#DIV/0!</v>
      </c>
      <c r="CL29" s="40" t="e">
        <f t="shared" ref="CL29:CL30" si="2060">IF($AQ29=TRUE,IF(ABS(CK29-CJ29)&lt; 0.000001, 0, ABS(CK29-CJ29)), "")</f>
        <v>#DIV/0!</v>
      </c>
      <c r="CM29" s="74" t="e">
        <f t="shared" ref="CM29:CM30" si="2061">IF($AQ29 = TRUE, CC29, AR29)</f>
        <v>#DIV/0!</v>
      </c>
      <c r="CN29" s="74" t="e">
        <f t="shared" ref="CN29:CN30" si="2062">IF($AQ29 = TRUE, CD29, AS29)</f>
        <v>#DIV/0!</v>
      </c>
      <c r="CO29" s="74" t="e">
        <f t="shared" ref="CO29:CO30" si="2063">IF($AQ29 = TRUE, CE29, AT29)</f>
        <v>#DIV/0!</v>
      </c>
      <c r="CP29" s="74" t="e">
        <f t="shared" ref="CP29:CP30" si="2064">IF($AQ29 = TRUE, CF29, AU29)</f>
        <v>#DIV/0!</v>
      </c>
      <c r="CQ29" s="74" t="e">
        <f t="shared" ref="CQ29:CQ30" si="2065">IF($AQ29 = TRUE, CG29, AV29)</f>
        <v>#DIV/0!</v>
      </c>
      <c r="CR29" s="74" t="e">
        <f t="shared" ref="CR29:CR30" si="2066">IF($AQ29 = TRUE, CH29, AW29)</f>
        <v>#DIV/0!</v>
      </c>
      <c r="CS29" s="74" t="e">
        <f t="shared" ref="CS29:CS30" si="2067">IF($AQ29 = TRUE, CI29, AX29)</f>
        <v>#DIV/0!</v>
      </c>
      <c r="CT29" s="78" t="e">
        <f t="shared" ref="CT29:CT30" si="2068">MIN(CR29,CO29)</f>
        <v>#DIV/0!</v>
      </c>
      <c r="CU29" s="78" t="e">
        <f t="shared" ref="CU29:CU30" si="2069">CM29</f>
        <v>#DIV/0!</v>
      </c>
      <c r="CV29" s="78" t="e">
        <f t="shared" ref="CV29:CV30" si="2070">CN29</f>
        <v>#DIV/0!</v>
      </c>
      <c r="CW29" s="78" t="e">
        <f t="shared" ref="CW29:CW30" si="2071">CO29-CT29</f>
        <v>#DIV/0!</v>
      </c>
      <c r="CX29" s="78" t="e">
        <f t="shared" ref="CX29:CX30" si="2072">CP29</f>
        <v>#DIV/0!</v>
      </c>
      <c r="CY29" s="78" t="e">
        <f t="shared" ref="CY29:CY30" si="2073">CQ29</f>
        <v>#DIV/0!</v>
      </c>
      <c r="CZ29" s="78" t="e">
        <f t="shared" ref="CZ29:CZ30" si="2074">CR29-CT29</f>
        <v>#DIV/0!</v>
      </c>
      <c r="DA29" s="78" t="e">
        <f t="shared" ref="DA29:DA30" si="2075">CS29</f>
        <v>#DIV/0!</v>
      </c>
      <c r="DB29" s="25" t="e">
        <f t="shared" ref="DB29:DB30" si="2076">IF(ABS(SUM(CU29:CW29)-SUM(CX29:DA29)) &lt; 0.000001, TRUE)</f>
        <v>#DIV/0!</v>
      </c>
      <c r="DC29" s="133" t="e">
        <f>(Table1[[#This Row],[eCl,adj (mEq/kg) eq7]]/Reference!D$2)/1000</f>
        <v>#DIV/0!</v>
      </c>
      <c r="DD29" s="115" t="e">
        <f>(Table1[[#This Row],[eNO3,adj (mEq/kg) eq7]]/Reference!E$2)/1000</f>
        <v>#DIV/0!</v>
      </c>
      <c r="DE29" s="115" t="e">
        <f>(Table1[[#This Row],[eSO4,adj,f (mEq/kg) eq7]]/Reference!F$2)/1000</f>
        <v>#DIV/0!</v>
      </c>
      <c r="DF29" s="115" t="e">
        <f>(Table1[[#This Row],[eNa,adj (mEq/kg) eq7]]/Reference!G$2)/1000</f>
        <v>#DIV/0!</v>
      </c>
      <c r="DG29" s="115" t="e">
        <f>(Table1[[#This Row],[eK,adj (mEq/kg) eq7]]/Reference!H$2)/1000</f>
        <v>#DIV/0!</v>
      </c>
      <c r="DH29" s="115" t="e">
        <f>(Table1[[#This Row],[eCa,adj,f (mEq/kg) eq7]]/Reference!I$2)/1000</f>
        <v>#DIV/0!</v>
      </c>
      <c r="DI29" s="115" t="e">
        <f>(Table1[[#This Row],[eMg,adj (mEq/kg) eq7]]/Reference!J$2)/1000</f>
        <v>#DIV/0!</v>
      </c>
      <c r="DJ29" s="44" t="e">
        <f>Table1[[#This Row],[cCl,adj (mol/kg) eq 8 part 1]]/SUM(Table1[[#This Row],[cCl,adj (mol/kg) eq 8 part 1]:[cMg,adj (mol/kg) eq 8 part 1]])</f>
        <v>#DIV/0!</v>
      </c>
      <c r="DK29" s="44" t="e">
        <f>Table1[[#This Row],[cNO3,adj (mol/kg) eq 8 part 1]]/SUM(Table1[[#This Row],[cCl,adj (mol/kg) eq 8 part 1]:[cMg,adj (mol/kg) eq 8 part 1]])</f>
        <v>#DIV/0!</v>
      </c>
      <c r="DL29" s="44" t="e">
        <f>Table1[[#This Row],[cSO4,adj (mol/kg) eq 8 part 1]]/SUM(Table1[[#This Row],[cCl,adj (mol/kg) eq 8 part 1]:[cMg,adj (mol/kg) eq 8 part 1]])</f>
        <v>#DIV/0!</v>
      </c>
      <c r="DM29" s="44" t="e">
        <f>Table1[[#This Row],[cNa,adj (mol/kg) eq 8 part 1]]/SUM(Table1[[#This Row],[cCl,adj (mol/kg) eq 8 part 1]:[cMg,adj (mol/kg) eq 8 part 1]])</f>
        <v>#DIV/0!</v>
      </c>
      <c r="DN29" s="44" t="e">
        <f>Table1[[#This Row],[cK,adj (mol/kg) eq 8 part 1]]/SUM(Table1[[#This Row],[cCl,adj (mol/kg) eq 8 part 1]:[cMg,adj (mol/kg) eq 8 part 1]])</f>
        <v>#DIV/0!</v>
      </c>
      <c r="DO29" s="44" t="e">
        <f>Table1[[#This Row],[cCa,adj (mol/kg) eq 8 part 1]]/SUM(Table1[[#This Row],[cCl,adj (mol/kg) eq 8 part 1]:[cMg,adj (mol/kg) eq 8 part 1]])</f>
        <v>#DIV/0!</v>
      </c>
      <c r="DP29" s="44" t="e">
        <f>Table1[[#This Row],[cMg,adj (mol/kg) eq 8 part 1]]/SUM(Table1[[#This Row],[cCl,adj (mol/kg) eq 8 part 1]:[cMg,adj (mol/kg) eq 8 part 1]])</f>
        <v>#DIV/0!</v>
      </c>
      <c r="DQ29" s="46" t="e">
        <f t="shared" ref="DQ29:DQ30" si="2077">IF($AP29=TRUE, 0, (AJ29-CR29)/SUM($AH29:$AK29))</f>
        <v>#DIV/0!</v>
      </c>
      <c r="DR29" s="46" t="e">
        <f t="shared" ref="DR29:DR30" si="2078">IF($AP29=TRUE, 0, (AK29-CS29)/SUM($AH29:$AK29))</f>
        <v>#DIV/0!</v>
      </c>
      <c r="DS29" s="46" t="e">
        <f t="shared" ref="DS29:DS30" si="2079">IF($AP29=TRUE, 0, (AH29-CP29)/SUM($AH29:$AK29))</f>
        <v>#DIV/0!</v>
      </c>
      <c r="DT29" s="46" t="e">
        <f t="shared" ref="DT29:DT30" si="2080">IF($AP29=TRUE, 0, (AI29-CQ29)/SUM($AH29:$AK29))</f>
        <v>#DIV/0!</v>
      </c>
      <c r="DU29" s="134" t="e">
        <f>((CU29*Reference!D$3)/Reference!D$2)*0.001</f>
        <v>#DIV/0!</v>
      </c>
      <c r="DV29" s="134" t="e">
        <f>((CV29*Reference!E$3)/Reference!E$2)*0.001</f>
        <v>#DIV/0!</v>
      </c>
      <c r="DW29" s="134" t="e">
        <f>((CW29*Reference!F$3)/Reference!F$2)*0.001</f>
        <v>#DIV/0!</v>
      </c>
      <c r="DX29" s="134" t="e">
        <f>((CX29*Reference!G$3)/Reference!G$2)*0.001</f>
        <v>#DIV/0!</v>
      </c>
      <c r="DY29" s="134" t="e">
        <f>((CY29*Reference!H$3)/Reference!H$2)*0.001</f>
        <v>#DIV/0!</v>
      </c>
      <c r="DZ29" s="134" t="e">
        <f>((CZ29*Reference!I$3)/Reference!I$2)*0.001</f>
        <v>#DIV/0!</v>
      </c>
      <c r="EA29" s="134" t="e">
        <f>((DA29*Reference!J$3)/Reference!J$2)*0.001</f>
        <v>#DIV/0!</v>
      </c>
      <c r="EB29" s="135" t="e">
        <f t="shared" ref="EB29:EB30" si="2081">SUM(DU29:EA29)</f>
        <v>#DIV/0!</v>
      </c>
      <c r="EC29" s="68" t="e">
        <f t="shared" si="753"/>
        <v>#DIV/0!</v>
      </c>
      <c r="ED29" s="137" t="e">
        <f t="shared" ref="ED29:ED30" si="2082">((CT29)*(0.5*(96.064+40.078))*0.000001)</f>
        <v>#DIV/0!</v>
      </c>
      <c r="EE29" s="136" t="e">
        <f>Table1[[#This Row],[wtot,adj + wCaSO4(-) eq11]]-Table1[[#This Row],[wCaSO4 (-)]]</f>
        <v>#DIV/0!</v>
      </c>
      <c r="EF29" s="138" t="e">
        <f>IF(Table1[[#This Row],[pII]]=TRUE, ABS(SUM(DX29,DY29)-(SUM(Z29,AA29))),"Pathway I")</f>
        <v>#DIV/0!</v>
      </c>
      <c r="EG29" s="138" t="e">
        <f>IF(Table1[[#This Row],[pII]]=TRUE, (((ABS(Table1[[#This Row],[eCa,adj (mEq/kg) pI or pII]]-Table1[[#This Row],[eCa (mEq/kg)]]))*0.040078)/2)*0.001,"Pathway I")</f>
        <v>#DIV/0!</v>
      </c>
      <c r="EH29" s="138" t="e">
        <f>IF(Table1[[#This Row],[pII]]=TRUE, ((Table1[[#This Row],[ΔeMg (mEq/kg) eq5b]]+Table1[[#This Row],[ΔeNa (mEq/kg) eq5c]]+Table1[[#This Row],[ΔeK (mEq/kg) eq5d]])/1000000)*(60.01/2), "Pathway I")</f>
        <v>#DIV/0!</v>
      </c>
    </row>
    <row r="30" spans="1:138" x14ac:dyDescent="0.6">
      <c r="A30" s="139"/>
      <c r="B30" s="139"/>
      <c r="C30" s="139"/>
      <c r="D30" s="140"/>
      <c r="E30" s="140"/>
      <c r="F30" s="139"/>
      <c r="G30" s="139"/>
      <c r="H30" s="139"/>
      <c r="I30" s="139"/>
      <c r="J30" s="139"/>
      <c r="K30" s="139"/>
      <c r="L30" s="139"/>
      <c r="M30" s="139"/>
      <c r="N30" s="139"/>
      <c r="O30" s="139"/>
      <c r="P30" s="141"/>
      <c r="Q30" s="141"/>
      <c r="R30" s="141"/>
      <c r="S30" s="141"/>
      <c r="T30" s="141"/>
      <c r="U30" s="141"/>
      <c r="V30" s="141"/>
      <c r="W30" s="142" t="e">
        <f t="shared" si="2000"/>
        <v>#DIV/0!</v>
      </c>
      <c r="X30" s="142" t="e">
        <f t="shared" si="2001"/>
        <v>#DIV/0!</v>
      </c>
      <c r="Y30" s="142" t="e">
        <f t="shared" si="2002"/>
        <v>#DIV/0!</v>
      </c>
      <c r="Z30" s="142" t="e">
        <f t="shared" si="2003"/>
        <v>#DIV/0!</v>
      </c>
      <c r="AA30" s="142" t="e">
        <f t="shared" si="2004"/>
        <v>#DIV/0!</v>
      </c>
      <c r="AB30" s="142" t="e">
        <f t="shared" si="2005"/>
        <v>#DIV/0!</v>
      </c>
      <c r="AC30" s="142" t="e">
        <f t="shared" si="2006"/>
        <v>#DIV/0!</v>
      </c>
      <c r="AD30" s="143" t="e">
        <f t="shared" si="2007"/>
        <v>#DIV/0!</v>
      </c>
      <c r="AE30" s="144" t="e">
        <f>((W30*Reference!D$2)/Reference!D$3)*1000</f>
        <v>#DIV/0!</v>
      </c>
      <c r="AF30" s="144" t="e">
        <f>((X30*Reference!E$2)/Reference!E$3)*1000</f>
        <v>#DIV/0!</v>
      </c>
      <c r="AG30" s="144" t="e">
        <f>((Y30*Reference!F$2)/Reference!F$3)*1000</f>
        <v>#DIV/0!</v>
      </c>
      <c r="AH30" s="144" t="e">
        <f>((Z30*Reference!G$2)/Reference!G$3)*1000</f>
        <v>#DIV/0!</v>
      </c>
      <c r="AI30" s="144" t="e">
        <f>((AA30*Reference!H$2)/Reference!H$3)*1000</f>
        <v>#DIV/0!</v>
      </c>
      <c r="AJ30" s="144" t="e">
        <f>((AB30*Reference!I$2)/Reference!I$3)*1000</f>
        <v>#DIV/0!</v>
      </c>
      <c r="AK30" s="144" t="e">
        <f>((AC30*Reference!J$2)/Reference!J$3)*1000</f>
        <v>#DIV/0!</v>
      </c>
      <c r="AL30" s="145" t="e">
        <f t="shared" si="2008"/>
        <v>#DIV/0!</v>
      </c>
      <c r="AM30" s="145" t="e">
        <f t="shared" si="2009"/>
        <v>#DIV/0!</v>
      </c>
      <c r="AN30" s="146" t="e">
        <f t="shared" si="2010"/>
        <v>#DIV/0!</v>
      </c>
      <c r="AO30" s="147" t="e">
        <f t="shared" si="2011"/>
        <v>#DIV/0!</v>
      </c>
      <c r="AP30" s="148" t="e">
        <f t="shared" si="2012"/>
        <v>#DIV/0!</v>
      </c>
      <c r="AQ30" s="149" t="e">
        <f t="shared" si="2013"/>
        <v>#DIV/0!</v>
      </c>
      <c r="AR30" s="150" t="e">
        <f t="shared" si="2014"/>
        <v>#DIV/0!</v>
      </c>
      <c r="AS30" s="150" t="e">
        <f t="shared" si="2015"/>
        <v>#DIV/0!</v>
      </c>
      <c r="AT30" s="150" t="e">
        <f t="shared" si="2016"/>
        <v>#DIV/0!</v>
      </c>
      <c r="AU30" s="150" t="e">
        <f t="shared" si="2017"/>
        <v>#DIV/0!</v>
      </c>
      <c r="AV30" s="150" t="e">
        <f t="shared" si="2018"/>
        <v>#DIV/0!</v>
      </c>
      <c r="AW30" s="150" t="e">
        <f t="shared" si="2019"/>
        <v>#DIV/0!</v>
      </c>
      <c r="AX30" s="150" t="e">
        <f t="shared" si="2020"/>
        <v>#DIV/0!</v>
      </c>
      <c r="AY30" s="144" t="e">
        <f t="shared" si="2021"/>
        <v>#DIV/0!</v>
      </c>
      <c r="AZ30" s="144" t="e">
        <f t="shared" si="2022"/>
        <v>#DIV/0!</v>
      </c>
      <c r="BA30" s="144" t="e">
        <f t="shared" si="2023"/>
        <v>#DIV/0!</v>
      </c>
      <c r="BB30" s="144" t="e">
        <f t="shared" si="2024"/>
        <v>#DIV/0!</v>
      </c>
      <c r="BC30" s="144" t="e">
        <f t="shared" si="2025"/>
        <v>#DIV/0!</v>
      </c>
      <c r="BD30" s="144" t="e">
        <f t="shared" si="2026"/>
        <v>#DIV/0!</v>
      </c>
      <c r="BE30" s="144" t="e">
        <f t="shared" si="2027"/>
        <v>#DIV/0!</v>
      </c>
      <c r="BF30" s="145" t="e">
        <f t="shared" si="2028"/>
        <v>#DIV/0!</v>
      </c>
      <c r="BG30" s="145" t="e">
        <f t="shared" si="2029"/>
        <v>#DIV/0!</v>
      </c>
      <c r="BH30" s="145" t="e">
        <f t="shared" si="2030"/>
        <v>#DIV/0!</v>
      </c>
      <c r="BI30" s="144" t="e">
        <f t="shared" si="2031"/>
        <v>#DIV/0!</v>
      </c>
      <c r="BJ30" s="144" t="e">
        <f t="shared" si="2032"/>
        <v>#DIV/0!</v>
      </c>
      <c r="BK30" s="144" t="e">
        <f t="shared" si="2033"/>
        <v>#DIV/0!</v>
      </c>
      <c r="BL30" s="144" t="e">
        <f t="shared" si="2034"/>
        <v>#DIV/0!</v>
      </c>
      <c r="BM30" s="144" t="e">
        <f t="shared" si="2035"/>
        <v>#DIV/0!</v>
      </c>
      <c r="BN30" s="144" t="e">
        <f t="shared" si="2036"/>
        <v>#DIV/0!</v>
      </c>
      <c r="BO30" s="144" t="e">
        <f t="shared" si="2037"/>
        <v>#DIV/0!</v>
      </c>
      <c r="BP30" s="145" t="e">
        <f t="shared" si="2038"/>
        <v>#DIV/0!</v>
      </c>
      <c r="BQ30" s="145" t="e">
        <f t="shared" si="2039"/>
        <v>#DIV/0!</v>
      </c>
      <c r="BR30" s="145" t="e">
        <f t="shared" si="2040"/>
        <v>#DIV/0!</v>
      </c>
      <c r="BS30" s="144" t="e">
        <f t="shared" si="2041"/>
        <v>#DIV/0!</v>
      </c>
      <c r="BT30" s="144" t="e">
        <f t="shared" si="2042"/>
        <v>#DIV/0!</v>
      </c>
      <c r="BU30" s="144" t="e">
        <f t="shared" si="2043"/>
        <v>#DIV/0!</v>
      </c>
      <c r="BV30" s="144" t="e">
        <f t="shared" si="2044"/>
        <v>#DIV/0!</v>
      </c>
      <c r="BW30" s="144" t="e">
        <f t="shared" si="2045"/>
        <v>#DIV/0!</v>
      </c>
      <c r="BX30" s="144" t="e">
        <f t="shared" si="2046"/>
        <v>#DIV/0!</v>
      </c>
      <c r="BY30" s="144" t="e">
        <f t="shared" si="2047"/>
        <v>#DIV/0!</v>
      </c>
      <c r="BZ30" s="145" t="e">
        <f t="shared" si="2048"/>
        <v>#DIV/0!</v>
      </c>
      <c r="CA30" s="145" t="e">
        <f t="shared" si="2049"/>
        <v>#DIV/0!</v>
      </c>
      <c r="CB30" s="145" t="e">
        <f t="shared" si="2050"/>
        <v>#DIV/0!</v>
      </c>
      <c r="CC30" s="144" t="e">
        <f t="shared" si="2051"/>
        <v>#DIV/0!</v>
      </c>
      <c r="CD30" s="144" t="e">
        <f t="shared" si="2052"/>
        <v>#DIV/0!</v>
      </c>
      <c r="CE30" s="144" t="e">
        <f t="shared" si="2053"/>
        <v>#DIV/0!</v>
      </c>
      <c r="CF30" s="144" t="e">
        <f t="shared" si="2054"/>
        <v>#DIV/0!</v>
      </c>
      <c r="CG30" s="144" t="e">
        <f t="shared" si="2055"/>
        <v>#DIV/0!</v>
      </c>
      <c r="CH30" s="144" t="e">
        <f t="shared" si="2056"/>
        <v>#DIV/0!</v>
      </c>
      <c r="CI30" s="144" t="e">
        <f t="shared" si="2057"/>
        <v>#DIV/0!</v>
      </c>
      <c r="CJ30" s="145" t="e">
        <f t="shared" si="2058"/>
        <v>#DIV/0!</v>
      </c>
      <c r="CK30" s="145" t="e">
        <f t="shared" si="2059"/>
        <v>#DIV/0!</v>
      </c>
      <c r="CL30" s="145" t="e">
        <f t="shared" si="2060"/>
        <v>#DIV/0!</v>
      </c>
      <c r="CM30" s="151" t="e">
        <f t="shared" si="2061"/>
        <v>#DIV/0!</v>
      </c>
      <c r="CN30" s="151" t="e">
        <f t="shared" si="2062"/>
        <v>#DIV/0!</v>
      </c>
      <c r="CO30" s="151" t="e">
        <f t="shared" si="2063"/>
        <v>#DIV/0!</v>
      </c>
      <c r="CP30" s="151" t="e">
        <f t="shared" si="2064"/>
        <v>#DIV/0!</v>
      </c>
      <c r="CQ30" s="151" t="e">
        <f t="shared" si="2065"/>
        <v>#DIV/0!</v>
      </c>
      <c r="CR30" s="151" t="e">
        <f t="shared" si="2066"/>
        <v>#DIV/0!</v>
      </c>
      <c r="CS30" s="151" t="e">
        <f t="shared" si="2067"/>
        <v>#DIV/0!</v>
      </c>
      <c r="CT30" s="152" t="e">
        <f t="shared" si="2068"/>
        <v>#DIV/0!</v>
      </c>
      <c r="CU30" s="153" t="e">
        <f t="shared" si="2069"/>
        <v>#DIV/0!</v>
      </c>
      <c r="CV30" s="153" t="e">
        <f t="shared" si="2070"/>
        <v>#DIV/0!</v>
      </c>
      <c r="CW30" s="152" t="e">
        <f t="shared" si="2071"/>
        <v>#DIV/0!</v>
      </c>
      <c r="CX30" s="153" t="e">
        <f t="shared" si="2072"/>
        <v>#DIV/0!</v>
      </c>
      <c r="CY30" s="153" t="e">
        <f t="shared" si="2073"/>
        <v>#DIV/0!</v>
      </c>
      <c r="CZ30" s="152" t="e">
        <f t="shared" si="2074"/>
        <v>#DIV/0!</v>
      </c>
      <c r="DA30" s="153" t="e">
        <f t="shared" si="2075"/>
        <v>#DIV/0!</v>
      </c>
      <c r="DB30" s="149" t="e">
        <f t="shared" si="2076"/>
        <v>#DIV/0!</v>
      </c>
      <c r="DC30" s="154" t="e">
        <f>(Table1[[#This Row],[eCl,adj (mEq/kg) eq7]]/Reference!D$2)/1000</f>
        <v>#DIV/0!</v>
      </c>
      <c r="DD30" s="155" t="e">
        <f>(Table1[[#This Row],[eNO3,adj (mEq/kg) eq7]]/Reference!E$2)/1000</f>
        <v>#DIV/0!</v>
      </c>
      <c r="DE30" s="155" t="e">
        <f>(Table1[[#This Row],[eSO4,adj,f (mEq/kg) eq7]]/Reference!F$2)/1000</f>
        <v>#DIV/0!</v>
      </c>
      <c r="DF30" s="155" t="e">
        <f>(Table1[[#This Row],[eNa,adj (mEq/kg) eq7]]/Reference!G$2)/1000</f>
        <v>#DIV/0!</v>
      </c>
      <c r="DG30" s="155" t="e">
        <f>(Table1[[#This Row],[eK,adj (mEq/kg) eq7]]/Reference!H$2)/1000</f>
        <v>#DIV/0!</v>
      </c>
      <c r="DH30" s="155" t="e">
        <f>(Table1[[#This Row],[eCa,adj,f (mEq/kg) eq7]]/Reference!I$2)/1000</f>
        <v>#DIV/0!</v>
      </c>
      <c r="DI30" s="155" t="e">
        <f>(Table1[[#This Row],[eMg,adj (mEq/kg) eq7]]/Reference!J$2)/1000</f>
        <v>#DIV/0!</v>
      </c>
      <c r="DJ30" s="156" t="e">
        <f>Table1[[#This Row],[cCl,adj (mol/kg) eq 8 part 1]]/SUM(Table1[[#This Row],[cCl,adj (mol/kg) eq 8 part 1]:[cMg,adj (mol/kg) eq 8 part 1]])</f>
        <v>#DIV/0!</v>
      </c>
      <c r="DK30" s="156" t="e">
        <f>Table1[[#This Row],[cNO3,adj (mol/kg) eq 8 part 1]]/SUM(Table1[[#This Row],[cCl,adj (mol/kg) eq 8 part 1]:[cMg,adj (mol/kg) eq 8 part 1]])</f>
        <v>#DIV/0!</v>
      </c>
      <c r="DL30" s="156" t="e">
        <f>Table1[[#This Row],[cSO4,adj (mol/kg) eq 8 part 1]]/SUM(Table1[[#This Row],[cCl,adj (mol/kg) eq 8 part 1]:[cMg,adj (mol/kg) eq 8 part 1]])</f>
        <v>#DIV/0!</v>
      </c>
      <c r="DM30" s="156" t="e">
        <f>Table1[[#This Row],[cNa,adj (mol/kg) eq 8 part 1]]/SUM(Table1[[#This Row],[cCl,adj (mol/kg) eq 8 part 1]:[cMg,adj (mol/kg) eq 8 part 1]])</f>
        <v>#DIV/0!</v>
      </c>
      <c r="DN30" s="156" t="e">
        <f>Table1[[#This Row],[cK,adj (mol/kg) eq 8 part 1]]/SUM(Table1[[#This Row],[cCl,adj (mol/kg) eq 8 part 1]:[cMg,adj (mol/kg) eq 8 part 1]])</f>
        <v>#DIV/0!</v>
      </c>
      <c r="DO30" s="156" t="e">
        <f>Table1[[#This Row],[cCa,adj (mol/kg) eq 8 part 1]]/SUM(Table1[[#This Row],[cCl,adj (mol/kg) eq 8 part 1]:[cMg,adj (mol/kg) eq 8 part 1]])</f>
        <v>#DIV/0!</v>
      </c>
      <c r="DP30" s="157" t="e">
        <f>Table1[[#This Row],[cMg,adj (mol/kg) eq 8 part 1]]/SUM(Table1[[#This Row],[cCl,adj (mol/kg) eq 8 part 1]:[cMg,adj (mol/kg) eq 8 part 1]])</f>
        <v>#DIV/0!</v>
      </c>
      <c r="DQ30" s="158" t="e">
        <f t="shared" si="2077"/>
        <v>#DIV/0!</v>
      </c>
      <c r="DR30" s="159" t="e">
        <f t="shared" si="2078"/>
        <v>#DIV/0!</v>
      </c>
      <c r="DS30" s="159" t="e">
        <f t="shared" si="2079"/>
        <v>#DIV/0!</v>
      </c>
      <c r="DT30" s="159" t="e">
        <f t="shared" si="2080"/>
        <v>#DIV/0!</v>
      </c>
      <c r="DU30" s="160" t="e">
        <f>((CU30*Reference!D$3)/Reference!D$2)*0.001</f>
        <v>#DIV/0!</v>
      </c>
      <c r="DV30" s="161" t="e">
        <f>((CV30*Reference!E$3)/Reference!E$2)*0.001</f>
        <v>#DIV/0!</v>
      </c>
      <c r="DW30" s="161" t="e">
        <f>((CW30*Reference!F$3)/Reference!F$2)*0.001</f>
        <v>#DIV/0!</v>
      </c>
      <c r="DX30" s="161" t="e">
        <f>((CX30*Reference!G$3)/Reference!G$2)*0.001</f>
        <v>#DIV/0!</v>
      </c>
      <c r="DY30" s="161" t="e">
        <f>((CY30*Reference!H$3)/Reference!H$2)*0.001</f>
        <v>#DIV/0!</v>
      </c>
      <c r="DZ30" s="161" t="e">
        <f>((CZ30*Reference!I$3)/Reference!I$2)*0.001</f>
        <v>#DIV/0!</v>
      </c>
      <c r="EA30" s="161" t="e">
        <f>((DA30*Reference!J$3)/Reference!J$2)*0.001</f>
        <v>#DIV/0!</v>
      </c>
      <c r="EB30" s="162" t="e">
        <f t="shared" si="2081"/>
        <v>#DIV/0!</v>
      </c>
      <c r="EC30" s="68" t="e">
        <f t="shared" si="753"/>
        <v>#DIV/0!</v>
      </c>
      <c r="ED30" s="164" t="e">
        <f t="shared" si="2082"/>
        <v>#DIV/0!</v>
      </c>
      <c r="EE30" s="163" t="e">
        <f>Table1[[#This Row],[wtot,adj + wCaSO4(-) eq11]]-Table1[[#This Row],[wCaSO4 (-)]]</f>
        <v>#DIV/0!</v>
      </c>
      <c r="EF30" s="165" t="e">
        <f>IF(Table1[[#This Row],[pII]]=TRUE, ABS(SUM(DX30,DY30)-(SUM(Z30,AA30))),"Pathway I")</f>
        <v>#DIV/0!</v>
      </c>
      <c r="EG30" s="165" t="e">
        <f>IF(Table1[[#This Row],[pII]]=TRUE, (((ABS(Table1[[#This Row],[eCa,adj (mEq/kg) pI or pII]]-Table1[[#This Row],[eCa (mEq/kg)]]))*0.040078)/2)*0.001,"Pathway I")</f>
        <v>#DIV/0!</v>
      </c>
      <c r="EH30" s="165" t="e">
        <f>IF(Table1[[#This Row],[pII]]=TRUE, ((Table1[[#This Row],[ΔeMg (mEq/kg) eq5b]]+Table1[[#This Row],[ΔeNa (mEq/kg) eq5c]]+Table1[[#This Row],[ΔeK (mEq/kg) eq5d]])/1000000)*(60.01/2), "Pathway I")</f>
        <v>#DIV/0!</v>
      </c>
    </row>
  </sheetData>
  <mergeCells count="14">
    <mergeCell ref="DU1:EB1"/>
    <mergeCell ref="EC1:EH1"/>
    <mergeCell ref="BI1:BR1"/>
    <mergeCell ref="BS1:CB1"/>
    <mergeCell ref="CM1:CS1"/>
    <mergeCell ref="CT1:DA1"/>
    <mergeCell ref="DQ1:DT1"/>
    <mergeCell ref="DJ1:DP1"/>
    <mergeCell ref="DC1:DI1"/>
    <mergeCell ref="AR1:AX1"/>
    <mergeCell ref="AP1:AQ1"/>
    <mergeCell ref="AN1:AO1"/>
    <mergeCell ref="AE1:AM1"/>
    <mergeCell ref="AY1:BH1"/>
  </mergeCells>
  <phoneticPr fontId="12" type="noConversion"/>
  <conditionalFormatting sqref="AR4:AX1048576">
    <cfRule type="notContainsBlanks" dxfId="169" priority="50">
      <formula>LEN(TRIM(AR4))&gt;0</formula>
    </cfRule>
  </conditionalFormatting>
  <conditionalFormatting sqref="AP2:AQ2 AP1 AP4:AQ1048576">
    <cfRule type="cellIs" dxfId="168" priority="53" operator="equal">
      <formula>TRUE</formula>
    </cfRule>
    <cfRule type="cellIs" dxfId="167" priority="54" operator="equal">
      <formula>FALSE</formula>
    </cfRule>
  </conditionalFormatting>
  <conditionalFormatting sqref="BH2 BH4:BH1048576 BR4:BR1048576 CB4:CB1048576 CL4:CL1048576">
    <cfRule type="cellIs" dxfId="166" priority="45" operator="greaterThan">
      <formula>0</formula>
    </cfRule>
  </conditionalFormatting>
  <conditionalFormatting sqref="BD2 BD4:BD1048576">
    <cfRule type="expression" dxfId="165" priority="44">
      <formula>AND(BD2 &lt;&gt; AJ2, $AQ2=TRUE)</formula>
    </cfRule>
  </conditionalFormatting>
  <conditionalFormatting sqref="BO2 BO4:BO1048576 BV4:BV1048576 CF4:CG1048576">
    <cfRule type="expression" dxfId="164" priority="41">
      <formula>BO2 &lt;&gt; BE2</formula>
    </cfRule>
  </conditionalFormatting>
  <conditionalFormatting sqref="BR2">
    <cfRule type="cellIs" dxfId="163" priority="40" operator="greaterThan">
      <formula>0</formula>
    </cfRule>
  </conditionalFormatting>
  <conditionalFormatting sqref="CB2">
    <cfRule type="cellIs" dxfId="162" priority="38" operator="greaterThan">
      <formula>0</formula>
    </cfRule>
  </conditionalFormatting>
  <conditionalFormatting sqref="BV2">
    <cfRule type="expression" dxfId="161" priority="37">
      <formula>BV2 &lt;&gt; BL2</formula>
    </cfRule>
  </conditionalFormatting>
  <conditionalFormatting sqref="CL1:CL2">
    <cfRule type="cellIs" dxfId="160" priority="36" operator="greaterThan">
      <formula>0</formula>
    </cfRule>
  </conditionalFormatting>
  <conditionalFormatting sqref="CF1:CF2">
    <cfRule type="expression" dxfId="159" priority="35">
      <formula>CF1 &lt;&gt; BV1</formula>
    </cfRule>
  </conditionalFormatting>
  <conditionalFormatting sqref="CG1:CG2">
    <cfRule type="expression" dxfId="158" priority="34">
      <formula>CG1 &lt;&gt; BW1</formula>
    </cfRule>
  </conditionalFormatting>
  <conditionalFormatting sqref="CP2">
    <cfRule type="expression" dxfId="157" priority="33">
      <formula>CP2 &lt;&gt; CF2</formula>
    </cfRule>
  </conditionalFormatting>
  <conditionalFormatting sqref="CQ2">
    <cfRule type="expression" dxfId="156" priority="32">
      <formula>CQ2 &lt;&gt; CG2</formula>
    </cfRule>
  </conditionalFormatting>
  <conditionalFormatting sqref="CW2 CW4:CW1048576">
    <cfRule type="expression" dxfId="155" priority="25">
      <formula>CW2&lt;&gt;CO2</formula>
    </cfRule>
  </conditionalFormatting>
  <conditionalFormatting sqref="CZ2 CZ4:CZ1048576">
    <cfRule type="expression" dxfId="154" priority="21">
      <formula>CZ2 &lt;&gt; CR2</formula>
    </cfRule>
  </conditionalFormatting>
  <conditionalFormatting sqref="CZ3">
    <cfRule type="expression" dxfId="153" priority="3">
      <formula>CZ3 &lt;&gt; CR3</formula>
    </cfRule>
  </conditionalFormatting>
  <conditionalFormatting sqref="CW3">
    <cfRule type="expression" dxfId="152" priority="4">
      <formula>CW3&lt;&gt;CO3</formula>
    </cfRule>
  </conditionalFormatting>
  <conditionalFormatting sqref="AP3:AQ3">
    <cfRule type="cellIs" dxfId="151" priority="11" operator="equal">
      <formula>TRUE</formula>
    </cfRule>
    <cfRule type="cellIs" dxfId="150" priority="12" operator="equal">
      <formula>FALSE</formula>
    </cfRule>
  </conditionalFormatting>
  <conditionalFormatting sqref="BH3">
    <cfRule type="cellIs" dxfId="149" priority="10" operator="greaterThan">
      <formula>0</formula>
    </cfRule>
  </conditionalFormatting>
  <conditionalFormatting sqref="BD3">
    <cfRule type="expression" dxfId="148" priority="9">
      <formula>AND(BD3 &lt;&gt; AJ3, $AQ3=TRUE)</formula>
    </cfRule>
  </conditionalFormatting>
  <conditionalFormatting sqref="BO3">
    <cfRule type="expression" dxfId="147" priority="8">
      <formula>BO3 &lt;&gt; BE3</formula>
    </cfRule>
  </conditionalFormatting>
  <conditionalFormatting sqref="BR3">
    <cfRule type="cellIs" dxfId="146" priority="7" operator="greaterThan">
      <formula>0</formula>
    </cfRule>
  </conditionalFormatting>
  <conditionalFormatting sqref="CB3">
    <cfRule type="cellIs" dxfId="145" priority="6" operator="greaterThan">
      <formula>0</formula>
    </cfRule>
  </conditionalFormatting>
  <conditionalFormatting sqref="CL3">
    <cfRule type="cellIs" dxfId="144" priority="5" operator="greaterThan">
      <formula>0</formula>
    </cfRule>
  </conditionalFormatting>
  <conditionalFormatting sqref="DE2">
    <cfRule type="expression" dxfId="143" priority="2">
      <formula>DE2&lt;&gt;CW2</formula>
    </cfRule>
  </conditionalFormatting>
  <conditionalFormatting sqref="DH2">
    <cfRule type="expression" dxfId="142" priority="1">
      <formula>DH2 &lt;&gt; CZ2</formula>
    </cfRule>
  </conditionalFormatting>
  <pageMargins left="0.7" right="0.7" top="0.75" bottom="0.75" header="0.3" footer="0.3"/>
  <pageSetup paperSize="9" orientation="portrait" r:id="rId1"/>
  <ignoredErrors>
    <ignoredError sqref="D17:D21 E19:E21" numberStoredAsText="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53A5D-88ED-46E4-983E-10C2E763FD50}">
  <dimension ref="A1:Y40"/>
  <sheetViews>
    <sheetView workbookViewId="0">
      <selection activeCell="N14" sqref="N14"/>
    </sheetView>
  </sheetViews>
  <sheetFormatPr defaultRowHeight="14.75" x14ac:dyDescent="0.75"/>
  <cols>
    <col min="1" max="1" width="28" bestFit="1" customWidth="1"/>
    <col min="2" max="2" width="7.54296875" bestFit="1" customWidth="1"/>
    <col min="4" max="4" width="10.86328125" customWidth="1"/>
  </cols>
  <sheetData>
    <row r="1" spans="1:5" ht="15.5" thickBot="1" x14ac:dyDescent="0.9">
      <c r="A1" s="4" t="s">
        <v>324</v>
      </c>
      <c r="B1" s="108" t="s">
        <v>325</v>
      </c>
      <c r="C1" s="4"/>
      <c r="D1" s="4" t="s">
        <v>349</v>
      </c>
    </row>
    <row r="2" spans="1:5" x14ac:dyDescent="0.75">
      <c r="A2" s="109" t="s">
        <v>326</v>
      </c>
      <c r="B2" s="110"/>
      <c r="D2" s="125" t="s">
        <v>351</v>
      </c>
      <c r="E2" t="s">
        <v>352</v>
      </c>
    </row>
    <row r="3" spans="1:5" x14ac:dyDescent="0.75">
      <c r="A3" s="111" t="s">
        <v>327</v>
      </c>
      <c r="B3" s="112" t="s">
        <v>209</v>
      </c>
      <c r="D3" s="125" t="s">
        <v>355</v>
      </c>
      <c r="E3" t="s">
        <v>356</v>
      </c>
    </row>
    <row r="4" spans="1:5" x14ac:dyDescent="0.75">
      <c r="A4" s="111" t="s">
        <v>328</v>
      </c>
      <c r="B4" s="112" t="s">
        <v>210</v>
      </c>
      <c r="D4" s="125" t="s">
        <v>358</v>
      </c>
      <c r="E4" t="s">
        <v>359</v>
      </c>
    </row>
    <row r="5" spans="1:5" x14ac:dyDescent="0.75">
      <c r="A5" s="111" t="s">
        <v>329</v>
      </c>
      <c r="B5" s="112" t="s">
        <v>282</v>
      </c>
      <c r="D5" s="125" t="s">
        <v>361</v>
      </c>
      <c r="E5" t="s">
        <v>362</v>
      </c>
    </row>
    <row r="6" spans="1:5" x14ac:dyDescent="0.75">
      <c r="A6" s="111" t="s">
        <v>330</v>
      </c>
      <c r="B6" s="112" t="s">
        <v>293</v>
      </c>
      <c r="D6" s="125" t="s">
        <v>364</v>
      </c>
      <c r="E6" t="s">
        <v>365</v>
      </c>
    </row>
    <row r="7" spans="1:5" x14ac:dyDescent="0.75">
      <c r="A7" s="111" t="s">
        <v>331</v>
      </c>
      <c r="B7" s="112" t="s">
        <v>236</v>
      </c>
      <c r="D7" s="125" t="s">
        <v>367</v>
      </c>
      <c r="E7" t="s">
        <v>368</v>
      </c>
    </row>
    <row r="8" spans="1:5" x14ac:dyDescent="0.75">
      <c r="A8" s="111" t="s">
        <v>332</v>
      </c>
      <c r="B8" s="112" t="s">
        <v>333</v>
      </c>
      <c r="D8" s="125" t="s">
        <v>371</v>
      </c>
      <c r="E8" t="s">
        <v>372</v>
      </c>
    </row>
    <row r="9" spans="1:5" x14ac:dyDescent="0.75">
      <c r="A9" s="111" t="s">
        <v>334</v>
      </c>
      <c r="B9" s="112" t="s">
        <v>219</v>
      </c>
      <c r="D9" s="123" t="s">
        <v>375</v>
      </c>
      <c r="E9" t="s">
        <v>376</v>
      </c>
    </row>
    <row r="10" spans="1:5" x14ac:dyDescent="0.75">
      <c r="A10" s="111" t="s">
        <v>335</v>
      </c>
      <c r="B10" s="112" t="s">
        <v>222</v>
      </c>
      <c r="D10" s="124" t="s">
        <v>379</v>
      </c>
      <c r="E10" t="s">
        <v>380</v>
      </c>
    </row>
    <row r="11" spans="1:5" x14ac:dyDescent="0.75">
      <c r="A11" s="111" t="s">
        <v>336</v>
      </c>
      <c r="B11" s="112" t="s">
        <v>216</v>
      </c>
      <c r="D11" s="125" t="s">
        <v>382</v>
      </c>
      <c r="E11" t="s">
        <v>383</v>
      </c>
    </row>
    <row r="12" spans="1:5" x14ac:dyDescent="0.75">
      <c r="A12" s="111" t="s">
        <v>337</v>
      </c>
      <c r="B12" s="112" t="s">
        <v>238</v>
      </c>
      <c r="D12" s="125" t="s">
        <v>385</v>
      </c>
      <c r="E12" t="s">
        <v>386</v>
      </c>
    </row>
    <row r="13" spans="1:5" x14ac:dyDescent="0.75">
      <c r="A13" s="111" t="s">
        <v>338</v>
      </c>
      <c r="B13" s="112" t="s">
        <v>239</v>
      </c>
      <c r="D13" s="125" t="s">
        <v>388</v>
      </c>
      <c r="E13" t="s">
        <v>389</v>
      </c>
    </row>
    <row r="14" spans="1:5" x14ac:dyDescent="0.75">
      <c r="A14" s="111" t="s">
        <v>339</v>
      </c>
      <c r="B14" s="112" t="s">
        <v>243</v>
      </c>
      <c r="D14" s="126" t="s">
        <v>391</v>
      </c>
      <c r="E14" t="s">
        <v>392</v>
      </c>
    </row>
    <row r="15" spans="1:5" x14ac:dyDescent="0.75">
      <c r="A15" s="111" t="s">
        <v>340</v>
      </c>
      <c r="B15" s="112" t="s">
        <v>244</v>
      </c>
      <c r="D15" s="124" t="s">
        <v>394</v>
      </c>
      <c r="E15" t="s">
        <v>395</v>
      </c>
    </row>
    <row r="16" spans="1:5" x14ac:dyDescent="0.75">
      <c r="A16" s="111" t="s">
        <v>341</v>
      </c>
      <c r="B16" s="112" t="s">
        <v>342</v>
      </c>
      <c r="D16" s="125" t="s">
        <v>388</v>
      </c>
      <c r="E16" t="s">
        <v>397</v>
      </c>
    </row>
    <row r="17" spans="1:25" x14ac:dyDescent="0.75">
      <c r="A17" s="111" t="s">
        <v>343</v>
      </c>
      <c r="B17" s="112" t="s">
        <v>283</v>
      </c>
      <c r="D17" s="125" t="s">
        <v>400</v>
      </c>
      <c r="E17" t="s">
        <v>401</v>
      </c>
    </row>
    <row r="18" spans="1:25" x14ac:dyDescent="0.75">
      <c r="A18" s="111" t="s">
        <v>344</v>
      </c>
      <c r="B18" s="112" t="s">
        <v>242</v>
      </c>
      <c r="D18" s="125" t="s">
        <v>404</v>
      </c>
      <c r="E18" t="s">
        <v>405</v>
      </c>
    </row>
    <row r="19" spans="1:25" x14ac:dyDescent="0.75">
      <c r="A19" s="111" t="s">
        <v>345</v>
      </c>
      <c r="B19" s="112" t="s">
        <v>346</v>
      </c>
      <c r="D19" s="125" t="s">
        <v>407</v>
      </c>
      <c r="E19" t="s">
        <v>408</v>
      </c>
    </row>
    <row r="20" spans="1:25" x14ac:dyDescent="0.75">
      <c r="A20" s="111" t="s">
        <v>347</v>
      </c>
      <c r="B20" s="112" t="s">
        <v>348</v>
      </c>
      <c r="D20" s="125" t="s">
        <v>409</v>
      </c>
      <c r="E20" t="s">
        <v>410</v>
      </c>
    </row>
    <row r="21" spans="1:25" x14ac:dyDescent="0.75">
      <c r="A21" s="111" t="s">
        <v>350</v>
      </c>
      <c r="B21" s="112" t="s">
        <v>235</v>
      </c>
      <c r="D21" s="125" t="s">
        <v>411</v>
      </c>
      <c r="E21" t="s">
        <v>412</v>
      </c>
    </row>
    <row r="22" spans="1:25" x14ac:dyDescent="0.75">
      <c r="A22" s="111" t="s">
        <v>353</v>
      </c>
      <c r="B22" s="112" t="s">
        <v>354</v>
      </c>
      <c r="D22" s="125" t="s">
        <v>413</v>
      </c>
      <c r="E22" t="s">
        <v>414</v>
      </c>
    </row>
    <row r="23" spans="1:25" x14ac:dyDescent="0.75">
      <c r="A23" s="111" t="s">
        <v>357</v>
      </c>
      <c r="B23" s="112" t="s">
        <v>237</v>
      </c>
      <c r="D23" s="125" t="s">
        <v>415</v>
      </c>
      <c r="E23" t="s">
        <v>416</v>
      </c>
    </row>
    <row r="24" spans="1:25" x14ac:dyDescent="0.75">
      <c r="A24" s="111" t="s">
        <v>360</v>
      </c>
      <c r="B24" s="112" t="s">
        <v>234</v>
      </c>
    </row>
    <row r="25" spans="1:25" ht="16" x14ac:dyDescent="0.8">
      <c r="A25" s="111" t="s">
        <v>363</v>
      </c>
      <c r="B25" s="112" t="s">
        <v>241</v>
      </c>
      <c r="D25" s="166"/>
      <c r="E25" s="167"/>
      <c r="F25" s="167"/>
      <c r="G25" s="167"/>
      <c r="H25" s="167"/>
      <c r="I25" s="167"/>
      <c r="J25" s="167"/>
      <c r="K25" s="167"/>
      <c r="L25" s="167"/>
      <c r="M25" s="167"/>
      <c r="N25" s="167"/>
      <c r="O25" s="167"/>
      <c r="P25" s="167"/>
      <c r="Q25" s="167"/>
      <c r="R25" s="167"/>
      <c r="S25" s="167"/>
      <c r="T25" s="167"/>
      <c r="U25" s="167"/>
      <c r="V25" s="167"/>
      <c r="W25" s="167"/>
      <c r="X25" s="167"/>
      <c r="Y25" s="167"/>
    </row>
    <row r="26" spans="1:25" x14ac:dyDescent="0.75">
      <c r="A26" s="111" t="s">
        <v>366</v>
      </c>
      <c r="B26" s="112" t="s">
        <v>294</v>
      </c>
      <c r="D26" s="167"/>
      <c r="E26" s="167"/>
      <c r="F26" s="167"/>
      <c r="G26" s="167"/>
      <c r="H26" s="167"/>
      <c r="I26" s="167"/>
      <c r="J26" s="167"/>
      <c r="K26" s="167"/>
      <c r="L26" s="167"/>
      <c r="M26" s="167"/>
      <c r="N26" s="167"/>
      <c r="O26" s="167"/>
      <c r="P26" s="167"/>
      <c r="Q26" s="167"/>
      <c r="R26" s="167"/>
      <c r="S26" s="167"/>
      <c r="T26" s="167"/>
      <c r="U26" s="167"/>
      <c r="V26" s="167"/>
      <c r="W26" s="167"/>
      <c r="X26" s="167"/>
      <c r="Y26" s="167"/>
    </row>
    <row r="27" spans="1:25" x14ac:dyDescent="0.75">
      <c r="A27" s="111" t="s">
        <v>369</v>
      </c>
      <c r="B27" s="112" t="s">
        <v>370</v>
      </c>
      <c r="D27" s="167"/>
      <c r="E27" s="167"/>
      <c r="F27" s="167"/>
      <c r="G27" s="167"/>
      <c r="H27" s="167"/>
      <c r="I27" s="167"/>
      <c r="J27" s="167"/>
      <c r="K27" s="167"/>
      <c r="L27" s="167"/>
      <c r="M27" s="167"/>
      <c r="N27" s="167"/>
      <c r="O27" s="167"/>
      <c r="P27" s="167"/>
      <c r="Q27" s="167"/>
      <c r="R27" s="167"/>
      <c r="S27" s="167"/>
      <c r="T27" s="167"/>
      <c r="U27" s="167"/>
      <c r="V27" s="167"/>
      <c r="W27" s="167"/>
      <c r="X27" s="167"/>
      <c r="Y27" s="167"/>
    </row>
    <row r="28" spans="1:25" x14ac:dyDescent="0.75">
      <c r="A28" s="111" t="s">
        <v>373</v>
      </c>
      <c r="B28" s="112" t="s">
        <v>374</v>
      </c>
      <c r="D28" s="167"/>
      <c r="E28" s="167"/>
      <c r="F28" s="167"/>
      <c r="G28" s="167"/>
      <c r="H28" s="167"/>
      <c r="I28" s="167"/>
      <c r="J28" s="167"/>
      <c r="K28" s="167"/>
      <c r="L28" s="167"/>
      <c r="M28" s="167"/>
      <c r="N28" s="167"/>
      <c r="O28" s="167"/>
      <c r="P28" s="167"/>
      <c r="Q28" s="167"/>
      <c r="R28" s="167"/>
      <c r="S28" s="167"/>
      <c r="T28" s="167"/>
      <c r="U28" s="167"/>
      <c r="V28" s="167"/>
      <c r="W28" s="167"/>
      <c r="X28" s="167"/>
      <c r="Y28" s="167"/>
    </row>
    <row r="29" spans="1:25" x14ac:dyDescent="0.75">
      <c r="A29" s="111" t="s">
        <v>377</v>
      </c>
      <c r="B29" s="112" t="s">
        <v>378</v>
      </c>
      <c r="D29" s="167"/>
      <c r="E29" s="167"/>
      <c r="F29" s="167"/>
      <c r="G29" s="167"/>
      <c r="H29" s="167"/>
      <c r="I29" s="167"/>
      <c r="J29" s="167"/>
      <c r="K29" s="167"/>
      <c r="L29" s="167"/>
      <c r="M29" s="167"/>
      <c r="N29" s="167"/>
      <c r="O29" s="167"/>
      <c r="P29" s="167"/>
      <c r="Q29" s="167"/>
      <c r="R29" s="167"/>
      <c r="S29" s="167"/>
      <c r="T29" s="167"/>
      <c r="U29" s="167"/>
      <c r="V29" s="167"/>
      <c r="W29" s="167"/>
      <c r="X29" s="167"/>
      <c r="Y29" s="167"/>
    </row>
    <row r="30" spans="1:25" x14ac:dyDescent="0.75">
      <c r="A30" s="111" t="s">
        <v>381</v>
      </c>
      <c r="B30" s="112" t="s">
        <v>273</v>
      </c>
      <c r="D30" s="167"/>
      <c r="E30" s="167"/>
      <c r="F30" s="167"/>
      <c r="G30" s="167"/>
      <c r="H30" s="167"/>
      <c r="I30" s="167"/>
      <c r="J30" s="167"/>
      <c r="K30" s="167"/>
      <c r="L30" s="167"/>
      <c r="M30" s="167"/>
      <c r="N30" s="167"/>
      <c r="O30" s="167"/>
      <c r="P30" s="167"/>
      <c r="Q30" s="167"/>
      <c r="R30" s="167"/>
      <c r="S30" s="167"/>
      <c r="T30" s="167"/>
      <c r="U30" s="167"/>
      <c r="V30" s="167"/>
      <c r="W30" s="167"/>
      <c r="X30" s="167"/>
      <c r="Y30" s="167"/>
    </row>
    <row r="31" spans="1:25" ht="15.5" thickBot="1" x14ac:dyDescent="0.9">
      <c r="A31" s="111" t="s">
        <v>384</v>
      </c>
      <c r="B31" s="112" t="s">
        <v>272</v>
      </c>
      <c r="D31" s="167"/>
      <c r="E31" s="167"/>
      <c r="F31" s="167"/>
      <c r="G31" s="167"/>
      <c r="H31" s="167"/>
      <c r="I31" s="167"/>
      <c r="J31" s="167"/>
      <c r="K31" s="167"/>
      <c r="L31" s="167"/>
      <c r="M31" s="167"/>
      <c r="N31" s="167"/>
      <c r="O31" s="167"/>
      <c r="P31" s="167"/>
      <c r="Q31" s="167"/>
      <c r="R31" s="167"/>
      <c r="S31" s="167"/>
      <c r="T31" s="167"/>
      <c r="U31" s="167"/>
      <c r="V31" s="167"/>
      <c r="W31" s="167"/>
      <c r="X31" s="167"/>
      <c r="Y31" s="167"/>
    </row>
    <row r="32" spans="1:25" x14ac:dyDescent="0.75">
      <c r="A32" s="109" t="s">
        <v>387</v>
      </c>
      <c r="B32" s="110"/>
      <c r="D32" s="167"/>
      <c r="E32" s="167"/>
      <c r="F32" s="167"/>
      <c r="G32" s="167"/>
      <c r="H32" s="167"/>
      <c r="I32" s="167"/>
      <c r="J32" s="167"/>
      <c r="K32" s="167"/>
      <c r="L32" s="167"/>
      <c r="M32" s="167"/>
      <c r="N32" s="167"/>
      <c r="O32" s="167"/>
      <c r="P32" s="167"/>
      <c r="Q32" s="167"/>
      <c r="R32" s="167"/>
      <c r="S32" s="167"/>
      <c r="T32" s="167"/>
      <c r="U32" s="167"/>
      <c r="V32" s="167"/>
      <c r="W32" s="167"/>
      <c r="X32" s="167"/>
      <c r="Y32" s="167"/>
    </row>
    <row r="33" spans="1:25" x14ac:dyDescent="0.75">
      <c r="A33" s="111" t="s">
        <v>390</v>
      </c>
      <c r="B33" s="112">
        <v>20</v>
      </c>
      <c r="D33" s="167"/>
      <c r="E33" s="167"/>
      <c r="F33" s="167"/>
      <c r="G33" s="167"/>
      <c r="H33" s="167"/>
      <c r="I33" s="167"/>
      <c r="J33" s="167"/>
      <c r="K33" s="167"/>
      <c r="L33" s="167"/>
      <c r="M33" s="167"/>
      <c r="N33" s="167"/>
      <c r="O33" s="167"/>
      <c r="P33" s="167"/>
      <c r="Q33" s="167"/>
      <c r="R33" s="167"/>
      <c r="S33" s="167"/>
      <c r="T33" s="167"/>
      <c r="U33" s="167"/>
      <c r="V33" s="167"/>
      <c r="W33" s="167"/>
      <c r="X33" s="167"/>
      <c r="Y33" s="167"/>
    </row>
    <row r="34" spans="1:25" ht="15.5" thickBot="1" x14ac:dyDescent="0.9">
      <c r="A34" s="113" t="s">
        <v>393</v>
      </c>
      <c r="B34" s="114" t="s">
        <v>298</v>
      </c>
      <c r="D34" s="167"/>
      <c r="E34" s="167"/>
      <c r="F34" s="167"/>
      <c r="G34" s="167"/>
      <c r="H34" s="167"/>
      <c r="I34" s="167"/>
      <c r="J34" s="167"/>
      <c r="K34" s="167"/>
      <c r="L34" s="167"/>
      <c r="M34" s="167"/>
      <c r="N34" s="167"/>
      <c r="O34" s="167"/>
      <c r="P34" s="167"/>
      <c r="Q34" s="167"/>
      <c r="R34" s="167"/>
      <c r="S34" s="167"/>
      <c r="T34" s="167"/>
      <c r="U34" s="167"/>
      <c r="V34" s="167"/>
      <c r="W34" s="167"/>
      <c r="X34" s="167"/>
      <c r="Y34" s="167"/>
    </row>
    <row r="35" spans="1:25" x14ac:dyDescent="0.75">
      <c r="A35" s="109" t="s">
        <v>396</v>
      </c>
      <c r="B35" s="110"/>
      <c r="D35" s="167"/>
      <c r="E35" s="167"/>
      <c r="F35" s="167"/>
      <c r="G35" s="167"/>
      <c r="H35" s="167"/>
      <c r="I35" s="167"/>
      <c r="J35" s="167"/>
      <c r="K35" s="167"/>
      <c r="L35" s="167"/>
      <c r="M35" s="167"/>
      <c r="N35" s="167"/>
      <c r="O35" s="167"/>
      <c r="P35" s="167"/>
      <c r="Q35" s="167"/>
      <c r="R35" s="167"/>
      <c r="S35" s="167"/>
      <c r="T35" s="167"/>
      <c r="U35" s="167"/>
      <c r="V35" s="167"/>
      <c r="W35" s="167"/>
      <c r="X35" s="167"/>
      <c r="Y35" s="167"/>
    </row>
    <row r="36" spans="1:25" x14ac:dyDescent="0.75">
      <c r="A36" s="111" t="s">
        <v>398</v>
      </c>
      <c r="B36" s="112" t="s">
        <v>399</v>
      </c>
      <c r="D36" s="167"/>
      <c r="E36" s="167"/>
      <c r="F36" s="167"/>
      <c r="G36" s="167"/>
      <c r="H36" s="167"/>
      <c r="I36" s="167"/>
      <c r="J36" s="167"/>
      <c r="K36" s="167"/>
      <c r="L36" s="167"/>
      <c r="M36" s="167"/>
      <c r="N36" s="167"/>
      <c r="O36" s="167"/>
      <c r="P36" s="167"/>
      <c r="Q36" s="167"/>
      <c r="R36" s="167"/>
      <c r="S36" s="167"/>
      <c r="T36" s="167"/>
      <c r="U36" s="167"/>
      <c r="V36" s="167"/>
      <c r="W36" s="167"/>
      <c r="X36" s="167"/>
      <c r="Y36" s="167"/>
    </row>
    <row r="37" spans="1:25" x14ac:dyDescent="0.75">
      <c r="A37" s="111" t="s">
        <v>402</v>
      </c>
      <c r="B37" s="112" t="s">
        <v>403</v>
      </c>
      <c r="D37" s="167"/>
      <c r="E37" s="167"/>
      <c r="F37" s="167"/>
      <c r="G37" s="167"/>
      <c r="H37" s="167"/>
      <c r="I37" s="167"/>
      <c r="J37" s="167"/>
      <c r="K37" s="167"/>
      <c r="L37" s="167"/>
      <c r="M37" s="167"/>
      <c r="N37" s="167"/>
      <c r="O37" s="167"/>
      <c r="P37" s="167"/>
      <c r="Q37" s="167"/>
      <c r="R37" s="167"/>
      <c r="S37" s="167"/>
      <c r="T37" s="167"/>
      <c r="U37" s="167"/>
      <c r="V37" s="167"/>
      <c r="W37" s="167"/>
      <c r="X37" s="167"/>
      <c r="Y37" s="167"/>
    </row>
    <row r="38" spans="1:25" ht="15.5" thickBot="1" x14ac:dyDescent="0.9">
      <c r="A38" s="113" t="s">
        <v>406</v>
      </c>
      <c r="B38" s="114" t="s">
        <v>220</v>
      </c>
      <c r="D38" s="167"/>
      <c r="E38" s="167"/>
      <c r="F38" s="167"/>
      <c r="G38" s="167"/>
      <c r="H38" s="167"/>
      <c r="I38" s="167"/>
      <c r="J38" s="167"/>
      <c r="K38" s="167"/>
      <c r="L38" s="167"/>
      <c r="M38" s="167"/>
      <c r="N38" s="167"/>
      <c r="O38" s="167"/>
      <c r="P38" s="167"/>
      <c r="Q38" s="167"/>
      <c r="R38" s="167"/>
      <c r="S38" s="167"/>
      <c r="T38" s="167"/>
      <c r="U38" s="167"/>
      <c r="V38" s="167"/>
      <c r="W38" s="167"/>
      <c r="X38" s="167"/>
      <c r="Y38" s="167"/>
    </row>
    <row r="39" spans="1:25" x14ac:dyDescent="0.75">
      <c r="D39" s="167"/>
      <c r="E39" s="167"/>
      <c r="F39" s="167"/>
      <c r="G39" s="167"/>
      <c r="H39" s="167"/>
      <c r="I39" s="167"/>
      <c r="J39" s="167"/>
      <c r="K39" s="167"/>
      <c r="L39" s="167"/>
      <c r="M39" s="167"/>
      <c r="N39" s="167"/>
      <c r="O39" s="167"/>
      <c r="P39" s="167"/>
      <c r="Q39" s="167"/>
      <c r="R39" s="167"/>
      <c r="S39" s="167"/>
      <c r="T39" s="167"/>
      <c r="U39" s="167"/>
      <c r="V39" s="167"/>
      <c r="W39" s="167"/>
      <c r="X39" s="167"/>
      <c r="Y39" s="167"/>
    </row>
    <row r="40" spans="1:25" x14ac:dyDescent="0.75">
      <c r="D40" s="167"/>
      <c r="E40" s="167"/>
      <c r="F40" s="167"/>
      <c r="G40" s="167"/>
      <c r="H40" s="167"/>
      <c r="I40" s="167"/>
      <c r="J40" s="167"/>
      <c r="K40" s="167"/>
      <c r="L40" s="167"/>
      <c r="M40" s="167"/>
      <c r="N40" s="167"/>
      <c r="O40" s="167"/>
      <c r="P40" s="167"/>
      <c r="Q40" s="167"/>
      <c r="R40" s="167"/>
      <c r="S40" s="167"/>
      <c r="T40" s="167"/>
      <c r="U40" s="167"/>
      <c r="V40" s="167"/>
      <c r="W40" s="167"/>
      <c r="X40" s="167"/>
      <c r="Y40" s="1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969D-4CA5-41F0-B898-901566630071}">
  <dimension ref="A1:AH24"/>
  <sheetViews>
    <sheetView topLeftCell="B68" workbookViewId="0">
      <selection activeCell="M30" sqref="M30"/>
    </sheetView>
  </sheetViews>
  <sheetFormatPr defaultRowHeight="14.75" x14ac:dyDescent="0.75"/>
  <cols>
    <col min="2" max="2" width="37.26953125" bestFit="1" customWidth="1"/>
    <col min="12" max="12" width="10.86328125" customWidth="1"/>
  </cols>
  <sheetData>
    <row r="1" spans="1:34" x14ac:dyDescent="0.75">
      <c r="A1" s="4"/>
      <c r="B1" s="4"/>
      <c r="C1" s="4"/>
      <c r="D1" s="4"/>
      <c r="E1" s="4"/>
      <c r="F1" s="4"/>
    </row>
    <row r="2" spans="1:34" x14ac:dyDescent="0.75">
      <c r="L2" s="4" t="s">
        <v>349</v>
      </c>
      <c r="N2" s="167"/>
      <c r="O2" s="167"/>
      <c r="P2" s="167"/>
      <c r="Q2" s="167"/>
      <c r="R2" s="167"/>
      <c r="S2" s="167"/>
      <c r="T2" s="167"/>
      <c r="U2" s="167"/>
      <c r="V2" s="167"/>
      <c r="W2" s="167"/>
      <c r="X2" s="167"/>
      <c r="Y2" s="167"/>
      <c r="Z2" s="167"/>
      <c r="AA2" s="167"/>
      <c r="AB2" s="167"/>
      <c r="AC2" s="167"/>
      <c r="AD2" s="167"/>
      <c r="AE2" s="167"/>
      <c r="AF2" s="167"/>
      <c r="AG2" s="167"/>
      <c r="AH2" s="167"/>
    </row>
    <row r="3" spans="1:34" x14ac:dyDescent="0.75">
      <c r="L3" s="125" t="s">
        <v>351</v>
      </c>
      <c r="M3" t="s">
        <v>352</v>
      </c>
      <c r="N3" s="167"/>
      <c r="O3" s="167"/>
      <c r="P3" s="167"/>
      <c r="Q3" s="167"/>
      <c r="R3" s="167"/>
      <c r="S3" s="167"/>
      <c r="T3" s="167"/>
      <c r="U3" s="167"/>
      <c r="V3" s="167"/>
      <c r="W3" s="167"/>
      <c r="X3" s="167"/>
      <c r="Y3" s="167"/>
      <c r="Z3" s="167"/>
      <c r="AA3" s="167"/>
      <c r="AB3" s="167"/>
      <c r="AC3" s="167"/>
      <c r="AD3" s="167"/>
      <c r="AE3" s="167"/>
      <c r="AF3" s="167"/>
      <c r="AG3" s="167"/>
      <c r="AH3" s="167"/>
    </row>
    <row r="4" spans="1:34" x14ac:dyDescent="0.75">
      <c r="L4" s="125" t="s">
        <v>355</v>
      </c>
      <c r="M4" t="s">
        <v>356</v>
      </c>
      <c r="N4" s="167"/>
      <c r="O4" s="167"/>
      <c r="P4" s="167"/>
      <c r="Q4" s="167"/>
      <c r="R4" s="167"/>
      <c r="S4" s="167"/>
      <c r="T4" s="167"/>
      <c r="U4" s="167"/>
      <c r="V4" s="167"/>
      <c r="W4" s="167"/>
      <c r="X4" s="167"/>
      <c r="Y4" s="167"/>
      <c r="Z4" s="167"/>
      <c r="AA4" s="167"/>
      <c r="AB4" s="167"/>
      <c r="AC4" s="167"/>
      <c r="AD4" s="167"/>
      <c r="AE4" s="167"/>
      <c r="AF4" s="167"/>
      <c r="AG4" s="167"/>
      <c r="AH4" s="167"/>
    </row>
    <row r="5" spans="1:34" x14ac:dyDescent="0.75">
      <c r="L5" s="125" t="s">
        <v>358</v>
      </c>
      <c r="M5" t="s">
        <v>359</v>
      </c>
      <c r="N5" s="167"/>
      <c r="O5" s="167"/>
      <c r="P5" s="167"/>
      <c r="Q5" s="167"/>
      <c r="R5" s="167"/>
      <c r="S5" s="167"/>
      <c r="T5" s="167"/>
      <c r="U5" s="167"/>
      <c r="V5" s="167"/>
      <c r="W5" s="167"/>
      <c r="X5" s="167"/>
      <c r="Y5" s="167"/>
      <c r="Z5" s="167"/>
      <c r="AA5" s="167"/>
      <c r="AB5" s="167"/>
      <c r="AC5" s="167"/>
      <c r="AD5" s="167"/>
      <c r="AE5" s="167"/>
      <c r="AF5" s="167"/>
      <c r="AG5" s="167"/>
      <c r="AH5" s="167"/>
    </row>
    <row r="6" spans="1:34" x14ac:dyDescent="0.75">
      <c r="L6" s="125" t="s">
        <v>361</v>
      </c>
      <c r="M6" t="s">
        <v>362</v>
      </c>
      <c r="N6" s="167"/>
      <c r="O6" s="167"/>
      <c r="P6" s="167"/>
      <c r="Q6" s="167"/>
      <c r="R6" s="167"/>
      <c r="S6" s="167"/>
      <c r="T6" s="167"/>
      <c r="U6" s="167"/>
      <c r="V6" s="167"/>
      <c r="W6" s="167"/>
      <c r="X6" s="167"/>
      <c r="Y6" s="167"/>
      <c r="Z6" s="167"/>
      <c r="AA6" s="167"/>
      <c r="AB6" s="167"/>
      <c r="AC6" s="167"/>
      <c r="AD6" s="167"/>
      <c r="AE6" s="167"/>
      <c r="AF6" s="167"/>
      <c r="AG6" s="167"/>
      <c r="AH6" s="167"/>
    </row>
    <row r="7" spans="1:34" x14ac:dyDescent="0.75">
      <c r="L7" s="125" t="s">
        <v>364</v>
      </c>
      <c r="M7" t="s">
        <v>365</v>
      </c>
      <c r="N7" s="167"/>
      <c r="O7" s="167"/>
      <c r="P7" s="167"/>
      <c r="Q7" s="167"/>
      <c r="R7" s="167"/>
      <c r="S7" s="167"/>
      <c r="T7" s="167"/>
      <c r="U7" s="167"/>
      <c r="V7" s="167"/>
      <c r="W7" s="167"/>
      <c r="X7" s="167"/>
      <c r="Y7" s="167"/>
      <c r="Z7" s="167"/>
      <c r="AA7" s="167"/>
      <c r="AB7" s="167"/>
      <c r="AC7" s="167"/>
      <c r="AD7" s="167"/>
      <c r="AE7" s="167"/>
      <c r="AF7" s="167"/>
      <c r="AG7" s="167"/>
      <c r="AH7" s="167"/>
    </row>
    <row r="8" spans="1:34" x14ac:dyDescent="0.75">
      <c r="L8" s="125" t="s">
        <v>367</v>
      </c>
      <c r="M8" t="s">
        <v>368</v>
      </c>
      <c r="N8" s="167"/>
      <c r="O8" s="167"/>
      <c r="P8" s="167"/>
      <c r="Q8" s="167"/>
      <c r="R8" s="167"/>
      <c r="S8" s="167"/>
      <c r="T8" s="167"/>
      <c r="U8" s="167"/>
      <c r="V8" s="167"/>
      <c r="W8" s="167"/>
      <c r="X8" s="167"/>
      <c r="Y8" s="167"/>
      <c r="Z8" s="167"/>
      <c r="AA8" s="167"/>
      <c r="AB8" s="167"/>
      <c r="AC8" s="167"/>
      <c r="AD8" s="167"/>
      <c r="AE8" s="167"/>
      <c r="AF8" s="167"/>
      <c r="AG8" s="167"/>
      <c r="AH8" s="167"/>
    </row>
    <row r="9" spans="1:34" x14ac:dyDescent="0.75">
      <c r="L9" s="125" t="s">
        <v>371</v>
      </c>
      <c r="M9" t="s">
        <v>372</v>
      </c>
      <c r="N9" s="167"/>
      <c r="O9" s="167"/>
      <c r="P9" s="167"/>
      <c r="Q9" s="167"/>
      <c r="R9" s="167"/>
      <c r="S9" s="167"/>
      <c r="T9" s="167"/>
      <c r="U9" s="167"/>
      <c r="V9" s="167"/>
      <c r="W9" s="167"/>
      <c r="X9" s="167"/>
      <c r="Y9" s="167"/>
      <c r="Z9" s="167"/>
      <c r="AA9" s="167"/>
      <c r="AB9" s="167"/>
      <c r="AC9" s="167"/>
      <c r="AD9" s="167"/>
      <c r="AE9" s="167"/>
      <c r="AF9" s="167"/>
      <c r="AG9" s="167"/>
      <c r="AH9" s="167"/>
    </row>
    <row r="10" spans="1:34" x14ac:dyDescent="0.75">
      <c r="L10" s="123" t="s">
        <v>375</v>
      </c>
      <c r="M10" t="s">
        <v>376</v>
      </c>
      <c r="N10" s="167"/>
      <c r="O10" s="167"/>
      <c r="P10" s="167"/>
      <c r="Q10" s="167"/>
      <c r="R10" s="167"/>
      <c r="S10" s="167"/>
      <c r="T10" s="167"/>
      <c r="U10" s="167"/>
      <c r="V10" s="167"/>
      <c r="W10" s="167"/>
      <c r="X10" s="167"/>
      <c r="Y10" s="167"/>
      <c r="Z10" s="167"/>
      <c r="AA10" s="167"/>
      <c r="AB10" s="167"/>
      <c r="AC10" s="167"/>
      <c r="AD10" s="167"/>
      <c r="AE10" s="167"/>
      <c r="AF10" s="167"/>
      <c r="AG10" s="167"/>
      <c r="AH10" s="167"/>
    </row>
    <row r="11" spans="1:34" x14ac:dyDescent="0.75">
      <c r="L11" s="124" t="s">
        <v>379</v>
      </c>
      <c r="M11" t="s">
        <v>380</v>
      </c>
      <c r="N11" s="167"/>
      <c r="O11" s="167"/>
      <c r="P11" s="167"/>
      <c r="Q11" s="167"/>
      <c r="R11" s="167"/>
      <c r="S11" s="167"/>
      <c r="T11" s="167"/>
      <c r="U11" s="167"/>
      <c r="V11" s="167"/>
      <c r="W11" s="167"/>
      <c r="X11" s="167"/>
      <c r="Y11" s="167"/>
      <c r="Z11" s="167"/>
      <c r="AA11" s="167"/>
      <c r="AB11" s="167"/>
      <c r="AC11" s="167"/>
      <c r="AD11" s="167"/>
      <c r="AE11" s="167"/>
      <c r="AF11" s="167"/>
      <c r="AG11" s="167"/>
      <c r="AH11" s="167"/>
    </row>
    <row r="12" spans="1:34" x14ac:dyDescent="0.75">
      <c r="L12" s="125" t="s">
        <v>382</v>
      </c>
      <c r="M12" t="s">
        <v>383</v>
      </c>
      <c r="N12" s="167"/>
      <c r="O12" s="167"/>
      <c r="P12" s="167"/>
      <c r="Q12" s="167"/>
      <c r="R12" s="167"/>
      <c r="S12" s="167"/>
      <c r="T12" s="167"/>
      <c r="U12" s="167"/>
      <c r="V12" s="167"/>
      <c r="W12" s="167"/>
      <c r="X12" s="167"/>
      <c r="Y12" s="167"/>
      <c r="Z12" s="167"/>
      <c r="AA12" s="167"/>
      <c r="AB12" s="167"/>
      <c r="AC12" s="167"/>
      <c r="AD12" s="167"/>
      <c r="AE12" s="167"/>
      <c r="AF12" s="167"/>
      <c r="AG12" s="167"/>
      <c r="AH12" s="167"/>
    </row>
    <row r="13" spans="1:34" x14ac:dyDescent="0.75">
      <c r="L13" s="125" t="s">
        <v>385</v>
      </c>
      <c r="M13" t="s">
        <v>386</v>
      </c>
      <c r="N13" s="167"/>
      <c r="O13" s="167"/>
      <c r="P13" s="167"/>
      <c r="Q13" s="167"/>
      <c r="R13" s="167"/>
      <c r="S13" s="167"/>
      <c r="T13" s="167"/>
      <c r="U13" s="167"/>
      <c r="V13" s="167"/>
      <c r="W13" s="167"/>
      <c r="X13" s="167"/>
      <c r="Y13" s="167"/>
      <c r="Z13" s="167"/>
      <c r="AA13" s="167"/>
      <c r="AB13" s="167"/>
      <c r="AC13" s="167"/>
      <c r="AD13" s="167"/>
      <c r="AE13" s="167"/>
      <c r="AF13" s="167"/>
      <c r="AG13" s="167"/>
      <c r="AH13" s="167"/>
    </row>
    <row r="14" spans="1:34" x14ac:dyDescent="0.75">
      <c r="L14" s="125" t="s">
        <v>388</v>
      </c>
      <c r="M14" t="s">
        <v>389</v>
      </c>
      <c r="N14" s="167"/>
      <c r="O14" s="167"/>
      <c r="P14" s="167"/>
      <c r="Q14" s="167"/>
      <c r="R14" s="167"/>
      <c r="S14" s="167"/>
      <c r="T14" s="167"/>
      <c r="U14" s="167"/>
      <c r="V14" s="167"/>
      <c r="W14" s="167"/>
      <c r="X14" s="167"/>
      <c r="Y14" s="167"/>
      <c r="Z14" s="167"/>
      <c r="AA14" s="167"/>
      <c r="AB14" s="167"/>
      <c r="AC14" s="167"/>
      <c r="AD14" s="167"/>
      <c r="AE14" s="167"/>
      <c r="AF14" s="167"/>
      <c r="AG14" s="167"/>
      <c r="AH14" s="167"/>
    </row>
    <row r="15" spans="1:34" x14ac:dyDescent="0.75">
      <c r="L15" s="126" t="s">
        <v>391</v>
      </c>
      <c r="M15" t="s">
        <v>392</v>
      </c>
      <c r="N15" s="167"/>
      <c r="O15" s="167"/>
      <c r="P15" s="167"/>
      <c r="Q15" s="167"/>
      <c r="R15" s="167"/>
      <c r="S15" s="167"/>
      <c r="T15" s="167"/>
      <c r="U15" s="167"/>
      <c r="V15" s="167"/>
      <c r="W15" s="167"/>
      <c r="X15" s="167"/>
      <c r="Y15" s="167"/>
      <c r="Z15" s="167"/>
      <c r="AA15" s="167"/>
      <c r="AB15" s="167"/>
      <c r="AC15" s="167"/>
      <c r="AD15" s="167"/>
      <c r="AE15" s="167"/>
      <c r="AF15" s="167"/>
      <c r="AG15" s="167"/>
      <c r="AH15" s="167"/>
    </row>
    <row r="16" spans="1:34" x14ac:dyDescent="0.75">
      <c r="L16" s="124" t="s">
        <v>394</v>
      </c>
      <c r="M16" t="s">
        <v>395</v>
      </c>
      <c r="N16" s="167"/>
      <c r="O16" s="167"/>
      <c r="P16" s="167"/>
      <c r="Q16" s="167"/>
      <c r="R16" s="167"/>
      <c r="S16" s="167"/>
      <c r="T16" s="167"/>
      <c r="U16" s="167"/>
      <c r="V16" s="167"/>
      <c r="W16" s="167"/>
      <c r="X16" s="167"/>
      <c r="Y16" s="167"/>
      <c r="Z16" s="167"/>
      <c r="AA16" s="167"/>
      <c r="AB16" s="167"/>
      <c r="AC16" s="167"/>
      <c r="AD16" s="167"/>
      <c r="AE16" s="167"/>
      <c r="AF16" s="167"/>
      <c r="AG16" s="167"/>
      <c r="AH16" s="167"/>
    </row>
    <row r="17" spans="12:34" x14ac:dyDescent="0.75">
      <c r="L17" s="125" t="s">
        <v>388</v>
      </c>
      <c r="M17" t="s">
        <v>397</v>
      </c>
      <c r="N17" s="167"/>
      <c r="O17" s="167"/>
      <c r="P17" s="167"/>
      <c r="Q17" s="167"/>
      <c r="R17" s="167"/>
      <c r="S17" s="167"/>
      <c r="T17" s="167"/>
      <c r="U17" s="167"/>
      <c r="V17" s="167"/>
      <c r="W17" s="167"/>
      <c r="X17" s="167"/>
      <c r="Y17" s="167"/>
      <c r="Z17" s="167"/>
      <c r="AA17" s="167"/>
      <c r="AB17" s="167"/>
      <c r="AC17" s="167"/>
      <c r="AD17" s="167"/>
      <c r="AE17" s="167"/>
      <c r="AF17" s="167"/>
      <c r="AG17" s="167"/>
      <c r="AH17" s="167"/>
    </row>
    <row r="18" spans="12:34" x14ac:dyDescent="0.75">
      <c r="L18" s="125" t="s">
        <v>400</v>
      </c>
      <c r="M18" t="s">
        <v>401</v>
      </c>
      <c r="N18" s="167"/>
      <c r="O18" s="167"/>
      <c r="P18" s="167"/>
      <c r="Q18" s="167"/>
      <c r="R18" s="167"/>
      <c r="S18" s="167"/>
      <c r="T18" s="167"/>
      <c r="U18" s="167"/>
      <c r="V18" s="167"/>
      <c r="W18" s="167"/>
      <c r="X18" s="167"/>
      <c r="Y18" s="167"/>
      <c r="Z18" s="167"/>
      <c r="AA18" s="167"/>
      <c r="AB18" s="167"/>
      <c r="AC18" s="167"/>
      <c r="AD18" s="167"/>
      <c r="AE18" s="167"/>
      <c r="AF18" s="167"/>
      <c r="AG18" s="167"/>
      <c r="AH18" s="167"/>
    </row>
    <row r="19" spans="12:34" x14ac:dyDescent="0.75">
      <c r="L19" s="125" t="s">
        <v>404</v>
      </c>
      <c r="M19" t="s">
        <v>405</v>
      </c>
    </row>
    <row r="20" spans="12:34" x14ac:dyDescent="0.75">
      <c r="L20" s="125" t="s">
        <v>407</v>
      </c>
      <c r="M20" t="s">
        <v>408</v>
      </c>
    </row>
    <row r="21" spans="12:34" x14ac:dyDescent="0.75">
      <c r="L21" s="125" t="s">
        <v>409</v>
      </c>
      <c r="M21" t="s">
        <v>410</v>
      </c>
    </row>
    <row r="22" spans="12:34" x14ac:dyDescent="0.75">
      <c r="L22" s="125" t="s">
        <v>411</v>
      </c>
      <c r="M22" t="s">
        <v>412</v>
      </c>
    </row>
    <row r="23" spans="12:34" x14ac:dyDescent="0.75">
      <c r="L23" s="125" t="s">
        <v>413</v>
      </c>
      <c r="M23" t="s">
        <v>414</v>
      </c>
    </row>
    <row r="24" spans="12:34" x14ac:dyDescent="0.75">
      <c r="L24" s="125" t="s">
        <v>415</v>
      </c>
      <c r="M24" t="s">
        <v>416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5FCA-1889-4546-BFE4-4D3C34F60918}">
  <dimension ref="A1:J7"/>
  <sheetViews>
    <sheetView zoomScale="80" zoomScaleNormal="80" workbookViewId="0">
      <selection activeCell="J3" sqref="J3"/>
    </sheetView>
  </sheetViews>
  <sheetFormatPr defaultColWidth="17.7265625" defaultRowHeight="14.75" x14ac:dyDescent="0.75"/>
  <cols>
    <col min="1" max="1" width="15.1328125" bestFit="1" customWidth="1"/>
    <col min="2" max="2" width="4.26953125" bestFit="1" customWidth="1"/>
    <col min="3" max="3" width="7.1328125" bestFit="1" customWidth="1"/>
  </cols>
  <sheetData>
    <row r="1" spans="1:10" ht="17.25" thickBot="1" x14ac:dyDescent="1.05">
      <c r="D1" s="5" t="s">
        <v>34</v>
      </c>
      <c r="E1" s="5" t="s">
        <v>35</v>
      </c>
      <c r="F1" s="5" t="s">
        <v>36</v>
      </c>
      <c r="G1" s="5" t="s">
        <v>37</v>
      </c>
      <c r="H1" s="5" t="s">
        <v>38</v>
      </c>
      <c r="I1" s="5" t="s">
        <v>39</v>
      </c>
      <c r="J1" s="5" t="s">
        <v>40</v>
      </c>
    </row>
    <row r="2" spans="1:10" x14ac:dyDescent="0.75">
      <c r="A2" s="4" t="s">
        <v>417</v>
      </c>
      <c r="B2" s="4" t="s">
        <v>418</v>
      </c>
      <c r="C2" t="s">
        <v>419</v>
      </c>
      <c r="D2">
        <v>1</v>
      </c>
      <c r="E2">
        <v>1</v>
      </c>
      <c r="F2">
        <v>2</v>
      </c>
      <c r="G2">
        <v>1</v>
      </c>
      <c r="H2">
        <v>1</v>
      </c>
      <c r="I2">
        <v>2</v>
      </c>
      <c r="J2">
        <v>2</v>
      </c>
    </row>
    <row r="3" spans="1:10" x14ac:dyDescent="0.75">
      <c r="A3" s="4" t="s">
        <v>420</v>
      </c>
      <c r="B3" s="4" t="s">
        <v>222</v>
      </c>
      <c r="C3" t="s">
        <v>421</v>
      </c>
      <c r="D3">
        <v>3.5452699999999997E-2</v>
      </c>
      <c r="E3">
        <v>6.2004900000000002E-2</v>
      </c>
      <c r="F3">
        <v>9.6063999999999997E-2</v>
      </c>
      <c r="G3">
        <v>2.2989768000000001E-2</v>
      </c>
      <c r="H3">
        <v>3.9098300000000002E-2</v>
      </c>
      <c r="I3">
        <v>4.0078000000000003E-2</v>
      </c>
      <c r="J3">
        <v>2.4305E-2</v>
      </c>
    </row>
    <row r="4" spans="1:10" x14ac:dyDescent="0.75">
      <c r="C4" t="s">
        <v>422</v>
      </c>
      <c r="D4">
        <f>D3*1000</f>
        <v>35.4527</v>
      </c>
      <c r="E4">
        <f t="shared" ref="E4:J4" si="0">E3*1000</f>
        <v>62.004899999999999</v>
      </c>
      <c r="F4">
        <f t="shared" si="0"/>
        <v>96.063999999999993</v>
      </c>
      <c r="G4">
        <f t="shared" si="0"/>
        <v>22.989768000000002</v>
      </c>
      <c r="H4">
        <f t="shared" si="0"/>
        <v>39.098300000000002</v>
      </c>
      <c r="I4">
        <f t="shared" si="0"/>
        <v>40.078000000000003</v>
      </c>
      <c r="J4">
        <f t="shared" si="0"/>
        <v>24.305</v>
      </c>
    </row>
    <row r="7" spans="1:10" ht="16" x14ac:dyDescent="0.8">
      <c r="A7" s="120" t="s">
        <v>423</v>
      </c>
      <c r="B7" s="119"/>
      <c r="C7" s="119"/>
      <c r="D7" s="119"/>
    </row>
  </sheetData>
  <sheetProtection algorithmName="SHA-512" hashValue="5jTnSptwyigcgYuuUM0cBN2baXtAz1HONbihahzXhA8I4lk9DfoNbaXPhxyC3JzOhyl7bCg1JQh5qpXUUB1DYg==" saltValue="a0obZokeq5erip0vY4aJog=="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ChargeBalance-Data</vt:lpstr>
      <vt:lpstr>legend</vt:lpstr>
      <vt:lpstr>equations</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Equilibrium eq for salts in the built environment</dc:title>
  <dc:subject/>
  <dc:creator>sebastiaan.godts@kikirpa.be;Scott Allan Orr</dc:creator>
  <cp:keywords>IC data; ECOS; ions; salts; equilibrium</cp:keywords>
  <dc:description/>
  <cp:lastModifiedBy>Sebastiaan</cp:lastModifiedBy>
  <cp:revision/>
  <dcterms:created xsi:type="dcterms:W3CDTF">2022-01-18T14:27:26Z</dcterms:created>
  <dcterms:modified xsi:type="dcterms:W3CDTF">2022-02-23T12:30:25Z</dcterms:modified>
  <cp:category/>
  <cp:contentStatus/>
</cp:coreProperties>
</file>