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39e4088534e450a9/Desktop/Fall 2023/QMB 612-Decision Modeling and Analysis/Queing Analysis/"/>
    </mc:Choice>
  </mc:AlternateContent>
  <xr:revisionPtr revIDLastSave="5" documentId="8_{394D30A7-2011-486D-A62D-E539B1FA1813}" xr6:coauthVersionLast="47" xr6:coauthVersionMax="47" xr10:uidLastSave="{37733A00-15DE-41DA-9304-0F0C58BF89A0}"/>
  <bookViews>
    <workbookView xWindow="0" yWindow="0" windowWidth="20490" windowHeight="10800" xr2:uid="{00000000-000D-0000-FFFF-FFFF00000000}"/>
  </bookViews>
  <sheets>
    <sheet name="Q1.1,1.2" sheetId="4" r:id="rId1"/>
    <sheet name="Q-1-1.3" sheetId="6" r:id="rId2"/>
    <sheet name="Q2" sheetId="7" r:id="rId3"/>
    <sheet name="Q2-1" sheetId="9" r:id="rId4"/>
    <sheet name="Q-2.2" sheetId="10" r:id="rId5"/>
    <sheet name="Q2-3" sheetId="11" r:id="rId6"/>
    <sheet name="Q-3.1" sheetId="14" r:id="rId7"/>
    <sheet name="Q-3.3a" sheetId="15" r:id="rId8"/>
    <sheet name="Q-3.3b" sheetId="16" r:id="rId9"/>
  </sheets>
  <definedNames>
    <definedName name="solver_adj" localSheetId="2" hidden="1">'Q2'!$B$14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'Q2'!$A$16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0.09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8" i="16" l="1"/>
  <c r="D48" i="16"/>
  <c r="E47" i="16"/>
  <c r="D47" i="16"/>
  <c r="E46" i="16"/>
  <c r="D46" i="16"/>
  <c r="E45" i="16"/>
  <c r="D45" i="16"/>
  <c r="E44" i="16"/>
  <c r="D44" i="16"/>
  <c r="E43" i="16"/>
  <c r="D43" i="16"/>
  <c r="E42" i="16"/>
  <c r="D42" i="16"/>
  <c r="E41" i="16"/>
  <c r="D41" i="16"/>
  <c r="E40" i="16"/>
  <c r="D40" i="16"/>
  <c r="E39" i="16"/>
  <c r="D39" i="16"/>
  <c r="E38" i="16"/>
  <c r="D38" i="16"/>
  <c r="E37" i="16"/>
  <c r="D37" i="16"/>
  <c r="E36" i="16"/>
  <c r="D36" i="16"/>
  <c r="E35" i="16"/>
  <c r="D35" i="16"/>
  <c r="E34" i="16"/>
  <c r="D34" i="16"/>
  <c r="D33" i="16"/>
  <c r="D32" i="16"/>
  <c r="D31" i="16"/>
  <c r="D30" i="16"/>
  <c r="D29" i="16"/>
  <c r="D28" i="16"/>
  <c r="D27" i="16"/>
  <c r="D26" i="16"/>
  <c r="D25" i="16"/>
  <c r="D24" i="16"/>
  <c r="D23" i="16"/>
  <c r="D22" i="16"/>
  <c r="D21" i="16"/>
  <c r="D20" i="16"/>
  <c r="D19" i="16"/>
  <c r="D18" i="16"/>
  <c r="E18" i="16" s="1"/>
  <c r="C48" i="16"/>
  <c r="B48" i="16"/>
  <c r="C47" i="16"/>
  <c r="B47" i="16"/>
  <c r="C46" i="16"/>
  <c r="B46" i="16"/>
  <c r="C45" i="16"/>
  <c r="B45" i="16"/>
  <c r="C44" i="16"/>
  <c r="B44" i="16"/>
  <c r="C43" i="16"/>
  <c r="B43" i="16"/>
  <c r="C42" i="16"/>
  <c r="B42" i="16"/>
  <c r="C41" i="16"/>
  <c r="B41" i="16"/>
  <c r="C40" i="16"/>
  <c r="B40" i="16"/>
  <c r="C39" i="16"/>
  <c r="B39" i="16"/>
  <c r="C38" i="16"/>
  <c r="B38" i="16"/>
  <c r="C37" i="16"/>
  <c r="B37" i="16"/>
  <c r="C36" i="16"/>
  <c r="B36" i="16"/>
  <c r="C35" i="16"/>
  <c r="B35" i="16"/>
  <c r="C34" i="16"/>
  <c r="B34" i="16"/>
  <c r="F12" i="15"/>
  <c r="B8" i="15"/>
  <c r="D19" i="15"/>
  <c r="F12" i="14"/>
  <c r="B8" i="14"/>
  <c r="D20" i="14" s="1"/>
  <c r="B7" i="14"/>
  <c r="E48" i="15"/>
  <c r="D48" i="15"/>
  <c r="E47" i="15"/>
  <c r="D47" i="15"/>
  <c r="E46" i="15"/>
  <c r="D46" i="15"/>
  <c r="E45" i="15"/>
  <c r="D45" i="15"/>
  <c r="E44" i="15"/>
  <c r="D44" i="15"/>
  <c r="E43" i="15"/>
  <c r="D43" i="15"/>
  <c r="E42" i="15"/>
  <c r="D42" i="15"/>
  <c r="E41" i="15"/>
  <c r="D41" i="15"/>
  <c r="E40" i="15"/>
  <c r="D40" i="15"/>
  <c r="E39" i="15"/>
  <c r="D39" i="15"/>
  <c r="E38" i="15"/>
  <c r="D38" i="15"/>
  <c r="E37" i="15"/>
  <c r="D37" i="15"/>
  <c r="E36" i="15"/>
  <c r="D36" i="15"/>
  <c r="E35" i="15"/>
  <c r="D35" i="15"/>
  <c r="E34" i="15"/>
  <c r="D34" i="15"/>
  <c r="E33" i="15"/>
  <c r="D33" i="15"/>
  <c r="E32" i="15"/>
  <c r="D32" i="15"/>
  <c r="E31" i="15"/>
  <c r="D31" i="15"/>
  <c r="E30" i="15"/>
  <c r="D30" i="15"/>
  <c r="E29" i="15"/>
  <c r="D29" i="15"/>
  <c r="E28" i="15"/>
  <c r="D28" i="15"/>
  <c r="E27" i="15"/>
  <c r="D27" i="15"/>
  <c r="E26" i="15"/>
  <c r="D26" i="15"/>
  <c r="E25" i="15"/>
  <c r="D25" i="15"/>
  <c r="D20" i="15"/>
  <c r="C48" i="15"/>
  <c r="B48" i="15"/>
  <c r="C47" i="15"/>
  <c r="B47" i="15"/>
  <c r="C46" i="15"/>
  <c r="B46" i="15"/>
  <c r="C45" i="15"/>
  <c r="B45" i="15"/>
  <c r="C44" i="15"/>
  <c r="B44" i="15"/>
  <c r="C43" i="15"/>
  <c r="B43" i="15"/>
  <c r="C42" i="15"/>
  <c r="B42" i="15"/>
  <c r="C41" i="15"/>
  <c r="B41" i="15"/>
  <c r="C40" i="15"/>
  <c r="B40" i="15"/>
  <c r="C39" i="15"/>
  <c r="B39" i="15"/>
  <c r="C38" i="15"/>
  <c r="B38" i="15"/>
  <c r="C37" i="15"/>
  <c r="B37" i="15"/>
  <c r="C36" i="15"/>
  <c r="B36" i="15"/>
  <c r="C35" i="15"/>
  <c r="B35" i="15"/>
  <c r="C34" i="15"/>
  <c r="B34" i="15"/>
  <c r="C33" i="15"/>
  <c r="B33" i="15"/>
  <c r="C32" i="15"/>
  <c r="B32" i="15"/>
  <c r="C31" i="15"/>
  <c r="B31" i="15"/>
  <c r="C30" i="15"/>
  <c r="B30" i="15"/>
  <c r="C29" i="15"/>
  <c r="B29" i="15"/>
  <c r="C28" i="15"/>
  <c r="B28" i="15"/>
  <c r="C27" i="15"/>
  <c r="B27" i="15"/>
  <c r="C26" i="15"/>
  <c r="B26" i="15"/>
  <c r="C25" i="15"/>
  <c r="B25" i="15"/>
  <c r="B14" i="14"/>
  <c r="B13" i="14"/>
  <c r="E48" i="14"/>
  <c r="D48" i="14"/>
  <c r="E47" i="14"/>
  <c r="D47" i="14"/>
  <c r="E46" i="14"/>
  <c r="D46" i="14"/>
  <c r="E45" i="14"/>
  <c r="D45" i="14"/>
  <c r="E44" i="14"/>
  <c r="D44" i="14"/>
  <c r="E43" i="14"/>
  <c r="D43" i="14"/>
  <c r="E42" i="14"/>
  <c r="D42" i="14"/>
  <c r="E41" i="14"/>
  <c r="D41" i="14"/>
  <c r="E40" i="14"/>
  <c r="D40" i="14"/>
  <c r="E39" i="14"/>
  <c r="D39" i="14"/>
  <c r="E38" i="14"/>
  <c r="D38" i="14"/>
  <c r="E37" i="14"/>
  <c r="D37" i="14"/>
  <c r="E36" i="14"/>
  <c r="D36" i="14"/>
  <c r="E35" i="14"/>
  <c r="D35" i="14"/>
  <c r="E34" i="14"/>
  <c r="D34" i="14"/>
  <c r="E33" i="14"/>
  <c r="D33" i="14"/>
  <c r="E32" i="14"/>
  <c r="D32" i="14"/>
  <c r="E31" i="14"/>
  <c r="D31" i="14"/>
  <c r="E30" i="14"/>
  <c r="D30" i="14"/>
  <c r="E29" i="14"/>
  <c r="D29" i="14"/>
  <c r="E28" i="14"/>
  <c r="D28" i="14"/>
  <c r="E27" i="14"/>
  <c r="D27" i="14"/>
  <c r="E26" i="14"/>
  <c r="D26" i="14"/>
  <c r="E25" i="14"/>
  <c r="D25" i="14"/>
  <c r="C48" i="14"/>
  <c r="B48" i="14"/>
  <c r="C47" i="14"/>
  <c r="B47" i="14"/>
  <c r="C46" i="14"/>
  <c r="B46" i="14"/>
  <c r="C45" i="14"/>
  <c r="B45" i="14"/>
  <c r="C44" i="14"/>
  <c r="B44" i="14"/>
  <c r="C43" i="14"/>
  <c r="B43" i="14"/>
  <c r="C42" i="14"/>
  <c r="B42" i="14"/>
  <c r="C41" i="14"/>
  <c r="B41" i="14"/>
  <c r="C40" i="14"/>
  <c r="B40" i="14"/>
  <c r="C39" i="14"/>
  <c r="B39" i="14"/>
  <c r="C38" i="14"/>
  <c r="B38" i="14"/>
  <c r="C37" i="14"/>
  <c r="B37" i="14"/>
  <c r="C36" i="14"/>
  <c r="B36" i="14"/>
  <c r="C35" i="14"/>
  <c r="B35" i="14"/>
  <c r="C34" i="14"/>
  <c r="B34" i="14"/>
  <c r="C33" i="14"/>
  <c r="B33" i="14"/>
  <c r="C32" i="14"/>
  <c r="B32" i="14"/>
  <c r="C31" i="14"/>
  <c r="B31" i="14"/>
  <c r="C30" i="14"/>
  <c r="B30" i="14"/>
  <c r="C29" i="14"/>
  <c r="B29" i="14"/>
  <c r="C28" i="14"/>
  <c r="B28" i="14"/>
  <c r="C27" i="14"/>
  <c r="B27" i="14"/>
  <c r="C26" i="14"/>
  <c r="B26" i="14"/>
  <c r="C25" i="14"/>
  <c r="B25" i="14"/>
  <c r="B5" i="11"/>
  <c r="B6" i="11" s="1"/>
  <c r="C6" i="11" s="1"/>
  <c r="A13" i="10"/>
  <c r="G6" i="10"/>
  <c r="E12" i="10"/>
  <c r="G12" i="10" s="1"/>
  <c r="E8" i="10"/>
  <c r="G8" i="10" s="1"/>
  <c r="E7" i="10"/>
  <c r="G7" i="10" s="1"/>
  <c r="F61" i="10"/>
  <c r="B61" i="10"/>
  <c r="D61" i="10" s="1"/>
  <c r="F60" i="10"/>
  <c r="B60" i="10"/>
  <c r="D60" i="10" s="1"/>
  <c r="F59" i="10"/>
  <c r="B59" i="10"/>
  <c r="D59" i="10" s="1"/>
  <c r="F58" i="10"/>
  <c r="B58" i="10"/>
  <c r="D58" i="10" s="1"/>
  <c r="F57" i="10"/>
  <c r="B57" i="10"/>
  <c r="D57" i="10" s="1"/>
  <c r="F56" i="10"/>
  <c r="B56" i="10"/>
  <c r="D56" i="10" s="1"/>
  <c r="F55" i="10"/>
  <c r="B55" i="10"/>
  <c r="D55" i="10" s="1"/>
  <c r="F54" i="10"/>
  <c r="B54" i="10"/>
  <c r="D54" i="10" s="1"/>
  <c r="F53" i="10"/>
  <c r="B53" i="10"/>
  <c r="D53" i="10" s="1"/>
  <c r="F52" i="10"/>
  <c r="B52" i="10"/>
  <c r="D52" i="10" s="1"/>
  <c r="F51" i="10"/>
  <c r="B51" i="10"/>
  <c r="D51" i="10" s="1"/>
  <c r="F50" i="10"/>
  <c r="B50" i="10"/>
  <c r="D50" i="10" s="1"/>
  <c r="F49" i="10"/>
  <c r="B49" i="10"/>
  <c r="D49" i="10" s="1"/>
  <c r="F48" i="10"/>
  <c r="B48" i="10"/>
  <c r="D48" i="10" s="1"/>
  <c r="F47" i="10"/>
  <c r="B47" i="10"/>
  <c r="D47" i="10" s="1"/>
  <c r="F46" i="10"/>
  <c r="B46" i="10"/>
  <c r="D46" i="10" s="1"/>
  <c r="F45" i="10"/>
  <c r="B45" i="10"/>
  <c r="D45" i="10" s="1"/>
  <c r="F44" i="10"/>
  <c r="B44" i="10"/>
  <c r="D44" i="10" s="1"/>
  <c r="F43" i="10"/>
  <c r="B43" i="10"/>
  <c r="D43" i="10" s="1"/>
  <c r="F42" i="10"/>
  <c r="B42" i="10"/>
  <c r="D42" i="10" s="1"/>
  <c r="F41" i="10"/>
  <c r="B41" i="10"/>
  <c r="D41" i="10" s="1"/>
  <c r="F40" i="10"/>
  <c r="C40" i="10"/>
  <c r="B40" i="10"/>
  <c r="C6" i="9"/>
  <c r="B5" i="9"/>
  <c r="B6" i="9" s="1"/>
  <c r="E29" i="16" l="1"/>
  <c r="E30" i="16"/>
  <c r="E33" i="16"/>
  <c r="E31" i="16"/>
  <c r="E25" i="16"/>
  <c r="E32" i="16"/>
  <c r="E20" i="16"/>
  <c r="E24" i="16"/>
  <c r="E28" i="16"/>
  <c r="E21" i="16"/>
  <c r="E12" i="16"/>
  <c r="E22" i="16"/>
  <c r="E26" i="16"/>
  <c r="E19" i="16"/>
  <c r="E23" i="16"/>
  <c r="E27" i="16"/>
  <c r="D18" i="15"/>
  <c r="E18" i="15" s="1"/>
  <c r="D23" i="15"/>
  <c r="D21" i="15"/>
  <c r="D22" i="15"/>
  <c r="D24" i="15"/>
  <c r="D18" i="14"/>
  <c r="E18" i="14" s="1"/>
  <c r="D19" i="14"/>
  <c r="D22" i="14"/>
  <c r="D24" i="14"/>
  <c r="D23" i="14"/>
  <c r="D21" i="14"/>
  <c r="E24" i="14" s="1"/>
  <c r="E12" i="14" s="1"/>
  <c r="E19" i="14"/>
  <c r="E20" i="14"/>
  <c r="E9" i="10"/>
  <c r="G9" i="10" s="1"/>
  <c r="E10" i="10"/>
  <c r="C60" i="10"/>
  <c r="E60" i="10" s="1"/>
  <c r="G60" i="10" s="1"/>
  <c r="I60" i="10" s="1"/>
  <c r="J60" i="10" s="1"/>
  <c r="C56" i="10"/>
  <c r="E56" i="10" s="1"/>
  <c r="G56" i="10" s="1"/>
  <c r="C51" i="10"/>
  <c r="C42" i="10"/>
  <c r="E42" i="10" s="1"/>
  <c r="G42" i="10" s="1"/>
  <c r="I42" i="10" s="1"/>
  <c r="J42" i="10" s="1"/>
  <c r="C58" i="10"/>
  <c r="E58" i="10" s="1"/>
  <c r="G58" i="10" s="1"/>
  <c r="H58" i="10" s="1"/>
  <c r="C49" i="10"/>
  <c r="E49" i="10" s="1"/>
  <c r="G49" i="10" s="1"/>
  <c r="C45" i="10"/>
  <c r="E45" i="10" s="1"/>
  <c r="G45" i="10" s="1"/>
  <c r="H45" i="10" s="1"/>
  <c r="C54" i="10"/>
  <c r="E54" i="10" s="1"/>
  <c r="G54" i="10" s="1"/>
  <c r="H54" i="10" s="1"/>
  <c r="C61" i="10"/>
  <c r="E61" i="10" s="1"/>
  <c r="G61" i="10" s="1"/>
  <c r="D40" i="10"/>
  <c r="E40" i="10" s="1"/>
  <c r="G40" i="10" s="1"/>
  <c r="C43" i="10"/>
  <c r="C50" i="10"/>
  <c r="E50" i="10" s="1"/>
  <c r="G50" i="10" s="1"/>
  <c r="I50" i="10" s="1"/>
  <c r="J50" i="10" s="1"/>
  <c r="C57" i="10"/>
  <c r="E57" i="10" s="1"/>
  <c r="G57" i="10" s="1"/>
  <c r="C59" i="10"/>
  <c r="E59" i="10" s="1"/>
  <c r="G59" i="10" s="1"/>
  <c r="I59" i="10" s="1"/>
  <c r="J59" i="10" s="1"/>
  <c r="C48" i="10"/>
  <c r="E48" i="10" s="1"/>
  <c r="G48" i="10" s="1"/>
  <c r="C47" i="10"/>
  <c r="E47" i="10" s="1"/>
  <c r="G47" i="10" s="1"/>
  <c r="C41" i="10"/>
  <c r="E41" i="10" s="1"/>
  <c r="G41" i="10" s="1"/>
  <c r="C55" i="10"/>
  <c r="E55" i="10" s="1"/>
  <c r="G55" i="10" s="1"/>
  <c r="E43" i="10"/>
  <c r="G43" i="10" s="1"/>
  <c r="H43" i="10" s="1"/>
  <c r="C52" i="10"/>
  <c r="E52" i="10" s="1"/>
  <c r="G52" i="10" s="1"/>
  <c r="C44" i="10"/>
  <c r="E44" i="10" s="1"/>
  <c r="G44" i="10" s="1"/>
  <c r="C46" i="10"/>
  <c r="E46" i="10" s="1"/>
  <c r="G46" i="10" s="1"/>
  <c r="E51" i="10"/>
  <c r="G51" i="10" s="1"/>
  <c r="I51" i="10" s="1"/>
  <c r="J51" i="10" s="1"/>
  <c r="C53" i="10"/>
  <c r="E53" i="10" s="1"/>
  <c r="G53" i="10" s="1"/>
  <c r="H53" i="10" s="1"/>
  <c r="C18" i="16" l="1"/>
  <c r="B30" i="16"/>
  <c r="B33" i="16"/>
  <c r="B29" i="16"/>
  <c r="B31" i="16"/>
  <c r="B32" i="16"/>
  <c r="E8" i="16"/>
  <c r="E9" i="16" s="1"/>
  <c r="E13" i="16" s="1"/>
  <c r="B26" i="16"/>
  <c r="B22" i="16"/>
  <c r="B21" i="16"/>
  <c r="B24" i="16"/>
  <c r="B25" i="16"/>
  <c r="B28" i="16"/>
  <c r="B20" i="16"/>
  <c r="B27" i="16"/>
  <c r="B23" i="16"/>
  <c r="B19" i="16"/>
  <c r="C19" i="16" s="1"/>
  <c r="B18" i="16"/>
  <c r="E20" i="15"/>
  <c r="E19" i="15"/>
  <c r="E21" i="15"/>
  <c r="E23" i="15"/>
  <c r="E24" i="15"/>
  <c r="E12" i="15" s="1"/>
  <c r="B22" i="15" s="1"/>
  <c r="E22" i="15"/>
  <c r="E22" i="14"/>
  <c r="E23" i="14"/>
  <c r="E21" i="14"/>
  <c r="C18" i="14"/>
  <c r="B24" i="14"/>
  <c r="B20" i="14"/>
  <c r="B23" i="14"/>
  <c r="B19" i="14"/>
  <c r="B22" i="14"/>
  <c r="B21" i="14"/>
  <c r="B18" i="14"/>
  <c r="E8" i="14"/>
  <c r="E9" i="14" s="1"/>
  <c r="G10" i="10"/>
  <c r="E11" i="10"/>
  <c r="G11" i="10" s="1"/>
  <c r="I45" i="10"/>
  <c r="J45" i="10" s="1"/>
  <c r="I54" i="10"/>
  <c r="J54" i="10" s="1"/>
  <c r="I48" i="10"/>
  <c r="J48" i="10" s="1"/>
  <c r="H48" i="10"/>
  <c r="H41" i="10"/>
  <c r="I41" i="10"/>
  <c r="J41" i="10" s="1"/>
  <c r="I53" i="10"/>
  <c r="J53" i="10" s="1"/>
  <c r="H56" i="10"/>
  <c r="I56" i="10"/>
  <c r="J56" i="10" s="1"/>
  <c r="I49" i="10"/>
  <c r="J49" i="10" s="1"/>
  <c r="H49" i="10"/>
  <c r="I43" i="10"/>
  <c r="J43" i="10" s="1"/>
  <c r="I58" i="10"/>
  <c r="J58" i="10" s="1"/>
  <c r="H51" i="10"/>
  <c r="H50" i="10"/>
  <c r="H42" i="10"/>
  <c r="H40" i="10"/>
  <c r="I40" i="10"/>
  <c r="J40" i="10" s="1"/>
  <c r="I44" i="10"/>
  <c r="J44" i="10" s="1"/>
  <c r="H44" i="10"/>
  <c r="I52" i="10"/>
  <c r="J52" i="10" s="1"/>
  <c r="H52" i="10"/>
  <c r="H57" i="10"/>
  <c r="I57" i="10"/>
  <c r="J57" i="10" s="1"/>
  <c r="H60" i="10"/>
  <c r="H59" i="10"/>
  <c r="H55" i="10"/>
  <c r="I55" i="10"/>
  <c r="J55" i="10" s="1"/>
  <c r="I61" i="10"/>
  <c r="J61" i="10" s="1"/>
  <c r="H61" i="10"/>
  <c r="I46" i="10"/>
  <c r="J46" i="10" s="1"/>
  <c r="H46" i="10"/>
  <c r="H47" i="10"/>
  <c r="I47" i="10"/>
  <c r="J47" i="10" s="1"/>
  <c r="A13" i="7"/>
  <c r="G6" i="7"/>
  <c r="E7" i="7"/>
  <c r="G7" i="7" s="1"/>
  <c r="F61" i="7"/>
  <c r="B61" i="7"/>
  <c r="D61" i="7" s="1"/>
  <c r="F60" i="7"/>
  <c r="B60" i="7"/>
  <c r="D60" i="7" s="1"/>
  <c r="F59" i="7"/>
  <c r="B59" i="7"/>
  <c r="D59" i="7" s="1"/>
  <c r="F58" i="7"/>
  <c r="B58" i="7"/>
  <c r="D58" i="7" s="1"/>
  <c r="F57" i="7"/>
  <c r="B57" i="7"/>
  <c r="D57" i="7" s="1"/>
  <c r="F56" i="7"/>
  <c r="B56" i="7"/>
  <c r="D56" i="7" s="1"/>
  <c r="F55" i="7"/>
  <c r="B55" i="7"/>
  <c r="D55" i="7" s="1"/>
  <c r="F54" i="7"/>
  <c r="B54" i="7"/>
  <c r="D54" i="7" s="1"/>
  <c r="F53" i="7"/>
  <c r="B53" i="7"/>
  <c r="D53" i="7" s="1"/>
  <c r="F52" i="7"/>
  <c r="B52" i="7"/>
  <c r="D52" i="7" s="1"/>
  <c r="F51" i="7"/>
  <c r="B51" i="7"/>
  <c r="D51" i="7" s="1"/>
  <c r="F50" i="7"/>
  <c r="B50" i="7"/>
  <c r="D50" i="7" s="1"/>
  <c r="F49" i="7"/>
  <c r="B49" i="7"/>
  <c r="D49" i="7" s="1"/>
  <c r="F48" i="7"/>
  <c r="B48" i="7"/>
  <c r="D48" i="7" s="1"/>
  <c r="F47" i="7"/>
  <c r="B47" i="7"/>
  <c r="D47" i="7" s="1"/>
  <c r="F46" i="7"/>
  <c r="B46" i="7"/>
  <c r="D46" i="7" s="1"/>
  <c r="F45" i="7"/>
  <c r="B45" i="7"/>
  <c r="D45" i="7" s="1"/>
  <c r="F44" i="7"/>
  <c r="B44" i="7"/>
  <c r="D44" i="7" s="1"/>
  <c r="F43" i="7"/>
  <c r="B43" i="7"/>
  <c r="D43" i="7" s="1"/>
  <c r="F42" i="7"/>
  <c r="B42" i="7"/>
  <c r="D42" i="7" s="1"/>
  <c r="F41" i="7"/>
  <c r="B41" i="7"/>
  <c r="D41" i="7" s="1"/>
  <c r="F40" i="7"/>
  <c r="C40" i="7"/>
  <c r="B40" i="7"/>
  <c r="E16" i="6"/>
  <c r="E15" i="4"/>
  <c r="B14" i="6"/>
  <c r="A13" i="6"/>
  <c r="E10" i="6"/>
  <c r="E11" i="6" s="1"/>
  <c r="E8" i="6"/>
  <c r="E9" i="6" s="1"/>
  <c r="E7" i="6"/>
  <c r="E12" i="6" s="1"/>
  <c r="B17" i="4"/>
  <c r="B14" i="4"/>
  <c r="B13" i="4"/>
  <c r="A11" i="4"/>
  <c r="E5" i="4"/>
  <c r="E10" i="4" s="1"/>
  <c r="C57" i="7" l="1"/>
  <c r="E57" i="7" s="1"/>
  <c r="G57" i="7" s="1"/>
  <c r="C20" i="16"/>
  <c r="C21" i="16" s="1"/>
  <c r="C22" i="16" s="1"/>
  <c r="C23" i="16" s="1"/>
  <c r="C24" i="16" s="1"/>
  <c r="C25" i="16" s="1"/>
  <c r="C26" i="16" s="1"/>
  <c r="C27" i="16" s="1"/>
  <c r="C28" i="16" s="1"/>
  <c r="C29" i="16" s="1"/>
  <c r="C30" i="16" s="1"/>
  <c r="C31" i="16" s="1"/>
  <c r="C32" i="16" s="1"/>
  <c r="C33" i="16" s="1"/>
  <c r="E7" i="16"/>
  <c r="E10" i="16"/>
  <c r="E11" i="16"/>
  <c r="B20" i="15"/>
  <c r="E8" i="15"/>
  <c r="E9" i="15" s="1"/>
  <c r="C18" i="15"/>
  <c r="B23" i="15"/>
  <c r="B21" i="15"/>
  <c r="B19" i="15"/>
  <c r="C19" i="15" s="1"/>
  <c r="C20" i="15" s="1"/>
  <c r="B18" i="15"/>
  <c r="B24" i="15"/>
  <c r="C19" i="14"/>
  <c r="C20" i="14" s="1"/>
  <c r="C21" i="14" s="1"/>
  <c r="C22" i="14" s="1"/>
  <c r="C23" i="14" s="1"/>
  <c r="C24" i="14" s="1"/>
  <c r="E13" i="15"/>
  <c r="E13" i="14"/>
  <c r="C49" i="7"/>
  <c r="E49" i="7" s="1"/>
  <c r="G49" i="7" s="1"/>
  <c r="C53" i="7"/>
  <c r="E53" i="7" s="1"/>
  <c r="G53" i="7" s="1"/>
  <c r="I53" i="7" s="1"/>
  <c r="J53" i="7" s="1"/>
  <c r="C46" i="7"/>
  <c r="E46" i="7" s="1"/>
  <c r="G46" i="7" s="1"/>
  <c r="C44" i="7"/>
  <c r="E44" i="7" s="1"/>
  <c r="G44" i="7" s="1"/>
  <c r="C60" i="7"/>
  <c r="E60" i="7" s="1"/>
  <c r="G60" i="7" s="1"/>
  <c r="I60" i="7" s="1"/>
  <c r="J60" i="7" s="1"/>
  <c r="C51" i="7"/>
  <c r="E51" i="7" s="1"/>
  <c r="G51" i="7" s="1"/>
  <c r="C48" i="7"/>
  <c r="E48" i="7" s="1"/>
  <c r="G48" i="7" s="1"/>
  <c r="I48" i="7" s="1"/>
  <c r="J48" i="7" s="1"/>
  <c r="C42" i="7"/>
  <c r="E42" i="7" s="1"/>
  <c r="G42" i="7" s="1"/>
  <c r="H42" i="7" s="1"/>
  <c r="C58" i="7"/>
  <c r="E58" i="7" s="1"/>
  <c r="G58" i="7" s="1"/>
  <c r="C55" i="7"/>
  <c r="E55" i="7" s="1"/>
  <c r="G55" i="7" s="1"/>
  <c r="C56" i="7"/>
  <c r="E56" i="7" s="1"/>
  <c r="G56" i="7" s="1"/>
  <c r="C43" i="7"/>
  <c r="E43" i="7" s="1"/>
  <c r="G43" i="7" s="1"/>
  <c r="I43" i="7" s="1"/>
  <c r="J43" i="7" s="1"/>
  <c r="C47" i="7"/>
  <c r="E47" i="7" s="1"/>
  <c r="G47" i="7" s="1"/>
  <c r="C59" i="7"/>
  <c r="E59" i="7" s="1"/>
  <c r="G59" i="7" s="1"/>
  <c r="H59" i="7" s="1"/>
  <c r="C61" i="7"/>
  <c r="E61" i="7" s="1"/>
  <c r="G61" i="7" s="1"/>
  <c r="H61" i="7" s="1"/>
  <c r="C45" i="7"/>
  <c r="E45" i="7" s="1"/>
  <c r="G45" i="7" s="1"/>
  <c r="I45" i="7" s="1"/>
  <c r="J45" i="7" s="1"/>
  <c r="C50" i="7"/>
  <c r="E50" i="7" s="1"/>
  <c r="G50" i="7" s="1"/>
  <c r="I50" i="7" s="1"/>
  <c r="J50" i="7" s="1"/>
  <c r="C52" i="7"/>
  <c r="E52" i="7" s="1"/>
  <c r="G52" i="7" s="1"/>
  <c r="C54" i="7"/>
  <c r="E54" i="7" s="1"/>
  <c r="G54" i="7" s="1"/>
  <c r="D40" i="7"/>
  <c r="E40" i="7" s="1"/>
  <c r="G40" i="7" s="1"/>
  <c r="C41" i="7"/>
  <c r="E41" i="7" s="1"/>
  <c r="E6" i="4"/>
  <c r="E7" i="4" s="1"/>
  <c r="G41" i="7" l="1"/>
  <c r="E8" i="7" s="1"/>
  <c r="E12" i="7"/>
  <c r="G12" i="7" s="1"/>
  <c r="C21" i="15"/>
  <c r="C22" i="15" s="1"/>
  <c r="C23" i="15" s="1"/>
  <c r="C24" i="15" s="1"/>
  <c r="E7" i="15"/>
  <c r="E10" i="15"/>
  <c r="E11" i="15"/>
  <c r="E7" i="14"/>
  <c r="E10" i="14"/>
  <c r="E11" i="14"/>
  <c r="I61" i="7"/>
  <c r="J61" i="7" s="1"/>
  <c r="H60" i="7"/>
  <c r="H43" i="7"/>
  <c r="H51" i="7"/>
  <c r="I51" i="7"/>
  <c r="J51" i="7" s="1"/>
  <c r="I44" i="7"/>
  <c r="J44" i="7" s="1"/>
  <c r="H44" i="7"/>
  <c r="H58" i="7"/>
  <c r="I58" i="7"/>
  <c r="J58" i="7" s="1"/>
  <c r="H45" i="7"/>
  <c r="I59" i="7"/>
  <c r="J59" i="7" s="1"/>
  <c r="I42" i="7"/>
  <c r="J42" i="7" s="1"/>
  <c r="H48" i="7"/>
  <c r="H53" i="7"/>
  <c r="H52" i="7"/>
  <c r="I52" i="7"/>
  <c r="J52" i="7" s="1"/>
  <c r="H50" i="7"/>
  <c r="H40" i="7"/>
  <c r="I40" i="7"/>
  <c r="J40" i="7" s="1"/>
  <c r="I49" i="7"/>
  <c r="J49" i="7" s="1"/>
  <c r="H49" i="7"/>
  <c r="H55" i="7"/>
  <c r="I55" i="7"/>
  <c r="J55" i="7" s="1"/>
  <c r="I56" i="7"/>
  <c r="J56" i="7" s="1"/>
  <c r="H56" i="7"/>
  <c r="I46" i="7"/>
  <c r="J46" i="7" s="1"/>
  <c r="H46" i="7"/>
  <c r="I54" i="7"/>
  <c r="J54" i="7" s="1"/>
  <c r="H54" i="7"/>
  <c r="I57" i="7"/>
  <c r="J57" i="7" s="1"/>
  <c r="H57" i="7"/>
  <c r="H47" i="7"/>
  <c r="I47" i="7"/>
  <c r="J47" i="7" s="1"/>
  <c r="E8" i="4"/>
  <c r="E9" i="4" s="1"/>
  <c r="I41" i="7" l="1"/>
  <c r="J41" i="7" s="1"/>
  <c r="H41" i="7"/>
  <c r="G8" i="7"/>
  <c r="E10" i="7"/>
  <c r="E9" i="7"/>
  <c r="G9" i="7" s="1"/>
  <c r="G10" i="7" l="1"/>
  <c r="E11" i="7"/>
  <c r="G11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Bhavya Priya Akula</author>
  </authors>
  <commentList>
    <comment ref="A1" authorId="0" shapeId="0" xr:uid="{CD1C088B-7911-4518-B4A9-4D267F2FB8AC}">
      <text>
        <r>
          <rPr>
            <sz val="9"/>
            <color indexed="81"/>
            <rFont val="Tahoma"/>
            <family val="2"/>
          </rPr>
          <t>Created by Excel OM/QM version 5.3.160</t>
        </r>
      </text>
    </comment>
    <comment ref="A4" authorId="0" shapeId="0" xr:uid="{CDDA268D-3B0D-4559-B11D-8EC7B588B79D}">
      <text>
        <r>
          <rPr>
            <sz val="9"/>
            <color indexed="81"/>
            <rFont val="Tahoma"/>
            <family val="2"/>
          </rPr>
          <t>Waiting Lines: Submodel =  0; Problem size @  2 by 2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Bhavya Priya Akula</author>
  </authors>
  <commentList>
    <comment ref="A1" authorId="0" shapeId="0" xr:uid="{E0BBADB9-8F6A-4B5D-BAEC-BA1B866E368E}">
      <text>
        <r>
          <rPr>
            <sz val="9"/>
            <color indexed="81"/>
            <rFont val="Tahoma"/>
            <family val="2"/>
          </rPr>
          <t>Created by Excel OM/QM version 5.3.160</t>
        </r>
      </text>
    </comment>
    <comment ref="A6" authorId="0" shapeId="0" xr:uid="{B6EE2AC0-2027-4AE8-A84B-CA7D8050426C}">
      <text>
        <r>
          <rPr>
            <sz val="9"/>
            <color indexed="81"/>
            <rFont val="Tahoma"/>
            <family val="2"/>
          </rPr>
          <t>Waiting Lines: Submodel =  0; Problem size @  2 by 2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Bhavya Priya Akula</author>
  </authors>
  <commentList>
    <comment ref="A1" authorId="0" shapeId="0" xr:uid="{91E67D06-910F-4C11-A8D3-D3922710C7BD}">
      <text>
        <r>
          <rPr>
            <sz val="9"/>
            <color indexed="81"/>
            <rFont val="Tahoma"/>
            <family val="2"/>
          </rPr>
          <t>Created by Excel OM/QM version 5.3.160</t>
        </r>
      </text>
    </comment>
    <comment ref="A6" authorId="0" shapeId="0" xr:uid="{4B87D01F-39E3-4F5E-B6D4-7CAF23EDC41C}">
      <text>
        <r>
          <rPr>
            <sz val="9"/>
            <color indexed="81"/>
            <rFont val="Tahoma"/>
            <family val="2"/>
          </rPr>
          <t>Waiting Lines: Submodel =  0; Problem size @  2 by 2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Bhavya Priya Akula</author>
  </authors>
  <commentList>
    <comment ref="A1" authorId="0" shapeId="0" xr:uid="{640971E9-B9F9-4160-8838-C1D8FA4FCB61}">
      <text>
        <r>
          <rPr>
            <sz val="9"/>
            <color indexed="81"/>
            <rFont val="Tahoma"/>
            <family val="2"/>
          </rPr>
          <t>Created by Excel OM/QM version 5.3.160</t>
        </r>
      </text>
    </comment>
    <comment ref="A6" authorId="0" shapeId="0" xr:uid="{E8F3D297-6CAD-4AFF-80B9-F4CEC04991A5}">
      <text>
        <r>
          <rPr>
            <sz val="9"/>
            <color indexed="81"/>
            <rFont val="Tahoma"/>
            <family val="2"/>
          </rPr>
          <t>Waiting Lines: Submodel =  0; Problem size @  2 by 2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Bhavya Priya Akula</author>
  </authors>
  <commentList>
    <comment ref="A1" authorId="0" shapeId="0" xr:uid="{0055C02A-7C27-45AD-A2AF-0F7C319C5150}">
      <text>
        <r>
          <rPr>
            <sz val="9"/>
            <color indexed="81"/>
            <rFont val="Tahoma"/>
            <family val="2"/>
          </rPr>
          <t>Created by Excel OM/QM version 5.3.160</t>
        </r>
      </text>
    </comment>
    <comment ref="A6" authorId="0" shapeId="0" xr:uid="{91937B76-5A22-4C56-BEE9-76D6934340B7}">
      <text>
        <r>
          <rPr>
            <sz val="9"/>
            <color indexed="81"/>
            <rFont val="Tahoma"/>
            <family val="2"/>
          </rPr>
          <t>Waiting Lines: Submodel =  0; Problem size @  2 by 2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Bhavya Priya Akula</author>
  </authors>
  <commentList>
    <comment ref="A1" authorId="0" shapeId="0" xr:uid="{338C5A9F-82B2-4A64-8783-E7B7C9A6AA25}">
      <text>
        <r>
          <rPr>
            <sz val="9"/>
            <color indexed="81"/>
            <rFont val="Tahoma"/>
            <family val="2"/>
          </rPr>
          <t>Created by Excel OM/QM version 5.3.160</t>
        </r>
      </text>
    </comment>
    <comment ref="A6" authorId="0" shapeId="0" xr:uid="{CDF34492-0D93-4CC9-BF15-001966CBEBE7}">
      <text>
        <r>
          <rPr>
            <sz val="9"/>
            <color indexed="81"/>
            <rFont val="Tahoma"/>
            <family val="2"/>
          </rPr>
          <t>Waiting Lines: Submodel =  0; Problem size @  2 by 2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Bhavya Priya Akula</author>
  </authors>
  <commentList>
    <comment ref="A1" authorId="0" shapeId="0" xr:uid="{4B9A9985-3DF3-43C5-A0A7-0B55D3AF7A6B}">
      <text>
        <r>
          <rPr>
            <sz val="9"/>
            <color indexed="81"/>
            <rFont val="Tahoma"/>
            <family val="2"/>
          </rPr>
          <t>Created by Excel OM/QM version 5.3.160</t>
        </r>
      </text>
    </comment>
    <comment ref="A6" authorId="0" shapeId="0" xr:uid="{685CAC9B-2BDD-4E6B-8150-FB6E9E044752}">
      <text>
        <r>
          <rPr>
            <sz val="9"/>
            <color indexed="81"/>
            <rFont val="Tahoma"/>
            <family val="2"/>
          </rPr>
          <t>Waiting Lines: Submodel =  0; Problem size @  2 by 2</t>
        </r>
      </text>
    </comment>
  </commentList>
</comments>
</file>

<file path=xl/sharedStrings.xml><?xml version="1.0" encoding="utf-8"?>
<sst xmlns="http://schemas.openxmlformats.org/spreadsheetml/2006/main" count="176" uniqueCount="65">
  <si>
    <t>Waiting Lines</t>
  </si>
  <si>
    <t>Constant/Deterministic Service Times Model (M/D/1)</t>
  </si>
  <si>
    <r>
      <t>Arrival rate (</t>
    </r>
    <r>
      <rPr>
        <sz val="11"/>
        <color theme="1"/>
        <rFont val="Symbol"/>
        <family val="1"/>
        <charset val="2"/>
      </rPr>
      <t>l</t>
    </r>
    <r>
      <rPr>
        <sz val="11"/>
        <color theme="1"/>
        <rFont val="Calibri"/>
        <family val="2"/>
        <scheme val="minor"/>
      </rPr>
      <t>)</t>
    </r>
  </si>
  <si>
    <r>
      <t>Service rate (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)</t>
    </r>
  </si>
  <si>
    <t>Data</t>
  </si>
  <si>
    <t>Number of servers</t>
  </si>
  <si>
    <t>Results</t>
  </si>
  <si>
    <t>Average number of customers in the system(L)</t>
  </si>
  <si>
    <t>Average time in the system(W)</t>
  </si>
  <si>
    <r>
      <t>Average server utilization(</t>
    </r>
    <r>
      <rPr>
        <b/>
        <sz val="11"/>
        <color rgb="FF3F3F3F"/>
        <rFont val="Symbol"/>
        <family val="1"/>
        <charset val="2"/>
      </rPr>
      <t>r</t>
    </r>
    <r>
      <rPr>
        <b/>
        <sz val="11"/>
        <color rgb="FF3F3F3F"/>
        <rFont val="Calibri"/>
        <family val="2"/>
        <scheme val="minor"/>
      </rPr>
      <t>)</t>
    </r>
  </si>
  <si>
    <r>
      <t>Average number of customers in the queue(L</t>
    </r>
    <r>
      <rPr>
        <b/>
        <vertAlign val="subscript"/>
        <sz val="11"/>
        <color rgb="FF3F3F3F"/>
        <rFont val="Calibri"/>
        <family val="2"/>
        <scheme val="minor"/>
      </rPr>
      <t>q</t>
    </r>
    <r>
      <rPr>
        <b/>
        <sz val="11"/>
        <color rgb="FF3F3F3F"/>
        <rFont val="Calibri"/>
        <family val="2"/>
        <scheme val="minor"/>
      </rPr>
      <t>)</t>
    </r>
  </si>
  <si>
    <r>
      <t>Average waiting time in the queue(W</t>
    </r>
    <r>
      <rPr>
        <b/>
        <vertAlign val="subscript"/>
        <sz val="11"/>
        <color rgb="FF3F3F3F"/>
        <rFont val="Calibri"/>
        <family val="2"/>
        <scheme val="minor"/>
      </rPr>
      <t>q</t>
    </r>
    <r>
      <rPr>
        <b/>
        <sz val="11"/>
        <color rgb="FF3F3F3F"/>
        <rFont val="Calibri"/>
        <family val="2"/>
        <scheme val="minor"/>
      </rPr>
      <t>)</t>
    </r>
  </si>
  <si>
    <r>
      <t>Probability (% of time) system is empty (P</t>
    </r>
    <r>
      <rPr>
        <b/>
        <vertAlign val="subscript"/>
        <sz val="11"/>
        <color rgb="FF3F3F3F"/>
        <rFont val="Calibri"/>
        <family val="2"/>
        <scheme val="minor"/>
      </rPr>
      <t>0</t>
    </r>
    <r>
      <rPr>
        <b/>
        <sz val="11"/>
        <color rgb="FF3F3F3F"/>
        <rFont val="Calibri"/>
        <family val="2"/>
        <scheme val="minor"/>
      </rPr>
      <t>)</t>
    </r>
  </si>
  <si>
    <t>M/G/1 (General Service Times)</t>
  </si>
  <si>
    <r>
      <t>Standard deviation, (</t>
    </r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  <scheme val="minor"/>
      </rPr>
      <t>)</t>
    </r>
  </si>
  <si>
    <t>Arrival rate=</t>
  </si>
  <si>
    <t>Service rate=</t>
  </si>
  <si>
    <t>Standard dev=</t>
  </si>
  <si>
    <t>To do or not to do</t>
  </si>
  <si>
    <t>Utilization(U)=</t>
  </si>
  <si>
    <t>Cost of repair(per hour)=</t>
  </si>
  <si>
    <t>Cost of customer waiting (per hour)=</t>
  </si>
  <si>
    <t>Total Cost per hour=</t>
  </si>
  <si>
    <t>1-P0</t>
  </si>
  <si>
    <t>Q-1.2</t>
  </si>
  <si>
    <t>Q-1.1</t>
  </si>
  <si>
    <t>Q-1-1.3</t>
  </si>
  <si>
    <t>(Cost of waiting*Wq)+ cost of repair</t>
  </si>
  <si>
    <t>Multiple server model (M/M/s)</t>
  </si>
  <si>
    <t>Number of servers(s)</t>
  </si>
  <si>
    <t>Computations</t>
  </si>
  <si>
    <t>n or s</t>
  </si>
  <si>
    <t>(lam/mu)^n/n!</t>
  </si>
  <si>
    <t>Cumsum(n-1)</t>
  </si>
  <si>
    <t>term2</t>
  </si>
  <si>
    <t>P0(s)</t>
  </si>
  <si>
    <t>Rho(s)</t>
  </si>
  <si>
    <t>Lq(s)</t>
  </si>
  <si>
    <t>L(s)</t>
  </si>
  <si>
    <t>Wq(s)</t>
  </si>
  <si>
    <t>W(S)</t>
  </si>
  <si>
    <t>Sensitivity Table (Excel Data Table)</t>
  </si>
  <si>
    <t>Q-2</t>
  </si>
  <si>
    <t>Calls taken by each representative per hour</t>
  </si>
  <si>
    <t>Mean Arrival Rate</t>
  </si>
  <si>
    <t>Arrival rate =</t>
  </si>
  <si>
    <t xml:space="preserve">Service rate = </t>
  </si>
  <si>
    <t>Po =</t>
  </si>
  <si>
    <t>Pw =</t>
  </si>
  <si>
    <t>c =</t>
  </si>
  <si>
    <t>No of representatives/lines managing the calls</t>
  </si>
  <si>
    <t>Q-2.2</t>
  </si>
  <si>
    <t>M/M/1 with a finite population</t>
  </si>
  <si>
    <t>Population size (N)</t>
  </si>
  <si>
    <r>
      <t>Arrival rate (</t>
    </r>
    <r>
      <rPr>
        <sz val="11"/>
        <color theme="1"/>
        <rFont val="Symbol"/>
        <family val="1"/>
        <charset val="2"/>
      </rPr>
      <t>l</t>
    </r>
    <r>
      <rPr>
        <sz val="11"/>
        <color theme="1"/>
        <rFont val="Calibri"/>
        <family val="2"/>
        <scheme val="minor"/>
      </rPr>
      <t>) per customer</t>
    </r>
  </si>
  <si>
    <t>Effective arrival rate</t>
  </si>
  <si>
    <t>Probabilities</t>
  </si>
  <si>
    <t>Number, n</t>
  </si>
  <si>
    <t>Probability</t>
  </si>
  <si>
    <t>Cumulative Probability</t>
  </si>
  <si>
    <t>Q-3</t>
  </si>
  <si>
    <t>per hour</t>
  </si>
  <si>
    <t>Q-3.3</t>
  </si>
  <si>
    <t>Reduces service rate by half</t>
  </si>
  <si>
    <t>Q-3.3b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</si>
</sst>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0.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rgb="FF1F497D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1F497D"/>
      <name val="Calibri"/>
      <family val="2"/>
      <scheme val="minor"/>
    </font>
    <font>
      <sz val="11"/>
      <color theme="1"/>
      <name val="Symbol"/>
      <family val="1"/>
      <charset val="2"/>
    </font>
    <font>
      <sz val="9"/>
      <color indexed="81"/>
      <name val="Tahoma"/>
      <family val="2"/>
    </font>
    <font>
      <b/>
      <sz val="11"/>
      <color rgb="FFFF6600"/>
      <name val="Calibri"/>
      <family val="2"/>
      <scheme val="minor"/>
    </font>
    <font>
      <b/>
      <sz val="11"/>
      <color rgb="FF3F3F3F"/>
      <name val="Symbol"/>
      <family val="1"/>
      <charset val="2"/>
    </font>
    <font>
      <b/>
      <vertAlign val="subscript"/>
      <sz val="11"/>
      <color rgb="FF3F3F3F"/>
      <name val="Calibri"/>
      <family val="2"/>
      <scheme val="minor"/>
    </font>
    <font>
      <b/>
      <sz val="14"/>
      <color rgb="FF8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2" borderId="7" xfId="0" applyFill="1" applyBorder="1"/>
    <xf numFmtId="0" fontId="0" fillId="3" borderId="7" xfId="0" applyFill="1" applyBorder="1"/>
    <xf numFmtId="0" fontId="3" fillId="0" borderId="0" xfId="0" applyFont="1"/>
    <xf numFmtId="0" fontId="2" fillId="0" borderId="0" xfId="0" applyFont="1"/>
    <xf numFmtId="0" fontId="2" fillId="4" borderId="9" xfId="0" applyFont="1" applyFill="1" applyBorder="1"/>
    <xf numFmtId="0" fontId="2" fillId="4" borderId="10" xfId="0" applyFont="1" applyFill="1" applyBorder="1"/>
    <xf numFmtId="0" fontId="2" fillId="4" borderId="11" xfId="0" applyFont="1" applyFill="1" applyBorder="1"/>
    <xf numFmtId="0" fontId="2" fillId="4" borderId="13" xfId="0" applyFont="1" applyFill="1" applyBorder="1"/>
    <xf numFmtId="0" fontId="2" fillId="4" borderId="14" xfId="0" applyFont="1" applyFill="1" applyBorder="1"/>
    <xf numFmtId="0" fontId="2" fillId="4" borderId="15" xfId="0" applyFont="1" applyFill="1" applyBorder="1"/>
    <xf numFmtId="0" fontId="2" fillId="4" borderId="0" xfId="0" applyFont="1" applyFill="1"/>
    <xf numFmtId="6" fontId="0" fillId="0" borderId="0" xfId="0" applyNumberFormat="1"/>
    <xf numFmtId="8" fontId="0" fillId="5" borderId="0" xfId="0" applyNumberFormat="1" applyFill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13" fillId="0" borderId="0" xfId="0" applyFont="1"/>
    <xf numFmtId="0" fontId="0" fillId="0" borderId="19" xfId="0" applyBorder="1"/>
    <xf numFmtId="0" fontId="0" fillId="6" borderId="16" xfId="0" applyFill="1" applyBorder="1"/>
    <xf numFmtId="0" fontId="0" fillId="6" borderId="20" xfId="0" applyFill="1" applyBorder="1"/>
    <xf numFmtId="0" fontId="0" fillId="6" borderId="8" xfId="0" applyFill="1" applyBorder="1"/>
    <xf numFmtId="0" fontId="0" fillId="6" borderId="21" xfId="0" applyFill="1" applyBorder="1"/>
    <xf numFmtId="0" fontId="0" fillId="6" borderId="9" xfId="0" applyFill="1" applyBorder="1"/>
    <xf numFmtId="0" fontId="0" fillId="6" borderId="1" xfId="0" applyFill="1" applyBorder="1"/>
    <xf numFmtId="0" fontId="0" fillId="6" borderId="14" xfId="0" applyFill="1" applyBorder="1"/>
    <xf numFmtId="0" fontId="4" fillId="6" borderId="11" xfId="0" applyFont="1" applyFill="1" applyBorder="1"/>
    <xf numFmtId="0" fontId="4" fillId="6" borderId="12" xfId="0" applyFont="1" applyFill="1" applyBorder="1"/>
    <xf numFmtId="0" fontId="4" fillId="6" borderId="15" xfId="0" applyFont="1" applyFill="1" applyBorder="1"/>
    <xf numFmtId="0" fontId="0" fillId="0" borderId="0" xfId="0" applyAlignment="1">
      <alignment wrapText="1"/>
    </xf>
    <xf numFmtId="0" fontId="2" fillId="4" borderId="11" xfId="0" applyFont="1" applyFill="1" applyBorder="1" applyAlignment="1">
      <alignment wrapText="1"/>
    </xf>
    <xf numFmtId="0" fontId="2" fillId="4" borderId="15" xfId="0" applyFont="1" applyFill="1" applyBorder="1" applyAlignment="1">
      <alignment wrapText="1"/>
    </xf>
    <xf numFmtId="0" fontId="0" fillId="6" borderId="16" xfId="0" applyFill="1" applyBorder="1" applyAlignment="1">
      <alignment wrapText="1"/>
    </xf>
    <xf numFmtId="0" fontId="0" fillId="6" borderId="11" xfId="0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0" fillId="6" borderId="15" xfId="0" applyFill="1" applyBorder="1" applyAlignment="1">
      <alignment wrapText="1"/>
    </xf>
    <xf numFmtId="164" fontId="2" fillId="4" borderId="15" xfId="0" applyNumberFormat="1" applyFont="1" applyFill="1" applyBorder="1" applyAlignment="1">
      <alignment wrapText="1"/>
    </xf>
    <xf numFmtId="164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10" fontId="4" fillId="0" borderId="0" xfId="1" applyNumberFormat="1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2" xfId="0" applyBorder="1" applyAlignment="1">
      <alignment wrapText="1"/>
    </xf>
    <xf numFmtId="0" fontId="0" fillId="2" borderId="3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</xdr:row>
      <xdr:rowOff>0</xdr:rowOff>
    </xdr:from>
    <xdr:to>
      <xdr:col>4</xdr:col>
      <xdr:colOff>400050</xdr:colOff>
      <xdr:row>3</xdr:row>
      <xdr:rowOff>0</xdr:rowOff>
    </xdr:to>
    <xdr:sp macro="" textlink="">
      <xdr:nvSpPr>
        <xdr:cNvPr id="2" name="messageTextbox">
          <a:extLst>
            <a:ext uri="{FF2B5EF4-FFF2-40B4-BE49-F238E27FC236}">
              <a16:creationId xmlns:a16="http://schemas.microsoft.com/office/drawing/2014/main" id="{5B4C5927-39F3-F7B5-0FF5-D0B35493603C}"/>
            </a:ext>
          </a:extLst>
        </xdr:cNvPr>
        <xdr:cNvSpPr txBox="1"/>
      </xdr:nvSpPr>
      <xdr:spPr>
        <a:xfrm>
          <a:off x="254000" y="247650"/>
          <a:ext cx="5080000" cy="381000"/>
        </a:xfrm>
        <a:prstGeom prst="rect">
          <a:avLst/>
        </a:prstGeom>
        <a:solidFill>
          <a:srgbClr val="FFFFE6"/>
        </a:solidFill>
        <a:ln w="1" cmpd="sng">
          <a:solidFill>
            <a:srgbClr val="000000"/>
          </a:solidFill>
          <a:prstDash val="solid"/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r>
            <a:rPr lang="en-US" sz="900" b="0" i="0" u="none" strike="noStrike" baseline="0">
              <a:solidFill>
                <a:srgbClr val="9C6500"/>
              </a:solidFill>
              <a:latin typeface="Arial" panose="020B0604020202020204" pitchFamily="34" charset="0"/>
            </a:rPr>
            <a:t>The arrival RATE and service RATE both must be rates and use the same time unit. HOWEVER, enter the standard deviation of the service TIME not rate.</a:t>
          </a: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0</xdr:rowOff>
    </xdr:from>
    <xdr:to>
      <xdr:col>4</xdr:col>
      <xdr:colOff>266700</xdr:colOff>
      <xdr:row>5</xdr:row>
      <xdr:rowOff>0</xdr:rowOff>
    </xdr:to>
    <xdr:sp macro="" textlink="">
      <xdr:nvSpPr>
        <xdr:cNvPr id="2" name="messageTextbox">
          <a:extLst>
            <a:ext uri="{FF2B5EF4-FFF2-40B4-BE49-F238E27FC236}">
              <a16:creationId xmlns:a16="http://schemas.microsoft.com/office/drawing/2014/main" id="{E4E614D8-488E-CA73-097A-0301B03635FE}"/>
            </a:ext>
          </a:extLst>
        </xdr:cNvPr>
        <xdr:cNvSpPr txBox="1"/>
      </xdr:nvSpPr>
      <xdr:spPr>
        <a:xfrm>
          <a:off x="254000" y="647700"/>
          <a:ext cx="5080000" cy="381000"/>
        </a:xfrm>
        <a:prstGeom prst="rect">
          <a:avLst/>
        </a:prstGeom>
        <a:solidFill>
          <a:srgbClr val="FFFFE6"/>
        </a:solidFill>
        <a:ln w="1" cmpd="sng">
          <a:solidFill>
            <a:srgbClr val="000000"/>
          </a:solidFill>
          <a:prstDash val="solid"/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r>
            <a:rPr lang="en-US" sz="900" b="0" i="0" u="none" strike="noStrike" baseline="0">
              <a:solidFill>
                <a:srgbClr val="9C6500"/>
              </a:solidFill>
              <a:latin typeface="Arial" panose="020B0604020202020204" pitchFamily="34" charset="0"/>
            </a:rPr>
            <a:t>The arrival RATE and service RATE both must be rates and use the same time unit. Given a time such as 10 minutes, convert it to a rate such as 6 per hour.</a:t>
          </a:r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253999</xdr:colOff>
      <xdr:row>3</xdr:row>
      <xdr:rowOff>0</xdr:rowOff>
    </xdr:from>
    <xdr:to>
      <xdr:col>3</xdr:col>
      <xdr:colOff>2495549</xdr:colOff>
      <xdr:row>4</xdr:row>
      <xdr:rowOff>180975</xdr:rowOff>
    </xdr:to>
    <xdr:sp macro="" textlink="">
      <xdr:nvSpPr>
        <xdr:cNvPr id="2" name="messageTextbox">
          <a:extLst>
            <a:ext uri="{FF2B5EF4-FFF2-40B4-BE49-F238E27FC236}">
              <a16:creationId xmlns:a16="http://schemas.microsoft.com/office/drawing/2014/main" id="{92AC78BB-1D8F-AD9E-02DC-9709F2AD25E0}"/>
            </a:ext>
          </a:extLst>
        </xdr:cNvPr>
        <xdr:cNvSpPr txBox="1"/>
      </xdr:nvSpPr>
      <xdr:spPr>
        <a:xfrm>
          <a:off x="253999" y="647700"/>
          <a:ext cx="5080000" cy="381000"/>
        </a:xfrm>
        <a:prstGeom prst="rect">
          <a:avLst/>
        </a:prstGeom>
        <a:solidFill>
          <a:srgbClr val="FFFFE6"/>
        </a:solidFill>
        <a:ln w="1" cmpd="sng">
          <a:solidFill>
            <a:srgbClr val="000000"/>
          </a:solidFill>
          <a:prstDash val="solid"/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r>
            <a:rPr lang="en-US" sz="900" b="0" i="0" u="none" strike="noStrike" baseline="0">
              <a:solidFill>
                <a:srgbClr val="9C6500"/>
              </a:solidFill>
              <a:latin typeface="Arial" panose="020B0604020202020204" pitchFamily="34" charset="0"/>
            </a:rPr>
            <a:t>The arrival RATE and service RATE both must be rates and use the same time unit. Given a time such as 10 minutes, convert it to a rate such as 6 per hour.</a:t>
          </a:r>
        </a:p>
      </xdr:txBody>
    </xdr:sp>
    <xdr:clientData fPrint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253999</xdr:colOff>
      <xdr:row>3</xdr:row>
      <xdr:rowOff>0</xdr:rowOff>
    </xdr:from>
    <xdr:to>
      <xdr:col>3</xdr:col>
      <xdr:colOff>2495549</xdr:colOff>
      <xdr:row>4</xdr:row>
      <xdr:rowOff>180975</xdr:rowOff>
    </xdr:to>
    <xdr:sp macro="" textlink="">
      <xdr:nvSpPr>
        <xdr:cNvPr id="2" name="messageTextbox">
          <a:extLst>
            <a:ext uri="{FF2B5EF4-FFF2-40B4-BE49-F238E27FC236}">
              <a16:creationId xmlns:a16="http://schemas.microsoft.com/office/drawing/2014/main" id="{DA1538F1-0BB5-F882-4A57-68471D5DCEAD}"/>
            </a:ext>
          </a:extLst>
        </xdr:cNvPr>
        <xdr:cNvSpPr txBox="1"/>
      </xdr:nvSpPr>
      <xdr:spPr>
        <a:xfrm>
          <a:off x="253999" y="647700"/>
          <a:ext cx="5080000" cy="381000"/>
        </a:xfrm>
        <a:prstGeom prst="rect">
          <a:avLst/>
        </a:prstGeom>
        <a:solidFill>
          <a:srgbClr val="FFFFE6"/>
        </a:solidFill>
        <a:ln w="1" cmpd="sng">
          <a:solidFill>
            <a:srgbClr val="000000"/>
          </a:solidFill>
          <a:prstDash val="solid"/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r>
            <a:rPr lang="en-US" sz="900" b="0" i="0" u="none" strike="noStrike" baseline="0">
              <a:solidFill>
                <a:srgbClr val="9C6500"/>
              </a:solidFill>
              <a:latin typeface="Arial" panose="020B0604020202020204" pitchFamily="34" charset="0"/>
            </a:rPr>
            <a:t>The arrival RATE and service RATE both must be rates and use the same time unit. Given a time such as 10 minutes, convert it to a rate such as 6 per hour.</a:t>
          </a:r>
        </a:p>
      </xdr:txBody>
    </xdr:sp>
    <xdr:clientData fPrint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0</xdr:rowOff>
    </xdr:from>
    <xdr:to>
      <xdr:col>3</xdr:col>
      <xdr:colOff>2809875</xdr:colOff>
      <xdr:row>5</xdr:row>
      <xdr:rowOff>0</xdr:rowOff>
    </xdr:to>
    <xdr:sp macro="" textlink="">
      <xdr:nvSpPr>
        <xdr:cNvPr id="2" name="messageTextbox">
          <a:extLst>
            <a:ext uri="{FF2B5EF4-FFF2-40B4-BE49-F238E27FC236}">
              <a16:creationId xmlns:a16="http://schemas.microsoft.com/office/drawing/2014/main" id="{B6A448CE-D2B7-7698-0256-961363AF7A17}"/>
            </a:ext>
          </a:extLst>
        </xdr:cNvPr>
        <xdr:cNvSpPr txBox="1"/>
      </xdr:nvSpPr>
      <xdr:spPr>
        <a:xfrm>
          <a:off x="254000" y="647700"/>
          <a:ext cx="5080000" cy="381000"/>
        </a:xfrm>
        <a:prstGeom prst="rect">
          <a:avLst/>
        </a:prstGeom>
        <a:solidFill>
          <a:srgbClr val="FFFFE6"/>
        </a:solidFill>
        <a:ln w="1" cmpd="sng">
          <a:solidFill>
            <a:srgbClr val="000000"/>
          </a:solidFill>
          <a:prstDash val="solid"/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r>
            <a:rPr lang="en-US" sz="900" b="0" i="0" u="none" strike="noStrike" baseline="0">
              <a:solidFill>
                <a:srgbClr val="9C6500"/>
              </a:solidFill>
              <a:latin typeface="Arial" panose="020B0604020202020204" pitchFamily="34" charset="0"/>
            </a:rPr>
            <a:t>The arrival rate is for each member of the population. If they go for service every 20 minutes then enter 3 (per hour).</a:t>
          </a:r>
        </a:p>
      </xdr:txBody>
    </xdr:sp>
    <xdr:clientData fPrint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0</xdr:rowOff>
    </xdr:from>
    <xdr:to>
      <xdr:col>3</xdr:col>
      <xdr:colOff>2809875</xdr:colOff>
      <xdr:row>5</xdr:row>
      <xdr:rowOff>0</xdr:rowOff>
    </xdr:to>
    <xdr:sp macro="" textlink="">
      <xdr:nvSpPr>
        <xdr:cNvPr id="2" name="messageTextbox">
          <a:extLst>
            <a:ext uri="{FF2B5EF4-FFF2-40B4-BE49-F238E27FC236}">
              <a16:creationId xmlns:a16="http://schemas.microsoft.com/office/drawing/2014/main" id="{763FBC1C-A71D-0FD2-4CDF-E35C48C1E0D3}"/>
            </a:ext>
          </a:extLst>
        </xdr:cNvPr>
        <xdr:cNvSpPr txBox="1"/>
      </xdr:nvSpPr>
      <xdr:spPr>
        <a:xfrm>
          <a:off x="254000" y="647700"/>
          <a:ext cx="5080000" cy="381000"/>
        </a:xfrm>
        <a:prstGeom prst="rect">
          <a:avLst/>
        </a:prstGeom>
        <a:solidFill>
          <a:srgbClr val="FFFFE6"/>
        </a:solidFill>
        <a:ln w="1" cmpd="sng">
          <a:solidFill>
            <a:srgbClr val="000000"/>
          </a:solidFill>
          <a:prstDash val="solid"/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r>
            <a:rPr lang="en-US" sz="900" b="0" i="0" u="none" strike="noStrike" baseline="0">
              <a:solidFill>
                <a:srgbClr val="9C6500"/>
              </a:solidFill>
              <a:latin typeface="Arial" panose="020B0604020202020204" pitchFamily="34" charset="0"/>
            </a:rPr>
            <a:t>The arrival rate is for each member of the population. If they go for service every 20 minutes then enter 3 (per hour).</a:t>
          </a:r>
        </a:p>
      </xdr:txBody>
    </xdr:sp>
    <xdr:clientData fPrint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0</xdr:rowOff>
    </xdr:from>
    <xdr:to>
      <xdr:col>3</xdr:col>
      <xdr:colOff>2809875</xdr:colOff>
      <xdr:row>5</xdr:row>
      <xdr:rowOff>0</xdr:rowOff>
    </xdr:to>
    <xdr:sp macro="" textlink="">
      <xdr:nvSpPr>
        <xdr:cNvPr id="2" name="messageTextbox">
          <a:extLst>
            <a:ext uri="{FF2B5EF4-FFF2-40B4-BE49-F238E27FC236}">
              <a16:creationId xmlns:a16="http://schemas.microsoft.com/office/drawing/2014/main" id="{A4EB7A7C-4126-D479-64FC-398F042612C3}"/>
            </a:ext>
          </a:extLst>
        </xdr:cNvPr>
        <xdr:cNvSpPr txBox="1"/>
      </xdr:nvSpPr>
      <xdr:spPr>
        <a:xfrm>
          <a:off x="254000" y="647700"/>
          <a:ext cx="5080000" cy="381000"/>
        </a:xfrm>
        <a:prstGeom prst="rect">
          <a:avLst/>
        </a:prstGeom>
        <a:solidFill>
          <a:srgbClr val="FFFFE6"/>
        </a:solidFill>
        <a:ln w="1" cmpd="sng">
          <a:solidFill>
            <a:srgbClr val="000000"/>
          </a:solidFill>
          <a:prstDash val="solid"/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r>
            <a:rPr lang="en-US" sz="900" b="0" i="0" u="none" strike="noStrike" baseline="0">
              <a:solidFill>
                <a:srgbClr val="9C6500"/>
              </a:solidFill>
              <a:latin typeface="Arial" panose="020B0604020202020204" pitchFamily="34" charset="0"/>
            </a:rPr>
            <a:t>The arrival rate is for each member of the population. If they go for service every 20 minutes then enter 3 (per hour).</a:t>
          </a: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D79F6-888E-4525-AA1D-50420A85399F}">
  <dimension ref="A1:H18"/>
  <sheetViews>
    <sheetView tabSelected="1" workbookViewId="0">
      <selection activeCell="H4" sqref="H4"/>
    </sheetView>
  </sheetViews>
  <sheetFormatPr defaultRowHeight="15" x14ac:dyDescent="0.25"/>
  <cols>
    <col min="1" max="1" width="18.7109375" customWidth="1"/>
    <col min="3" max="3" width="2.7109375" customWidth="1"/>
    <col min="4" max="4" width="43.42578125" bestFit="1" customWidth="1"/>
  </cols>
  <sheetData>
    <row r="1" spans="1:8" ht="19.5" x14ac:dyDescent="0.3">
      <c r="A1" s="2" t="s">
        <v>18</v>
      </c>
      <c r="B1" s="4"/>
      <c r="C1" s="4" t="s">
        <v>13</v>
      </c>
      <c r="D1" s="4"/>
      <c r="E1" s="4"/>
      <c r="F1" s="4"/>
      <c r="G1" s="4"/>
      <c r="H1" s="4"/>
    </row>
    <row r="2" spans="1:8" x14ac:dyDescent="0.25">
      <c r="A2" s="3"/>
      <c r="B2" s="3"/>
    </row>
    <row r="4" spans="1:8" ht="15.75" thickBot="1" x14ac:dyDescent="0.3">
      <c r="A4" s="5" t="s">
        <v>4</v>
      </c>
      <c r="D4" s="14" t="s">
        <v>6</v>
      </c>
    </row>
    <row r="5" spans="1:8" x14ac:dyDescent="0.25">
      <c r="A5" s="6" t="s">
        <v>2</v>
      </c>
      <c r="B5" s="7">
        <v>0.375</v>
      </c>
      <c r="D5" s="16" t="s">
        <v>9</v>
      </c>
      <c r="E5" s="18">
        <f>B5/B6</f>
        <v>0.75</v>
      </c>
    </row>
    <row r="6" spans="1:8" ht="18" x14ac:dyDescent="0.35">
      <c r="A6" s="8" t="s">
        <v>3</v>
      </c>
      <c r="B6" s="9">
        <v>0.5</v>
      </c>
      <c r="D6" s="15" t="s">
        <v>10</v>
      </c>
      <c r="E6" s="19">
        <f>(B5^2*B7^2+E5^2)/(2*(1-E5))</f>
        <v>1.7578125</v>
      </c>
    </row>
    <row r="7" spans="1:8" ht="15.75" thickBot="1" x14ac:dyDescent="0.3">
      <c r="A7" s="10" t="s">
        <v>14</v>
      </c>
      <c r="B7" s="11">
        <v>1.5</v>
      </c>
      <c r="D7" s="15" t="s">
        <v>7</v>
      </c>
      <c r="E7" s="19">
        <f>E5+E6</f>
        <v>2.5078125</v>
      </c>
    </row>
    <row r="8" spans="1:8" ht="18" x14ac:dyDescent="0.35">
      <c r="D8" s="15" t="s">
        <v>11</v>
      </c>
      <c r="E8" s="19">
        <f>E6/B5</f>
        <v>4.6875</v>
      </c>
      <c r="F8" s="24"/>
    </row>
    <row r="9" spans="1:8" x14ac:dyDescent="0.25">
      <c r="D9" s="15" t="s">
        <v>8</v>
      </c>
      <c r="E9" s="19">
        <f>E8+1/B6</f>
        <v>6.6875</v>
      </c>
      <c r="F9" s="24"/>
    </row>
    <row r="10" spans="1:8" ht="18.75" thickBot="1" x14ac:dyDescent="0.4">
      <c r="D10" s="17" t="s">
        <v>12</v>
      </c>
      <c r="E10" s="20">
        <f>1-E5</f>
        <v>0.25</v>
      </c>
    </row>
    <row r="11" spans="1:8" x14ac:dyDescent="0.25">
      <c r="A11" s="13" t="str">
        <f>IF(B5&gt;=B6,"The service rate must be greater than the arrival rate","")</f>
        <v/>
      </c>
    </row>
    <row r="12" spans="1:8" x14ac:dyDescent="0.25">
      <c r="A12" s="1" t="s">
        <v>25</v>
      </c>
      <c r="D12" s="25" t="s">
        <v>24</v>
      </c>
    </row>
    <row r="13" spans="1:8" x14ac:dyDescent="0.25">
      <c r="A13" t="s">
        <v>15</v>
      </c>
      <c r="B13" s="24">
        <f>3/8</f>
        <v>0.375</v>
      </c>
      <c r="D13" s="21" t="s">
        <v>20</v>
      </c>
      <c r="E13" s="22">
        <v>28</v>
      </c>
    </row>
    <row r="14" spans="1:8" x14ac:dyDescent="0.25">
      <c r="A14" t="s">
        <v>16</v>
      </c>
      <c r="B14" s="24">
        <f>1/2</f>
        <v>0.5</v>
      </c>
      <c r="D14" s="21" t="s">
        <v>21</v>
      </c>
      <c r="E14" s="22">
        <v>35</v>
      </c>
    </row>
    <row r="15" spans="1:8" x14ac:dyDescent="0.25">
      <c r="A15" t="s">
        <v>17</v>
      </c>
      <c r="B15" s="24">
        <v>1.5</v>
      </c>
      <c r="D15" s="21" t="s">
        <v>22</v>
      </c>
      <c r="E15" s="23">
        <f>(E14*E8)+E13</f>
        <v>192.0625</v>
      </c>
    </row>
    <row r="16" spans="1:8" x14ac:dyDescent="0.25">
      <c r="D16" s="21" t="s">
        <v>27</v>
      </c>
    </row>
    <row r="17" spans="1:2" x14ac:dyDescent="0.25">
      <c r="A17" t="s">
        <v>19</v>
      </c>
      <c r="B17" s="24">
        <f>1-E10</f>
        <v>0.75</v>
      </c>
    </row>
    <row r="18" spans="1:2" x14ac:dyDescent="0.25">
      <c r="A18" t="s">
        <v>23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9BDCF-EAB4-4D3A-8D36-E9B8F1C97087}">
  <dimension ref="A1:H17"/>
  <sheetViews>
    <sheetView workbookViewId="0">
      <selection activeCell="D19" sqref="D19"/>
    </sheetView>
  </sheetViews>
  <sheetFormatPr defaultRowHeight="15" x14ac:dyDescent="0.25"/>
  <cols>
    <col min="1" max="1" width="20.7109375" customWidth="1"/>
    <col min="3" max="3" width="2.7109375" customWidth="1"/>
    <col min="4" max="4" width="43.42578125" bestFit="1" customWidth="1"/>
  </cols>
  <sheetData>
    <row r="1" spans="1:8" ht="18.75" x14ac:dyDescent="0.3">
      <c r="A1" s="26" t="s">
        <v>26</v>
      </c>
    </row>
    <row r="3" spans="1:8" ht="17.25" x14ac:dyDescent="0.3">
      <c r="A3" s="4" t="s">
        <v>0</v>
      </c>
      <c r="B3" s="4"/>
      <c r="C3" s="4" t="s">
        <v>1</v>
      </c>
      <c r="D3" s="4"/>
      <c r="E3" s="4"/>
      <c r="F3" s="4"/>
      <c r="G3" s="4"/>
      <c r="H3" s="4"/>
    </row>
    <row r="4" spans="1:8" x14ac:dyDescent="0.25">
      <c r="A4" s="3"/>
      <c r="B4" s="3"/>
    </row>
    <row r="6" spans="1:8" ht="15.75" thickBot="1" x14ac:dyDescent="0.3">
      <c r="A6" s="5" t="s">
        <v>4</v>
      </c>
      <c r="D6" s="14" t="s">
        <v>6</v>
      </c>
    </row>
    <row r="7" spans="1:8" x14ac:dyDescent="0.25">
      <c r="A7" s="6" t="s">
        <v>2</v>
      </c>
      <c r="B7" s="7">
        <v>0.375</v>
      </c>
      <c r="D7" s="16" t="s">
        <v>9</v>
      </c>
      <c r="E7" s="18">
        <f>B7/B8</f>
        <v>0.75</v>
      </c>
    </row>
    <row r="8" spans="1:8" ht="18" x14ac:dyDescent="0.35">
      <c r="A8" s="8" t="s">
        <v>3</v>
      </c>
      <c r="B8" s="9">
        <v>0.5</v>
      </c>
      <c r="D8" s="15" t="s">
        <v>10</v>
      </c>
      <c r="E8" s="19">
        <f>B7^2/(2*(B8*(B8-B7)))</f>
        <v>1.125</v>
      </c>
    </row>
    <row r="9" spans="1:8" ht="15.75" thickBot="1" x14ac:dyDescent="0.3">
      <c r="A9" s="10" t="s">
        <v>5</v>
      </c>
      <c r="B9" s="12">
        <v>1</v>
      </c>
      <c r="D9" s="15" t="s">
        <v>7</v>
      </c>
      <c r="E9" s="19">
        <f>E8+B7/B8</f>
        <v>1.875</v>
      </c>
    </row>
    <row r="10" spans="1:8" ht="18" x14ac:dyDescent="0.35">
      <c r="D10" s="15" t="s">
        <v>11</v>
      </c>
      <c r="E10" s="19">
        <f>B7/(2*(B8*(B8-B7)))</f>
        <v>3</v>
      </c>
    </row>
    <row r="11" spans="1:8" x14ac:dyDescent="0.25">
      <c r="D11" s="15" t="s">
        <v>8</v>
      </c>
      <c r="E11" s="19">
        <f>E10+1/B8</f>
        <v>5</v>
      </c>
    </row>
    <row r="12" spans="1:8" ht="18.75" thickBot="1" x14ac:dyDescent="0.4">
      <c r="D12" s="17" t="s">
        <v>12</v>
      </c>
      <c r="E12" s="20">
        <f>1-E7</f>
        <v>0.25</v>
      </c>
    </row>
    <row r="13" spans="1:8" x14ac:dyDescent="0.25">
      <c r="A13" s="13" t="str">
        <f>IF(B7&gt;=B8,"The service rate must be greater than the arrival rate","")</f>
        <v/>
      </c>
    </row>
    <row r="14" spans="1:8" x14ac:dyDescent="0.25">
      <c r="A14" t="s">
        <v>16</v>
      </c>
      <c r="B14">
        <f>1/2</f>
        <v>0.5</v>
      </c>
      <c r="D14" s="21" t="s">
        <v>20</v>
      </c>
      <c r="E14" s="22">
        <v>32</v>
      </c>
    </row>
    <row r="15" spans="1:8" x14ac:dyDescent="0.25">
      <c r="A15" t="s">
        <v>15</v>
      </c>
      <c r="B15">
        <v>0.375</v>
      </c>
      <c r="D15" s="21" t="s">
        <v>21</v>
      </c>
      <c r="E15" s="22">
        <v>35</v>
      </c>
    </row>
    <row r="16" spans="1:8" x14ac:dyDescent="0.25">
      <c r="D16" s="21" t="s">
        <v>22</v>
      </c>
      <c r="E16" s="23">
        <f>(E15*E10)+E14</f>
        <v>137</v>
      </c>
    </row>
    <row r="17" spans="4:4" x14ac:dyDescent="0.25">
      <c r="D17" s="21" t="s">
        <v>27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89B02-FBE6-4D55-8E93-6C26DC90DB6D}">
  <dimension ref="A1:Q69"/>
  <sheetViews>
    <sheetView zoomScale="95" zoomScaleNormal="95" workbookViewId="0">
      <selection activeCell="B8" sqref="B8"/>
    </sheetView>
  </sheetViews>
  <sheetFormatPr defaultRowHeight="15" x14ac:dyDescent="0.25"/>
  <cols>
    <col min="1" max="1" width="20" bestFit="1" customWidth="1"/>
    <col min="2" max="2" width="14.42578125" bestFit="1" customWidth="1"/>
    <col min="3" max="3" width="33.85546875" bestFit="1" customWidth="1"/>
    <col min="4" max="4" width="43.42578125" bestFit="1" customWidth="1"/>
    <col min="5" max="5" width="7.7109375" customWidth="1"/>
  </cols>
  <sheetData>
    <row r="1" spans="1:17" ht="18.75" x14ac:dyDescent="0.3">
      <c r="A1" s="26" t="s">
        <v>42</v>
      </c>
    </row>
    <row r="3" spans="1:17" ht="17.25" x14ac:dyDescent="0.3">
      <c r="A3" s="4" t="s">
        <v>0</v>
      </c>
      <c r="B3" s="4"/>
      <c r="C3" s="4" t="s">
        <v>28</v>
      </c>
      <c r="D3" s="4"/>
      <c r="E3" s="4"/>
      <c r="F3" s="4"/>
      <c r="G3" s="4"/>
      <c r="H3" s="4"/>
    </row>
    <row r="4" spans="1:17" ht="15.75" thickBot="1" x14ac:dyDescent="0.3">
      <c r="A4" s="3"/>
      <c r="B4" s="3"/>
      <c r="G4" s="1" t="s">
        <v>41</v>
      </c>
    </row>
    <row r="5" spans="1:17" x14ac:dyDescent="0.25">
      <c r="H5" s="59" t="s">
        <v>5</v>
      </c>
      <c r="I5" s="60"/>
      <c r="J5" s="60"/>
      <c r="K5" s="60"/>
      <c r="L5" s="60"/>
      <c r="M5" s="60"/>
      <c r="N5" s="60"/>
      <c r="O5" s="60"/>
      <c r="P5" s="60"/>
      <c r="Q5" s="27"/>
    </row>
    <row r="6" spans="1:17" ht="15.75" thickBot="1" x14ac:dyDescent="0.3">
      <c r="A6" s="5" t="s">
        <v>4</v>
      </c>
      <c r="D6" s="14" t="s">
        <v>6</v>
      </c>
      <c r="G6" s="28">
        <f>B9</f>
        <v>2</v>
      </c>
      <c r="H6" s="35">
        <v>1</v>
      </c>
      <c r="I6" s="36">
        <v>2</v>
      </c>
      <c r="J6" s="36">
        <v>3</v>
      </c>
      <c r="K6" s="36">
        <v>4</v>
      </c>
      <c r="L6" s="36">
        <v>5</v>
      </c>
      <c r="M6" s="36">
        <v>6</v>
      </c>
      <c r="N6" s="36">
        <v>7</v>
      </c>
      <c r="O6" s="36">
        <v>8</v>
      </c>
      <c r="P6" s="36">
        <v>9</v>
      </c>
      <c r="Q6" s="37">
        <v>10</v>
      </c>
    </row>
    <row r="7" spans="1:17" x14ac:dyDescent="0.25">
      <c r="A7" s="6" t="s">
        <v>2</v>
      </c>
      <c r="B7" s="56">
        <v>20</v>
      </c>
      <c r="D7" s="16" t="s">
        <v>9</v>
      </c>
      <c r="E7" s="18">
        <f>IF(B9*B8&gt;B7,B7/(B8*B9),"NA")</f>
        <v>0.83333333333333337</v>
      </c>
      <c r="G7" s="28">
        <f>E7</f>
        <v>0.83333333333333337</v>
      </c>
      <c r="H7" s="29" t="str">
        <f t="dataTable" ref="H7:Q12" dt2D="0" dtr="1" r1="B9"/>
        <v>NA</v>
      </c>
      <c r="I7" s="30">
        <v>0.83333333333333337</v>
      </c>
      <c r="J7" s="30">
        <v>0.55555555555555558</v>
      </c>
      <c r="K7" s="30">
        <v>0.41666666666666669</v>
      </c>
      <c r="L7" s="30">
        <v>0.33333333333333331</v>
      </c>
      <c r="M7" s="30">
        <v>0.27777777777777779</v>
      </c>
      <c r="N7" s="30">
        <v>0.23809523809523808</v>
      </c>
      <c r="O7" s="30">
        <v>0.20833333333333334</v>
      </c>
      <c r="P7" s="30">
        <v>0.18518518518518517</v>
      </c>
      <c r="Q7" s="31">
        <v>0.16666666666666666</v>
      </c>
    </row>
    <row r="8" spans="1:17" ht="18" x14ac:dyDescent="0.35">
      <c r="A8" s="8" t="s">
        <v>3</v>
      </c>
      <c r="B8" s="57">
        <v>12</v>
      </c>
      <c r="D8" s="15" t="s">
        <v>10</v>
      </c>
      <c r="E8" s="19">
        <f>IF(B9*B8&gt;B7,VLOOKUP($B$9,$A$40:$G$61,7),"NA")</f>
        <v>3.7878787878787894</v>
      </c>
      <c r="G8" s="28">
        <f t="shared" ref="G8:G12" si="0">E8</f>
        <v>3.7878787878787894</v>
      </c>
      <c r="H8" s="32" t="str">
        <v>NA</v>
      </c>
      <c r="I8" s="33">
        <v>3.7878787878787894</v>
      </c>
      <c r="J8" s="33">
        <v>0.37470023980815348</v>
      </c>
      <c r="K8" s="33">
        <v>7.3197011219637897E-2</v>
      </c>
      <c r="L8" s="33">
        <v>1.5138303541151964E-2</v>
      </c>
      <c r="M8" s="33">
        <v>2.9928288946568294E-3</v>
      </c>
      <c r="N8" s="33">
        <v>5.4903770784652591E-4</v>
      </c>
      <c r="O8" s="33">
        <v>9.270738513480643E-5</v>
      </c>
      <c r="P8" s="33">
        <v>1.4405863027101408E-5</v>
      </c>
      <c r="Q8" s="34">
        <v>2.0659103781689837E-6</v>
      </c>
    </row>
    <row r="9" spans="1:17" ht="15.75" thickBot="1" x14ac:dyDescent="0.3">
      <c r="A9" s="10" t="s">
        <v>29</v>
      </c>
      <c r="B9" s="58">
        <v>2</v>
      </c>
      <c r="D9" s="15" t="s">
        <v>7</v>
      </c>
      <c r="E9" s="19">
        <f>IF(B9*B8&gt;B7,E8+B7/B8,"NA")</f>
        <v>5.4545454545454559</v>
      </c>
      <c r="G9" s="28">
        <f t="shared" si="0"/>
        <v>5.4545454545454559</v>
      </c>
      <c r="H9" s="32" t="str">
        <v>NA</v>
      </c>
      <c r="I9" s="33">
        <v>5.4545454545454559</v>
      </c>
      <c r="J9" s="33">
        <v>2.0413669064748201</v>
      </c>
      <c r="K9" s="33">
        <v>1.7398636778863046</v>
      </c>
      <c r="L9" s="33">
        <v>1.6818049702078186</v>
      </c>
      <c r="M9" s="33">
        <v>1.6696594955613235</v>
      </c>
      <c r="N9" s="33">
        <v>1.6672157043745133</v>
      </c>
      <c r="O9" s="33">
        <v>1.6667593740518016</v>
      </c>
      <c r="P9" s="33">
        <v>1.6666810725296939</v>
      </c>
      <c r="Q9" s="34">
        <v>1.6666687325770448</v>
      </c>
    </row>
    <row r="10" spans="1:17" ht="18" x14ac:dyDescent="0.35">
      <c r="D10" s="15" t="s">
        <v>11</v>
      </c>
      <c r="E10" s="19">
        <f>IF(B9*B8&gt;B7,E8/B7,"NA")</f>
        <v>0.18939393939393948</v>
      </c>
      <c r="G10" s="28">
        <f t="shared" si="0"/>
        <v>0.18939393939393948</v>
      </c>
      <c r="H10" s="32" t="str">
        <v>NA</v>
      </c>
      <c r="I10" s="33">
        <v>0.18939393939393948</v>
      </c>
      <c r="J10" s="33">
        <v>1.8735011990407675E-2</v>
      </c>
      <c r="K10" s="33">
        <v>3.6598505609818947E-3</v>
      </c>
      <c r="L10" s="33">
        <v>7.5691517705759822E-4</v>
      </c>
      <c r="M10" s="33">
        <v>1.4964144473284148E-4</v>
      </c>
      <c r="N10" s="33">
        <v>2.7451885392326294E-5</v>
      </c>
      <c r="O10" s="33">
        <v>4.6353692567403212E-6</v>
      </c>
      <c r="P10" s="33">
        <v>7.2029315135507044E-7</v>
      </c>
      <c r="Q10" s="34">
        <v>1.0329551890844919E-7</v>
      </c>
    </row>
    <row r="11" spans="1:17" x14ac:dyDescent="0.25">
      <c r="D11" s="15" t="s">
        <v>8</v>
      </c>
      <c r="E11" s="19">
        <f>IF(B9*B8&gt;B7,E10+1/B8,"NA")</f>
        <v>0.27272727272727282</v>
      </c>
      <c r="G11" s="28">
        <f t="shared" si="0"/>
        <v>0.27272727272727282</v>
      </c>
      <c r="H11" s="32" t="str">
        <v>NA</v>
      </c>
      <c r="I11" s="33">
        <v>0.27272727272727282</v>
      </c>
      <c r="J11" s="33">
        <v>0.10206834532374101</v>
      </c>
      <c r="K11" s="33">
        <v>8.6993183894315221E-2</v>
      </c>
      <c r="L11" s="33">
        <v>8.409024851039093E-2</v>
      </c>
      <c r="M11" s="33">
        <v>8.3482974778066169E-2</v>
      </c>
      <c r="N11" s="33">
        <v>8.3360785218725655E-2</v>
      </c>
      <c r="O11" s="33">
        <v>8.3337968702590068E-2</v>
      </c>
      <c r="P11" s="33">
        <v>8.3334053626484689E-2</v>
      </c>
      <c r="Q11" s="34">
        <v>8.3333436628852231E-2</v>
      </c>
    </row>
    <row r="12" spans="1:17" s="38" customFormat="1" ht="18.75" thickBot="1" x14ac:dyDescent="0.4">
      <c r="D12" s="39" t="s">
        <v>12</v>
      </c>
      <c r="E12" s="45">
        <f>IF(B9*B8&gt;B7,VLOOKUP($B$9,$A$40:$G$61,5),"NA")</f>
        <v>9.0909090909090884E-2</v>
      </c>
      <c r="G12" s="41">
        <f t="shared" si="0"/>
        <v>9.0909090909090884E-2</v>
      </c>
      <c r="H12" s="42" t="str">
        <v>NA</v>
      </c>
      <c r="I12" s="43">
        <v>9.0909090909090884E-2</v>
      </c>
      <c r="J12" s="43">
        <v>0.17266187050359708</v>
      </c>
      <c r="K12" s="43">
        <v>0.1859321200196753</v>
      </c>
      <c r="L12" s="43">
        <v>0.18834471733759625</v>
      </c>
      <c r="M12" s="43">
        <v>0.18878439047711529</v>
      </c>
      <c r="N12" s="43">
        <v>0.18886093183024127</v>
      </c>
      <c r="O12" s="43">
        <v>0.18887340685248144</v>
      </c>
      <c r="P12" s="43">
        <v>0.1888752971511371</v>
      </c>
      <c r="Q12" s="44">
        <v>0.18887556319620746</v>
      </c>
    </row>
    <row r="13" spans="1:17" x14ac:dyDescent="0.25">
      <c r="A13" s="13" t="str">
        <f>IF(B7&gt;=B8*B9,"The total service rate (rate*servers) must be greater than the arrival rate","")</f>
        <v/>
      </c>
    </row>
    <row r="16" spans="1:17" x14ac:dyDescent="0.25">
      <c r="E16" s="46"/>
    </row>
    <row r="17" spans="1:1" x14ac:dyDescent="0.25">
      <c r="A17" s="1"/>
    </row>
    <row r="18" spans="1:1" x14ac:dyDescent="0.25">
      <c r="A18" s="24"/>
    </row>
    <row r="19" spans="1:1" x14ac:dyDescent="0.25">
      <c r="A19" s="24"/>
    </row>
    <row r="20" spans="1:1" x14ac:dyDescent="0.25">
      <c r="A20" s="24"/>
    </row>
    <row r="21" spans="1:1" x14ac:dyDescent="0.25">
      <c r="A21" s="24"/>
    </row>
    <row r="37" spans="1:10" x14ac:dyDescent="0.25">
      <c r="A37" t="s">
        <v>30</v>
      </c>
    </row>
    <row r="38" spans="1:10" x14ac:dyDescent="0.25">
      <c r="A38" t="s">
        <v>31</v>
      </c>
      <c r="B38" t="s">
        <v>32</v>
      </c>
      <c r="C38" t="s">
        <v>33</v>
      </c>
      <c r="D38" t="s">
        <v>34</v>
      </c>
      <c r="E38" t="s">
        <v>35</v>
      </c>
      <c r="F38" t="s">
        <v>36</v>
      </c>
      <c r="G38" t="s">
        <v>37</v>
      </c>
      <c r="H38" t="s">
        <v>38</v>
      </c>
      <c r="I38" t="s">
        <v>39</v>
      </c>
      <c r="J38" t="s">
        <v>40</v>
      </c>
    </row>
    <row r="39" spans="1:10" x14ac:dyDescent="0.25">
      <c r="A39">
        <v>0</v>
      </c>
      <c r="B39">
        <v>1</v>
      </c>
    </row>
    <row r="40" spans="1:10" x14ac:dyDescent="0.25">
      <c r="A40">
        <v>1</v>
      </c>
      <c r="B40">
        <f>($B$7/$B$8)^A40/FACT(A40)</f>
        <v>1.6666666666666667</v>
      </c>
      <c r="C40">
        <f>SUM(B39:$B$39)</f>
        <v>1</v>
      </c>
      <c r="D40">
        <f>+B40/(1-$B$7/(A40*$B$8))</f>
        <v>-2.5</v>
      </c>
      <c r="E40">
        <f>1/(C40+D40)</f>
        <v>-0.66666666666666663</v>
      </c>
      <c r="F40">
        <f>$B$7/($B$8*A40)</f>
        <v>1.6666666666666667</v>
      </c>
      <c r="G40">
        <f>+E40*B40*F40/(1-F40)^2</f>
        <v>-4.1666666666666661</v>
      </c>
      <c r="H40">
        <f>G40+$B$7/$B$8</f>
        <v>-2.4999999999999991</v>
      </c>
      <c r="I40">
        <f>G40/$B$7</f>
        <v>-0.20833333333333331</v>
      </c>
      <c r="J40">
        <f>I40+1/$B$8</f>
        <v>-0.12499999999999999</v>
      </c>
    </row>
    <row r="41" spans="1:10" x14ac:dyDescent="0.25">
      <c r="A41">
        <v>2</v>
      </c>
      <c r="B41">
        <f t="shared" ref="B41:B61" si="1">($B$7/$B$8)^A41/FACT(A41)</f>
        <v>1.3888888888888891</v>
      </c>
      <c r="C41">
        <f>SUM(B$39:$B40)</f>
        <v>2.666666666666667</v>
      </c>
      <c r="D41">
        <f t="shared" ref="D41:D61" si="2">+B41/(1-$B$7/(A41*$B$8))</f>
        <v>8.3333333333333357</v>
      </c>
      <c r="E41">
        <f t="shared" ref="E41:E61" si="3">1/(C41+D41)</f>
        <v>9.0909090909090884E-2</v>
      </c>
      <c r="F41">
        <f t="shared" ref="F41:F61" si="4">$B$7/($B$8*A41)</f>
        <v>0.83333333333333337</v>
      </c>
      <c r="G41">
        <f t="shared" ref="G41:G61" si="5">+E41*B41*F41/(1-F41)^2</f>
        <v>3.7878787878787894</v>
      </c>
      <c r="H41">
        <f t="shared" ref="H41:H61" si="6">G41+$B$7/$B$8</f>
        <v>5.4545454545454559</v>
      </c>
      <c r="I41">
        <f t="shared" ref="I41:I61" si="7">G41/$B$7</f>
        <v>0.18939393939393948</v>
      </c>
      <c r="J41">
        <f t="shared" ref="J41:J61" si="8">I41+1/$B$8</f>
        <v>0.27272727272727282</v>
      </c>
    </row>
    <row r="42" spans="1:10" x14ac:dyDescent="0.25">
      <c r="A42">
        <v>3</v>
      </c>
      <c r="B42">
        <f t="shared" si="1"/>
        <v>0.77160493827160515</v>
      </c>
      <c r="C42">
        <f>SUM(B$39:$B41)</f>
        <v>4.0555555555555562</v>
      </c>
      <c r="D42">
        <f t="shared" si="2"/>
        <v>1.7361111111111116</v>
      </c>
      <c r="E42">
        <f t="shared" si="3"/>
        <v>0.17266187050359708</v>
      </c>
      <c r="F42">
        <f t="shared" si="4"/>
        <v>0.55555555555555558</v>
      </c>
      <c r="G42">
        <f t="shared" si="5"/>
        <v>0.37470023980815348</v>
      </c>
      <c r="H42">
        <f t="shared" si="6"/>
        <v>2.0413669064748201</v>
      </c>
      <c r="I42">
        <f t="shared" si="7"/>
        <v>1.8735011990407675E-2</v>
      </c>
      <c r="J42">
        <f t="shared" si="8"/>
        <v>0.10206834532374101</v>
      </c>
    </row>
    <row r="43" spans="1:10" x14ac:dyDescent="0.25">
      <c r="A43">
        <v>4</v>
      </c>
      <c r="B43">
        <f t="shared" si="1"/>
        <v>0.3215020576131688</v>
      </c>
      <c r="C43">
        <f>SUM(B$39:$B42)</f>
        <v>4.8271604938271615</v>
      </c>
      <c r="D43">
        <f t="shared" si="2"/>
        <v>0.55114638447971798</v>
      </c>
      <c r="E43">
        <f t="shared" si="3"/>
        <v>0.1859321200196753</v>
      </c>
      <c r="F43">
        <f t="shared" si="4"/>
        <v>0.41666666666666669</v>
      </c>
      <c r="G43">
        <f t="shared" si="5"/>
        <v>7.3197011219637897E-2</v>
      </c>
      <c r="H43">
        <f t="shared" si="6"/>
        <v>1.7398636778863046</v>
      </c>
      <c r="I43">
        <f t="shared" si="7"/>
        <v>3.6598505609818947E-3</v>
      </c>
      <c r="J43">
        <f t="shared" si="8"/>
        <v>8.6993183894315221E-2</v>
      </c>
    </row>
    <row r="44" spans="1:10" x14ac:dyDescent="0.25">
      <c r="A44">
        <v>5</v>
      </c>
      <c r="B44">
        <f t="shared" si="1"/>
        <v>0.10716735253772294</v>
      </c>
      <c r="C44">
        <f>SUM(B$39:$B43)</f>
        <v>5.1486625514403306</v>
      </c>
      <c r="D44">
        <f t="shared" si="2"/>
        <v>0.1607510288065844</v>
      </c>
      <c r="E44">
        <f t="shared" si="3"/>
        <v>0.18834471733759625</v>
      </c>
      <c r="F44">
        <f t="shared" si="4"/>
        <v>0.33333333333333331</v>
      </c>
      <c r="G44">
        <f t="shared" si="5"/>
        <v>1.5138303541151964E-2</v>
      </c>
      <c r="H44">
        <f t="shared" si="6"/>
        <v>1.6818049702078186</v>
      </c>
      <c r="I44">
        <f t="shared" si="7"/>
        <v>7.5691517705759822E-4</v>
      </c>
      <c r="J44">
        <f t="shared" si="8"/>
        <v>8.409024851039093E-2</v>
      </c>
    </row>
    <row r="45" spans="1:10" x14ac:dyDescent="0.25">
      <c r="A45">
        <v>6</v>
      </c>
      <c r="B45">
        <f t="shared" si="1"/>
        <v>2.9768709038256378E-2</v>
      </c>
      <c r="C45">
        <f>SUM(B$39:$B44)</f>
        <v>5.2558299039780536</v>
      </c>
      <c r="D45">
        <f t="shared" si="2"/>
        <v>4.1218212514508829E-2</v>
      </c>
      <c r="E45">
        <f t="shared" si="3"/>
        <v>0.18878439047711529</v>
      </c>
      <c r="F45">
        <f t="shared" si="4"/>
        <v>0.27777777777777779</v>
      </c>
      <c r="G45">
        <f t="shared" si="5"/>
        <v>2.9928288946568294E-3</v>
      </c>
      <c r="H45">
        <f t="shared" si="6"/>
        <v>1.6696594955613235</v>
      </c>
      <c r="I45">
        <f t="shared" si="7"/>
        <v>1.4964144473284148E-4</v>
      </c>
      <c r="J45">
        <f t="shared" si="8"/>
        <v>8.3482974778066169E-2</v>
      </c>
    </row>
    <row r="46" spans="1:10" x14ac:dyDescent="0.25">
      <c r="A46">
        <v>7</v>
      </c>
      <c r="B46">
        <f t="shared" si="1"/>
        <v>7.0877878662515183E-3</v>
      </c>
      <c r="C46">
        <f>SUM(B$39:$B45)</f>
        <v>5.28559861301631</v>
      </c>
      <c r="D46">
        <f t="shared" si="2"/>
        <v>9.3027215744551188E-3</v>
      </c>
      <c r="E46">
        <f t="shared" si="3"/>
        <v>0.18886093183024127</v>
      </c>
      <c r="F46">
        <f t="shared" si="4"/>
        <v>0.23809523809523808</v>
      </c>
      <c r="G46">
        <f t="shared" si="5"/>
        <v>5.4903770784652591E-4</v>
      </c>
      <c r="H46">
        <f t="shared" si="6"/>
        <v>1.6672157043745133</v>
      </c>
      <c r="I46">
        <f t="shared" si="7"/>
        <v>2.7451885392326294E-5</v>
      </c>
      <c r="J46">
        <f t="shared" si="8"/>
        <v>8.3360785218725655E-2</v>
      </c>
    </row>
    <row r="47" spans="1:10" x14ac:dyDescent="0.25">
      <c r="A47">
        <v>8</v>
      </c>
      <c r="B47">
        <f t="shared" si="1"/>
        <v>1.4766224721357332E-3</v>
      </c>
      <c r="C47">
        <f>SUM(B$39:$B46)</f>
        <v>5.2926864008825616</v>
      </c>
      <c r="D47">
        <f t="shared" si="2"/>
        <v>1.8652073332240842E-3</v>
      </c>
      <c r="E47">
        <f t="shared" si="3"/>
        <v>0.18887340685248144</v>
      </c>
      <c r="F47">
        <f t="shared" si="4"/>
        <v>0.20833333333333334</v>
      </c>
      <c r="G47">
        <f t="shared" si="5"/>
        <v>9.270738513480643E-5</v>
      </c>
      <c r="H47">
        <f t="shared" si="6"/>
        <v>1.6667593740518016</v>
      </c>
      <c r="I47">
        <f t="shared" si="7"/>
        <v>4.6353692567403212E-6</v>
      </c>
      <c r="J47">
        <f t="shared" si="8"/>
        <v>8.3337968702590068E-2</v>
      </c>
    </row>
    <row r="48" spans="1:10" x14ac:dyDescent="0.25">
      <c r="A48">
        <v>9</v>
      </c>
      <c r="B48">
        <f t="shared" si="1"/>
        <v>2.7344860595106176E-4</v>
      </c>
      <c r="C48">
        <f>SUM(B$39:$B47)</f>
        <v>5.294163023354697</v>
      </c>
      <c r="D48">
        <f t="shared" si="2"/>
        <v>3.3559601639448485E-4</v>
      </c>
      <c r="E48">
        <f t="shared" si="3"/>
        <v>0.1888752971511371</v>
      </c>
      <c r="F48">
        <f t="shared" si="4"/>
        <v>0.18518518518518517</v>
      </c>
      <c r="G48">
        <f t="shared" si="5"/>
        <v>1.4405863027101408E-5</v>
      </c>
      <c r="H48">
        <f t="shared" si="6"/>
        <v>1.6666810725296939</v>
      </c>
      <c r="I48">
        <f t="shared" si="7"/>
        <v>7.2029315135507044E-7</v>
      </c>
      <c r="J48">
        <f t="shared" si="8"/>
        <v>8.3334053626484689E-2</v>
      </c>
    </row>
    <row r="49" spans="1:10" x14ac:dyDescent="0.25">
      <c r="A49">
        <v>10</v>
      </c>
      <c r="B49">
        <f t="shared" si="1"/>
        <v>4.5574767658510294E-5</v>
      </c>
      <c r="C49">
        <f>SUM(B$39:$B48)</f>
        <v>5.2944364719606485</v>
      </c>
      <c r="D49">
        <f t="shared" si="2"/>
        <v>5.4689721190212351E-5</v>
      </c>
      <c r="E49">
        <f t="shared" si="3"/>
        <v>0.18887556319620746</v>
      </c>
      <c r="F49">
        <f t="shared" si="4"/>
        <v>0.16666666666666666</v>
      </c>
      <c r="G49">
        <f t="shared" si="5"/>
        <v>2.0659103781689837E-6</v>
      </c>
      <c r="H49">
        <f t="shared" si="6"/>
        <v>1.6666687325770448</v>
      </c>
      <c r="I49">
        <f t="shared" si="7"/>
        <v>1.0329551890844919E-7</v>
      </c>
      <c r="J49">
        <f t="shared" si="8"/>
        <v>8.3333436628852231E-2</v>
      </c>
    </row>
    <row r="50" spans="1:10" x14ac:dyDescent="0.25">
      <c r="A50">
        <v>11</v>
      </c>
      <c r="B50">
        <f t="shared" si="1"/>
        <v>6.9052678270470146E-6</v>
      </c>
      <c r="C50">
        <f>SUM(B$39:$B49)</f>
        <v>5.2944820467283069</v>
      </c>
      <c r="D50">
        <f t="shared" si="2"/>
        <v>8.1383513675911241E-6</v>
      </c>
      <c r="E50">
        <f t="shared" si="3"/>
        <v>0.18887559803549836</v>
      </c>
      <c r="F50">
        <f t="shared" si="4"/>
        <v>0.15151515151515152</v>
      </c>
      <c r="G50">
        <f t="shared" si="5"/>
        <v>2.744885681387124E-7</v>
      </c>
      <c r="H50">
        <f t="shared" si="6"/>
        <v>1.6666669411552348</v>
      </c>
      <c r="I50">
        <f t="shared" si="7"/>
        <v>1.372442840693562E-8</v>
      </c>
      <c r="J50">
        <f t="shared" si="8"/>
        <v>8.3333347057761742E-2</v>
      </c>
    </row>
    <row r="51" spans="1:10" x14ac:dyDescent="0.25">
      <c r="A51">
        <v>12</v>
      </c>
      <c r="B51">
        <f t="shared" si="1"/>
        <v>9.5906497597875203E-7</v>
      </c>
      <c r="C51">
        <f>SUM(B$39:$B50)</f>
        <v>5.2944889519961338</v>
      </c>
      <c r="D51">
        <f t="shared" si="2"/>
        <v>1.1137528753301636E-6</v>
      </c>
      <c r="E51">
        <f t="shared" si="3"/>
        <v>0.18887560229249961</v>
      </c>
      <c r="F51">
        <f t="shared" si="4"/>
        <v>0.1388888888888889</v>
      </c>
      <c r="G51">
        <f t="shared" si="5"/>
        <v>3.3929152440804497E-8</v>
      </c>
      <c r="H51">
        <f t="shared" si="6"/>
        <v>1.6666667005958191</v>
      </c>
      <c r="I51">
        <f t="shared" si="7"/>
        <v>1.6964576220402247E-9</v>
      </c>
      <c r="J51">
        <f t="shared" si="8"/>
        <v>8.3333335029790956E-2</v>
      </c>
    </row>
    <row r="52" spans="1:10" x14ac:dyDescent="0.25">
      <c r="A52">
        <v>13</v>
      </c>
      <c r="B52">
        <f t="shared" si="1"/>
        <v>1.229570482024041E-7</v>
      </c>
      <c r="C52">
        <f>SUM(B$39:$B51)</f>
        <v>5.2944899110611097</v>
      </c>
      <c r="D52">
        <f t="shared" si="2"/>
        <v>1.4103896705569883E-7</v>
      </c>
      <c r="E52">
        <f t="shared" si="3"/>
        <v>0.18887560277941154</v>
      </c>
      <c r="F52">
        <f t="shared" si="4"/>
        <v>0.12820512820512819</v>
      </c>
      <c r="G52">
        <f t="shared" si="5"/>
        <v>3.9174735173574529E-9</v>
      </c>
      <c r="H52">
        <f t="shared" si="6"/>
        <v>1.6666666705841402</v>
      </c>
      <c r="I52">
        <f t="shared" si="7"/>
        <v>1.9587367586787265E-10</v>
      </c>
      <c r="J52">
        <f t="shared" si="8"/>
        <v>8.3333333529207007E-2</v>
      </c>
    </row>
    <row r="53" spans="1:10" x14ac:dyDescent="0.25">
      <c r="A53">
        <v>14</v>
      </c>
      <c r="B53">
        <f t="shared" si="1"/>
        <v>1.4637743833619541E-8</v>
      </c>
      <c r="C53">
        <f>SUM(B$39:$B52)</f>
        <v>5.2944900340181578</v>
      </c>
      <c r="D53">
        <f t="shared" si="2"/>
        <v>1.6615817324649209E-8</v>
      </c>
      <c r="E53">
        <f t="shared" si="3"/>
        <v>0.18887560283171326</v>
      </c>
      <c r="F53">
        <f t="shared" si="4"/>
        <v>0.11904761904761904</v>
      </c>
      <c r="G53">
        <f t="shared" si="5"/>
        <v>4.240976369911817E-10</v>
      </c>
      <c r="H53">
        <f t="shared" si="6"/>
        <v>1.6666666670907644</v>
      </c>
      <c r="I53">
        <f t="shared" si="7"/>
        <v>2.1204881849559084E-11</v>
      </c>
      <c r="J53">
        <f t="shared" si="8"/>
        <v>8.3333333354538214E-2</v>
      </c>
    </row>
    <row r="54" spans="1:10" x14ac:dyDescent="0.25">
      <c r="A54">
        <v>15</v>
      </c>
      <c r="B54">
        <f t="shared" si="1"/>
        <v>1.6264159815132824E-9</v>
      </c>
      <c r="C54">
        <f>SUM(B$39:$B53)</f>
        <v>5.2944900486559012</v>
      </c>
      <c r="D54">
        <f t="shared" si="2"/>
        <v>1.8297179792024429E-9</v>
      </c>
      <c r="E54">
        <f t="shared" si="3"/>
        <v>0.18887560283700569</v>
      </c>
      <c r="F54">
        <f t="shared" si="4"/>
        <v>0.1111111111111111</v>
      </c>
      <c r="G54">
        <f t="shared" si="5"/>
        <v>4.319863579294615E-11</v>
      </c>
      <c r="H54">
        <f t="shared" si="6"/>
        <v>1.6666666667098653</v>
      </c>
      <c r="I54">
        <f t="shared" si="7"/>
        <v>2.1599317896473074E-12</v>
      </c>
      <c r="J54">
        <f t="shared" si="8"/>
        <v>8.3333333335493254E-2</v>
      </c>
    </row>
    <row r="55" spans="1:10" x14ac:dyDescent="0.25">
      <c r="A55">
        <v>16</v>
      </c>
      <c r="B55">
        <f t="shared" si="1"/>
        <v>1.6941833140763359E-10</v>
      </c>
      <c r="C55">
        <f>SUM(B$39:$B54)</f>
        <v>5.2944900502823176</v>
      </c>
      <c r="D55">
        <f t="shared" si="2"/>
        <v>1.8911813738526539E-10</v>
      </c>
      <c r="E55">
        <f t="shared" si="3"/>
        <v>0.18887560283751167</v>
      </c>
      <c r="F55">
        <f t="shared" si="4"/>
        <v>0.10416666666666667</v>
      </c>
      <c r="G55">
        <f t="shared" si="5"/>
        <v>4.1534653728080645E-12</v>
      </c>
      <c r="H55">
        <f t="shared" si="6"/>
        <v>1.6666666666708203</v>
      </c>
      <c r="I55">
        <f t="shared" si="7"/>
        <v>2.0767326864040322E-13</v>
      </c>
      <c r="J55">
        <f t="shared" si="8"/>
        <v>8.3333333333540996E-2</v>
      </c>
    </row>
    <row r="56" spans="1:10" x14ac:dyDescent="0.25">
      <c r="A56">
        <v>17</v>
      </c>
      <c r="B56">
        <f t="shared" si="1"/>
        <v>1.6609640334081725E-11</v>
      </c>
      <c r="C56">
        <f>SUM(B$39:$B55)</f>
        <v>5.2944900504517358</v>
      </c>
      <c r="D56">
        <f t="shared" si="2"/>
        <v>1.841503602256887E-11</v>
      </c>
      <c r="E56">
        <f t="shared" si="3"/>
        <v>0.18887560283755753</v>
      </c>
      <c r="F56">
        <f t="shared" si="4"/>
        <v>9.8039215686274508E-2</v>
      </c>
      <c r="G56">
        <f t="shared" si="5"/>
        <v>3.7805989456935137E-13</v>
      </c>
      <c r="H56">
        <f t="shared" si="6"/>
        <v>1.6666666666670449</v>
      </c>
      <c r="I56">
        <f t="shared" si="7"/>
        <v>1.8902994728467567E-14</v>
      </c>
      <c r="J56">
        <f t="shared" si="8"/>
        <v>8.333333333335223E-2</v>
      </c>
    </row>
    <row r="57" spans="1:10" x14ac:dyDescent="0.25">
      <c r="A57">
        <v>18</v>
      </c>
      <c r="B57">
        <f t="shared" si="1"/>
        <v>1.5379296605631228E-12</v>
      </c>
      <c r="C57">
        <f>SUM(B$39:$B56)</f>
        <v>5.2944900504683456</v>
      </c>
      <c r="D57">
        <f t="shared" si="2"/>
        <v>1.694861258579768E-12</v>
      </c>
      <c r="E57">
        <f t="shared" si="3"/>
        <v>0.18887560283756144</v>
      </c>
      <c r="F57">
        <f t="shared" si="4"/>
        <v>9.2592592592592587E-2</v>
      </c>
      <c r="G57">
        <f t="shared" si="5"/>
        <v>3.266509611635528E-14</v>
      </c>
      <c r="H57">
        <f t="shared" si="6"/>
        <v>1.6666666666666994</v>
      </c>
      <c r="I57">
        <f t="shared" si="7"/>
        <v>1.633254805817764E-15</v>
      </c>
      <c r="J57">
        <f t="shared" si="8"/>
        <v>8.3333333333334966E-2</v>
      </c>
    </row>
    <row r="58" spans="1:10" x14ac:dyDescent="0.25">
      <c r="A58">
        <v>19</v>
      </c>
      <c r="B58">
        <f t="shared" si="1"/>
        <v>1.3490611057571254E-13</v>
      </c>
      <c r="C58">
        <f>SUM(B$39:$B57)</f>
        <v>5.294490050469884</v>
      </c>
      <c r="D58">
        <f t="shared" si="2"/>
        <v>1.4787785197722338E-13</v>
      </c>
      <c r="E58">
        <f t="shared" si="3"/>
        <v>0.18887560283756177</v>
      </c>
      <c r="F58">
        <f t="shared" si="4"/>
        <v>8.771929824561403E-2</v>
      </c>
      <c r="G58">
        <f t="shared" si="5"/>
        <v>2.685626772934787E-15</v>
      </c>
      <c r="H58">
        <f t="shared" si="6"/>
        <v>1.6666666666666694</v>
      </c>
      <c r="I58">
        <f t="shared" si="7"/>
        <v>1.3428133864673936E-16</v>
      </c>
      <c r="J58">
        <f t="shared" si="8"/>
        <v>8.3333333333333467E-2</v>
      </c>
    </row>
    <row r="59" spans="1:10" x14ac:dyDescent="0.25">
      <c r="A59">
        <v>20</v>
      </c>
      <c r="B59">
        <f t="shared" si="1"/>
        <v>1.1242175881309379E-14</v>
      </c>
      <c r="C59">
        <f>SUM(B$39:$B58)</f>
        <v>5.294490050470019</v>
      </c>
      <c r="D59">
        <f t="shared" si="2"/>
        <v>1.2264191870519324E-14</v>
      </c>
      <c r="E59">
        <f t="shared" si="3"/>
        <v>0.18887560283756177</v>
      </c>
      <c r="F59">
        <f t="shared" si="4"/>
        <v>8.3333333333333329E-2</v>
      </c>
      <c r="G59">
        <f t="shared" si="5"/>
        <v>2.1058242116907832E-16</v>
      </c>
      <c r="H59">
        <f t="shared" si="6"/>
        <v>1.666666666666667</v>
      </c>
      <c r="I59">
        <f t="shared" si="7"/>
        <v>1.0529121058453916E-17</v>
      </c>
      <c r="J59">
        <f t="shared" si="8"/>
        <v>8.3333333333333343E-2</v>
      </c>
    </row>
    <row r="60" spans="1:10" x14ac:dyDescent="0.25">
      <c r="A60">
        <v>21</v>
      </c>
      <c r="B60">
        <f t="shared" si="1"/>
        <v>8.9223618105629991E-16</v>
      </c>
      <c r="C60">
        <f>SUM(B$39:$B59)</f>
        <v>5.2944900504700305</v>
      </c>
      <c r="D60">
        <f t="shared" si="2"/>
        <v>9.6915309321632575E-16</v>
      </c>
      <c r="E60">
        <f t="shared" si="3"/>
        <v>0.18887560283756177</v>
      </c>
      <c r="F60">
        <f t="shared" si="4"/>
        <v>7.9365079365079361E-2</v>
      </c>
      <c r="G60">
        <f t="shared" si="5"/>
        <v>1.5780118510613895E-17</v>
      </c>
      <c r="H60">
        <f t="shared" si="6"/>
        <v>1.6666666666666667</v>
      </c>
      <c r="I60">
        <f t="shared" si="7"/>
        <v>7.8900592553069475E-19</v>
      </c>
      <c r="J60">
        <f t="shared" si="8"/>
        <v>8.3333333333333329E-2</v>
      </c>
    </row>
    <row r="61" spans="1:10" x14ac:dyDescent="0.25">
      <c r="A61">
        <v>22</v>
      </c>
      <c r="B61">
        <f t="shared" si="1"/>
        <v>6.7593650080022729E-17</v>
      </c>
      <c r="C61">
        <f>SUM(B$39:$B60)</f>
        <v>5.2944900504700314</v>
      </c>
      <c r="D61">
        <f t="shared" si="2"/>
        <v>7.3134113201336077E-17</v>
      </c>
      <c r="E61">
        <f t="shared" si="3"/>
        <v>0.18887560283756177</v>
      </c>
      <c r="F61">
        <f t="shared" si="4"/>
        <v>7.575757575757576E-2</v>
      </c>
      <c r="G61">
        <f t="shared" si="5"/>
        <v>1.1322335835158062E-18</v>
      </c>
      <c r="H61">
        <f t="shared" si="6"/>
        <v>1.6666666666666667</v>
      </c>
      <c r="I61">
        <f t="shared" si="7"/>
        <v>5.6611679175790313E-20</v>
      </c>
      <c r="J61">
        <f t="shared" si="8"/>
        <v>8.3333333333333329E-2</v>
      </c>
    </row>
    <row r="62" spans="1:10" x14ac:dyDescent="0.25">
      <c r="A62">
        <v>23</v>
      </c>
    </row>
    <row r="63" spans="1:10" x14ac:dyDescent="0.25">
      <c r="A63">
        <v>24</v>
      </c>
    </row>
    <row r="64" spans="1:10" x14ac:dyDescent="0.25">
      <c r="A64">
        <v>25</v>
      </c>
    </row>
    <row r="65" spans="1:1" x14ac:dyDescent="0.25">
      <c r="A65">
        <v>26</v>
      </c>
    </row>
    <row r="66" spans="1:1" x14ac:dyDescent="0.25">
      <c r="A66">
        <v>27</v>
      </c>
    </row>
    <row r="67" spans="1:1" x14ac:dyDescent="0.25">
      <c r="A67">
        <v>28</v>
      </c>
    </row>
    <row r="68" spans="1:1" x14ac:dyDescent="0.25">
      <c r="A68">
        <v>29</v>
      </c>
    </row>
    <row r="69" spans="1:1" x14ac:dyDescent="0.25">
      <c r="A69">
        <v>30</v>
      </c>
    </row>
  </sheetData>
  <mergeCells count="1">
    <mergeCell ref="H5:P5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32725-33D5-4E6C-A73C-9525BBC8F90F}">
  <dimension ref="A1:F6"/>
  <sheetViews>
    <sheetView workbookViewId="0">
      <selection activeCell="C19" sqref="C19"/>
    </sheetView>
  </sheetViews>
  <sheetFormatPr defaultRowHeight="15" x14ac:dyDescent="0.25"/>
  <cols>
    <col min="1" max="1" width="13.42578125" style="24" bestFit="1" customWidth="1"/>
    <col min="3" max="3" width="43.28515625" bestFit="1" customWidth="1"/>
    <col min="4" max="4" width="40.28515625" bestFit="1" customWidth="1"/>
  </cols>
  <sheetData>
    <row r="1" spans="1:6" x14ac:dyDescent="0.25">
      <c r="A1" s="50" t="s">
        <v>45</v>
      </c>
      <c r="B1" s="50">
        <v>20</v>
      </c>
      <c r="C1" s="50" t="s">
        <v>44</v>
      </c>
      <c r="E1" s="47"/>
      <c r="F1" s="47"/>
    </row>
    <row r="2" spans="1:6" x14ac:dyDescent="0.25">
      <c r="A2" s="50" t="s">
        <v>46</v>
      </c>
      <c r="B2" s="50">
        <v>12</v>
      </c>
      <c r="C2" s="50" t="s">
        <v>43</v>
      </c>
      <c r="E2" s="47"/>
      <c r="F2" s="47"/>
    </row>
    <row r="3" spans="1:6" x14ac:dyDescent="0.25">
      <c r="A3" s="50" t="s">
        <v>49</v>
      </c>
      <c r="B3" s="50">
        <v>4</v>
      </c>
      <c r="C3" s="51" t="s">
        <v>50</v>
      </c>
      <c r="E3" s="47"/>
      <c r="F3" s="47"/>
    </row>
    <row r="4" spans="1:6" x14ac:dyDescent="0.25">
      <c r="A4" s="25"/>
      <c r="B4" s="48"/>
      <c r="C4" s="48"/>
      <c r="D4" s="48"/>
      <c r="E4" s="47"/>
      <c r="F4" s="47"/>
    </row>
    <row r="5" spans="1:6" x14ac:dyDescent="0.25">
      <c r="A5" s="50" t="s">
        <v>47</v>
      </c>
      <c r="B5" s="50">
        <f>(1)/(((1/FACT(0))*((B1/B2)^0))+(((1/FACT(1))*((B1/B2)^1))+((1/FACT(2))*((B1/B2)^2)))+((1/FACT(B3))*((B1/B2)^B3))*((B3)*(B2))/(((B3)*(B2))-(B1)))</f>
        <v>0.21707503828483923</v>
      </c>
      <c r="C5" s="1"/>
      <c r="D5" s="48"/>
      <c r="E5" s="47"/>
      <c r="F5" s="47"/>
    </row>
    <row r="6" spans="1:6" x14ac:dyDescent="0.25">
      <c r="A6" s="50" t="s">
        <v>48</v>
      </c>
      <c r="B6" s="50">
        <f>(1/FACT(B3))*((B1/B2)^B3)*((B3*B2*B5)/((B3)*(B2)-(B1)))</f>
        <v>0.11964012251148551</v>
      </c>
      <c r="C6" s="49">
        <f>B6</f>
        <v>0.11964012251148551</v>
      </c>
      <c r="D6" s="1"/>
      <c r="E6" s="47"/>
      <c r="F6" s="4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DBFA6-2489-4D51-97AB-BF8BBD0EE0C7}">
  <dimension ref="A1:Q69"/>
  <sheetViews>
    <sheetView showRowColHeaders="0" zoomScale="95" zoomScaleNormal="95" workbookViewId="0">
      <selection activeCell="D7" sqref="D7:E12"/>
    </sheetView>
  </sheetViews>
  <sheetFormatPr defaultRowHeight="15" x14ac:dyDescent="0.25"/>
  <cols>
    <col min="1" max="1" width="17.7109375" customWidth="1"/>
    <col min="2" max="2" width="14.42578125" bestFit="1" customWidth="1"/>
    <col min="3" max="3" width="10.42578125" customWidth="1"/>
    <col min="4" max="4" width="43.42578125" bestFit="1" customWidth="1"/>
    <col min="5" max="5" width="7.7109375" customWidth="1"/>
  </cols>
  <sheetData>
    <row r="1" spans="1:17" ht="18.75" x14ac:dyDescent="0.3">
      <c r="A1" s="26" t="s">
        <v>51</v>
      </c>
    </row>
    <row r="3" spans="1:17" ht="17.25" x14ac:dyDescent="0.3">
      <c r="A3" s="4" t="s">
        <v>0</v>
      </c>
      <c r="B3" s="4"/>
      <c r="C3" s="4" t="s">
        <v>28</v>
      </c>
      <c r="D3" s="4"/>
      <c r="E3" s="4"/>
      <c r="F3" s="4"/>
      <c r="G3" s="4"/>
      <c r="H3" s="4"/>
    </row>
    <row r="4" spans="1:17" ht="15.75" thickBot="1" x14ac:dyDescent="0.3">
      <c r="A4" s="3"/>
      <c r="B4" s="3"/>
      <c r="G4" s="1" t="s">
        <v>41</v>
      </c>
    </row>
    <row r="5" spans="1:17" x14ac:dyDescent="0.25">
      <c r="H5" s="59" t="s">
        <v>5</v>
      </c>
      <c r="I5" s="60"/>
      <c r="J5" s="60"/>
      <c r="K5" s="60"/>
      <c r="L5" s="60"/>
      <c r="M5" s="60"/>
      <c r="N5" s="60"/>
      <c r="O5" s="60"/>
      <c r="P5" s="60"/>
      <c r="Q5" s="27"/>
    </row>
    <row r="6" spans="1:17" ht="15.75" thickBot="1" x14ac:dyDescent="0.3">
      <c r="A6" s="5" t="s">
        <v>4</v>
      </c>
      <c r="D6" s="14" t="s">
        <v>6</v>
      </c>
      <c r="G6" s="28">
        <f>B9</f>
        <v>4</v>
      </c>
      <c r="H6" s="35">
        <v>1</v>
      </c>
      <c r="I6" s="36">
        <v>2</v>
      </c>
      <c r="J6" s="36">
        <v>3</v>
      </c>
      <c r="K6" s="36">
        <v>4</v>
      </c>
      <c r="L6" s="36">
        <v>5</v>
      </c>
      <c r="M6" s="36">
        <v>6</v>
      </c>
      <c r="N6" s="36">
        <v>7</v>
      </c>
      <c r="O6" s="36">
        <v>8</v>
      </c>
      <c r="P6" s="36">
        <v>9</v>
      </c>
      <c r="Q6" s="37">
        <v>10</v>
      </c>
    </row>
    <row r="7" spans="1:17" x14ac:dyDescent="0.25">
      <c r="A7" s="6" t="s">
        <v>2</v>
      </c>
      <c r="B7" s="52">
        <v>20</v>
      </c>
      <c r="D7" s="16" t="s">
        <v>9</v>
      </c>
      <c r="E7" s="18">
        <f>IF(B9*B8&gt;B7,B7/(B8*B9),"NA")</f>
        <v>0.41666666666666669</v>
      </c>
      <c r="G7" s="28">
        <f>E7</f>
        <v>0.41666666666666669</v>
      </c>
      <c r="H7" s="29" t="str">
        <f t="dataTable" ref="H7:Q12" dt2D="0" dtr="1" r1="B9"/>
        <v>NA</v>
      </c>
      <c r="I7" s="30">
        <v>0.83333333333333337</v>
      </c>
      <c r="J7" s="30">
        <v>0.55555555555555558</v>
      </c>
      <c r="K7" s="30">
        <v>0.41666666666666669</v>
      </c>
      <c r="L7" s="30">
        <v>0.33333333333333331</v>
      </c>
      <c r="M7" s="30">
        <v>0.27777777777777779</v>
      </c>
      <c r="N7" s="30">
        <v>0.23809523809523808</v>
      </c>
      <c r="O7" s="30">
        <v>0.20833333333333334</v>
      </c>
      <c r="P7" s="30">
        <v>0.18518518518518517</v>
      </c>
      <c r="Q7" s="31">
        <v>0.16666666666666666</v>
      </c>
    </row>
    <row r="8" spans="1:17" ht="18" x14ac:dyDescent="0.35">
      <c r="A8" s="8" t="s">
        <v>3</v>
      </c>
      <c r="B8" s="53">
        <v>12</v>
      </c>
      <c r="D8" s="15" t="s">
        <v>10</v>
      </c>
      <c r="E8" s="19">
        <f>IF(B9*B8&gt;B7,VLOOKUP($B$9,$A$40:$G$61,7),"NA")</f>
        <v>7.3197011219637897E-2</v>
      </c>
      <c r="G8" s="28">
        <f t="shared" ref="G8:G12" si="0">E8</f>
        <v>7.3197011219637897E-2</v>
      </c>
      <c r="H8" s="32" t="str">
        <v>NA</v>
      </c>
      <c r="I8" s="33">
        <v>3.7878787878787894</v>
      </c>
      <c r="J8" s="33">
        <v>0.37470023980815348</v>
      </c>
      <c r="K8" s="33">
        <v>7.3197011219637897E-2</v>
      </c>
      <c r="L8" s="33">
        <v>1.5138303541151964E-2</v>
      </c>
      <c r="M8" s="33">
        <v>2.9928288946568294E-3</v>
      </c>
      <c r="N8" s="33">
        <v>5.4903770784652591E-4</v>
      </c>
      <c r="O8" s="33">
        <v>9.270738513480643E-5</v>
      </c>
      <c r="P8" s="33">
        <v>1.4405863027101408E-5</v>
      </c>
      <c r="Q8" s="34">
        <v>2.0659103781689837E-6</v>
      </c>
    </row>
    <row r="9" spans="1:17" ht="15.75" thickBot="1" x14ac:dyDescent="0.3">
      <c r="A9" s="10" t="s">
        <v>29</v>
      </c>
      <c r="B9" s="54">
        <v>4</v>
      </c>
      <c r="D9" s="15" t="s">
        <v>7</v>
      </c>
      <c r="E9" s="19">
        <f>IF(B9*B8&gt;B7,E8+B7/B8,"NA")</f>
        <v>1.7398636778863046</v>
      </c>
      <c r="G9" s="28">
        <f t="shared" si="0"/>
        <v>1.7398636778863046</v>
      </c>
      <c r="H9" s="32" t="str">
        <v>NA</v>
      </c>
      <c r="I9" s="33">
        <v>5.4545454545454559</v>
      </c>
      <c r="J9" s="33">
        <v>2.0413669064748201</v>
      </c>
      <c r="K9" s="33">
        <v>1.7398636778863046</v>
      </c>
      <c r="L9" s="33">
        <v>1.6818049702078186</v>
      </c>
      <c r="M9" s="33">
        <v>1.6696594955613235</v>
      </c>
      <c r="N9" s="33">
        <v>1.6672157043745133</v>
      </c>
      <c r="O9" s="33">
        <v>1.6667593740518016</v>
      </c>
      <c r="P9" s="33">
        <v>1.6666810725296939</v>
      </c>
      <c r="Q9" s="34">
        <v>1.6666687325770448</v>
      </c>
    </row>
    <row r="10" spans="1:17" ht="18" x14ac:dyDescent="0.35">
      <c r="D10" s="15" t="s">
        <v>11</v>
      </c>
      <c r="E10" s="19">
        <f>IF(B9*B8&gt;B7,E8/B7,"NA")</f>
        <v>3.6598505609818947E-3</v>
      </c>
      <c r="G10" s="28">
        <f t="shared" si="0"/>
        <v>3.6598505609818947E-3</v>
      </c>
      <c r="H10" s="32" t="str">
        <v>NA</v>
      </c>
      <c r="I10" s="33">
        <v>0.18939393939393948</v>
      </c>
      <c r="J10" s="33">
        <v>1.8735011990407675E-2</v>
      </c>
      <c r="K10" s="33">
        <v>3.6598505609818947E-3</v>
      </c>
      <c r="L10" s="33">
        <v>7.5691517705759822E-4</v>
      </c>
      <c r="M10" s="33">
        <v>1.4964144473284148E-4</v>
      </c>
      <c r="N10" s="33">
        <v>2.7451885392326294E-5</v>
      </c>
      <c r="O10" s="33">
        <v>4.6353692567403212E-6</v>
      </c>
      <c r="P10" s="33">
        <v>7.2029315135507044E-7</v>
      </c>
      <c r="Q10" s="34">
        <v>1.0329551890844919E-7</v>
      </c>
    </row>
    <row r="11" spans="1:17" x14ac:dyDescent="0.25">
      <c r="D11" s="15" t="s">
        <v>8</v>
      </c>
      <c r="E11" s="19">
        <f>IF(B9*B8&gt;B7,E10+1/B8,"NA")</f>
        <v>8.6993183894315221E-2</v>
      </c>
      <c r="G11" s="28">
        <f t="shared" si="0"/>
        <v>8.6993183894315221E-2</v>
      </c>
      <c r="H11" s="32" t="str">
        <v>NA</v>
      </c>
      <c r="I11" s="33">
        <v>0.27272727272727282</v>
      </c>
      <c r="J11" s="33">
        <v>0.10206834532374101</v>
      </c>
      <c r="K11" s="33">
        <v>8.6993183894315221E-2</v>
      </c>
      <c r="L11" s="33">
        <v>8.409024851039093E-2</v>
      </c>
      <c r="M11" s="33">
        <v>8.3482974778066169E-2</v>
      </c>
      <c r="N11" s="33">
        <v>8.3360785218725655E-2</v>
      </c>
      <c r="O11" s="33">
        <v>8.3337968702590068E-2</v>
      </c>
      <c r="P11" s="33">
        <v>8.3334053626484689E-2</v>
      </c>
      <c r="Q11" s="34">
        <v>8.3333436628852231E-2</v>
      </c>
    </row>
    <row r="12" spans="1:17" s="38" customFormat="1" ht="18.75" thickBot="1" x14ac:dyDescent="0.4">
      <c r="D12" s="39" t="s">
        <v>12</v>
      </c>
      <c r="E12" s="40">
        <f>IF(B9*B8&gt;B7,VLOOKUP($B$9,$A$40:$G$61,5),"NA")</f>
        <v>0.1859321200196753</v>
      </c>
      <c r="G12" s="41">
        <f t="shared" si="0"/>
        <v>0.1859321200196753</v>
      </c>
      <c r="H12" s="42" t="str">
        <v>NA</v>
      </c>
      <c r="I12" s="43">
        <v>9.0909090909090884E-2</v>
      </c>
      <c r="J12" s="43">
        <v>0.17266187050359708</v>
      </c>
      <c r="K12" s="43">
        <v>0.1859321200196753</v>
      </c>
      <c r="L12" s="43">
        <v>0.18834471733759625</v>
      </c>
      <c r="M12" s="43">
        <v>0.18878439047711529</v>
      </c>
      <c r="N12" s="43">
        <v>0.18886093183024127</v>
      </c>
      <c r="O12" s="43">
        <v>0.18887340685248144</v>
      </c>
      <c r="P12" s="43">
        <v>0.1888752971511371</v>
      </c>
      <c r="Q12" s="44">
        <v>0.18887556319620746</v>
      </c>
    </row>
    <row r="13" spans="1:17" x14ac:dyDescent="0.25">
      <c r="A13" s="13" t="str">
        <f>IF(B7&gt;=B8*B9,"The total service rate (rate*servers) must be greater than the arrival rate","")</f>
        <v/>
      </c>
    </row>
    <row r="37" spans="1:10" x14ac:dyDescent="0.25">
      <c r="A37" t="s">
        <v>30</v>
      </c>
    </row>
    <row r="38" spans="1:10" x14ac:dyDescent="0.25">
      <c r="A38" t="s">
        <v>31</v>
      </c>
      <c r="B38" t="s">
        <v>32</v>
      </c>
      <c r="C38" t="s">
        <v>33</v>
      </c>
      <c r="D38" t="s">
        <v>34</v>
      </c>
      <c r="E38" t="s">
        <v>35</v>
      </c>
      <c r="F38" t="s">
        <v>36</v>
      </c>
      <c r="G38" t="s">
        <v>37</v>
      </c>
      <c r="H38" t="s">
        <v>38</v>
      </c>
      <c r="I38" t="s">
        <v>39</v>
      </c>
      <c r="J38" t="s">
        <v>40</v>
      </c>
    </row>
    <row r="39" spans="1:10" x14ac:dyDescent="0.25">
      <c r="A39">
        <v>0</v>
      </c>
      <c r="B39">
        <v>1</v>
      </c>
    </row>
    <row r="40" spans="1:10" x14ac:dyDescent="0.25">
      <c r="A40">
        <v>1</v>
      </c>
      <c r="B40">
        <f>($B$7/$B$8)^A40/FACT(A40)</f>
        <v>1.6666666666666667</v>
      </c>
      <c r="C40">
        <f>SUM(B39:$B$39)</f>
        <v>1</v>
      </c>
      <c r="D40">
        <f>+B40/(1-$B$7/(A40*$B$8))</f>
        <v>-2.5</v>
      </c>
      <c r="E40">
        <f>1/(C40+D40)</f>
        <v>-0.66666666666666663</v>
      </c>
      <c r="F40">
        <f>$B$7/($B$8*A40)</f>
        <v>1.6666666666666667</v>
      </c>
      <c r="G40">
        <f>+E40*B40*F40/(1-F40)^2</f>
        <v>-4.1666666666666661</v>
      </c>
      <c r="H40">
        <f>G40+$B$7/$B$8</f>
        <v>-2.4999999999999991</v>
      </c>
      <c r="I40">
        <f>G40/$B$7</f>
        <v>-0.20833333333333331</v>
      </c>
      <c r="J40">
        <f>I40+1/$B$8</f>
        <v>-0.12499999999999999</v>
      </c>
    </row>
    <row r="41" spans="1:10" x14ac:dyDescent="0.25">
      <c r="A41">
        <v>2</v>
      </c>
      <c r="B41">
        <f t="shared" ref="B41:B61" si="1">($B$7/$B$8)^A41/FACT(A41)</f>
        <v>1.3888888888888891</v>
      </c>
      <c r="C41">
        <f>SUM(B$39:$B40)</f>
        <v>2.666666666666667</v>
      </c>
      <c r="D41">
        <f t="shared" ref="D41:D61" si="2">+B41/(1-$B$7/(A41*$B$8))</f>
        <v>8.3333333333333357</v>
      </c>
      <c r="E41">
        <f t="shared" ref="E41:E61" si="3">1/(C41+D41)</f>
        <v>9.0909090909090884E-2</v>
      </c>
      <c r="F41">
        <f t="shared" ref="F41:F61" si="4">$B$7/($B$8*A41)</f>
        <v>0.83333333333333337</v>
      </c>
      <c r="G41">
        <f t="shared" ref="G41:G61" si="5">+E41*B41*F41/(1-F41)^2</f>
        <v>3.7878787878787894</v>
      </c>
      <c r="H41">
        <f t="shared" ref="H41:H61" si="6">G41+$B$7/$B$8</f>
        <v>5.4545454545454559</v>
      </c>
      <c r="I41">
        <f t="shared" ref="I41:I61" si="7">G41/$B$7</f>
        <v>0.18939393939393948</v>
      </c>
      <c r="J41">
        <f t="shared" ref="J41:J61" si="8">I41+1/$B$8</f>
        <v>0.27272727272727282</v>
      </c>
    </row>
    <row r="42" spans="1:10" x14ac:dyDescent="0.25">
      <c r="A42">
        <v>3</v>
      </c>
      <c r="B42">
        <f t="shared" si="1"/>
        <v>0.77160493827160515</v>
      </c>
      <c r="C42">
        <f>SUM(B$39:$B41)</f>
        <v>4.0555555555555562</v>
      </c>
      <c r="D42">
        <f t="shared" si="2"/>
        <v>1.7361111111111116</v>
      </c>
      <c r="E42">
        <f t="shared" si="3"/>
        <v>0.17266187050359708</v>
      </c>
      <c r="F42">
        <f t="shared" si="4"/>
        <v>0.55555555555555558</v>
      </c>
      <c r="G42">
        <f t="shared" si="5"/>
        <v>0.37470023980815348</v>
      </c>
      <c r="H42">
        <f t="shared" si="6"/>
        <v>2.0413669064748201</v>
      </c>
      <c r="I42">
        <f t="shared" si="7"/>
        <v>1.8735011990407675E-2</v>
      </c>
      <c r="J42">
        <f t="shared" si="8"/>
        <v>0.10206834532374101</v>
      </c>
    </row>
    <row r="43" spans="1:10" x14ac:dyDescent="0.25">
      <c r="A43">
        <v>4</v>
      </c>
      <c r="B43">
        <f t="shared" si="1"/>
        <v>0.3215020576131688</v>
      </c>
      <c r="C43">
        <f>SUM(B$39:$B42)</f>
        <v>4.8271604938271615</v>
      </c>
      <c r="D43">
        <f t="shared" si="2"/>
        <v>0.55114638447971798</v>
      </c>
      <c r="E43">
        <f t="shared" si="3"/>
        <v>0.1859321200196753</v>
      </c>
      <c r="F43">
        <f t="shared" si="4"/>
        <v>0.41666666666666669</v>
      </c>
      <c r="G43">
        <f t="shared" si="5"/>
        <v>7.3197011219637897E-2</v>
      </c>
      <c r="H43">
        <f t="shared" si="6"/>
        <v>1.7398636778863046</v>
      </c>
      <c r="I43">
        <f t="shared" si="7"/>
        <v>3.6598505609818947E-3</v>
      </c>
      <c r="J43">
        <f t="shared" si="8"/>
        <v>8.6993183894315221E-2</v>
      </c>
    </row>
    <row r="44" spans="1:10" x14ac:dyDescent="0.25">
      <c r="A44">
        <v>5</v>
      </c>
      <c r="B44">
        <f t="shared" si="1"/>
        <v>0.10716735253772294</v>
      </c>
      <c r="C44">
        <f>SUM(B$39:$B43)</f>
        <v>5.1486625514403306</v>
      </c>
      <c r="D44">
        <f t="shared" si="2"/>
        <v>0.1607510288065844</v>
      </c>
      <c r="E44">
        <f t="shared" si="3"/>
        <v>0.18834471733759625</v>
      </c>
      <c r="F44">
        <f t="shared" si="4"/>
        <v>0.33333333333333331</v>
      </c>
      <c r="G44">
        <f t="shared" si="5"/>
        <v>1.5138303541151964E-2</v>
      </c>
      <c r="H44">
        <f t="shared" si="6"/>
        <v>1.6818049702078186</v>
      </c>
      <c r="I44">
        <f t="shared" si="7"/>
        <v>7.5691517705759822E-4</v>
      </c>
      <c r="J44">
        <f t="shared" si="8"/>
        <v>8.409024851039093E-2</v>
      </c>
    </row>
    <row r="45" spans="1:10" x14ac:dyDescent="0.25">
      <c r="A45">
        <v>6</v>
      </c>
      <c r="B45">
        <f t="shared" si="1"/>
        <v>2.9768709038256378E-2</v>
      </c>
      <c r="C45">
        <f>SUM(B$39:$B44)</f>
        <v>5.2558299039780536</v>
      </c>
      <c r="D45">
        <f t="shared" si="2"/>
        <v>4.1218212514508829E-2</v>
      </c>
      <c r="E45">
        <f t="shared" si="3"/>
        <v>0.18878439047711529</v>
      </c>
      <c r="F45">
        <f t="shared" si="4"/>
        <v>0.27777777777777779</v>
      </c>
      <c r="G45">
        <f t="shared" si="5"/>
        <v>2.9928288946568294E-3</v>
      </c>
      <c r="H45">
        <f t="shared" si="6"/>
        <v>1.6696594955613235</v>
      </c>
      <c r="I45">
        <f t="shared" si="7"/>
        <v>1.4964144473284148E-4</v>
      </c>
      <c r="J45">
        <f t="shared" si="8"/>
        <v>8.3482974778066169E-2</v>
      </c>
    </row>
    <row r="46" spans="1:10" x14ac:dyDescent="0.25">
      <c r="A46">
        <v>7</v>
      </c>
      <c r="B46">
        <f t="shared" si="1"/>
        <v>7.0877878662515183E-3</v>
      </c>
      <c r="C46">
        <f>SUM(B$39:$B45)</f>
        <v>5.28559861301631</v>
      </c>
      <c r="D46">
        <f t="shared" si="2"/>
        <v>9.3027215744551188E-3</v>
      </c>
      <c r="E46">
        <f t="shared" si="3"/>
        <v>0.18886093183024127</v>
      </c>
      <c r="F46">
        <f t="shared" si="4"/>
        <v>0.23809523809523808</v>
      </c>
      <c r="G46">
        <f t="shared" si="5"/>
        <v>5.4903770784652591E-4</v>
      </c>
      <c r="H46">
        <f t="shared" si="6"/>
        <v>1.6672157043745133</v>
      </c>
      <c r="I46">
        <f t="shared" si="7"/>
        <v>2.7451885392326294E-5</v>
      </c>
      <c r="J46">
        <f t="shared" si="8"/>
        <v>8.3360785218725655E-2</v>
      </c>
    </row>
    <row r="47" spans="1:10" x14ac:dyDescent="0.25">
      <c r="A47">
        <v>8</v>
      </c>
      <c r="B47">
        <f t="shared" si="1"/>
        <v>1.4766224721357332E-3</v>
      </c>
      <c r="C47">
        <f>SUM(B$39:$B46)</f>
        <v>5.2926864008825616</v>
      </c>
      <c r="D47">
        <f t="shared" si="2"/>
        <v>1.8652073332240842E-3</v>
      </c>
      <c r="E47">
        <f t="shared" si="3"/>
        <v>0.18887340685248144</v>
      </c>
      <c r="F47">
        <f t="shared" si="4"/>
        <v>0.20833333333333334</v>
      </c>
      <c r="G47">
        <f t="shared" si="5"/>
        <v>9.270738513480643E-5</v>
      </c>
      <c r="H47">
        <f t="shared" si="6"/>
        <v>1.6667593740518016</v>
      </c>
      <c r="I47">
        <f t="shared" si="7"/>
        <v>4.6353692567403212E-6</v>
      </c>
      <c r="J47">
        <f t="shared" si="8"/>
        <v>8.3337968702590068E-2</v>
      </c>
    </row>
    <row r="48" spans="1:10" x14ac:dyDescent="0.25">
      <c r="A48">
        <v>9</v>
      </c>
      <c r="B48">
        <f t="shared" si="1"/>
        <v>2.7344860595106176E-4</v>
      </c>
      <c r="C48">
        <f>SUM(B$39:$B47)</f>
        <v>5.294163023354697</v>
      </c>
      <c r="D48">
        <f t="shared" si="2"/>
        <v>3.3559601639448485E-4</v>
      </c>
      <c r="E48">
        <f t="shared" si="3"/>
        <v>0.1888752971511371</v>
      </c>
      <c r="F48">
        <f t="shared" si="4"/>
        <v>0.18518518518518517</v>
      </c>
      <c r="G48">
        <f t="shared" si="5"/>
        <v>1.4405863027101408E-5</v>
      </c>
      <c r="H48">
        <f t="shared" si="6"/>
        <v>1.6666810725296939</v>
      </c>
      <c r="I48">
        <f t="shared" si="7"/>
        <v>7.2029315135507044E-7</v>
      </c>
      <c r="J48">
        <f t="shared" si="8"/>
        <v>8.3334053626484689E-2</v>
      </c>
    </row>
    <row r="49" spans="1:10" x14ac:dyDescent="0.25">
      <c r="A49">
        <v>10</v>
      </c>
      <c r="B49">
        <f t="shared" si="1"/>
        <v>4.5574767658510294E-5</v>
      </c>
      <c r="C49">
        <f>SUM(B$39:$B48)</f>
        <v>5.2944364719606485</v>
      </c>
      <c r="D49">
        <f t="shared" si="2"/>
        <v>5.4689721190212351E-5</v>
      </c>
      <c r="E49">
        <f t="shared" si="3"/>
        <v>0.18887556319620746</v>
      </c>
      <c r="F49">
        <f t="shared" si="4"/>
        <v>0.16666666666666666</v>
      </c>
      <c r="G49">
        <f t="shared" si="5"/>
        <v>2.0659103781689837E-6</v>
      </c>
      <c r="H49">
        <f t="shared" si="6"/>
        <v>1.6666687325770448</v>
      </c>
      <c r="I49">
        <f t="shared" si="7"/>
        <v>1.0329551890844919E-7</v>
      </c>
      <c r="J49">
        <f t="shared" si="8"/>
        <v>8.3333436628852231E-2</v>
      </c>
    </row>
    <row r="50" spans="1:10" x14ac:dyDescent="0.25">
      <c r="A50">
        <v>11</v>
      </c>
      <c r="B50">
        <f t="shared" si="1"/>
        <v>6.9052678270470146E-6</v>
      </c>
      <c r="C50">
        <f>SUM(B$39:$B49)</f>
        <v>5.2944820467283069</v>
      </c>
      <c r="D50">
        <f t="shared" si="2"/>
        <v>8.1383513675911241E-6</v>
      </c>
      <c r="E50">
        <f t="shared" si="3"/>
        <v>0.18887559803549836</v>
      </c>
      <c r="F50">
        <f t="shared" si="4"/>
        <v>0.15151515151515152</v>
      </c>
      <c r="G50">
        <f t="shared" si="5"/>
        <v>2.744885681387124E-7</v>
      </c>
      <c r="H50">
        <f t="shared" si="6"/>
        <v>1.6666669411552348</v>
      </c>
      <c r="I50">
        <f t="shared" si="7"/>
        <v>1.372442840693562E-8</v>
      </c>
      <c r="J50">
        <f t="shared" si="8"/>
        <v>8.3333347057761742E-2</v>
      </c>
    </row>
    <row r="51" spans="1:10" x14ac:dyDescent="0.25">
      <c r="A51">
        <v>12</v>
      </c>
      <c r="B51">
        <f t="shared" si="1"/>
        <v>9.5906497597875203E-7</v>
      </c>
      <c r="C51">
        <f>SUM(B$39:$B50)</f>
        <v>5.2944889519961338</v>
      </c>
      <c r="D51">
        <f t="shared" si="2"/>
        <v>1.1137528753301636E-6</v>
      </c>
      <c r="E51">
        <f t="shared" si="3"/>
        <v>0.18887560229249961</v>
      </c>
      <c r="F51">
        <f t="shared" si="4"/>
        <v>0.1388888888888889</v>
      </c>
      <c r="G51">
        <f t="shared" si="5"/>
        <v>3.3929152440804497E-8</v>
      </c>
      <c r="H51">
        <f t="shared" si="6"/>
        <v>1.6666667005958191</v>
      </c>
      <c r="I51">
        <f t="shared" si="7"/>
        <v>1.6964576220402247E-9</v>
      </c>
      <c r="J51">
        <f t="shared" si="8"/>
        <v>8.3333335029790956E-2</v>
      </c>
    </row>
    <row r="52" spans="1:10" x14ac:dyDescent="0.25">
      <c r="A52">
        <v>13</v>
      </c>
      <c r="B52">
        <f t="shared" si="1"/>
        <v>1.229570482024041E-7</v>
      </c>
      <c r="C52">
        <f>SUM(B$39:$B51)</f>
        <v>5.2944899110611097</v>
      </c>
      <c r="D52">
        <f t="shared" si="2"/>
        <v>1.4103896705569883E-7</v>
      </c>
      <c r="E52">
        <f t="shared" si="3"/>
        <v>0.18887560277941154</v>
      </c>
      <c r="F52">
        <f t="shared" si="4"/>
        <v>0.12820512820512819</v>
      </c>
      <c r="G52">
        <f t="shared" si="5"/>
        <v>3.9174735173574529E-9</v>
      </c>
      <c r="H52">
        <f t="shared" si="6"/>
        <v>1.6666666705841402</v>
      </c>
      <c r="I52">
        <f t="shared" si="7"/>
        <v>1.9587367586787265E-10</v>
      </c>
      <c r="J52">
        <f t="shared" si="8"/>
        <v>8.3333333529207007E-2</v>
      </c>
    </row>
    <row r="53" spans="1:10" x14ac:dyDescent="0.25">
      <c r="A53">
        <v>14</v>
      </c>
      <c r="B53">
        <f t="shared" si="1"/>
        <v>1.4637743833619541E-8</v>
      </c>
      <c r="C53">
        <f>SUM(B$39:$B52)</f>
        <v>5.2944900340181578</v>
      </c>
      <c r="D53">
        <f t="shared" si="2"/>
        <v>1.6615817324649209E-8</v>
      </c>
      <c r="E53">
        <f t="shared" si="3"/>
        <v>0.18887560283171326</v>
      </c>
      <c r="F53">
        <f t="shared" si="4"/>
        <v>0.11904761904761904</v>
      </c>
      <c r="G53">
        <f t="shared" si="5"/>
        <v>4.240976369911817E-10</v>
      </c>
      <c r="H53">
        <f t="shared" si="6"/>
        <v>1.6666666670907644</v>
      </c>
      <c r="I53">
        <f t="shared" si="7"/>
        <v>2.1204881849559084E-11</v>
      </c>
      <c r="J53">
        <f t="shared" si="8"/>
        <v>8.3333333354538214E-2</v>
      </c>
    </row>
    <row r="54" spans="1:10" x14ac:dyDescent="0.25">
      <c r="A54">
        <v>15</v>
      </c>
      <c r="B54">
        <f t="shared" si="1"/>
        <v>1.6264159815132824E-9</v>
      </c>
      <c r="C54">
        <f>SUM(B$39:$B53)</f>
        <v>5.2944900486559012</v>
      </c>
      <c r="D54">
        <f t="shared" si="2"/>
        <v>1.8297179792024429E-9</v>
      </c>
      <c r="E54">
        <f t="shared" si="3"/>
        <v>0.18887560283700569</v>
      </c>
      <c r="F54">
        <f t="shared" si="4"/>
        <v>0.1111111111111111</v>
      </c>
      <c r="G54">
        <f t="shared" si="5"/>
        <v>4.319863579294615E-11</v>
      </c>
      <c r="H54">
        <f t="shared" si="6"/>
        <v>1.6666666667098653</v>
      </c>
      <c r="I54">
        <f t="shared" si="7"/>
        <v>2.1599317896473074E-12</v>
      </c>
      <c r="J54">
        <f t="shared" si="8"/>
        <v>8.3333333335493254E-2</v>
      </c>
    </row>
    <row r="55" spans="1:10" x14ac:dyDescent="0.25">
      <c r="A55">
        <v>16</v>
      </c>
      <c r="B55">
        <f t="shared" si="1"/>
        <v>1.6941833140763359E-10</v>
      </c>
      <c r="C55">
        <f>SUM(B$39:$B54)</f>
        <v>5.2944900502823176</v>
      </c>
      <c r="D55">
        <f t="shared" si="2"/>
        <v>1.8911813738526539E-10</v>
      </c>
      <c r="E55">
        <f t="shared" si="3"/>
        <v>0.18887560283751167</v>
      </c>
      <c r="F55">
        <f t="shared" si="4"/>
        <v>0.10416666666666667</v>
      </c>
      <c r="G55">
        <f t="shared" si="5"/>
        <v>4.1534653728080645E-12</v>
      </c>
      <c r="H55">
        <f t="shared" si="6"/>
        <v>1.6666666666708203</v>
      </c>
      <c r="I55">
        <f t="shared" si="7"/>
        <v>2.0767326864040322E-13</v>
      </c>
      <c r="J55">
        <f t="shared" si="8"/>
        <v>8.3333333333540996E-2</v>
      </c>
    </row>
    <row r="56" spans="1:10" x14ac:dyDescent="0.25">
      <c r="A56">
        <v>17</v>
      </c>
      <c r="B56">
        <f t="shared" si="1"/>
        <v>1.6609640334081725E-11</v>
      </c>
      <c r="C56">
        <f>SUM(B$39:$B55)</f>
        <v>5.2944900504517358</v>
      </c>
      <c r="D56">
        <f t="shared" si="2"/>
        <v>1.841503602256887E-11</v>
      </c>
      <c r="E56">
        <f t="shared" si="3"/>
        <v>0.18887560283755753</v>
      </c>
      <c r="F56">
        <f t="shared" si="4"/>
        <v>9.8039215686274508E-2</v>
      </c>
      <c r="G56">
        <f t="shared" si="5"/>
        <v>3.7805989456935137E-13</v>
      </c>
      <c r="H56">
        <f t="shared" si="6"/>
        <v>1.6666666666670449</v>
      </c>
      <c r="I56">
        <f t="shared" si="7"/>
        <v>1.8902994728467567E-14</v>
      </c>
      <c r="J56">
        <f t="shared" si="8"/>
        <v>8.333333333335223E-2</v>
      </c>
    </row>
    <row r="57" spans="1:10" x14ac:dyDescent="0.25">
      <c r="A57">
        <v>18</v>
      </c>
      <c r="B57">
        <f t="shared" si="1"/>
        <v>1.5379296605631228E-12</v>
      </c>
      <c r="C57">
        <f>SUM(B$39:$B56)</f>
        <v>5.2944900504683456</v>
      </c>
      <c r="D57">
        <f t="shared" si="2"/>
        <v>1.694861258579768E-12</v>
      </c>
      <c r="E57">
        <f t="shared" si="3"/>
        <v>0.18887560283756144</v>
      </c>
      <c r="F57">
        <f t="shared" si="4"/>
        <v>9.2592592592592587E-2</v>
      </c>
      <c r="G57">
        <f t="shared" si="5"/>
        <v>3.266509611635528E-14</v>
      </c>
      <c r="H57">
        <f t="shared" si="6"/>
        <v>1.6666666666666994</v>
      </c>
      <c r="I57">
        <f t="shared" si="7"/>
        <v>1.633254805817764E-15</v>
      </c>
      <c r="J57">
        <f t="shared" si="8"/>
        <v>8.3333333333334966E-2</v>
      </c>
    </row>
    <row r="58" spans="1:10" x14ac:dyDescent="0.25">
      <c r="A58">
        <v>19</v>
      </c>
      <c r="B58">
        <f t="shared" si="1"/>
        <v>1.3490611057571254E-13</v>
      </c>
      <c r="C58">
        <f>SUM(B$39:$B57)</f>
        <v>5.294490050469884</v>
      </c>
      <c r="D58">
        <f t="shared" si="2"/>
        <v>1.4787785197722338E-13</v>
      </c>
      <c r="E58">
        <f t="shared" si="3"/>
        <v>0.18887560283756177</v>
      </c>
      <c r="F58">
        <f t="shared" si="4"/>
        <v>8.771929824561403E-2</v>
      </c>
      <c r="G58">
        <f t="shared" si="5"/>
        <v>2.685626772934787E-15</v>
      </c>
      <c r="H58">
        <f t="shared" si="6"/>
        <v>1.6666666666666694</v>
      </c>
      <c r="I58">
        <f t="shared" si="7"/>
        <v>1.3428133864673936E-16</v>
      </c>
      <c r="J58">
        <f t="shared" si="8"/>
        <v>8.3333333333333467E-2</v>
      </c>
    </row>
    <row r="59" spans="1:10" x14ac:dyDescent="0.25">
      <c r="A59">
        <v>20</v>
      </c>
      <c r="B59">
        <f t="shared" si="1"/>
        <v>1.1242175881309379E-14</v>
      </c>
      <c r="C59">
        <f>SUM(B$39:$B58)</f>
        <v>5.294490050470019</v>
      </c>
      <c r="D59">
        <f t="shared" si="2"/>
        <v>1.2264191870519324E-14</v>
      </c>
      <c r="E59">
        <f t="shared" si="3"/>
        <v>0.18887560283756177</v>
      </c>
      <c r="F59">
        <f t="shared" si="4"/>
        <v>8.3333333333333329E-2</v>
      </c>
      <c r="G59">
        <f t="shared" si="5"/>
        <v>2.1058242116907832E-16</v>
      </c>
      <c r="H59">
        <f t="shared" si="6"/>
        <v>1.666666666666667</v>
      </c>
      <c r="I59">
        <f t="shared" si="7"/>
        <v>1.0529121058453916E-17</v>
      </c>
      <c r="J59">
        <f t="shared" si="8"/>
        <v>8.3333333333333343E-2</v>
      </c>
    </row>
    <row r="60" spans="1:10" x14ac:dyDescent="0.25">
      <c r="A60">
        <v>21</v>
      </c>
      <c r="B60">
        <f t="shared" si="1"/>
        <v>8.9223618105629991E-16</v>
      </c>
      <c r="C60">
        <f>SUM(B$39:$B59)</f>
        <v>5.2944900504700305</v>
      </c>
      <c r="D60">
        <f t="shared" si="2"/>
        <v>9.6915309321632575E-16</v>
      </c>
      <c r="E60">
        <f t="shared" si="3"/>
        <v>0.18887560283756177</v>
      </c>
      <c r="F60">
        <f t="shared" si="4"/>
        <v>7.9365079365079361E-2</v>
      </c>
      <c r="G60">
        <f t="shared" si="5"/>
        <v>1.5780118510613895E-17</v>
      </c>
      <c r="H60">
        <f t="shared" si="6"/>
        <v>1.6666666666666667</v>
      </c>
      <c r="I60">
        <f t="shared" si="7"/>
        <v>7.8900592553069475E-19</v>
      </c>
      <c r="J60">
        <f t="shared" si="8"/>
        <v>8.3333333333333329E-2</v>
      </c>
    </row>
    <row r="61" spans="1:10" x14ac:dyDescent="0.25">
      <c r="A61">
        <v>22</v>
      </c>
      <c r="B61">
        <f t="shared" si="1"/>
        <v>6.7593650080022729E-17</v>
      </c>
      <c r="C61">
        <f>SUM(B$39:$B60)</f>
        <v>5.2944900504700314</v>
      </c>
      <c r="D61">
        <f t="shared" si="2"/>
        <v>7.3134113201336077E-17</v>
      </c>
      <c r="E61">
        <f t="shared" si="3"/>
        <v>0.18887560283756177</v>
      </c>
      <c r="F61">
        <f t="shared" si="4"/>
        <v>7.575757575757576E-2</v>
      </c>
      <c r="G61">
        <f t="shared" si="5"/>
        <v>1.1322335835158062E-18</v>
      </c>
      <c r="H61">
        <f t="shared" si="6"/>
        <v>1.6666666666666667</v>
      </c>
      <c r="I61">
        <f t="shared" si="7"/>
        <v>5.6611679175790313E-20</v>
      </c>
      <c r="J61">
        <f t="shared" si="8"/>
        <v>8.3333333333333329E-2</v>
      </c>
    </row>
    <row r="62" spans="1:10" x14ac:dyDescent="0.25">
      <c r="A62">
        <v>23</v>
      </c>
    </row>
    <row r="63" spans="1:10" x14ac:dyDescent="0.25">
      <c r="A63">
        <v>24</v>
      </c>
    </row>
    <row r="64" spans="1:10" x14ac:dyDescent="0.25">
      <c r="A64">
        <v>25</v>
      </c>
    </row>
    <row r="65" spans="1:1" x14ac:dyDescent="0.25">
      <c r="A65">
        <v>26</v>
      </c>
    </row>
    <row r="66" spans="1:1" x14ac:dyDescent="0.25">
      <c r="A66">
        <v>27</v>
      </c>
    </row>
    <row r="67" spans="1:1" x14ac:dyDescent="0.25">
      <c r="A67">
        <v>28</v>
      </c>
    </row>
    <row r="68" spans="1:1" x14ac:dyDescent="0.25">
      <c r="A68">
        <v>29</v>
      </c>
    </row>
    <row r="69" spans="1:1" x14ac:dyDescent="0.25">
      <c r="A69">
        <v>30</v>
      </c>
    </row>
  </sheetData>
  <mergeCells count="1">
    <mergeCell ref="H5:P5"/>
  </mergeCell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24BDF-9E3F-48CC-9815-61CA220D6BDD}">
  <dimension ref="A1:F6"/>
  <sheetViews>
    <sheetView workbookViewId="0">
      <selection sqref="A1:C6"/>
    </sheetView>
  </sheetViews>
  <sheetFormatPr defaultRowHeight="15" x14ac:dyDescent="0.25"/>
  <cols>
    <col min="1" max="1" width="13.42578125" style="24" bestFit="1" customWidth="1"/>
    <col min="3" max="3" width="43.28515625" bestFit="1" customWidth="1"/>
    <col min="4" max="4" width="40.28515625" bestFit="1" customWidth="1"/>
  </cols>
  <sheetData>
    <row r="1" spans="1:6" x14ac:dyDescent="0.25">
      <c r="A1" s="50" t="s">
        <v>45</v>
      </c>
      <c r="B1" s="50">
        <v>20</v>
      </c>
      <c r="C1" s="50" t="s">
        <v>44</v>
      </c>
      <c r="E1" s="47"/>
      <c r="F1" s="47"/>
    </row>
    <row r="2" spans="1:6" x14ac:dyDescent="0.25">
      <c r="A2" s="50" t="s">
        <v>46</v>
      </c>
      <c r="B2" s="50">
        <v>12</v>
      </c>
      <c r="C2" s="50" t="s">
        <v>43</v>
      </c>
      <c r="E2" s="47"/>
      <c r="F2" s="47"/>
    </row>
    <row r="3" spans="1:6" x14ac:dyDescent="0.25">
      <c r="A3" s="50" t="s">
        <v>49</v>
      </c>
      <c r="B3" s="50">
        <v>2</v>
      </c>
      <c r="C3" s="51" t="s">
        <v>50</v>
      </c>
      <c r="E3" s="47"/>
      <c r="F3" s="47"/>
    </row>
    <row r="4" spans="1:6" x14ac:dyDescent="0.25">
      <c r="A4" s="25"/>
      <c r="B4" s="48"/>
      <c r="C4" s="48"/>
      <c r="D4" s="48"/>
      <c r="E4" s="47"/>
      <c r="F4" s="47"/>
    </row>
    <row r="5" spans="1:6" x14ac:dyDescent="0.25">
      <c r="A5" s="50" t="s">
        <v>47</v>
      </c>
      <c r="B5" s="50">
        <f>(1)/(((1/FACT(0))*((B1/B2)^0))+(((1/FACT(1))*((B1/B2)^1))+((1/FACT(2))*((B1/B2)^2)))+((1/FACT(B3))*((B1/B2)^B3))*((B3)*(B2))/(((B3)*(B2))-(B1)))</f>
        <v>8.0717488789237665E-2</v>
      </c>
      <c r="C5" s="1"/>
      <c r="D5" s="48"/>
      <c r="E5" s="47"/>
      <c r="F5" s="47"/>
    </row>
    <row r="6" spans="1:6" x14ac:dyDescent="0.25">
      <c r="A6" s="50" t="s">
        <v>48</v>
      </c>
      <c r="B6" s="50">
        <f>(1/FACT(B3))*((B1/B2)^B3)*((B3*B2*B5)/((B3)*(B2)-(B1)))</f>
        <v>0.67264573991031396</v>
      </c>
      <c r="C6" s="49">
        <f>B6</f>
        <v>0.67264573991031396</v>
      </c>
      <c r="D6" s="1"/>
      <c r="E6" s="47"/>
      <c r="F6" s="4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C0721-5C83-4787-8736-618C952073BD}">
  <dimension ref="A1:H48"/>
  <sheetViews>
    <sheetView zoomScale="95" zoomScaleNormal="95" workbookViewId="0">
      <selection activeCell="D17" sqref="D17"/>
    </sheetView>
  </sheetViews>
  <sheetFormatPr defaultRowHeight="15" x14ac:dyDescent="0.25"/>
  <cols>
    <col min="1" max="1" width="16.7109375" customWidth="1"/>
    <col min="2" max="2" width="10.7109375" bestFit="1" customWidth="1"/>
    <col min="3" max="3" width="10.42578125" customWidth="1"/>
    <col min="4" max="4" width="43.42578125" bestFit="1" customWidth="1"/>
  </cols>
  <sheetData>
    <row r="1" spans="1:8" ht="18.75" x14ac:dyDescent="0.3">
      <c r="A1" s="26" t="s">
        <v>60</v>
      </c>
    </row>
    <row r="3" spans="1:8" ht="17.25" x14ac:dyDescent="0.3">
      <c r="A3" s="4" t="s">
        <v>0</v>
      </c>
      <c r="B3" s="4"/>
      <c r="C3" s="4" t="s">
        <v>52</v>
      </c>
      <c r="D3" s="4"/>
      <c r="E3" s="4"/>
      <c r="F3" s="4"/>
      <c r="G3" s="4"/>
      <c r="H3" s="4"/>
    </row>
    <row r="4" spans="1:8" x14ac:dyDescent="0.25">
      <c r="A4" s="3"/>
      <c r="B4" s="3"/>
    </row>
    <row r="6" spans="1:8" ht="15.75" thickBot="1" x14ac:dyDescent="0.3">
      <c r="A6" s="5" t="s">
        <v>4</v>
      </c>
      <c r="D6" s="14" t="s">
        <v>6</v>
      </c>
    </row>
    <row r="7" spans="1:8" ht="30" x14ac:dyDescent="0.25">
      <c r="A7" s="55" t="s">
        <v>54</v>
      </c>
      <c r="B7" s="7">
        <f>60/40</f>
        <v>1.5</v>
      </c>
      <c r="D7" s="16" t="s">
        <v>9</v>
      </c>
      <c r="E7" s="18">
        <f>E13/B8</f>
        <v>0.61024811475604834</v>
      </c>
    </row>
    <row r="8" spans="1:8" ht="18" x14ac:dyDescent="0.35">
      <c r="A8" s="8" t="s">
        <v>3</v>
      </c>
      <c r="B8" s="9">
        <f>60/5</f>
        <v>12</v>
      </c>
      <c r="D8" s="15" t="s">
        <v>10</v>
      </c>
      <c r="E8" s="19">
        <f>B9-(B7+B8)*(1-E12)/B7</f>
        <v>0.50776696719556558</v>
      </c>
    </row>
    <row r="9" spans="1:8" ht="15.75" thickBot="1" x14ac:dyDescent="0.3">
      <c r="A9" s="10" t="s">
        <v>53</v>
      </c>
      <c r="B9" s="11">
        <v>6</v>
      </c>
      <c r="D9" s="15" t="s">
        <v>7</v>
      </c>
      <c r="E9" s="19">
        <f>E8+(1-E12)</f>
        <v>1.1180150819516137</v>
      </c>
    </row>
    <row r="10" spans="1:8" ht="18" x14ac:dyDescent="0.35">
      <c r="D10" s="15" t="s">
        <v>11</v>
      </c>
      <c r="E10" s="19">
        <f>E8/E13</f>
        <v>6.9338868748294508E-2</v>
      </c>
    </row>
    <row r="11" spans="1:8" x14ac:dyDescent="0.25">
      <c r="D11" s="15" t="s">
        <v>8</v>
      </c>
      <c r="E11" s="19">
        <f>E9/E13</f>
        <v>0.15267220208162779</v>
      </c>
    </row>
    <row r="12" spans="1:8" ht="18" x14ac:dyDescent="0.35">
      <c r="D12" s="15" t="s">
        <v>12</v>
      </c>
      <c r="E12" s="19">
        <f>INDEX(E18:E48,B9+1)</f>
        <v>0.38975188524395177</v>
      </c>
      <c r="F12">
        <f>1-E12</f>
        <v>0.61024811475604823</v>
      </c>
    </row>
    <row r="13" spans="1:8" ht="15.75" thickBot="1" x14ac:dyDescent="0.3">
      <c r="A13" t="s">
        <v>15</v>
      </c>
      <c r="B13" s="24">
        <f>60/40</f>
        <v>1.5</v>
      </c>
      <c r="C13" t="s">
        <v>61</v>
      </c>
      <c r="D13" s="17" t="s">
        <v>55</v>
      </c>
      <c r="E13" s="20">
        <f>B7*(B9-E9)</f>
        <v>7.3229773770725801</v>
      </c>
    </row>
    <row r="14" spans="1:8" x14ac:dyDescent="0.25">
      <c r="A14" t="s">
        <v>16</v>
      </c>
      <c r="B14" s="24">
        <f>60/5</f>
        <v>12</v>
      </c>
      <c r="C14" t="s">
        <v>61</v>
      </c>
    </row>
    <row r="16" spans="1:8" x14ac:dyDescent="0.25">
      <c r="A16" s="14" t="s">
        <v>56</v>
      </c>
    </row>
    <row r="17" spans="1:5" s="38" customFormat="1" ht="60" x14ac:dyDescent="0.25">
      <c r="A17" s="38" t="s">
        <v>57</v>
      </c>
      <c r="B17" s="38" t="s">
        <v>58</v>
      </c>
      <c r="C17" s="38" t="s">
        <v>59</v>
      </c>
    </row>
    <row r="18" spans="1:5" x14ac:dyDescent="0.25">
      <c r="A18">
        <v>0</v>
      </c>
      <c r="B18">
        <f>E12</f>
        <v>0.38975188524395177</v>
      </c>
      <c r="C18">
        <f>E12</f>
        <v>0.38975188524395177</v>
      </c>
      <c r="D18">
        <f>IF(A18&lt;=$B$9,FACT($B$9)*($B$7/$B$8)^A18/FACT($B$9-A18),"")</f>
        <v>1</v>
      </c>
      <c r="E18">
        <f>IF(A18&lt;=$B$9,1/SUM(D18:$D$18),"")</f>
        <v>1</v>
      </c>
    </row>
    <row r="19" spans="1:5" x14ac:dyDescent="0.25">
      <c r="A19">
        <v>1</v>
      </c>
      <c r="B19">
        <f t="shared" ref="B19:B48" si="0">IF(A19&lt;=$B$9,$E$12*FACT($B$9)*($B$7/$B$8)^A19/FACT($B$9-A19),"")</f>
        <v>0.29231391393296385</v>
      </c>
      <c r="C19">
        <f t="shared" ref="C19:C48" si="1">IF(A19&lt;=$B$9,C18 + B19,"")</f>
        <v>0.68206579917691568</v>
      </c>
      <c r="D19">
        <f t="shared" ref="D19:D48" si="2">IF(A19&lt;=$B$9,FACT($B$9)*($B$7/$B$8)^A19/FACT($B$9-A19),"")</f>
        <v>0.75</v>
      </c>
      <c r="E19">
        <f>IF(A19&lt;=$B$9,1/SUM(D$18:$D19),"")</f>
        <v>0.5714285714285714</v>
      </c>
    </row>
    <row r="20" spans="1:5" x14ac:dyDescent="0.25">
      <c r="A20">
        <v>2</v>
      </c>
      <c r="B20">
        <f t="shared" si="0"/>
        <v>0.1826961962081024</v>
      </c>
      <c r="C20">
        <f t="shared" si="1"/>
        <v>0.86476199538501808</v>
      </c>
      <c r="D20">
        <f t="shared" si="2"/>
        <v>0.46875</v>
      </c>
      <c r="E20">
        <f>IF(A20&lt;=$B$9,1/SUM(D$18:$D20),"")</f>
        <v>0.45070422535211269</v>
      </c>
    </row>
    <row r="21" spans="1:5" x14ac:dyDescent="0.25">
      <c r="A21">
        <v>3</v>
      </c>
      <c r="B21">
        <f t="shared" si="0"/>
        <v>9.1348098104051201E-2</v>
      </c>
      <c r="C21">
        <f t="shared" si="1"/>
        <v>0.95611009348906928</v>
      </c>
      <c r="D21">
        <f t="shared" si="2"/>
        <v>0.234375</v>
      </c>
      <c r="E21">
        <f>IF(A21&lt;=$B$9,1/SUM(D$18:$D21),"")</f>
        <v>0.40764331210191085</v>
      </c>
    </row>
    <row r="22" spans="1:5" x14ac:dyDescent="0.25">
      <c r="A22">
        <v>4</v>
      </c>
      <c r="B22">
        <f t="shared" si="0"/>
        <v>3.42555367890192E-2</v>
      </c>
      <c r="C22">
        <f t="shared" si="1"/>
        <v>0.99036563027808844</v>
      </c>
      <c r="D22">
        <f t="shared" si="2"/>
        <v>8.7890625E-2</v>
      </c>
      <c r="E22">
        <f>IF(A22&lt;=$B$9,1/SUM(D$18:$D22),"")</f>
        <v>0.393543428132206</v>
      </c>
    </row>
    <row r="23" spans="1:5" x14ac:dyDescent="0.25">
      <c r="A23">
        <v>5</v>
      </c>
      <c r="B23">
        <f t="shared" si="0"/>
        <v>8.5638841972548001E-3</v>
      </c>
      <c r="C23">
        <f t="shared" si="1"/>
        <v>0.99892951447534328</v>
      </c>
      <c r="D23">
        <f t="shared" si="2"/>
        <v>2.197265625E-2</v>
      </c>
      <c r="E23">
        <f>IF(A23&lt;=$B$9,1/SUM(D$18:$D23),"")</f>
        <v>0.39016955610592496</v>
      </c>
    </row>
    <row r="24" spans="1:5" x14ac:dyDescent="0.25">
      <c r="A24">
        <v>6</v>
      </c>
      <c r="B24">
        <f t="shared" si="0"/>
        <v>1.07048552465685E-3</v>
      </c>
      <c r="C24">
        <f t="shared" si="1"/>
        <v>1.0000000000000002</v>
      </c>
      <c r="D24">
        <f t="shared" si="2"/>
        <v>2.74658203125E-3</v>
      </c>
      <c r="E24">
        <f>IF(A24&lt;=$B$9,1/SUM(D$18:$D24),"")</f>
        <v>0.38975188524395177</v>
      </c>
    </row>
    <row r="25" spans="1:5" x14ac:dyDescent="0.25">
      <c r="A25">
        <v>7</v>
      </c>
      <c r="B25" t="str">
        <f t="shared" si="0"/>
        <v/>
      </c>
      <c r="C25" t="str">
        <f t="shared" si="1"/>
        <v/>
      </c>
      <c r="D25" t="str">
        <f t="shared" si="2"/>
        <v/>
      </c>
      <c r="E25" t="str">
        <f>IF(A25&lt;=$B$9,1/SUM(D$18:$D25),"")</f>
        <v/>
      </c>
    </row>
    <row r="26" spans="1:5" x14ac:dyDescent="0.25">
      <c r="A26">
        <v>8</v>
      </c>
      <c r="B26" t="str">
        <f t="shared" si="0"/>
        <v/>
      </c>
      <c r="C26" t="str">
        <f t="shared" si="1"/>
        <v/>
      </c>
      <c r="D26" t="str">
        <f t="shared" si="2"/>
        <v/>
      </c>
      <c r="E26" t="str">
        <f>IF(A26&lt;=$B$9,1/SUM(D$18:$D26),"")</f>
        <v/>
      </c>
    </row>
    <row r="27" spans="1:5" x14ac:dyDescent="0.25">
      <c r="A27">
        <v>9</v>
      </c>
      <c r="B27" t="str">
        <f t="shared" si="0"/>
        <v/>
      </c>
      <c r="C27" t="str">
        <f t="shared" si="1"/>
        <v/>
      </c>
      <c r="D27" t="str">
        <f t="shared" si="2"/>
        <v/>
      </c>
      <c r="E27" t="str">
        <f>IF(A27&lt;=$B$9,1/SUM(D$18:$D27),"")</f>
        <v/>
      </c>
    </row>
    <row r="28" spans="1:5" x14ac:dyDescent="0.25">
      <c r="A28">
        <v>10</v>
      </c>
      <c r="B28" t="str">
        <f t="shared" si="0"/>
        <v/>
      </c>
      <c r="C28" t="str">
        <f t="shared" si="1"/>
        <v/>
      </c>
      <c r="D28" t="str">
        <f t="shared" si="2"/>
        <v/>
      </c>
      <c r="E28" t="str">
        <f>IF(A28&lt;=$B$9,1/SUM(D$18:$D28),"")</f>
        <v/>
      </c>
    </row>
    <row r="29" spans="1:5" x14ac:dyDescent="0.25">
      <c r="A29">
        <v>11</v>
      </c>
      <c r="B29" t="str">
        <f t="shared" si="0"/>
        <v/>
      </c>
      <c r="C29" t="str">
        <f t="shared" si="1"/>
        <v/>
      </c>
      <c r="D29" t="str">
        <f t="shared" si="2"/>
        <v/>
      </c>
      <c r="E29" t="str">
        <f>IF(A29&lt;=$B$9,1/SUM(D$18:$D29),"")</f>
        <v/>
      </c>
    </row>
    <row r="30" spans="1:5" x14ac:dyDescent="0.25">
      <c r="A30">
        <v>12</v>
      </c>
      <c r="B30" t="str">
        <f t="shared" si="0"/>
        <v/>
      </c>
      <c r="C30" t="str">
        <f t="shared" si="1"/>
        <v/>
      </c>
      <c r="D30" t="str">
        <f t="shared" si="2"/>
        <v/>
      </c>
      <c r="E30" t="str">
        <f>IF(A30&lt;=$B$9,1/SUM(D$18:$D30),"")</f>
        <v/>
      </c>
    </row>
    <row r="31" spans="1:5" x14ac:dyDescent="0.25">
      <c r="A31">
        <v>13</v>
      </c>
      <c r="B31" t="str">
        <f t="shared" si="0"/>
        <v/>
      </c>
      <c r="C31" t="str">
        <f t="shared" si="1"/>
        <v/>
      </c>
      <c r="D31" t="str">
        <f t="shared" si="2"/>
        <v/>
      </c>
      <c r="E31" t="str">
        <f>IF(A31&lt;=$B$9,1/SUM(D$18:$D31),"")</f>
        <v/>
      </c>
    </row>
    <row r="32" spans="1:5" x14ac:dyDescent="0.25">
      <c r="A32">
        <v>14</v>
      </c>
      <c r="B32" t="str">
        <f t="shared" si="0"/>
        <v/>
      </c>
      <c r="C32" t="str">
        <f t="shared" si="1"/>
        <v/>
      </c>
      <c r="D32" t="str">
        <f t="shared" si="2"/>
        <v/>
      </c>
      <c r="E32" t="str">
        <f>IF(A32&lt;=$B$9,1/SUM(D$18:$D32),"")</f>
        <v/>
      </c>
    </row>
    <row r="33" spans="1:5" x14ac:dyDescent="0.25">
      <c r="A33">
        <v>15</v>
      </c>
      <c r="B33" t="str">
        <f t="shared" si="0"/>
        <v/>
      </c>
      <c r="C33" t="str">
        <f t="shared" si="1"/>
        <v/>
      </c>
      <c r="D33" t="str">
        <f t="shared" si="2"/>
        <v/>
      </c>
      <c r="E33" t="str">
        <f>IF(A33&lt;=$B$9,1/SUM(D$18:$D33),"")</f>
        <v/>
      </c>
    </row>
    <row r="34" spans="1:5" x14ac:dyDescent="0.25">
      <c r="A34">
        <v>16</v>
      </c>
      <c r="B34" t="str">
        <f t="shared" si="0"/>
        <v/>
      </c>
      <c r="C34" t="str">
        <f t="shared" si="1"/>
        <v/>
      </c>
      <c r="D34" t="str">
        <f t="shared" si="2"/>
        <v/>
      </c>
      <c r="E34" t="str">
        <f>IF(A34&lt;=$B$9,1/SUM(D$18:$D34),"")</f>
        <v/>
      </c>
    </row>
    <row r="35" spans="1:5" x14ac:dyDescent="0.25">
      <c r="A35">
        <v>17</v>
      </c>
      <c r="B35" t="str">
        <f t="shared" si="0"/>
        <v/>
      </c>
      <c r="C35" t="str">
        <f t="shared" si="1"/>
        <v/>
      </c>
      <c r="D35" t="str">
        <f t="shared" si="2"/>
        <v/>
      </c>
      <c r="E35" t="str">
        <f>IF(A35&lt;=$B$9,1/SUM(D$18:$D35),"")</f>
        <v/>
      </c>
    </row>
    <row r="36" spans="1:5" x14ac:dyDescent="0.25">
      <c r="A36">
        <v>18</v>
      </c>
      <c r="B36" t="str">
        <f t="shared" si="0"/>
        <v/>
      </c>
      <c r="C36" t="str">
        <f t="shared" si="1"/>
        <v/>
      </c>
      <c r="D36" t="str">
        <f t="shared" si="2"/>
        <v/>
      </c>
      <c r="E36" t="str">
        <f>IF(A36&lt;=$B$9,1/SUM(D$18:$D36),"")</f>
        <v/>
      </c>
    </row>
    <row r="37" spans="1:5" x14ac:dyDescent="0.25">
      <c r="A37">
        <v>19</v>
      </c>
      <c r="B37" t="str">
        <f t="shared" si="0"/>
        <v/>
      </c>
      <c r="C37" t="str">
        <f t="shared" si="1"/>
        <v/>
      </c>
      <c r="D37" t="str">
        <f t="shared" si="2"/>
        <v/>
      </c>
      <c r="E37" t="str">
        <f>IF(A37&lt;=$B$9,1/SUM(D$18:$D37),"")</f>
        <v/>
      </c>
    </row>
    <row r="38" spans="1:5" x14ac:dyDescent="0.25">
      <c r="A38">
        <v>20</v>
      </c>
      <c r="B38" t="str">
        <f t="shared" si="0"/>
        <v/>
      </c>
      <c r="C38" t="str">
        <f t="shared" si="1"/>
        <v/>
      </c>
      <c r="D38" t="str">
        <f t="shared" si="2"/>
        <v/>
      </c>
      <c r="E38" t="str">
        <f>IF(A38&lt;=$B$9,1/SUM(D$18:$D38),"")</f>
        <v/>
      </c>
    </row>
    <row r="39" spans="1:5" x14ac:dyDescent="0.25">
      <c r="A39">
        <v>21</v>
      </c>
      <c r="B39" t="str">
        <f t="shared" si="0"/>
        <v/>
      </c>
      <c r="C39" t="str">
        <f t="shared" si="1"/>
        <v/>
      </c>
      <c r="D39" t="str">
        <f t="shared" si="2"/>
        <v/>
      </c>
      <c r="E39" t="str">
        <f>IF(A39&lt;=$B$9,1/SUM(D$18:$D39),"")</f>
        <v/>
      </c>
    </row>
    <row r="40" spans="1:5" x14ac:dyDescent="0.25">
      <c r="A40">
        <v>22</v>
      </c>
      <c r="B40" t="str">
        <f t="shared" si="0"/>
        <v/>
      </c>
      <c r="C40" t="str">
        <f t="shared" si="1"/>
        <v/>
      </c>
      <c r="D40" t="str">
        <f t="shared" si="2"/>
        <v/>
      </c>
      <c r="E40" t="str">
        <f>IF(A40&lt;=$B$9,1/SUM(D$18:$D40),"")</f>
        <v/>
      </c>
    </row>
    <row r="41" spans="1:5" x14ac:dyDescent="0.25">
      <c r="A41">
        <v>23</v>
      </c>
      <c r="B41" t="str">
        <f t="shared" si="0"/>
        <v/>
      </c>
      <c r="C41" t="str">
        <f t="shared" si="1"/>
        <v/>
      </c>
      <c r="D41" t="str">
        <f t="shared" si="2"/>
        <v/>
      </c>
      <c r="E41" t="str">
        <f>IF(A41&lt;=$B$9,1/SUM(D$18:$D41),"")</f>
        <v/>
      </c>
    </row>
    <row r="42" spans="1:5" x14ac:dyDescent="0.25">
      <c r="A42">
        <v>24</v>
      </c>
      <c r="B42" t="str">
        <f t="shared" si="0"/>
        <v/>
      </c>
      <c r="C42" t="str">
        <f t="shared" si="1"/>
        <v/>
      </c>
      <c r="D42" t="str">
        <f t="shared" si="2"/>
        <v/>
      </c>
      <c r="E42" t="str">
        <f>IF(A42&lt;=$B$9,1/SUM(D$18:$D42),"")</f>
        <v/>
      </c>
    </row>
    <row r="43" spans="1:5" x14ac:dyDescent="0.25">
      <c r="A43">
        <v>25</v>
      </c>
      <c r="B43" t="str">
        <f t="shared" si="0"/>
        <v/>
      </c>
      <c r="C43" t="str">
        <f t="shared" si="1"/>
        <v/>
      </c>
      <c r="D43" t="str">
        <f t="shared" si="2"/>
        <v/>
      </c>
      <c r="E43" t="str">
        <f>IF(A43&lt;=$B$9,1/SUM(D$18:$D43),"")</f>
        <v/>
      </c>
    </row>
    <row r="44" spans="1:5" x14ac:dyDescent="0.25">
      <c r="A44">
        <v>26</v>
      </c>
      <c r="B44" t="str">
        <f t="shared" si="0"/>
        <v/>
      </c>
      <c r="C44" t="str">
        <f t="shared" si="1"/>
        <v/>
      </c>
      <c r="D44" t="str">
        <f t="shared" si="2"/>
        <v/>
      </c>
      <c r="E44" t="str">
        <f>IF(A44&lt;=$B$9,1/SUM(D$18:$D44),"")</f>
        <v/>
      </c>
    </row>
    <row r="45" spans="1:5" x14ac:dyDescent="0.25">
      <c r="A45">
        <v>27</v>
      </c>
      <c r="B45" t="str">
        <f t="shared" si="0"/>
        <v/>
      </c>
      <c r="C45" t="str">
        <f t="shared" si="1"/>
        <v/>
      </c>
      <c r="D45" t="str">
        <f t="shared" si="2"/>
        <v/>
      </c>
      <c r="E45" t="str">
        <f>IF(A45&lt;=$B$9,1/SUM(D$18:$D45),"")</f>
        <v/>
      </c>
    </row>
    <row r="46" spans="1:5" x14ac:dyDescent="0.25">
      <c r="A46">
        <v>28</v>
      </c>
      <c r="B46" t="str">
        <f t="shared" si="0"/>
        <v/>
      </c>
      <c r="C46" t="str">
        <f t="shared" si="1"/>
        <v/>
      </c>
      <c r="D46" t="str">
        <f t="shared" si="2"/>
        <v/>
      </c>
      <c r="E46" t="str">
        <f>IF(A46&lt;=$B$9,1/SUM(D$18:$D46),"")</f>
        <v/>
      </c>
    </row>
    <row r="47" spans="1:5" x14ac:dyDescent="0.25">
      <c r="A47">
        <v>29</v>
      </c>
      <c r="B47" t="str">
        <f t="shared" si="0"/>
        <v/>
      </c>
      <c r="C47" t="str">
        <f t="shared" si="1"/>
        <v/>
      </c>
      <c r="D47" t="str">
        <f t="shared" si="2"/>
        <v/>
      </c>
      <c r="E47" t="str">
        <f>IF(A47&lt;=$B$9,1/SUM(D$18:$D47),"")</f>
        <v/>
      </c>
    </row>
    <row r="48" spans="1:5" x14ac:dyDescent="0.25">
      <c r="A48">
        <v>30</v>
      </c>
      <c r="B48" t="str">
        <f t="shared" si="0"/>
        <v/>
      </c>
      <c r="C48" t="str">
        <f t="shared" si="1"/>
        <v/>
      </c>
      <c r="D48" t="str">
        <f t="shared" si="2"/>
        <v/>
      </c>
      <c r="E48" t="str">
        <f>IF(A48&lt;=$B$9,1/SUM(D$18:$D48),"")</f>
        <v/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8B896-640E-4D8C-AED4-43000E23C8DE}">
  <dimension ref="A1:H48"/>
  <sheetViews>
    <sheetView zoomScale="95" zoomScaleNormal="95" workbookViewId="0"/>
  </sheetViews>
  <sheetFormatPr defaultRowHeight="15" x14ac:dyDescent="0.25"/>
  <cols>
    <col min="1" max="1" width="16.7109375" customWidth="1"/>
    <col min="2" max="2" width="10.7109375" bestFit="1" customWidth="1"/>
    <col min="3" max="3" width="10.42578125" customWidth="1"/>
    <col min="4" max="4" width="43.42578125" bestFit="1" customWidth="1"/>
  </cols>
  <sheetData>
    <row r="1" spans="1:8" ht="18.75" x14ac:dyDescent="0.3">
      <c r="A1" s="26" t="s">
        <v>62</v>
      </c>
    </row>
    <row r="3" spans="1:8" ht="17.25" x14ac:dyDescent="0.3">
      <c r="A3" s="4" t="s">
        <v>0</v>
      </c>
      <c r="B3" s="4"/>
      <c r="C3" s="4" t="s">
        <v>52</v>
      </c>
      <c r="D3" s="4"/>
      <c r="E3" s="4"/>
      <c r="F3" s="4"/>
      <c r="G3" s="4"/>
      <c r="H3" s="4"/>
    </row>
    <row r="4" spans="1:8" x14ac:dyDescent="0.25">
      <c r="A4" s="3"/>
      <c r="B4" s="3"/>
    </row>
    <row r="6" spans="1:8" ht="15.75" thickBot="1" x14ac:dyDescent="0.3">
      <c r="A6" s="5" t="s">
        <v>4</v>
      </c>
      <c r="D6" s="14" t="s">
        <v>6</v>
      </c>
    </row>
    <row r="7" spans="1:8" ht="30" x14ac:dyDescent="0.25">
      <c r="A7" s="55" t="s">
        <v>54</v>
      </c>
      <c r="B7" s="56">
        <v>1.5</v>
      </c>
      <c r="D7" s="16" t="s">
        <v>9</v>
      </c>
      <c r="E7" s="18">
        <f>E13/B8</f>
        <v>0.34542426355422906</v>
      </c>
    </row>
    <row r="8" spans="1:8" ht="18" x14ac:dyDescent="0.35">
      <c r="A8" s="8" t="s">
        <v>3</v>
      </c>
      <c r="B8" s="57">
        <f>60/2.5</f>
        <v>24</v>
      </c>
      <c r="D8" s="15" t="s">
        <v>10</v>
      </c>
      <c r="E8" s="19">
        <f>B9-(B7+B8)*(1-E12)/B7</f>
        <v>0.12778751957810641</v>
      </c>
    </row>
    <row r="9" spans="1:8" ht="15.75" thickBot="1" x14ac:dyDescent="0.3">
      <c r="A9" s="10" t="s">
        <v>53</v>
      </c>
      <c r="B9" s="58">
        <v>6</v>
      </c>
      <c r="D9" s="15" t="s">
        <v>7</v>
      </c>
      <c r="E9" s="19">
        <f>E8+(1-E12)</f>
        <v>0.47321178313233547</v>
      </c>
    </row>
    <row r="10" spans="1:8" ht="18" x14ac:dyDescent="0.35">
      <c r="D10" s="15" t="s">
        <v>11</v>
      </c>
      <c r="E10" s="19">
        <f>E8/E13</f>
        <v>1.5414319560632708E-2</v>
      </c>
    </row>
    <row r="11" spans="1:8" x14ac:dyDescent="0.25">
      <c r="D11" s="15" t="s">
        <v>8</v>
      </c>
      <c r="E11" s="19">
        <f>E9/E13</f>
        <v>5.7080986227299374E-2</v>
      </c>
    </row>
    <row r="12" spans="1:8" ht="18" x14ac:dyDescent="0.35">
      <c r="D12" s="15" t="s">
        <v>12</v>
      </c>
      <c r="E12" s="19">
        <f>INDEX(E18:E48,B9+1)</f>
        <v>0.65457573644577094</v>
      </c>
      <c r="F12">
        <f>1-E12</f>
        <v>0.34542426355422906</v>
      </c>
    </row>
    <row r="13" spans="1:8" ht="15.75" thickBot="1" x14ac:dyDescent="0.3">
      <c r="D13" s="17" t="s">
        <v>55</v>
      </c>
      <c r="E13" s="20">
        <f>B7*(B9-E9)</f>
        <v>8.2901823253014975</v>
      </c>
    </row>
    <row r="14" spans="1:8" x14ac:dyDescent="0.25">
      <c r="A14" t="s">
        <v>63</v>
      </c>
    </row>
    <row r="16" spans="1:8" x14ac:dyDescent="0.25">
      <c r="A16" s="14" t="s">
        <v>56</v>
      </c>
    </row>
    <row r="17" spans="1:5" s="38" customFormat="1" ht="60" x14ac:dyDescent="0.25">
      <c r="A17" s="38" t="s">
        <v>57</v>
      </c>
      <c r="B17" s="38" t="s">
        <v>58</v>
      </c>
      <c r="C17" s="38" t="s">
        <v>59</v>
      </c>
    </row>
    <row r="18" spans="1:5" x14ac:dyDescent="0.25">
      <c r="A18">
        <v>0</v>
      </c>
      <c r="B18">
        <f>E12</f>
        <v>0.65457573644577094</v>
      </c>
      <c r="C18">
        <f>E12</f>
        <v>0.65457573644577094</v>
      </c>
      <c r="D18">
        <f>IF(A18&lt;=$B$9,FACT($B$9)*($B$7/$B$8)^A18/FACT($B$9-A18),"")</f>
        <v>1</v>
      </c>
      <c r="E18">
        <f>IF(A18&lt;=$B$9,1/SUM(D18:$D$18),"")</f>
        <v>1</v>
      </c>
    </row>
    <row r="19" spans="1:5" x14ac:dyDescent="0.25">
      <c r="A19">
        <v>1</v>
      </c>
      <c r="B19">
        <f t="shared" ref="B19:B48" si="0">IF(A19&lt;=$B$9,$E$12*FACT($B$9)*($B$7/$B$8)^A19/FACT($B$9-A19),"")</f>
        <v>0.2454659011671641</v>
      </c>
      <c r="C19">
        <f t="shared" ref="C19:C48" si="1">IF(A19&lt;=$B$9,C18 + B19,"")</f>
        <v>0.90004163761293499</v>
      </c>
      <c r="D19">
        <f t="shared" ref="D19:D48" si="2">IF(A19&lt;=$B$9,FACT($B$9)*($B$7/$B$8)^A19/FACT($B$9-A19),"")</f>
        <v>0.375</v>
      </c>
      <c r="E19">
        <f>IF(A19&lt;=$B$9,1/SUM(D$18:$D19),"")</f>
        <v>0.72727272727272729</v>
      </c>
    </row>
    <row r="20" spans="1:5" x14ac:dyDescent="0.25">
      <c r="A20">
        <v>2</v>
      </c>
      <c r="B20">
        <f t="shared" si="0"/>
        <v>7.6708094114738778E-2</v>
      </c>
      <c r="C20">
        <f t="shared" si="1"/>
        <v>0.97674973172767376</v>
      </c>
      <c r="D20">
        <f t="shared" si="2"/>
        <v>0.1171875</v>
      </c>
      <c r="E20">
        <f>IF(A20&lt;=$B$9,1/SUM(D$18:$D20),"")</f>
        <v>0.67015706806282727</v>
      </c>
    </row>
    <row r="21" spans="1:5" x14ac:dyDescent="0.25">
      <c r="A21">
        <v>3</v>
      </c>
      <c r="B21">
        <f t="shared" si="0"/>
        <v>1.9177023528684695E-2</v>
      </c>
      <c r="C21">
        <f t="shared" si="1"/>
        <v>0.99592675525635843</v>
      </c>
      <c r="D21">
        <f t="shared" si="2"/>
        <v>2.9296875E-2</v>
      </c>
      <c r="E21">
        <f>IF(A21&lt;=$B$9,1/SUM(D$18:$D21),"")</f>
        <v>0.65725288831835682</v>
      </c>
    </row>
    <row r="22" spans="1:5" x14ac:dyDescent="0.25">
      <c r="A22">
        <v>4</v>
      </c>
      <c r="B22">
        <f t="shared" si="0"/>
        <v>3.5956919116283802E-3</v>
      </c>
      <c r="C22">
        <f t="shared" si="1"/>
        <v>0.99952244716798677</v>
      </c>
      <c r="D22">
        <f t="shared" si="2"/>
        <v>5.4931640625E-3</v>
      </c>
      <c r="E22">
        <f>IF(A22&lt;=$B$9,1/SUM(D$18:$D22),"")</f>
        <v>0.65488848029418822</v>
      </c>
    </row>
    <row r="23" spans="1:5" x14ac:dyDescent="0.25">
      <c r="A23">
        <v>5</v>
      </c>
      <c r="B23">
        <f t="shared" si="0"/>
        <v>4.4946148895354753E-4</v>
      </c>
      <c r="C23">
        <f t="shared" si="1"/>
        <v>0.9999719086569403</v>
      </c>
      <c r="D23">
        <f t="shared" si="2"/>
        <v>6.866455078125E-4</v>
      </c>
      <c r="E23">
        <f>IF(A23&lt;=$B$9,1/SUM(D$18:$D23),"")</f>
        <v>0.65459412487389756</v>
      </c>
    </row>
    <row r="24" spans="1:5" x14ac:dyDescent="0.25">
      <c r="A24">
        <v>6</v>
      </c>
      <c r="B24">
        <f t="shared" si="0"/>
        <v>2.8091343059596721E-5</v>
      </c>
      <c r="C24">
        <f t="shared" si="1"/>
        <v>0.99999999999999989</v>
      </c>
      <c r="D24">
        <f t="shared" si="2"/>
        <v>4.291534423828125E-5</v>
      </c>
      <c r="E24">
        <f>IF(A24&lt;=$B$9,1/SUM(D$18:$D24),"")</f>
        <v>0.65457573644577094</v>
      </c>
    </row>
    <row r="25" spans="1:5" x14ac:dyDescent="0.25">
      <c r="A25">
        <v>7</v>
      </c>
      <c r="B25" t="str">
        <f t="shared" si="0"/>
        <v/>
      </c>
      <c r="C25" t="str">
        <f t="shared" si="1"/>
        <v/>
      </c>
      <c r="D25" t="str">
        <f t="shared" si="2"/>
        <v/>
      </c>
      <c r="E25" t="str">
        <f>IF(A25&lt;=$B$9,1/SUM(D$18:$D25),"")</f>
        <v/>
      </c>
    </row>
    <row r="26" spans="1:5" x14ac:dyDescent="0.25">
      <c r="A26">
        <v>8</v>
      </c>
      <c r="B26" t="str">
        <f t="shared" si="0"/>
        <v/>
      </c>
      <c r="C26" t="str">
        <f t="shared" si="1"/>
        <v/>
      </c>
      <c r="D26" t="str">
        <f t="shared" si="2"/>
        <v/>
      </c>
      <c r="E26" t="str">
        <f>IF(A26&lt;=$B$9,1/SUM(D$18:$D26),"")</f>
        <v/>
      </c>
    </row>
    <row r="27" spans="1:5" x14ac:dyDescent="0.25">
      <c r="A27">
        <v>9</v>
      </c>
      <c r="B27" t="str">
        <f t="shared" si="0"/>
        <v/>
      </c>
      <c r="C27" t="str">
        <f t="shared" si="1"/>
        <v/>
      </c>
      <c r="D27" t="str">
        <f t="shared" si="2"/>
        <v/>
      </c>
      <c r="E27" t="str">
        <f>IF(A27&lt;=$B$9,1/SUM(D$18:$D27),"")</f>
        <v/>
      </c>
    </row>
    <row r="28" spans="1:5" x14ac:dyDescent="0.25">
      <c r="A28">
        <v>10</v>
      </c>
      <c r="B28" t="str">
        <f t="shared" si="0"/>
        <v/>
      </c>
      <c r="C28" t="str">
        <f t="shared" si="1"/>
        <v/>
      </c>
      <c r="D28" t="str">
        <f t="shared" si="2"/>
        <v/>
      </c>
      <c r="E28" t="str">
        <f>IF(A28&lt;=$B$9,1/SUM(D$18:$D28),"")</f>
        <v/>
      </c>
    </row>
    <row r="29" spans="1:5" x14ac:dyDescent="0.25">
      <c r="A29">
        <v>11</v>
      </c>
      <c r="B29" t="str">
        <f t="shared" si="0"/>
        <v/>
      </c>
      <c r="C29" t="str">
        <f t="shared" si="1"/>
        <v/>
      </c>
      <c r="D29" t="str">
        <f t="shared" si="2"/>
        <v/>
      </c>
      <c r="E29" t="str">
        <f>IF(A29&lt;=$B$9,1/SUM(D$18:$D29),"")</f>
        <v/>
      </c>
    </row>
    <row r="30" spans="1:5" x14ac:dyDescent="0.25">
      <c r="A30">
        <v>12</v>
      </c>
      <c r="B30" t="str">
        <f t="shared" si="0"/>
        <v/>
      </c>
      <c r="C30" t="str">
        <f t="shared" si="1"/>
        <v/>
      </c>
      <c r="D30" t="str">
        <f t="shared" si="2"/>
        <v/>
      </c>
      <c r="E30" t="str">
        <f>IF(A30&lt;=$B$9,1/SUM(D$18:$D30),"")</f>
        <v/>
      </c>
    </row>
    <row r="31" spans="1:5" x14ac:dyDescent="0.25">
      <c r="A31">
        <v>13</v>
      </c>
      <c r="B31" t="str">
        <f t="shared" si="0"/>
        <v/>
      </c>
      <c r="C31" t="str">
        <f t="shared" si="1"/>
        <v/>
      </c>
      <c r="D31" t="str">
        <f t="shared" si="2"/>
        <v/>
      </c>
      <c r="E31" t="str">
        <f>IF(A31&lt;=$B$9,1/SUM(D$18:$D31),"")</f>
        <v/>
      </c>
    </row>
    <row r="32" spans="1:5" x14ac:dyDescent="0.25">
      <c r="A32">
        <v>14</v>
      </c>
      <c r="B32" t="str">
        <f t="shared" si="0"/>
        <v/>
      </c>
      <c r="C32" t="str">
        <f t="shared" si="1"/>
        <v/>
      </c>
      <c r="D32" t="str">
        <f t="shared" si="2"/>
        <v/>
      </c>
      <c r="E32" t="str">
        <f>IF(A32&lt;=$B$9,1/SUM(D$18:$D32),"")</f>
        <v/>
      </c>
    </row>
    <row r="33" spans="1:5" x14ac:dyDescent="0.25">
      <c r="A33">
        <v>15</v>
      </c>
      <c r="B33" t="str">
        <f t="shared" si="0"/>
        <v/>
      </c>
      <c r="C33" t="str">
        <f t="shared" si="1"/>
        <v/>
      </c>
      <c r="D33" t="str">
        <f t="shared" si="2"/>
        <v/>
      </c>
      <c r="E33" t="str">
        <f>IF(A33&lt;=$B$9,1/SUM(D$18:$D33),"")</f>
        <v/>
      </c>
    </row>
    <row r="34" spans="1:5" x14ac:dyDescent="0.25">
      <c r="A34">
        <v>16</v>
      </c>
      <c r="B34" t="str">
        <f t="shared" si="0"/>
        <v/>
      </c>
      <c r="C34" t="str">
        <f t="shared" si="1"/>
        <v/>
      </c>
      <c r="D34" t="str">
        <f t="shared" si="2"/>
        <v/>
      </c>
      <c r="E34" t="str">
        <f>IF(A34&lt;=$B$9,1/SUM(D$18:$D34),"")</f>
        <v/>
      </c>
    </row>
    <row r="35" spans="1:5" x14ac:dyDescent="0.25">
      <c r="A35">
        <v>17</v>
      </c>
      <c r="B35" t="str">
        <f t="shared" si="0"/>
        <v/>
      </c>
      <c r="C35" t="str">
        <f t="shared" si="1"/>
        <v/>
      </c>
      <c r="D35" t="str">
        <f t="shared" si="2"/>
        <v/>
      </c>
      <c r="E35" t="str">
        <f>IF(A35&lt;=$B$9,1/SUM(D$18:$D35),"")</f>
        <v/>
      </c>
    </row>
    <row r="36" spans="1:5" x14ac:dyDescent="0.25">
      <c r="A36">
        <v>18</v>
      </c>
      <c r="B36" t="str">
        <f t="shared" si="0"/>
        <v/>
      </c>
      <c r="C36" t="str">
        <f t="shared" si="1"/>
        <v/>
      </c>
      <c r="D36" t="str">
        <f t="shared" si="2"/>
        <v/>
      </c>
      <c r="E36" t="str">
        <f>IF(A36&lt;=$B$9,1/SUM(D$18:$D36),"")</f>
        <v/>
      </c>
    </row>
    <row r="37" spans="1:5" x14ac:dyDescent="0.25">
      <c r="A37">
        <v>19</v>
      </c>
      <c r="B37" t="str">
        <f t="shared" si="0"/>
        <v/>
      </c>
      <c r="C37" t="str">
        <f t="shared" si="1"/>
        <v/>
      </c>
      <c r="D37" t="str">
        <f t="shared" si="2"/>
        <v/>
      </c>
      <c r="E37" t="str">
        <f>IF(A37&lt;=$B$9,1/SUM(D$18:$D37),"")</f>
        <v/>
      </c>
    </row>
    <row r="38" spans="1:5" x14ac:dyDescent="0.25">
      <c r="A38">
        <v>20</v>
      </c>
      <c r="B38" t="str">
        <f t="shared" si="0"/>
        <v/>
      </c>
      <c r="C38" t="str">
        <f t="shared" si="1"/>
        <v/>
      </c>
      <c r="D38" t="str">
        <f t="shared" si="2"/>
        <v/>
      </c>
      <c r="E38" t="str">
        <f>IF(A38&lt;=$B$9,1/SUM(D$18:$D38),"")</f>
        <v/>
      </c>
    </row>
    <row r="39" spans="1:5" x14ac:dyDescent="0.25">
      <c r="A39">
        <v>21</v>
      </c>
      <c r="B39" t="str">
        <f t="shared" si="0"/>
        <v/>
      </c>
      <c r="C39" t="str">
        <f t="shared" si="1"/>
        <v/>
      </c>
      <c r="D39" t="str">
        <f t="shared" si="2"/>
        <v/>
      </c>
      <c r="E39" t="str">
        <f>IF(A39&lt;=$B$9,1/SUM(D$18:$D39),"")</f>
        <v/>
      </c>
    </row>
    <row r="40" spans="1:5" x14ac:dyDescent="0.25">
      <c r="A40">
        <v>22</v>
      </c>
      <c r="B40" t="str">
        <f t="shared" si="0"/>
        <v/>
      </c>
      <c r="C40" t="str">
        <f t="shared" si="1"/>
        <v/>
      </c>
      <c r="D40" t="str">
        <f t="shared" si="2"/>
        <v/>
      </c>
      <c r="E40" t="str">
        <f>IF(A40&lt;=$B$9,1/SUM(D$18:$D40),"")</f>
        <v/>
      </c>
    </row>
    <row r="41" spans="1:5" x14ac:dyDescent="0.25">
      <c r="A41">
        <v>23</v>
      </c>
      <c r="B41" t="str">
        <f t="shared" si="0"/>
        <v/>
      </c>
      <c r="C41" t="str">
        <f t="shared" si="1"/>
        <v/>
      </c>
      <c r="D41" t="str">
        <f t="shared" si="2"/>
        <v/>
      </c>
      <c r="E41" t="str">
        <f>IF(A41&lt;=$B$9,1/SUM(D$18:$D41),"")</f>
        <v/>
      </c>
    </row>
    <row r="42" spans="1:5" x14ac:dyDescent="0.25">
      <c r="A42">
        <v>24</v>
      </c>
      <c r="B42" t="str">
        <f t="shared" si="0"/>
        <v/>
      </c>
      <c r="C42" t="str">
        <f t="shared" si="1"/>
        <v/>
      </c>
      <c r="D42" t="str">
        <f t="shared" si="2"/>
        <v/>
      </c>
      <c r="E42" t="str">
        <f>IF(A42&lt;=$B$9,1/SUM(D$18:$D42),"")</f>
        <v/>
      </c>
    </row>
    <row r="43" spans="1:5" x14ac:dyDescent="0.25">
      <c r="A43">
        <v>25</v>
      </c>
      <c r="B43" t="str">
        <f t="shared" si="0"/>
        <v/>
      </c>
      <c r="C43" t="str">
        <f t="shared" si="1"/>
        <v/>
      </c>
      <c r="D43" t="str">
        <f t="shared" si="2"/>
        <v/>
      </c>
      <c r="E43" t="str">
        <f>IF(A43&lt;=$B$9,1/SUM(D$18:$D43),"")</f>
        <v/>
      </c>
    </row>
    <row r="44" spans="1:5" x14ac:dyDescent="0.25">
      <c r="A44">
        <v>26</v>
      </c>
      <c r="B44" t="str">
        <f t="shared" si="0"/>
        <v/>
      </c>
      <c r="C44" t="str">
        <f t="shared" si="1"/>
        <v/>
      </c>
      <c r="D44" t="str">
        <f t="shared" si="2"/>
        <v/>
      </c>
      <c r="E44" t="str">
        <f>IF(A44&lt;=$B$9,1/SUM(D$18:$D44),"")</f>
        <v/>
      </c>
    </row>
    <row r="45" spans="1:5" x14ac:dyDescent="0.25">
      <c r="A45">
        <v>27</v>
      </c>
      <c r="B45" t="str">
        <f t="shared" si="0"/>
        <v/>
      </c>
      <c r="C45" t="str">
        <f t="shared" si="1"/>
        <v/>
      </c>
      <c r="D45" t="str">
        <f t="shared" si="2"/>
        <v/>
      </c>
      <c r="E45" t="str">
        <f>IF(A45&lt;=$B$9,1/SUM(D$18:$D45),"")</f>
        <v/>
      </c>
    </row>
    <row r="46" spans="1:5" x14ac:dyDescent="0.25">
      <c r="A46">
        <v>28</v>
      </c>
      <c r="B46" t="str">
        <f t="shared" si="0"/>
        <v/>
      </c>
      <c r="C46" t="str">
        <f t="shared" si="1"/>
        <v/>
      </c>
      <c r="D46" t="str">
        <f t="shared" si="2"/>
        <v/>
      </c>
      <c r="E46" t="str">
        <f>IF(A46&lt;=$B$9,1/SUM(D$18:$D46),"")</f>
        <v/>
      </c>
    </row>
    <row r="47" spans="1:5" x14ac:dyDescent="0.25">
      <c r="A47">
        <v>29</v>
      </c>
      <c r="B47" t="str">
        <f t="shared" si="0"/>
        <v/>
      </c>
      <c r="C47" t="str">
        <f t="shared" si="1"/>
        <v/>
      </c>
      <c r="D47" t="str">
        <f t="shared" si="2"/>
        <v/>
      </c>
      <c r="E47" t="str">
        <f>IF(A47&lt;=$B$9,1/SUM(D$18:$D47),"")</f>
        <v/>
      </c>
    </row>
    <row r="48" spans="1:5" x14ac:dyDescent="0.25">
      <c r="A48">
        <v>30</v>
      </c>
      <c r="B48" t="str">
        <f t="shared" si="0"/>
        <v/>
      </c>
      <c r="C48" t="str">
        <f t="shared" si="1"/>
        <v/>
      </c>
      <c r="D48" t="str">
        <f t="shared" si="2"/>
        <v/>
      </c>
      <c r="E48" t="str">
        <f>IF(A48&lt;=$B$9,1/SUM(D$18:$D48),"")</f>
        <v/>
      </c>
    </row>
  </sheetData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3AB84-44E0-4F5C-BED4-73D89F7DD50C}">
  <dimension ref="A1:H48"/>
  <sheetViews>
    <sheetView showRowColHeaders="0" zoomScale="95" zoomScaleNormal="95" workbookViewId="0">
      <selection activeCell="H7" sqref="H7"/>
    </sheetView>
  </sheetViews>
  <sheetFormatPr defaultRowHeight="15" x14ac:dyDescent="0.25"/>
  <cols>
    <col min="1" max="1" width="16.7109375" customWidth="1"/>
    <col min="2" max="2" width="10.7109375" bestFit="1" customWidth="1"/>
    <col min="3" max="3" width="10.42578125" customWidth="1"/>
    <col min="4" max="4" width="43.42578125" bestFit="1" customWidth="1"/>
  </cols>
  <sheetData>
    <row r="1" spans="1:8" ht="18.75" x14ac:dyDescent="0.3">
      <c r="A1" s="26" t="s">
        <v>64</v>
      </c>
    </row>
    <row r="3" spans="1:8" ht="17.25" x14ac:dyDescent="0.3">
      <c r="A3" s="4" t="s">
        <v>0</v>
      </c>
      <c r="B3" s="4"/>
      <c r="C3" s="4" t="s">
        <v>52</v>
      </c>
      <c r="D3" s="4"/>
      <c r="E3" s="4"/>
      <c r="F3" s="4"/>
      <c r="G3" s="4"/>
      <c r="H3" s="4"/>
    </row>
    <row r="4" spans="1:8" x14ac:dyDescent="0.25">
      <c r="A4" s="3"/>
      <c r="B4" s="3"/>
    </row>
    <row r="6" spans="1:8" ht="15.75" thickBot="1" x14ac:dyDescent="0.3">
      <c r="A6" s="5" t="s">
        <v>4</v>
      </c>
      <c r="D6" s="14" t="s">
        <v>6</v>
      </c>
    </row>
    <row r="7" spans="1:8" ht="30" x14ac:dyDescent="0.25">
      <c r="A7" s="55" t="s">
        <v>54</v>
      </c>
      <c r="B7" s="7">
        <v>1.5</v>
      </c>
      <c r="D7" s="16" t="s">
        <v>9</v>
      </c>
      <c r="E7" s="18">
        <f>E13/B8</f>
        <v>0.78742663614986041</v>
      </c>
    </row>
    <row r="8" spans="1:8" ht="18" x14ac:dyDescent="0.35">
      <c r="A8" s="8" t="s">
        <v>3</v>
      </c>
      <c r="B8" s="9">
        <v>24</v>
      </c>
      <c r="D8" s="15" t="s">
        <v>10</v>
      </c>
      <c r="E8" s="19">
        <f>B9-(B7+B8)*(1-E12)/B7</f>
        <v>1.6137471854523699</v>
      </c>
    </row>
    <row r="9" spans="1:8" ht="15.75" thickBot="1" x14ac:dyDescent="0.3">
      <c r="A9" s="10" t="s">
        <v>53</v>
      </c>
      <c r="B9" s="11">
        <v>15</v>
      </c>
      <c r="D9" s="15" t="s">
        <v>7</v>
      </c>
      <c r="E9" s="19">
        <f>E8+(1-E12)</f>
        <v>2.4011738216022307</v>
      </c>
    </row>
    <row r="10" spans="1:8" ht="18" x14ac:dyDescent="0.35">
      <c r="D10" s="15" t="s">
        <v>11</v>
      </c>
      <c r="E10" s="19">
        <f>E8/E13</f>
        <v>8.5391404066903598E-2</v>
      </c>
    </row>
    <row r="11" spans="1:8" x14ac:dyDescent="0.25">
      <c r="D11" s="15" t="s">
        <v>8</v>
      </c>
      <c r="E11" s="19">
        <f>E9/E13</f>
        <v>0.12705807073357028</v>
      </c>
    </row>
    <row r="12" spans="1:8" ht="18" x14ac:dyDescent="0.35">
      <c r="D12" s="15" t="s">
        <v>12</v>
      </c>
      <c r="E12" s="19">
        <f>INDEX(E18:E48,B9+1)</f>
        <v>0.21257336385013953</v>
      </c>
    </row>
    <row r="13" spans="1:8" ht="15.75" thickBot="1" x14ac:dyDescent="0.3">
      <c r="D13" s="17" t="s">
        <v>55</v>
      </c>
      <c r="E13" s="20">
        <f>B7*(B9-E9)</f>
        <v>18.898239267596651</v>
      </c>
    </row>
    <row r="16" spans="1:8" x14ac:dyDescent="0.25">
      <c r="A16" s="14" t="s">
        <v>56</v>
      </c>
    </row>
    <row r="17" spans="1:5" s="38" customFormat="1" ht="60" x14ac:dyDescent="0.25">
      <c r="A17" s="38" t="s">
        <v>57</v>
      </c>
      <c r="B17" s="38" t="s">
        <v>58</v>
      </c>
      <c r="C17" s="38" t="s">
        <v>59</v>
      </c>
    </row>
    <row r="18" spans="1:5" x14ac:dyDescent="0.25">
      <c r="A18">
        <v>0</v>
      </c>
      <c r="B18">
        <f>E12</f>
        <v>0.21257336385013953</v>
      </c>
      <c r="C18">
        <f>E12</f>
        <v>0.21257336385013953</v>
      </c>
      <c r="D18">
        <f>IF(A18&lt;=$B$9,FACT($B$9)*($B$7/$B$8)^A18/FACT($B$9-A18),"")</f>
        <v>1</v>
      </c>
      <c r="E18">
        <f>IF(A18&lt;=$B$9,1/SUM(D18:$D$18),"")</f>
        <v>1</v>
      </c>
    </row>
    <row r="19" spans="1:5" x14ac:dyDescent="0.25">
      <c r="A19">
        <v>1</v>
      </c>
      <c r="B19">
        <f t="shared" ref="B19:B48" si="0">IF(A19&lt;=$B$9,$E$12*FACT($B$9)*($B$7/$B$8)^A19/FACT($B$9-A19),"")</f>
        <v>0.1992875286095058</v>
      </c>
      <c r="C19">
        <f t="shared" ref="C19:C48" si="1">IF(A19&lt;=$B$9,C18 + B19,"")</f>
        <v>0.4118608924596453</v>
      </c>
      <c r="D19">
        <f t="shared" ref="D19:D48" si="2">IF(A19&lt;=$B$9,FACT($B$9)*($B$7/$B$8)^A19/FACT($B$9-A19),"")</f>
        <v>0.9375</v>
      </c>
      <c r="E19">
        <f>IF(A19&lt;=$B$9,1/SUM(D$18:$D19),"")</f>
        <v>0.5161290322580645</v>
      </c>
    </row>
    <row r="20" spans="1:5" x14ac:dyDescent="0.25">
      <c r="A20">
        <v>2</v>
      </c>
      <c r="B20">
        <f t="shared" si="0"/>
        <v>0.17437658753331756</v>
      </c>
      <c r="C20">
        <f t="shared" si="1"/>
        <v>0.58623747999296283</v>
      </c>
      <c r="D20">
        <f t="shared" si="2"/>
        <v>0.8203125</v>
      </c>
      <c r="E20">
        <f>IF(A20&lt;=$B$9,1/SUM(D$18:$D20),"")</f>
        <v>0.36260623229461758</v>
      </c>
    </row>
    <row r="21" spans="1:5" x14ac:dyDescent="0.25">
      <c r="A21">
        <v>3</v>
      </c>
      <c r="B21">
        <f t="shared" si="0"/>
        <v>0.14168097737082053</v>
      </c>
      <c r="C21">
        <f t="shared" si="1"/>
        <v>0.72791845736378336</v>
      </c>
      <c r="D21">
        <f t="shared" si="2"/>
        <v>0.66650390625</v>
      </c>
      <c r="E21">
        <f>IF(A21&lt;=$B$9,1/SUM(D$18:$D21),"")</f>
        <v>0.29202908883502066</v>
      </c>
    </row>
    <row r="22" spans="1:5" x14ac:dyDescent="0.25">
      <c r="A22">
        <v>4</v>
      </c>
      <c r="B22">
        <f t="shared" si="0"/>
        <v>0.1062607330281154</v>
      </c>
      <c r="C22">
        <f t="shared" si="1"/>
        <v>0.8341791903918987</v>
      </c>
      <c r="D22">
        <f t="shared" si="2"/>
        <v>0.4998779296875</v>
      </c>
      <c r="E22">
        <f>IF(A22&lt;=$B$9,1/SUM(D$18:$D22),"")</f>
        <v>0.25482937754689394</v>
      </c>
    </row>
    <row r="23" spans="1:5" x14ac:dyDescent="0.25">
      <c r="A23">
        <v>5</v>
      </c>
      <c r="B23">
        <f t="shared" si="0"/>
        <v>7.3054253956829338E-2</v>
      </c>
      <c r="C23">
        <f t="shared" si="1"/>
        <v>0.90723344434872799</v>
      </c>
      <c r="D23">
        <f t="shared" si="2"/>
        <v>0.34366607666015625</v>
      </c>
      <c r="E23">
        <f>IF(A23&lt;=$B$9,1/SUM(D$18:$D23),"")</f>
        <v>0.23430944391907715</v>
      </c>
    </row>
    <row r="24" spans="1:5" x14ac:dyDescent="0.25">
      <c r="A24">
        <v>6</v>
      </c>
      <c r="B24">
        <f t="shared" si="0"/>
        <v>4.5658908723018331E-2</v>
      </c>
      <c r="C24">
        <f t="shared" si="1"/>
        <v>0.95289235307174636</v>
      </c>
      <c r="D24">
        <f t="shared" si="2"/>
        <v>0.21479129791259766</v>
      </c>
      <c r="E24">
        <f>IF(A24&lt;=$B$9,1/SUM(D$18:$D24),"")</f>
        <v>0.22308224340859428</v>
      </c>
    </row>
    <row r="25" spans="1:5" x14ac:dyDescent="0.25">
      <c r="A25">
        <v>7</v>
      </c>
      <c r="B25">
        <f t="shared" si="0"/>
        <v>2.5683136156697813E-2</v>
      </c>
      <c r="C25">
        <f t="shared" si="1"/>
        <v>0.97857548922844417</v>
      </c>
      <c r="D25">
        <f t="shared" si="2"/>
        <v>0.12082010507583618</v>
      </c>
      <c r="E25">
        <f>IF(A25&lt;=$B$9,1/SUM(D$18:$D25),"")</f>
        <v>0.21722735362781517</v>
      </c>
    </row>
    <row r="26" spans="1:5" x14ac:dyDescent="0.25">
      <c r="A26">
        <v>8</v>
      </c>
      <c r="B26">
        <f t="shared" si="0"/>
        <v>1.2841568078348907E-2</v>
      </c>
      <c r="C26">
        <f t="shared" si="1"/>
        <v>0.99141705730679308</v>
      </c>
      <c r="D26">
        <f t="shared" si="2"/>
        <v>6.0410052537918091E-2</v>
      </c>
      <c r="E26">
        <f>IF(A26&lt;=$B$9,1/SUM(D$18:$D26),"")</f>
        <v>0.21441366404124604</v>
      </c>
    </row>
    <row r="27" spans="1:5" x14ac:dyDescent="0.25">
      <c r="A27">
        <v>9</v>
      </c>
      <c r="B27">
        <f t="shared" si="0"/>
        <v>5.6181860342776465E-3</v>
      </c>
      <c r="C27">
        <f t="shared" si="1"/>
        <v>0.99703524334107074</v>
      </c>
      <c r="D27">
        <f t="shared" si="2"/>
        <v>2.6429397985339165E-2</v>
      </c>
      <c r="E27">
        <f>IF(A27&lt;=$B$9,1/SUM(D$18:$D27),"")</f>
        <v>0.21320546617570402</v>
      </c>
    </row>
    <row r="28" spans="1:5" x14ac:dyDescent="0.25">
      <c r="A28">
        <v>10</v>
      </c>
      <c r="B28">
        <f t="shared" si="0"/>
        <v>2.1068197628541173E-3</v>
      </c>
      <c r="C28">
        <f t="shared" si="1"/>
        <v>0.99914206310392484</v>
      </c>
      <c r="D28">
        <f t="shared" si="2"/>
        <v>9.9110242445021868E-3</v>
      </c>
      <c r="E28">
        <f>IF(A28&lt;=$B$9,1/SUM(D$18:$D28),"")</f>
        <v>0.2127558949823023</v>
      </c>
    </row>
    <row r="29" spans="1:5" x14ac:dyDescent="0.25">
      <c r="A29">
        <v>11</v>
      </c>
      <c r="B29">
        <f t="shared" si="0"/>
        <v>6.583811758919117E-4</v>
      </c>
      <c r="C29">
        <f t="shared" si="1"/>
        <v>0.99980044427981674</v>
      </c>
      <c r="D29">
        <f t="shared" si="2"/>
        <v>3.0971950764069334E-3</v>
      </c>
      <c r="E29">
        <f>IF(A29&lt;=$B$9,1/SUM(D$18:$D29),"")</f>
        <v>0.21261579254774368</v>
      </c>
    </row>
    <row r="30" spans="1:5" x14ac:dyDescent="0.25">
      <c r="A30">
        <v>12</v>
      </c>
      <c r="B30">
        <f t="shared" si="0"/>
        <v>1.6459529397297792E-4</v>
      </c>
      <c r="C30">
        <f t="shared" si="1"/>
        <v>0.99996503957378968</v>
      </c>
      <c r="D30">
        <f t="shared" si="2"/>
        <v>7.7429876910173334E-4</v>
      </c>
      <c r="E30">
        <f>IF(A30&lt;=$B$9,1/SUM(D$18:$D30),"")</f>
        <v>0.21258079576536357</v>
      </c>
    </row>
    <row r="31" spans="1:5" x14ac:dyDescent="0.25">
      <c r="A31">
        <v>13</v>
      </c>
      <c r="B31">
        <f t="shared" si="0"/>
        <v>3.0861617619933361E-5</v>
      </c>
      <c r="C31">
        <f t="shared" si="1"/>
        <v>0.99999590119140958</v>
      </c>
      <c r="D31">
        <f t="shared" si="2"/>
        <v>1.45181019206575E-4</v>
      </c>
      <c r="E31">
        <f>IF(A31&lt;=$B$9,1/SUM(D$18:$D31),"")</f>
        <v>0.2125742351512406</v>
      </c>
    </row>
    <row r="32" spans="1:5" x14ac:dyDescent="0.25">
      <c r="A32">
        <v>14</v>
      </c>
      <c r="B32">
        <f t="shared" si="0"/>
        <v>3.8577022024916701E-6</v>
      </c>
      <c r="C32">
        <f t="shared" si="1"/>
        <v>0.99999975889361203</v>
      </c>
      <c r="D32">
        <f t="shared" si="2"/>
        <v>1.8147627400821875E-5</v>
      </c>
      <c r="E32">
        <f>IF(A32&lt;=$B$9,1/SUM(D$18:$D32),"")</f>
        <v>0.21257341510294775</v>
      </c>
    </row>
    <row r="33" spans="1:5" x14ac:dyDescent="0.25">
      <c r="A33">
        <v>15</v>
      </c>
      <c r="B33">
        <f t="shared" si="0"/>
        <v>2.4110638765572938E-7</v>
      </c>
      <c r="C33">
        <f t="shared" si="1"/>
        <v>0.99999999999999967</v>
      </c>
      <c r="D33">
        <f t="shared" si="2"/>
        <v>1.1342267125513672E-6</v>
      </c>
      <c r="E33">
        <f>IF(A33&lt;=$B$9,1/SUM(D$18:$D33),"")</f>
        <v>0.21257336385013953</v>
      </c>
    </row>
    <row r="34" spans="1:5" x14ac:dyDescent="0.25">
      <c r="A34">
        <v>16</v>
      </c>
      <c r="B34" t="str">
        <f t="shared" si="0"/>
        <v/>
      </c>
      <c r="C34" t="str">
        <f t="shared" si="1"/>
        <v/>
      </c>
      <c r="D34" t="str">
        <f t="shared" si="2"/>
        <v/>
      </c>
      <c r="E34" t="str">
        <f>IF(A34&lt;=$B$9,1/SUM(D$18:$D34),"")</f>
        <v/>
      </c>
    </row>
    <row r="35" spans="1:5" x14ac:dyDescent="0.25">
      <c r="A35">
        <v>17</v>
      </c>
      <c r="B35" t="str">
        <f t="shared" si="0"/>
        <v/>
      </c>
      <c r="C35" t="str">
        <f t="shared" si="1"/>
        <v/>
      </c>
      <c r="D35" t="str">
        <f t="shared" si="2"/>
        <v/>
      </c>
      <c r="E35" t="str">
        <f>IF(A35&lt;=$B$9,1/SUM(D$18:$D35),"")</f>
        <v/>
      </c>
    </row>
    <row r="36" spans="1:5" x14ac:dyDescent="0.25">
      <c r="A36">
        <v>18</v>
      </c>
      <c r="B36" t="str">
        <f t="shared" si="0"/>
        <v/>
      </c>
      <c r="C36" t="str">
        <f t="shared" si="1"/>
        <v/>
      </c>
      <c r="D36" t="str">
        <f t="shared" si="2"/>
        <v/>
      </c>
      <c r="E36" t="str">
        <f>IF(A36&lt;=$B$9,1/SUM(D$18:$D36),"")</f>
        <v/>
      </c>
    </row>
    <row r="37" spans="1:5" x14ac:dyDescent="0.25">
      <c r="A37">
        <v>19</v>
      </c>
      <c r="B37" t="str">
        <f t="shared" si="0"/>
        <v/>
      </c>
      <c r="C37" t="str">
        <f t="shared" si="1"/>
        <v/>
      </c>
      <c r="D37" t="str">
        <f t="shared" si="2"/>
        <v/>
      </c>
      <c r="E37" t="str">
        <f>IF(A37&lt;=$B$9,1/SUM(D$18:$D37),"")</f>
        <v/>
      </c>
    </row>
    <row r="38" spans="1:5" x14ac:dyDescent="0.25">
      <c r="A38">
        <v>20</v>
      </c>
      <c r="B38" t="str">
        <f t="shared" si="0"/>
        <v/>
      </c>
      <c r="C38" t="str">
        <f t="shared" si="1"/>
        <v/>
      </c>
      <c r="D38" t="str">
        <f t="shared" si="2"/>
        <v/>
      </c>
      <c r="E38" t="str">
        <f>IF(A38&lt;=$B$9,1/SUM(D$18:$D38),"")</f>
        <v/>
      </c>
    </row>
    <row r="39" spans="1:5" x14ac:dyDescent="0.25">
      <c r="A39">
        <v>21</v>
      </c>
      <c r="B39" t="str">
        <f t="shared" si="0"/>
        <v/>
      </c>
      <c r="C39" t="str">
        <f t="shared" si="1"/>
        <v/>
      </c>
      <c r="D39" t="str">
        <f t="shared" si="2"/>
        <v/>
      </c>
      <c r="E39" t="str">
        <f>IF(A39&lt;=$B$9,1/SUM(D$18:$D39),"")</f>
        <v/>
      </c>
    </row>
    <row r="40" spans="1:5" x14ac:dyDescent="0.25">
      <c r="A40">
        <v>22</v>
      </c>
      <c r="B40" t="str">
        <f t="shared" si="0"/>
        <v/>
      </c>
      <c r="C40" t="str">
        <f t="shared" si="1"/>
        <v/>
      </c>
      <c r="D40" t="str">
        <f t="shared" si="2"/>
        <v/>
      </c>
      <c r="E40" t="str">
        <f>IF(A40&lt;=$B$9,1/SUM(D$18:$D40),"")</f>
        <v/>
      </c>
    </row>
    <row r="41" spans="1:5" x14ac:dyDescent="0.25">
      <c r="A41">
        <v>23</v>
      </c>
      <c r="B41" t="str">
        <f t="shared" si="0"/>
        <v/>
      </c>
      <c r="C41" t="str">
        <f t="shared" si="1"/>
        <v/>
      </c>
      <c r="D41" t="str">
        <f t="shared" si="2"/>
        <v/>
      </c>
      <c r="E41" t="str">
        <f>IF(A41&lt;=$B$9,1/SUM(D$18:$D41),"")</f>
        <v/>
      </c>
    </row>
    <row r="42" spans="1:5" x14ac:dyDescent="0.25">
      <c r="A42">
        <v>24</v>
      </c>
      <c r="B42" t="str">
        <f t="shared" si="0"/>
        <v/>
      </c>
      <c r="C42" t="str">
        <f t="shared" si="1"/>
        <v/>
      </c>
      <c r="D42" t="str">
        <f t="shared" si="2"/>
        <v/>
      </c>
      <c r="E42" t="str">
        <f>IF(A42&lt;=$B$9,1/SUM(D$18:$D42),"")</f>
        <v/>
      </c>
    </row>
    <row r="43" spans="1:5" x14ac:dyDescent="0.25">
      <c r="A43">
        <v>25</v>
      </c>
      <c r="B43" t="str">
        <f t="shared" si="0"/>
        <v/>
      </c>
      <c r="C43" t="str">
        <f t="shared" si="1"/>
        <v/>
      </c>
      <c r="D43" t="str">
        <f t="shared" si="2"/>
        <v/>
      </c>
      <c r="E43" t="str">
        <f>IF(A43&lt;=$B$9,1/SUM(D$18:$D43),"")</f>
        <v/>
      </c>
    </row>
    <row r="44" spans="1:5" x14ac:dyDescent="0.25">
      <c r="A44">
        <v>26</v>
      </c>
      <c r="B44" t="str">
        <f t="shared" si="0"/>
        <v/>
      </c>
      <c r="C44" t="str">
        <f t="shared" si="1"/>
        <v/>
      </c>
      <c r="D44" t="str">
        <f t="shared" si="2"/>
        <v/>
      </c>
      <c r="E44" t="str">
        <f>IF(A44&lt;=$B$9,1/SUM(D$18:$D44),"")</f>
        <v/>
      </c>
    </row>
    <row r="45" spans="1:5" x14ac:dyDescent="0.25">
      <c r="A45">
        <v>27</v>
      </c>
      <c r="B45" t="str">
        <f t="shared" si="0"/>
        <v/>
      </c>
      <c r="C45" t="str">
        <f t="shared" si="1"/>
        <v/>
      </c>
      <c r="D45" t="str">
        <f t="shared" si="2"/>
        <v/>
      </c>
      <c r="E45" t="str">
        <f>IF(A45&lt;=$B$9,1/SUM(D$18:$D45),"")</f>
        <v/>
      </c>
    </row>
    <row r="46" spans="1:5" x14ac:dyDescent="0.25">
      <c r="A46">
        <v>28</v>
      </c>
      <c r="B46" t="str">
        <f t="shared" si="0"/>
        <v/>
      </c>
      <c r="C46" t="str">
        <f t="shared" si="1"/>
        <v/>
      </c>
      <c r="D46" t="str">
        <f t="shared" si="2"/>
        <v/>
      </c>
      <c r="E46" t="str">
        <f>IF(A46&lt;=$B$9,1/SUM(D$18:$D46),"")</f>
        <v/>
      </c>
    </row>
    <row r="47" spans="1:5" x14ac:dyDescent="0.25">
      <c r="A47">
        <v>29</v>
      </c>
      <c r="B47" t="str">
        <f t="shared" si="0"/>
        <v/>
      </c>
      <c r="C47" t="str">
        <f t="shared" si="1"/>
        <v/>
      </c>
      <c r="D47" t="str">
        <f t="shared" si="2"/>
        <v/>
      </c>
      <c r="E47" t="str">
        <f>IF(A47&lt;=$B$9,1/SUM(D$18:$D47),"")</f>
        <v/>
      </c>
    </row>
    <row r="48" spans="1:5" x14ac:dyDescent="0.25">
      <c r="A48">
        <v>30</v>
      </c>
      <c r="B48" t="str">
        <f t="shared" si="0"/>
        <v/>
      </c>
      <c r="C48" t="str">
        <f t="shared" si="1"/>
        <v/>
      </c>
      <c r="D48" t="str">
        <f t="shared" si="2"/>
        <v/>
      </c>
      <c r="E48" t="str">
        <f>IF(A48&lt;=$B$9,1/SUM(D$18:$D48),"")</f>
        <v/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Q1.1,1.2</vt:lpstr>
      <vt:lpstr>Q-1-1.3</vt:lpstr>
      <vt:lpstr>Q2</vt:lpstr>
      <vt:lpstr>Q2-1</vt:lpstr>
      <vt:lpstr>Q-2.2</vt:lpstr>
      <vt:lpstr>Q2-3</vt:lpstr>
      <vt:lpstr>Q-3.1</vt:lpstr>
      <vt:lpstr>Q-3.3a</vt:lpstr>
      <vt:lpstr>Q-3.3b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Priya Akula</dc:creator>
  <cp:lastModifiedBy>Bhavya Priya Akula</cp:lastModifiedBy>
  <dcterms:created xsi:type="dcterms:W3CDTF">2015-06-05T18:17:20Z</dcterms:created>
  <dcterms:modified xsi:type="dcterms:W3CDTF">2024-02-20T16:08:56Z</dcterms:modified>
</cp:coreProperties>
</file>