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E3AE681B-D5A6-41D7-9C5D-AC98F5339EE9}" xr6:coauthVersionLast="47" xr6:coauthVersionMax="47" xr10:uidLastSave="{00000000-0000-0000-0000-000000000000}"/>
  <bookViews>
    <workbookView xWindow="-120" yWindow="-120" windowWidth="20730" windowHeight="11160" xr2:uid="{975A23AC-DCC5-4021-939A-98EEEE2B48AC}"/>
  </bookViews>
  <sheets>
    <sheet name="C-TIER I" sheetId="1" r:id="rId1"/>
  </sheets>
  <externalReferences>
    <externalReference r:id="rId2"/>
  </externalReferences>
  <definedNames>
    <definedName name="_xlnm._FilterDatabase" localSheetId="0" hidden="1">'C-TIER I'!$C$6:$H$97</definedName>
    <definedName name="_xlnm.Print_Area" localSheetId="0">'C-TIER I'!$B$2:$H$134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1" l="1"/>
  <c r="F137" i="1"/>
  <c r="F136" i="1"/>
  <c r="F135" i="1"/>
  <c r="F134" i="1"/>
  <c r="F133" i="1"/>
  <c r="F130" i="1"/>
  <c r="D120" i="1"/>
  <c r="D119" i="1"/>
  <c r="C119" i="1"/>
  <c r="D118" i="1"/>
  <c r="C118" i="1"/>
  <c r="D117" i="1"/>
  <c r="D116" i="1"/>
  <c r="D115" i="1"/>
  <c r="F109" i="1"/>
  <c r="F108" i="1"/>
  <c r="F107" i="1"/>
  <c r="F103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O62" i="1" s="1"/>
  <c r="F7" i="1"/>
  <c r="E7" i="1"/>
  <c r="D7" i="1"/>
  <c r="C7" i="1"/>
  <c r="D4" i="1"/>
  <c r="N53" i="1" l="1"/>
  <c r="N54" i="1"/>
  <c r="N55" i="1"/>
  <c r="N56" i="1"/>
  <c r="N57" i="1"/>
  <c r="N58" i="1"/>
  <c r="N59" i="1"/>
  <c r="F99" i="1"/>
  <c r="O53" i="1"/>
  <c r="O54" i="1"/>
  <c r="O55" i="1"/>
  <c r="O56" i="1"/>
  <c r="F131" i="1" s="1"/>
  <c r="O57" i="1"/>
  <c r="F132" i="1" s="1"/>
  <c r="O58" i="1"/>
  <c r="O59" i="1"/>
  <c r="N61" i="1"/>
  <c r="N62" i="1"/>
  <c r="F111" i="1"/>
  <c r="O61" i="1"/>
  <c r="F113" i="1" l="1"/>
  <c r="G131" i="1" s="1"/>
  <c r="G132" i="1"/>
  <c r="F129" i="1"/>
  <c r="G129" i="1" s="1"/>
  <c r="O63" i="1"/>
  <c r="N63" i="1"/>
  <c r="F124" i="1" l="1"/>
  <c r="F115" i="1"/>
  <c r="G60" i="1"/>
  <c r="G59" i="1"/>
  <c r="G28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3" i="1"/>
  <c r="G62" i="1"/>
  <c r="G61" i="1"/>
  <c r="G52" i="1"/>
  <c r="G50" i="1"/>
  <c r="G48" i="1"/>
  <c r="G46" i="1"/>
  <c r="G44" i="1"/>
  <c r="G42" i="1"/>
  <c r="G40" i="1"/>
  <c r="G38" i="1"/>
  <c r="G36" i="1"/>
  <c r="G34" i="1"/>
  <c r="G32" i="1"/>
  <c r="G30" i="1"/>
  <c r="G14" i="1"/>
  <c r="G7" i="1"/>
  <c r="G35" i="1"/>
  <c r="G51" i="1"/>
  <c r="G75" i="1"/>
  <c r="G103" i="1"/>
  <c r="G20" i="1"/>
  <c r="G10" i="1"/>
  <c r="G11" i="1"/>
  <c r="G13" i="1"/>
  <c r="G29" i="1"/>
  <c r="G45" i="1"/>
  <c r="G65" i="1"/>
  <c r="G81" i="1"/>
  <c r="G22" i="1"/>
  <c r="G15" i="1"/>
  <c r="G39" i="1"/>
  <c r="G55" i="1"/>
  <c r="G79" i="1"/>
  <c r="G8" i="1"/>
  <c r="G24" i="1"/>
  <c r="G18" i="1"/>
  <c r="G19" i="1"/>
  <c r="G17" i="1"/>
  <c r="G33" i="1"/>
  <c r="G49" i="1"/>
  <c r="G69" i="1"/>
  <c r="G85" i="1"/>
  <c r="G109" i="1"/>
  <c r="G31" i="1"/>
  <c r="G47" i="1"/>
  <c r="G71" i="1"/>
  <c r="G87" i="1"/>
  <c r="G16" i="1"/>
  <c r="G107" i="1"/>
  <c r="G54" i="1"/>
  <c r="G9" i="1"/>
  <c r="G25" i="1"/>
  <c r="G41" i="1"/>
  <c r="G57" i="1"/>
  <c r="G77" i="1"/>
  <c r="G108" i="1"/>
  <c r="G58" i="1"/>
  <c r="G27" i="1"/>
  <c r="G43" i="1"/>
  <c r="G67" i="1"/>
  <c r="G83" i="1"/>
  <c r="G12" i="1"/>
  <c r="G56" i="1"/>
  <c r="G26" i="1"/>
  <c r="G23" i="1"/>
  <c r="G21" i="1"/>
  <c r="G37" i="1"/>
  <c r="G53" i="1"/>
  <c r="G73" i="1"/>
  <c r="G89" i="1"/>
  <c r="G99" i="1"/>
  <c r="G111" i="1"/>
</calcChain>
</file>

<file path=xl/sharedStrings.xml><?xml version="1.0" encoding="utf-8"?>
<sst xmlns="http://schemas.openxmlformats.org/spreadsheetml/2006/main" count="171" uniqueCount="143">
  <si>
    <t>NAME OF PENSION FUND</t>
  </si>
  <si>
    <t>ADITYA BIRLA SUN LIFE PENSION MANAGEMENT LIMITED</t>
  </si>
  <si>
    <t>SCHEME NAME</t>
  </si>
  <si>
    <t>C-TIER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</si>
  <si>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</si>
  <si>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</si>
  <si>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</si>
  <si>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</si>
  <si>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</si>
  <si>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</si>
  <si>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</si>
  <si>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</si>
  <si>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INE115A07LU0</t>
  </si>
  <si>
    <t>INE774D08MK5</t>
  </si>
  <si>
    <t>INE134E08CY2</t>
  </si>
  <si>
    <t>INE572E09197</t>
  </si>
  <si>
    <t>INE053F07AB5</t>
  </si>
  <si>
    <t>INE020B08AQ9</t>
  </si>
  <si>
    <t>INE134E08DB8</t>
  </si>
  <si>
    <t>INE134E08JP5</t>
  </si>
  <si>
    <t>INE752E07KZ3</t>
  </si>
  <si>
    <t>INE660A08BX8</t>
  </si>
  <si>
    <t>INE206D08188</t>
  </si>
  <si>
    <t>INE261F08AD8</t>
  </si>
  <si>
    <t>INE535H08553</t>
  </si>
  <si>
    <t>INE020B08740</t>
  </si>
  <si>
    <t>INE514E08EL8</t>
  </si>
  <si>
    <t>INE752E07KX8</t>
  </si>
  <si>
    <t>INE238A08351</t>
  </si>
  <si>
    <t>INE660A08BY6</t>
  </si>
  <si>
    <t>INE261F08BZ9</t>
  </si>
  <si>
    <t>INE134E08CS4</t>
  </si>
  <si>
    <t>INE206D08170</t>
  </si>
  <si>
    <t>INE733E08163</t>
  </si>
  <si>
    <t>INE752E07OC4</t>
  </si>
  <si>
    <t>INE115A07OS8</t>
  </si>
  <si>
    <t>INE053F07BT5</t>
  </si>
  <si>
    <t>INE752E07IX2</t>
  </si>
  <si>
    <t>INE031A08699</t>
  </si>
  <si>
    <t>INE733E07KL3</t>
  </si>
  <si>
    <t>INE001A07SB7</t>
  </si>
  <si>
    <t>INE906B07HG7</t>
  </si>
  <si>
    <t>INE906B07HH5</t>
  </si>
  <si>
    <t>INE001A07FG3</t>
  </si>
  <si>
    <t>INE090A08UE8</t>
  </si>
  <si>
    <t>INE752E07JM3</t>
  </si>
  <si>
    <t>INE053F07BC1</t>
  </si>
  <si>
    <t>INE848E07369</t>
  </si>
  <si>
    <t>INE906B07ID2</t>
  </si>
  <si>
    <t>INE296A07RA7</t>
  </si>
  <si>
    <t>INE062A08231</t>
  </si>
  <si>
    <t>INE094A08093</t>
  </si>
  <si>
    <t>INE134E08JR1</t>
  </si>
  <si>
    <t>[ICRA]AAA</t>
  </si>
  <si>
    <t>INE206D08162</t>
  </si>
  <si>
    <t>CRISIL AAA</t>
  </si>
  <si>
    <t>INE848E07476</t>
  </si>
  <si>
    <t>CRISIL AA</t>
  </si>
  <si>
    <t>INE206D08477</t>
  </si>
  <si>
    <t>IND AAA</t>
  </si>
  <si>
    <t>INE206D08204</t>
  </si>
  <si>
    <t>CARE AA</t>
  </si>
  <si>
    <t>INE848E07AW7</t>
  </si>
  <si>
    <t>CARE AAA</t>
  </si>
  <si>
    <t>INE115A07OF5</t>
  </si>
  <si>
    <t>AAA / Equivalent</t>
  </si>
  <si>
    <t>CARE AAA(CE)</t>
  </si>
  <si>
    <t>INE752E07OB6</t>
  </si>
  <si>
    <t>[ICRA]AA+</t>
  </si>
  <si>
    <t>INE296A07RN0</t>
  </si>
  <si>
    <t>IND AA+</t>
  </si>
  <si>
    <t>INE001A07SW3</t>
  </si>
  <si>
    <t>AA+ / Equivalent</t>
  </si>
  <si>
    <t>INE261F08832</t>
  </si>
  <si>
    <t>AA / Equivalent</t>
  </si>
  <si>
    <t>INE296A07RO8</t>
  </si>
  <si>
    <t>INE115A07JS8</t>
  </si>
  <si>
    <t>INE031A08707</t>
  </si>
  <si>
    <t>INE906B07FT4</t>
  </si>
  <si>
    <t>INE733E07JB6</t>
  </si>
  <si>
    <t>INE261F08AI7</t>
  </si>
  <si>
    <t>INE202E07062</t>
  </si>
  <si>
    <t>INE134E08JD1</t>
  </si>
  <si>
    <t>INE537P07430</t>
  </si>
  <si>
    <t>INE235P07894</t>
  </si>
  <si>
    <t>INE121A08OA2</t>
  </si>
  <si>
    <t>INE752E07IL7</t>
  </si>
  <si>
    <t>INE121A08OE4</t>
  </si>
  <si>
    <t>INE115A07DT9</t>
  </si>
  <si>
    <t>INE115A07NP6</t>
  </si>
  <si>
    <t>INE001A07NP8</t>
  </si>
  <si>
    <t>INE514E08DG0</t>
  </si>
  <si>
    <t>INE115A07DS1</t>
  </si>
  <si>
    <t>INE261F08BM7</t>
  </si>
  <si>
    <t>INE848E07484</t>
  </si>
  <si>
    <t>INE053F07BA5</t>
  </si>
  <si>
    <t>INE261F08AZ1</t>
  </si>
  <si>
    <t>INE134E08CP0</t>
  </si>
  <si>
    <t>INE018A08BA7</t>
  </si>
  <si>
    <t>INE002A08534</t>
  </si>
  <si>
    <t>INE002A08542</t>
  </si>
  <si>
    <t>INE514E08FG5</t>
  </si>
  <si>
    <t>INE062A08165</t>
  </si>
  <si>
    <t>INE001A07MS4</t>
  </si>
  <si>
    <t>INE001A07PB3</t>
  </si>
  <si>
    <t>INE020B08443</t>
  </si>
  <si>
    <t>INE535H08660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</si>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</sst>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43" fontId="0" fillId="0" borderId="0" xfId="1" applyFont="1"/>
    <xf numFmtId="164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4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5" fontId="0" fillId="0" borderId="4" xfId="1" applyNumberFormat="1" applyFont="1" applyFill="1" applyBorder="1" applyAlignment="1">
      <alignment horizontal="right" vertical="top"/>
    </xf>
    <xf numFmtId="0" fontId="0" fillId="0" borderId="6" xfId="0" quotePrefix="1" applyBorder="1"/>
    <xf numFmtId="43" fontId="0" fillId="0" borderId="4" xfId="1" applyFont="1" applyBorder="1" applyAlignment="1">
      <alignment horizontal="right" vertical="top"/>
    </xf>
    <xf numFmtId="165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2" fillId="2" borderId="4" xfId="0" applyFont="1" applyFill="1" applyBorder="1"/>
    <xf numFmtId="0" fontId="4" fillId="0" borderId="4" xfId="0" applyFont="1" applyBorder="1"/>
    <xf numFmtId="165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3" fillId="0" borderId="4" xfId="0" applyFont="1" applyBorder="1"/>
    <xf numFmtId="0" fontId="3" fillId="0" borderId="4" xfId="0" applyFont="1" applyBorder="1" applyAlignment="1">
      <alignment vertical="top"/>
    </xf>
    <xf numFmtId="43" fontId="3" fillId="0" borderId="4" xfId="1" applyFont="1" applyBorder="1"/>
    <xf numFmtId="165" fontId="3" fillId="0" borderId="4" xfId="1" applyNumberFormat="1" applyFont="1" applyBorder="1"/>
    <xf numFmtId="10" fontId="3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66" fontId="6" fillId="0" borderId="4" xfId="1" applyNumberFormat="1" applyFont="1" applyFill="1" applyBorder="1"/>
    <xf numFmtId="165" fontId="6" fillId="0" borderId="4" xfId="1" applyNumberFormat="1" applyFont="1" applyFill="1" applyBorder="1"/>
    <xf numFmtId="10" fontId="0" fillId="3" borderId="0" xfId="2" applyNumberFormat="1" applyFont="1" applyFill="1" applyBorder="1"/>
    <xf numFmtId="165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I11">
            <v>100.01798702799999</v>
          </cell>
        </row>
        <row r="14">
          <cell r="B14" t="str">
            <v>Net Asset Value</v>
          </cell>
          <cell r="I14">
            <v>15.226856416018697</v>
          </cell>
        </row>
        <row r="15">
          <cell r="B15" t="str">
            <v xml:space="preserve">Net asset value last month </v>
          </cell>
          <cell r="I15">
            <v>15.116908419890573</v>
          </cell>
        </row>
        <row r="18">
          <cell r="I18">
            <v>5.4148300580350899</v>
          </cell>
        </row>
        <row r="19">
          <cell r="I19">
            <v>4.0721388018831783</v>
          </cell>
        </row>
        <row r="20">
          <cell r="I20">
            <v>6.20991005331386E-2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DB209-E2CC-457E-BDFA-272F2315B131}" name="Table1" displayName="Table1" ref="B6:H97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5A43B98E-FDFD-4505-A730-782E146CF675}" name="ISIN No." dataDxfId="6"/>
    <tableColumn id="2" xr3:uid="{94B0D795-8D62-4EA9-A05B-FEE3A7E43BDF}" name="Name of the Instrument" dataDxfId="5">
      <calculatedColumnFormula>IFERROR(VLOOKUP(Table1[[#This Row],[ISIN No.]],'[1]13 Portfolio Data'!G:H,2,0),0)</calculatedColumnFormula>
    </tableColumn>
    <tableColumn id="3" xr3:uid="{4CE83468-B880-4515-8372-B8C3E424AF2D}" name="Industry " dataDxfId="4">
      <calculatedColumnFormula>IFERROR(VLOOKUP(Table1[[#This Row],[ISIN No.]],'[1]13 Portfolio Data'!G:K,5,0),0)</calculatedColumnFormula>
    </tableColumn>
    <tableColumn id="4" xr3:uid="{65FC3D18-E23C-4104-B777-9BCBCF3744B2}" name="Quantity" dataDxfId="3" dataCellStyle="Comma">
      <calculatedColumnFormula>SUMIFS('[1]13 Portfolio Data'!M:M,'[1]13 Portfolio Data'!D:D,$D$3,'[1]13 Portfolio Data'!G:G,Table1[[#This Row],[ISIN No.]])</calculatedColumnFormula>
    </tableColumn>
    <tableColumn id="5" xr3:uid="{F2342226-3083-49B9-B4D4-12B208FDF460}" name="Market Value" dataDxfId="2" dataCellStyle="Comma">
      <calculatedColumnFormula>SUMIFS('[1]13 Portfolio Data'!O:O,'[1]13 Portfolio Data'!D:D,$D$3,'[1]13 Portfolio Data'!G:G,Table1[[#This Row],[ISIN No.]])</calculatedColumnFormula>
    </tableColumn>
    <tableColumn id="6" xr3:uid="{AB2CBB77-5613-4609-BB84-A77CB9FD948A}" name="% of Portfolio" dataDxfId="1" dataCellStyle="Percent">
      <calculatedColumnFormula>+F7/$F$113</calculatedColumnFormula>
    </tableColumn>
    <tableColumn id="7" xr3:uid="{350360A5-0746-49D3-9588-6A97518CB875}" name="Ratings" dataDxfId="0">
      <calculatedColumnFormula>IFERROR(VLOOKUP(Table1[[#This Row],[ISIN No.]],'[1]13 Portfolio Data'!G:AO,35,0),0)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91CB-507F-41E6-9553-3530346AEDBA}">
  <sheetPr>
    <pageSetUpPr fitToPage="1"/>
  </sheetPr>
  <dimension ref="A2:R138"/>
  <sheetViews>
    <sheetView showGridLines="0" tabSelected="1" view="pageBreakPreview" topLeftCell="D111" zoomScale="98" zoomScaleNormal="100" zoomScaleSheetLayoutView="98" workbookViewId="0">
      <selection activeCell="H130" sqref="H130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1" t="s">
        <v>3</v>
      </c>
    </row>
    <row r="4" spans="1:8" x14ac:dyDescent="0.25">
      <c r="B4" s="1"/>
      <c r="C4" s="1" t="s">
        <v>4</v>
      </c>
      <c r="D4" s="3">
        <f>+'[1]13 Portfolio Data'!D5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IFERROR(VLOOKUP(Table1[[#This Row],[ISIN No.]],'[1]13 Portfolio Data'!G:H,2,0),0)</f>
        <v>7.86% LIC housing Finance MD 17/05/2027</v>
      </c>
      <c r="D7" s="9" t="str">
        <f>IFERROR(VLOOKUP(Table1[[#This Row],[ISIN No.]],'[1]13 Portfolio Data'!G:K,5,0),0)</f>
        <v>Activities of specialized institutions granting credit for house purchases</v>
      </c>
      <c r="E7" s="10">
        <f>SUMIFS('[1]13 Portfolio Data'!M:M,'[1]13 Portfolio Data'!D:D,$D$3,'[1]13 Portfolio Data'!G:G,Table1[[#This Row],[ISIN No.]])</f>
        <v>15</v>
      </c>
      <c r="F7" s="11">
        <f>SUMIFS('[1]13 Portfolio Data'!O:O,'[1]13 Portfolio Data'!D:D,$D$3,'[1]13 Portfolio Data'!G:G,Table1[[#This Row],[ISIN No.]])</f>
        <v>15847815</v>
      </c>
      <c r="G7" s="12">
        <f t="shared" ref="G7:G70" si="0">+F7/$F$113</f>
        <v>1.5844964961715745E-2</v>
      </c>
      <c r="H7" s="13" t="str">
        <f>IFERROR(VLOOKUP(Table1[[#This Row],[ISIN No.]],'[1]13 Portfolio Data'!G:AO,35,0),0)</f>
        <v>CRISIL AAA</v>
      </c>
    </row>
    <row r="8" spans="1:8" x14ac:dyDescent="0.25">
      <c r="A8" s="8"/>
      <c r="B8" s="9" t="s">
        <v>13</v>
      </c>
      <c r="C8" s="9" t="str">
        <f>IFERROR(VLOOKUP(Table1[[#This Row],[ISIN No.]],'[1]13 Portfolio Data'!G:H,2,0),0)</f>
        <v>8%Mahindra Financial Sevices LTD NCD MD 24/07/2027</v>
      </c>
      <c r="D8" s="9" t="str">
        <f>IFERROR(VLOOKUP(Table1[[#This Row],[ISIN No.]],'[1]13 Portfolio Data'!G:K,5,0),0)</f>
        <v>Other financial service activities, except insurance and pension funding activities</v>
      </c>
      <c r="E8" s="10">
        <f>SUMIFS('[1]13 Portfolio Data'!M:M,'[1]13 Portfolio Data'!D:D,$D$3,'[1]13 Portfolio Data'!G:G,Table1[[#This Row],[ISIN No.]])</f>
        <v>1300</v>
      </c>
      <c r="F8" s="11">
        <f>SUMIFS('[1]13 Portfolio Data'!O:O,'[1]13 Portfolio Data'!D:D,$D$3,'[1]13 Portfolio Data'!G:G,Table1[[#This Row],[ISIN No.]])</f>
        <v>1330513.6000000001</v>
      </c>
      <c r="G8" s="12">
        <f t="shared" si="0"/>
        <v>1.330274323185012E-3</v>
      </c>
      <c r="H8" s="13" t="str">
        <f>IFERROR(VLOOKUP(Table1[[#This Row],[ISIN No.]],'[1]13 Portfolio Data'!G:AO,35,0),0)</f>
        <v>IND AAA</v>
      </c>
    </row>
    <row r="9" spans="1:8" x14ac:dyDescent="0.25">
      <c r="A9" s="8"/>
      <c r="B9" s="9" t="s">
        <v>14</v>
      </c>
      <c r="C9" s="9" t="str">
        <f>IFERROR(VLOOKUP(Table1[[#This Row],[ISIN No.]],'[1]13 Portfolio Data'!G:H,2,0),0)</f>
        <v>8.70% PFC 14.05.2025</v>
      </c>
      <c r="D9" s="9" t="str">
        <f>IFERROR(VLOOKUP(Table1[[#This Row],[ISIN No.]],'[1]13 Portfolio Data'!G:K,5,0),0)</f>
        <v>Other credit granting</v>
      </c>
      <c r="E9" s="10">
        <f>SUMIFS('[1]13 Portfolio Data'!M:M,'[1]13 Portfolio Data'!D:D,$D$3,'[1]13 Portfolio Data'!G:G,Table1[[#This Row],[ISIN No.]])</f>
        <v>8</v>
      </c>
      <c r="F9" s="11">
        <f>SUMIFS('[1]13 Portfolio Data'!O:O,'[1]13 Portfolio Data'!D:D,$D$3,'[1]13 Portfolio Data'!G:G,Table1[[#This Row],[ISIN No.]])</f>
        <v>8733240</v>
      </c>
      <c r="G9" s="12">
        <f t="shared" si="0"/>
        <v>8.7316694321743684E-3</v>
      </c>
      <c r="H9" s="13" t="str">
        <f>IFERROR(VLOOKUP(Table1[[#This Row],[ISIN No.]],'[1]13 Portfolio Data'!G:AO,35,0),0)</f>
        <v>[ICRA]AAA</v>
      </c>
    </row>
    <row r="10" spans="1:8" x14ac:dyDescent="0.25">
      <c r="A10" s="8"/>
      <c r="B10" s="9" t="s">
        <v>15</v>
      </c>
      <c r="C10" s="9" t="str">
        <f>IFERROR(VLOOKUP(Table1[[#This Row],[ISIN No.]],'[1]13 Portfolio Data'!G:H,2,0),0)</f>
        <v>9.10% PNB HOUSING FINANCE LTD 21.12.2022</v>
      </c>
      <c r="D10" s="9" t="str">
        <f>IFERROR(VLOOKUP(Table1[[#This Row],[ISIN No.]],'[1]13 Portfolio Data'!G:K,5,0),0)</f>
        <v>Activities of specialized institutions granting credit for house purchases</v>
      </c>
      <c r="E10" s="10">
        <f>SUMIFS('[1]13 Portfolio Data'!M:M,'[1]13 Portfolio Data'!D:D,$D$3,'[1]13 Portfolio Data'!G:G,Table1[[#This Row],[ISIN No.]])</f>
        <v>1</v>
      </c>
      <c r="F10" s="11">
        <f>SUMIFS('[1]13 Portfolio Data'!O:O,'[1]13 Portfolio Data'!D:D,$D$3,'[1]13 Portfolio Data'!G:G,Table1[[#This Row],[ISIN No.]])</f>
        <v>1017513</v>
      </c>
      <c r="G10" s="12">
        <f t="shared" si="0"/>
        <v>1.0173300125657875E-3</v>
      </c>
      <c r="H10" s="13" t="str">
        <f>IFERROR(VLOOKUP(Table1[[#This Row],[ISIN No.]],'[1]13 Portfolio Data'!G:AO,35,0),0)</f>
        <v>CRISIL AA</v>
      </c>
    </row>
    <row r="11" spans="1:8" x14ac:dyDescent="0.25">
      <c r="A11" s="8"/>
      <c r="B11" s="9" t="s">
        <v>16</v>
      </c>
      <c r="C11" s="9" t="str">
        <f>IFERROR(VLOOKUP(Table1[[#This Row],[ISIN No.]],'[1]13 Portfolio Data'!G:H,2,0),0)</f>
        <v>7.27% IRFC 15.06.2027</v>
      </c>
      <c r="D11" s="9" t="str">
        <f>IFERROR(VLOOKUP(Table1[[#This Row],[ISIN No.]],'[1]13 Portfolio Data'!G:K,5,0),0)</f>
        <v>Other credit granting</v>
      </c>
      <c r="E11" s="10">
        <f>SUMIFS('[1]13 Portfolio Data'!M:M,'[1]13 Portfolio Data'!D:D,$D$3,'[1]13 Portfolio Data'!G:G,Table1[[#This Row],[ISIN No.]])</f>
        <v>11</v>
      </c>
      <c r="F11" s="11">
        <f>SUMIFS('[1]13 Portfolio Data'!O:O,'[1]13 Portfolio Data'!D:D,$D$3,'[1]13 Portfolio Data'!G:G,Table1[[#This Row],[ISIN No.]])</f>
        <v>11544929</v>
      </c>
      <c r="G11" s="12">
        <f t="shared" si="0"/>
        <v>1.1542852783837773E-2</v>
      </c>
      <c r="H11" s="13" t="str">
        <f>IFERROR(VLOOKUP(Table1[[#This Row],[ISIN No.]],'[1]13 Portfolio Data'!G:AO,35,0),0)</f>
        <v>[ICRA]AAA</v>
      </c>
    </row>
    <row r="12" spans="1:8" x14ac:dyDescent="0.25">
      <c r="A12" s="8"/>
      <c r="B12" s="9" t="s">
        <v>17</v>
      </c>
      <c r="C12" s="9" t="str">
        <f>IFERROR(VLOOKUP(Table1[[#This Row],[ISIN No.]],'[1]13 Portfolio Data'!G:H,2,0),0)</f>
        <v>7.70% REC 10.12.2027</v>
      </c>
      <c r="D12" s="9" t="str">
        <f>IFERROR(VLOOKUP(Table1[[#This Row],[ISIN No.]],'[1]13 Portfolio Data'!G:K,5,0),0)</f>
        <v>Other credit granting</v>
      </c>
      <c r="E12" s="10">
        <f>SUMIFS('[1]13 Portfolio Data'!M:M,'[1]13 Portfolio Data'!D:D,$D$3,'[1]13 Portfolio Data'!G:G,Table1[[#This Row],[ISIN No.]])</f>
        <v>5</v>
      </c>
      <c r="F12" s="11">
        <f>SUMIFS('[1]13 Portfolio Data'!O:O,'[1]13 Portfolio Data'!D:D,$D$3,'[1]13 Portfolio Data'!G:G,Table1[[#This Row],[ISIN No.]])</f>
        <v>5348415</v>
      </c>
      <c r="G12" s="12">
        <f t="shared" si="0"/>
        <v>5.3474531521042444E-3</v>
      </c>
      <c r="H12" s="13" t="str">
        <f>IFERROR(VLOOKUP(Table1[[#This Row],[ISIN No.]],'[1]13 Portfolio Data'!G:AO,35,0),0)</f>
        <v>[ICRA]AAA</v>
      </c>
    </row>
    <row r="13" spans="1:8" x14ac:dyDescent="0.25">
      <c r="A13" s="8"/>
      <c r="B13" s="9" t="s">
        <v>18</v>
      </c>
      <c r="C13" s="9" t="str">
        <f>IFERROR(VLOOKUP(Table1[[#This Row],[ISIN No.]],'[1]13 Portfolio Data'!G:H,2,0),0)</f>
        <v>8.85% PFC 15.06.2030</v>
      </c>
      <c r="D13" s="9" t="str">
        <f>IFERROR(VLOOKUP(Table1[[#This Row],[ISIN No.]],'[1]13 Portfolio Data'!G:K,5,0),0)</f>
        <v>Other credit granting</v>
      </c>
      <c r="E13" s="10">
        <f>SUMIFS('[1]13 Portfolio Data'!M:M,'[1]13 Portfolio Data'!D:D,$D$3,'[1]13 Portfolio Data'!G:G,Table1[[#This Row],[ISIN No.]])</f>
        <v>1</v>
      </c>
      <c r="F13" s="11">
        <f>SUMIFS('[1]13 Portfolio Data'!O:O,'[1]13 Portfolio Data'!D:D,$D$3,'[1]13 Portfolio Data'!G:G,Table1[[#This Row],[ISIN No.]])</f>
        <v>1119953</v>
      </c>
      <c r="G13" s="12">
        <f t="shared" si="0"/>
        <v>1.119751589967982E-3</v>
      </c>
      <c r="H13" s="13" t="str">
        <f>IFERROR(VLOOKUP(Table1[[#This Row],[ISIN No.]],'[1]13 Portfolio Data'!G:AO,35,0),0)</f>
        <v>[ICRA]AAA</v>
      </c>
    </row>
    <row r="14" spans="1:8" x14ac:dyDescent="0.25">
      <c r="A14" s="8"/>
      <c r="B14" s="9" t="s">
        <v>19</v>
      </c>
      <c r="C14" s="9" t="str">
        <f>IFERROR(VLOOKUP(Table1[[#This Row],[ISIN No.]],'[1]13 Portfolio Data'!G:H,2,0),0)</f>
        <v>7.85% PFC 03.04.2028.</v>
      </c>
      <c r="D14" s="9" t="str">
        <f>IFERROR(VLOOKUP(Table1[[#This Row],[ISIN No.]],'[1]13 Portfolio Data'!G:K,5,0),0)</f>
        <v>Other credit granting</v>
      </c>
      <c r="E14" s="10">
        <f>SUMIFS('[1]13 Portfolio Data'!M:M,'[1]13 Portfolio Data'!D:D,$D$3,'[1]13 Portfolio Data'!G:G,Table1[[#This Row],[ISIN No.]])</f>
        <v>2</v>
      </c>
      <c r="F14" s="11">
        <f>SUMIFS('[1]13 Portfolio Data'!O:O,'[1]13 Portfolio Data'!D:D,$D$3,'[1]13 Portfolio Data'!G:G,Table1[[#This Row],[ISIN No.]])</f>
        <v>2119046</v>
      </c>
      <c r="G14" s="12">
        <f t="shared" si="0"/>
        <v>2.1186649151484862E-3</v>
      </c>
      <c r="H14" s="13" t="str">
        <f>IFERROR(VLOOKUP(Table1[[#This Row],[ISIN No.]],'[1]13 Portfolio Data'!G:AO,35,0),0)</f>
        <v>[ICRA]AAA</v>
      </c>
    </row>
    <row r="15" spans="1:8" x14ac:dyDescent="0.25">
      <c r="A15" s="8"/>
      <c r="B15" s="9" t="s">
        <v>20</v>
      </c>
      <c r="C15" s="9" t="str">
        <f>IFERROR(VLOOKUP(Table1[[#This Row],[ISIN No.]],'[1]13 Portfolio Data'!G:H,2,0),0)</f>
        <v>7.93% POWER GRID CORPORATION MD 20.05.2028</v>
      </c>
      <c r="D15" s="9" t="str">
        <f>IFERROR(VLOOKUP(Table1[[#This Row],[ISIN No.]],'[1]13 Portfolio Data'!G:K,5,0),0)</f>
        <v>Transmission of electric energy</v>
      </c>
      <c r="E15" s="10">
        <f>SUMIFS('[1]13 Portfolio Data'!M:M,'[1]13 Portfolio Data'!D:D,$D$3,'[1]13 Portfolio Data'!G:G,Table1[[#This Row],[ISIN No.]])</f>
        <v>1</v>
      </c>
      <c r="F15" s="11">
        <f>SUMIFS('[1]13 Portfolio Data'!O:O,'[1]13 Portfolio Data'!D:D,$D$3,'[1]13 Portfolio Data'!G:G,Table1[[#This Row],[ISIN No.]])</f>
        <v>1065440</v>
      </c>
      <c r="G15" s="12">
        <f t="shared" si="0"/>
        <v>1.0652483934731965E-3</v>
      </c>
      <c r="H15" s="13" t="str">
        <f>IFERROR(VLOOKUP(Table1[[#This Row],[ISIN No.]],'[1]13 Portfolio Data'!G:AO,35,0),0)</f>
        <v>[ICRA]AAA</v>
      </c>
    </row>
    <row r="16" spans="1:8" x14ac:dyDescent="0.25">
      <c r="A16" s="8"/>
      <c r="B16" s="9" t="s">
        <v>21</v>
      </c>
      <c r="C16" s="9" t="str">
        <f>IFERROR(VLOOKUP(Table1[[#This Row],[ISIN No.]],'[1]13 Portfolio Data'!G:H,2,0),0)</f>
        <v>8.45% SUNDARAM FINANCE 19.01.2028</v>
      </c>
      <c r="D16" s="9" t="str">
        <f>IFERROR(VLOOKUP(Table1[[#This Row],[ISIN No.]],'[1]13 Portfolio Data'!G:K,5,0),0)</f>
        <v>Financial leasing</v>
      </c>
      <c r="E16" s="10">
        <f>SUMIFS('[1]13 Portfolio Data'!M:M,'[1]13 Portfolio Data'!D:D,$D$3,'[1]13 Portfolio Data'!G:G,Table1[[#This Row],[ISIN No.]])</f>
        <v>5</v>
      </c>
      <c r="F16" s="11">
        <f>SUMIFS('[1]13 Portfolio Data'!O:O,'[1]13 Portfolio Data'!D:D,$D$3,'[1]13 Portfolio Data'!G:G,Table1[[#This Row],[ISIN No.]])</f>
        <v>5327350</v>
      </c>
      <c r="G16" s="12">
        <f t="shared" si="0"/>
        <v>5.3263919403902923E-3</v>
      </c>
      <c r="H16" s="13" t="str">
        <f>IFERROR(VLOOKUP(Table1[[#This Row],[ISIN No.]],'[1]13 Portfolio Data'!G:AO,35,0),0)</f>
        <v>[ICRA]AAA</v>
      </c>
    </row>
    <row r="17" spans="1:8" x14ac:dyDescent="0.25">
      <c r="A17" s="8"/>
      <c r="B17" s="9" t="s">
        <v>22</v>
      </c>
      <c r="C17" s="9" t="str">
        <f>IFERROR(VLOOKUP(Table1[[#This Row],[ISIN No.]],'[1]13 Portfolio Data'!G:H,2,0),0)</f>
        <v>9.18% NPCIL 23.01.2026</v>
      </c>
      <c r="D17" s="9" t="str">
        <f>IFERROR(VLOOKUP(Table1[[#This Row],[ISIN No.]],'[1]13 Portfolio Data'!G:K,5,0),0)</f>
        <v>Transmission of electric energy</v>
      </c>
      <c r="E17" s="10">
        <f>SUMIFS('[1]13 Portfolio Data'!M:M,'[1]13 Portfolio Data'!D:D,$D$3,'[1]13 Portfolio Data'!G:G,Table1[[#This Row],[ISIN No.]])</f>
        <v>2</v>
      </c>
      <c r="F17" s="11">
        <f>SUMIFS('[1]13 Portfolio Data'!O:O,'[1]13 Portfolio Data'!D:D,$D$3,'[1]13 Portfolio Data'!G:G,Table1[[#This Row],[ISIN No.]])</f>
        <v>2235446</v>
      </c>
      <c r="G17" s="12">
        <f t="shared" si="0"/>
        <v>2.235043982013143E-3</v>
      </c>
      <c r="H17" s="13" t="str">
        <f>IFERROR(VLOOKUP(Table1[[#This Row],[ISIN No.]],'[1]13 Portfolio Data'!G:AO,35,0),0)</f>
        <v>CRISIL AAA</v>
      </c>
    </row>
    <row r="18" spans="1:8" x14ac:dyDescent="0.25">
      <c r="A18" s="8"/>
      <c r="B18" s="9" t="s">
        <v>23</v>
      </c>
      <c r="C18" s="9" t="str">
        <f>IFERROR(VLOOKUP(Table1[[#This Row],[ISIN No.]],'[1]13 Portfolio Data'!G:H,2,0),0)</f>
        <v>8.20% NABARD 09.03.2028 (GOI Service)</v>
      </c>
      <c r="D18" s="9" t="str">
        <f>IFERROR(VLOOKUP(Table1[[#This Row],[ISIN No.]],'[1]13 Portfolio Data'!G:K,5,0),0)</f>
        <v>Other monetary intermediation services n.e.c.</v>
      </c>
      <c r="E18" s="10">
        <f>SUMIFS('[1]13 Portfolio Data'!M:M,'[1]13 Portfolio Data'!D:D,$D$3,'[1]13 Portfolio Data'!G:G,Table1[[#This Row],[ISIN No.]])</f>
        <v>5</v>
      </c>
      <c r="F18" s="11">
        <f>SUMIFS('[1]13 Portfolio Data'!O:O,'[1]13 Portfolio Data'!D:D,$D$3,'[1]13 Portfolio Data'!G:G,Table1[[#This Row],[ISIN No.]])</f>
        <v>5401720</v>
      </c>
      <c r="G18" s="12">
        <f t="shared" si="0"/>
        <v>5.4007485658432519E-3</v>
      </c>
      <c r="H18" s="13" t="str">
        <f>IFERROR(VLOOKUP(Table1[[#This Row],[ISIN No.]],'[1]13 Portfolio Data'!G:AO,35,0),0)</f>
        <v>CRISIL AAA</v>
      </c>
    </row>
    <row r="19" spans="1:8" x14ac:dyDescent="0.25">
      <c r="A19" s="8"/>
      <c r="B19" s="9" t="s">
        <v>24</v>
      </c>
      <c r="C19" s="9" t="str">
        <f>IFERROR(VLOOKUP(Table1[[#This Row],[ISIN No.]],'[1]13 Portfolio Data'!G:H,2,0),0)</f>
        <v>11.40 % FULLERTON INDIA CREDIT CO LTD 28-Oct-2022</v>
      </c>
      <c r="D19" s="9" t="str">
        <f>IFERROR(VLOOKUP(Table1[[#This Row],[ISIN No.]],'[1]13 Portfolio Data'!G:K,5,0),0)</f>
        <v>Other credit granting</v>
      </c>
      <c r="E19" s="10">
        <f>SUMIFS('[1]13 Portfolio Data'!M:M,'[1]13 Portfolio Data'!D:D,$D$3,'[1]13 Portfolio Data'!G:G,Table1[[#This Row],[ISIN No.]])</f>
        <v>8</v>
      </c>
      <c r="F19" s="11">
        <f>SUMIFS('[1]13 Portfolio Data'!O:O,'[1]13 Portfolio Data'!D:D,$D$3,'[1]13 Portfolio Data'!G:G,Table1[[#This Row],[ISIN No.]])</f>
        <v>8331248</v>
      </c>
      <c r="G19" s="12">
        <f t="shared" si="0"/>
        <v>8.3297497255845291E-3</v>
      </c>
      <c r="H19" s="13" t="str">
        <f>IFERROR(VLOOKUP(Table1[[#This Row],[ISIN No.]],'[1]13 Portfolio Data'!G:AO,35,0),0)</f>
        <v>IND AA+</v>
      </c>
    </row>
    <row r="20" spans="1:8" x14ac:dyDescent="0.25">
      <c r="A20" s="8"/>
      <c r="B20" s="9" t="s">
        <v>25</v>
      </c>
      <c r="C20" s="9" t="str">
        <f>IFERROR(VLOOKUP(Table1[[#This Row],[ISIN No.]],'[1]13 Portfolio Data'!G:H,2,0),0)</f>
        <v>9.35 % REC 15.06.2022</v>
      </c>
      <c r="D20" s="9" t="str">
        <f>IFERROR(VLOOKUP(Table1[[#This Row],[ISIN No.]],'[1]13 Portfolio Data'!G:K,5,0),0)</f>
        <v>Other credit granting</v>
      </c>
      <c r="E20" s="10">
        <f>SUMIFS('[1]13 Portfolio Data'!M:M,'[1]13 Portfolio Data'!D:D,$D$3,'[1]13 Portfolio Data'!G:G,Table1[[#This Row],[ISIN No.]])</f>
        <v>6</v>
      </c>
      <c r="F20" s="11">
        <f>SUMIFS('[1]13 Portfolio Data'!O:O,'[1]13 Portfolio Data'!D:D,$D$3,'[1]13 Portfolio Data'!G:G,Table1[[#This Row],[ISIN No.]])</f>
        <v>6153174</v>
      </c>
      <c r="G20" s="12">
        <f t="shared" si="0"/>
        <v>6.1520674259095227E-3</v>
      </c>
      <c r="H20" s="13" t="str">
        <f>IFERROR(VLOOKUP(Table1[[#This Row],[ISIN No.]],'[1]13 Portfolio Data'!G:AO,35,0),0)</f>
        <v>CRISIL AAA</v>
      </c>
    </row>
    <row r="21" spans="1:8" x14ac:dyDescent="0.25">
      <c r="A21" s="8"/>
      <c r="B21" s="9" t="s">
        <v>26</v>
      </c>
      <c r="C21" s="9" t="str">
        <f>IFERROR(VLOOKUP(Table1[[#This Row],[ISIN No.]],'[1]13 Portfolio Data'!G:H,2,0),0)</f>
        <v>8.15 % EXIM 05.03.2025</v>
      </c>
      <c r="D21" s="9" t="str">
        <f>IFERROR(VLOOKUP(Table1[[#This Row],[ISIN No.]],'[1]13 Portfolio Data'!G:K,5,0),0)</f>
        <v>Other monetary intermediation services n.e.c.</v>
      </c>
      <c r="E21" s="10">
        <f>SUMIFS('[1]13 Portfolio Data'!M:M,'[1]13 Portfolio Data'!D:D,$D$3,'[1]13 Portfolio Data'!G:G,Table1[[#This Row],[ISIN No.]])</f>
        <v>5</v>
      </c>
      <c r="F21" s="11">
        <f>SUMIFS('[1]13 Portfolio Data'!O:O,'[1]13 Portfolio Data'!D:D,$D$3,'[1]13 Portfolio Data'!G:G,Table1[[#This Row],[ISIN No.]])</f>
        <v>5395770</v>
      </c>
      <c r="G21" s="12">
        <f t="shared" si="0"/>
        <v>5.3947996358789507E-3</v>
      </c>
      <c r="H21" s="13" t="str">
        <f>IFERROR(VLOOKUP(Table1[[#This Row],[ISIN No.]],'[1]13 Portfolio Data'!G:AO,35,0),0)</f>
        <v>[ICRA]AAA</v>
      </c>
    </row>
    <row r="22" spans="1:8" x14ac:dyDescent="0.25">
      <c r="A22" s="8"/>
      <c r="B22" s="9" t="s">
        <v>27</v>
      </c>
      <c r="C22" s="9" t="str">
        <f>IFERROR(VLOOKUP(Table1[[#This Row],[ISIN No.]],'[1]13 Portfolio Data'!G:H,2,0),0)</f>
        <v>7.93% PGC 20.05.2026</v>
      </c>
      <c r="D22" s="9" t="str">
        <f>IFERROR(VLOOKUP(Table1[[#This Row],[ISIN No.]],'[1]13 Portfolio Data'!G:K,5,0),0)</f>
        <v>Transmission of electric energy</v>
      </c>
      <c r="E22" s="10">
        <f>SUMIFS('[1]13 Portfolio Data'!M:M,'[1]13 Portfolio Data'!D:D,$D$3,'[1]13 Portfolio Data'!G:G,Table1[[#This Row],[ISIN No.]])</f>
        <v>1</v>
      </c>
      <c r="F22" s="11">
        <f>SUMIFS('[1]13 Portfolio Data'!O:O,'[1]13 Portfolio Data'!D:D,$D$3,'[1]13 Portfolio Data'!G:G,Table1[[#This Row],[ISIN No.]])</f>
        <v>1075936</v>
      </c>
      <c r="G22" s="12">
        <f t="shared" si="0"/>
        <v>1.075742505894257E-3</v>
      </c>
      <c r="H22" s="13" t="str">
        <f>IFERROR(VLOOKUP(Table1[[#This Row],[ISIN No.]],'[1]13 Portfolio Data'!G:AO,35,0),0)</f>
        <v>[ICRA]AAA</v>
      </c>
    </row>
    <row r="23" spans="1:8" x14ac:dyDescent="0.25">
      <c r="A23" s="8"/>
      <c r="B23" s="9" t="s">
        <v>28</v>
      </c>
      <c r="C23" s="9" t="str">
        <f>IFERROR(VLOOKUP(Table1[[#This Row],[ISIN No.]],'[1]13 Portfolio Data'!G:H,2,0),0)</f>
        <v>8.85 % AXIS BANK 05.12.2024</v>
      </c>
      <c r="D23" s="9" t="str">
        <f>IFERROR(VLOOKUP(Table1[[#This Row],[ISIN No.]],'[1]13 Portfolio Data'!G:K,5,0),0)</f>
        <v>Monetary intermediation of commercial banks, saving banks. postal savings</v>
      </c>
      <c r="E23" s="10">
        <f>SUMIFS('[1]13 Portfolio Data'!M:M,'[1]13 Portfolio Data'!D:D,$D$3,'[1]13 Portfolio Data'!G:G,Table1[[#This Row],[ISIN No.]])</f>
        <v>53</v>
      </c>
      <c r="F23" s="11">
        <f>SUMIFS('[1]13 Portfolio Data'!O:O,'[1]13 Portfolio Data'!D:D,$D$3,'[1]13 Portfolio Data'!G:G,Table1[[#This Row],[ISIN No.]])</f>
        <v>57501078</v>
      </c>
      <c r="G23" s="12">
        <f t="shared" si="0"/>
        <v>5.7490737125015921E-2</v>
      </c>
      <c r="H23" s="13" t="str">
        <f>IFERROR(VLOOKUP(Table1[[#This Row],[ISIN No.]],'[1]13 Portfolio Data'!G:AO,35,0),0)</f>
        <v>[ICRA]AAA</v>
      </c>
    </row>
    <row r="24" spans="1:8" x14ac:dyDescent="0.25">
      <c r="A24" s="8"/>
      <c r="B24" s="9" t="s">
        <v>29</v>
      </c>
      <c r="C24" s="9" t="str">
        <f>IFERROR(VLOOKUP(Table1[[#This Row],[ISIN No.]],'[1]13 Portfolio Data'!G:H,2,0),0)</f>
        <v>8.45 % SUNDARAM FINANCE 21.02.2028</v>
      </c>
      <c r="D24" s="9" t="str">
        <f>IFERROR(VLOOKUP(Table1[[#This Row],[ISIN No.]],'[1]13 Portfolio Data'!G:K,5,0),0)</f>
        <v>Financial leasing</v>
      </c>
      <c r="E24" s="10">
        <f>SUMIFS('[1]13 Portfolio Data'!M:M,'[1]13 Portfolio Data'!D:D,$D$3,'[1]13 Portfolio Data'!G:G,Table1[[#This Row],[ISIN No.]])</f>
        <v>7</v>
      </c>
      <c r="F24" s="11">
        <f>SUMIFS('[1]13 Portfolio Data'!O:O,'[1]13 Portfolio Data'!D:D,$D$3,'[1]13 Portfolio Data'!G:G,Table1[[#This Row],[ISIN No.]])</f>
        <v>7462574</v>
      </c>
      <c r="G24" s="12">
        <f t="shared" si="0"/>
        <v>7.4612319461207065E-3</v>
      </c>
      <c r="H24" s="13" t="str">
        <f>IFERROR(VLOOKUP(Table1[[#This Row],[ISIN No.]],'[1]13 Portfolio Data'!G:AO,35,0),0)</f>
        <v>[ICRA]AAA</v>
      </c>
    </row>
    <row r="25" spans="1:8" x14ac:dyDescent="0.25">
      <c r="A25" s="8"/>
      <c r="B25" s="9" t="s">
        <v>30</v>
      </c>
      <c r="C25" s="9" t="str">
        <f>IFERROR(VLOOKUP(Table1[[#This Row],[ISIN No.]],'[1]13 Portfolio Data'!G:H,2,0),0)</f>
        <v>07.27% NABARD 14-Feb-2030</v>
      </c>
      <c r="D25" s="9" t="str">
        <f>IFERROR(VLOOKUP(Table1[[#This Row],[ISIN No.]],'[1]13 Portfolio Data'!G:K,5,0),0)</f>
        <v>Other monetary intermediation services n.e.c.</v>
      </c>
      <c r="E25" s="10">
        <f>SUMIFS('[1]13 Portfolio Data'!M:M,'[1]13 Portfolio Data'!D:D,$D$3,'[1]13 Portfolio Data'!G:G,Table1[[#This Row],[ISIN No.]])</f>
        <v>2</v>
      </c>
      <c r="F25" s="11">
        <f>SUMIFS('[1]13 Portfolio Data'!O:O,'[1]13 Portfolio Data'!D:D,$D$3,'[1]13 Portfolio Data'!G:G,Table1[[#This Row],[ISIN No.]])</f>
        <v>2064402</v>
      </c>
      <c r="G25" s="12">
        <f t="shared" si="0"/>
        <v>2.0640307422124696E-3</v>
      </c>
      <c r="H25" s="13" t="str">
        <f>IFERROR(VLOOKUP(Table1[[#This Row],[ISIN No.]],'[1]13 Portfolio Data'!G:AO,35,0),0)</f>
        <v>CRISIL AAA</v>
      </c>
    </row>
    <row r="26" spans="1:8" x14ac:dyDescent="0.25">
      <c r="A26" s="8"/>
      <c r="B26" s="9" t="s">
        <v>31</v>
      </c>
      <c r="C26" s="9" t="str">
        <f>IFERROR(VLOOKUP(Table1[[#This Row],[ISIN No.]],'[1]13 Portfolio Data'!G:H,2,0),0)</f>
        <v>08.90% POWER FINANCE CORPORATION 15-03-2025</v>
      </c>
      <c r="D26" s="9" t="str">
        <f>IFERROR(VLOOKUP(Table1[[#This Row],[ISIN No.]],'[1]13 Portfolio Data'!G:K,5,0),0)</f>
        <v>Other credit granting</v>
      </c>
      <c r="E26" s="10">
        <f>SUMIFS('[1]13 Portfolio Data'!M:M,'[1]13 Portfolio Data'!D:D,$D$3,'[1]13 Portfolio Data'!G:G,Table1[[#This Row],[ISIN No.]])</f>
        <v>7</v>
      </c>
      <c r="F26" s="11">
        <f>SUMIFS('[1]13 Portfolio Data'!O:O,'[1]13 Portfolio Data'!D:D,$D$3,'[1]13 Portfolio Data'!G:G,Table1[[#This Row],[ISIN No.]])</f>
        <v>7665994</v>
      </c>
      <c r="G26" s="12">
        <f t="shared" si="0"/>
        <v>7.6646153634884777E-3</v>
      </c>
      <c r="H26" s="13" t="str">
        <f>IFERROR(VLOOKUP(Table1[[#This Row],[ISIN No.]],'[1]13 Portfolio Data'!G:AO,35,0),0)</f>
        <v>[ICRA]AAA</v>
      </c>
    </row>
    <row r="27" spans="1:8" x14ac:dyDescent="0.25">
      <c r="A27" s="8"/>
      <c r="B27" s="9" t="s">
        <v>32</v>
      </c>
      <c r="C27" s="9" t="str">
        <f>IFERROR(VLOOKUP(Table1[[#This Row],[ISIN No.]],'[1]13 Portfolio Data'!G:H,2,0),0)</f>
        <v>09.18% NUCLEAR POWER CORPORATION OF INDIA LTD 23-Jan-2025</v>
      </c>
      <c r="D27" s="9" t="str">
        <f>IFERROR(VLOOKUP(Table1[[#This Row],[ISIN No.]],'[1]13 Portfolio Data'!G:K,5,0),0)</f>
        <v>Transmission of electric energy</v>
      </c>
      <c r="E27" s="10">
        <f>SUMIFS('[1]13 Portfolio Data'!M:M,'[1]13 Portfolio Data'!D:D,$D$3,'[1]13 Portfolio Data'!G:G,Table1[[#This Row],[ISIN No.]])</f>
        <v>10</v>
      </c>
      <c r="F27" s="11">
        <f>SUMIFS('[1]13 Portfolio Data'!O:O,'[1]13 Portfolio Data'!D:D,$D$3,'[1]13 Portfolio Data'!G:G,Table1[[#This Row],[ISIN No.]])</f>
        <v>11094510</v>
      </c>
      <c r="G27" s="12">
        <f t="shared" si="0"/>
        <v>1.1092514786259491E-2</v>
      </c>
      <c r="H27" s="13" t="str">
        <f>IFERROR(VLOOKUP(Table1[[#This Row],[ISIN No.]],'[1]13 Portfolio Data'!G:AO,35,0),0)</f>
        <v>CRISIL AAA</v>
      </c>
    </row>
    <row r="28" spans="1:8" x14ac:dyDescent="0.25">
      <c r="A28" s="8"/>
      <c r="B28" s="9" t="s">
        <v>33</v>
      </c>
      <c r="C28" s="9" t="str">
        <f>IFERROR(VLOOKUP(Table1[[#This Row],[ISIN No.]],'[1]13 Portfolio Data'!G:H,2,0),0)</f>
        <v>05.45% NTPC 15-Oct-2025</v>
      </c>
      <c r="D28" s="9" t="str">
        <f>IFERROR(VLOOKUP(Table1[[#This Row],[ISIN No.]],'[1]13 Portfolio Data'!G:K,5,0),0)</f>
        <v>Electric power generation by coal based thermal power plants</v>
      </c>
      <c r="E28" s="10">
        <f>SUMIFS('[1]13 Portfolio Data'!M:M,'[1]13 Portfolio Data'!D:D,$D$3,'[1]13 Portfolio Data'!G:G,Table1[[#This Row],[ISIN No.]])</f>
        <v>50</v>
      </c>
      <c r="F28" s="11">
        <f>SUMIFS('[1]13 Portfolio Data'!O:O,'[1]13 Portfolio Data'!D:D,$D$3,'[1]13 Portfolio Data'!G:G,Table1[[#This Row],[ISIN No.]])</f>
        <v>49669350</v>
      </c>
      <c r="G28" s="12">
        <f t="shared" si="0"/>
        <v>4.9660417566787345E-2</v>
      </c>
      <c r="H28" s="13" t="str">
        <f>IFERROR(VLOOKUP(Table1[[#This Row],[ISIN No.]],'[1]13 Portfolio Data'!G:AO,35,0),0)</f>
        <v>[ICRA]AAA</v>
      </c>
    </row>
    <row r="29" spans="1:8" x14ac:dyDescent="0.25">
      <c r="A29" s="8"/>
      <c r="B29" s="9" t="s">
        <v>34</v>
      </c>
      <c r="C29" s="9" t="str">
        <f>IFERROR(VLOOKUP(Table1[[#This Row],[ISIN No.]],'[1]13 Portfolio Data'!G:H,2,0),0)</f>
        <v>7.36% PGC 17Oct 2026</v>
      </c>
      <c r="D29" s="9" t="str">
        <f>IFERROR(VLOOKUP(Table1[[#This Row],[ISIN No.]],'[1]13 Portfolio Data'!G:K,5,0),0)</f>
        <v>Transmission of electric energy</v>
      </c>
      <c r="E29" s="10">
        <f>SUMIFS('[1]13 Portfolio Data'!M:M,'[1]13 Portfolio Data'!D:D,$D$3,'[1]13 Portfolio Data'!G:G,Table1[[#This Row],[ISIN No.]])</f>
        <v>7</v>
      </c>
      <c r="F29" s="11">
        <f>SUMIFS('[1]13 Portfolio Data'!O:O,'[1]13 Portfolio Data'!D:D,$D$3,'[1]13 Portfolio Data'!G:G,Table1[[#This Row],[ISIN No.]])</f>
        <v>7411908</v>
      </c>
      <c r="G29" s="12">
        <f t="shared" si="0"/>
        <v>7.4105750577893948E-3</v>
      </c>
      <c r="H29" s="13" t="str">
        <f>IFERROR(VLOOKUP(Table1[[#This Row],[ISIN No.]],'[1]13 Portfolio Data'!G:AO,35,0),0)</f>
        <v>[ICRA]AAA</v>
      </c>
    </row>
    <row r="30" spans="1:8" x14ac:dyDescent="0.25">
      <c r="A30" s="8"/>
      <c r="B30" s="9" t="s">
        <v>35</v>
      </c>
      <c r="C30" s="9" t="str">
        <f>IFERROR(VLOOKUP(Table1[[#This Row],[ISIN No.]],'[1]13 Portfolio Data'!G:H,2,0),0)</f>
        <v>7.33% LIC Housing Finance Ltd 12-Feb-2025</v>
      </c>
      <c r="D30" s="9" t="str">
        <f>IFERROR(VLOOKUP(Table1[[#This Row],[ISIN No.]],'[1]13 Portfolio Data'!G:K,5,0),0)</f>
        <v>Activities of specialized institutions granting credit for house purchases</v>
      </c>
      <c r="E30" s="10">
        <f>SUMIFS('[1]13 Portfolio Data'!M:M,'[1]13 Portfolio Data'!D:D,$D$3,'[1]13 Portfolio Data'!G:G,Table1[[#This Row],[ISIN No.]])</f>
        <v>10</v>
      </c>
      <c r="F30" s="11">
        <f>SUMIFS('[1]13 Portfolio Data'!O:O,'[1]13 Portfolio Data'!D:D,$D$3,'[1]13 Portfolio Data'!G:G,Table1[[#This Row],[ISIN No.]])</f>
        <v>10379470</v>
      </c>
      <c r="G30" s="12">
        <f t="shared" si="0"/>
        <v>1.0377603377574747E-2</v>
      </c>
      <c r="H30" s="13" t="str">
        <f>IFERROR(VLOOKUP(Table1[[#This Row],[ISIN No.]],'[1]13 Portfolio Data'!G:AO,35,0),0)</f>
        <v>CRISIL AAA</v>
      </c>
    </row>
    <row r="31" spans="1:8" x14ac:dyDescent="0.25">
      <c r="A31" s="8"/>
      <c r="B31" s="9" t="s">
        <v>36</v>
      </c>
      <c r="C31" s="9" t="str">
        <f>IFERROR(VLOOKUP(Table1[[#This Row],[ISIN No.]],'[1]13 Portfolio Data'!G:H,2,0),0)</f>
        <v>7.54% IRFC 29 Jul 2034</v>
      </c>
      <c r="D31" s="9" t="str">
        <f>IFERROR(VLOOKUP(Table1[[#This Row],[ISIN No.]],'[1]13 Portfolio Data'!G:K,5,0),0)</f>
        <v>Other credit granting</v>
      </c>
      <c r="E31" s="10">
        <f>SUMIFS('[1]13 Portfolio Data'!M:M,'[1]13 Portfolio Data'!D:D,$D$3,'[1]13 Portfolio Data'!G:G,Table1[[#This Row],[ISIN No.]])</f>
        <v>6</v>
      </c>
      <c r="F31" s="11">
        <f>SUMIFS('[1]13 Portfolio Data'!O:O,'[1]13 Portfolio Data'!D:D,$D$3,'[1]13 Portfolio Data'!G:G,Table1[[#This Row],[ISIN No.]])</f>
        <v>6299712</v>
      </c>
      <c r="G31" s="12">
        <f t="shared" si="0"/>
        <v>6.2985790728185701E-3</v>
      </c>
      <c r="H31" s="13" t="str">
        <f>IFERROR(VLOOKUP(Table1[[#This Row],[ISIN No.]],'[1]13 Portfolio Data'!G:AO,35,0),0)</f>
        <v>[ICRA]AAA</v>
      </c>
    </row>
    <row r="32" spans="1:8" x14ac:dyDescent="0.25">
      <c r="A32" s="8"/>
      <c r="B32" s="9" t="s">
        <v>37</v>
      </c>
      <c r="C32" s="9" t="str">
        <f>IFERROR(VLOOKUP(Table1[[#This Row],[ISIN No.]],'[1]13 Portfolio Data'!G:H,2,0),0)</f>
        <v>9.35% Power grid Corporation of India ltd 29-Aug-2027</v>
      </c>
      <c r="D32" s="9" t="str">
        <f>IFERROR(VLOOKUP(Table1[[#This Row],[ISIN No.]],'[1]13 Portfolio Data'!G:K,5,0),0)</f>
        <v>Transmission of electric energy</v>
      </c>
      <c r="E32" s="10">
        <f>SUMIFS('[1]13 Portfolio Data'!M:M,'[1]13 Portfolio Data'!D:D,$D$3,'[1]13 Portfolio Data'!G:G,Table1[[#This Row],[ISIN No.]])</f>
        <v>9</v>
      </c>
      <c r="F32" s="11">
        <f>SUMIFS('[1]13 Portfolio Data'!O:O,'[1]13 Portfolio Data'!D:D,$D$3,'[1]13 Portfolio Data'!G:G,Table1[[#This Row],[ISIN No.]])</f>
        <v>10363392</v>
      </c>
      <c r="G32" s="12">
        <f t="shared" si="0"/>
        <v>1.0361528269009025E-2</v>
      </c>
      <c r="H32" s="13" t="str">
        <f>IFERROR(VLOOKUP(Table1[[#This Row],[ISIN No.]],'[1]13 Portfolio Data'!G:AO,35,0),0)</f>
        <v>[ICRA]AAA</v>
      </c>
    </row>
    <row r="33" spans="1:18" x14ac:dyDescent="0.25">
      <c r="A33" s="8"/>
      <c r="B33" s="9" t="s">
        <v>38</v>
      </c>
      <c r="C33" s="9" t="str">
        <f>IFERROR(VLOOKUP(Table1[[#This Row],[ISIN No.]],'[1]13 Portfolio Data'!G:H,2,0),0)</f>
        <v>8.41% HUDCO GOI 15 Mar 2029 (GOI Service)</v>
      </c>
      <c r="D33" s="9" t="str">
        <f>IFERROR(VLOOKUP(Table1[[#This Row],[ISIN No.]],'[1]13 Portfolio Data'!G:K,5,0),0)</f>
        <v>Activities of specialized institutions granting credit for house purchases</v>
      </c>
      <c r="E33" s="10">
        <f>SUMIFS('[1]13 Portfolio Data'!M:M,'[1]13 Portfolio Data'!D:D,$D$3,'[1]13 Portfolio Data'!G:G,Table1[[#This Row],[ISIN No.]])</f>
        <v>4</v>
      </c>
      <c r="F33" s="11">
        <f>SUMIFS('[1]13 Portfolio Data'!O:O,'[1]13 Portfolio Data'!D:D,$D$3,'[1]13 Portfolio Data'!G:G,Table1[[#This Row],[ISIN No.]])</f>
        <v>4414888</v>
      </c>
      <c r="G33" s="12">
        <f t="shared" si="0"/>
        <v>4.414094035669858E-3</v>
      </c>
      <c r="H33" s="13" t="str">
        <f>IFERROR(VLOOKUP(Table1[[#This Row],[ISIN No.]],'[1]13 Portfolio Data'!G:AO,35,0),0)</f>
        <v>[ICRA]AAA</v>
      </c>
    </row>
    <row r="34" spans="1:18" x14ac:dyDescent="0.25">
      <c r="A34" s="8"/>
      <c r="B34" s="9" t="s">
        <v>39</v>
      </c>
      <c r="C34" s="9" t="str">
        <f>IFERROR(VLOOKUP(Table1[[#This Row],[ISIN No.]],'[1]13 Portfolio Data'!G:H,2,0),0)</f>
        <v>7.32% NTPC 17 Jul 2029</v>
      </c>
      <c r="D34" s="9" t="str">
        <f>IFERROR(VLOOKUP(Table1[[#This Row],[ISIN No.]],'[1]13 Portfolio Data'!G:K,5,0),0)</f>
        <v>Electric power generation by coal based thermal power plants</v>
      </c>
      <c r="E34" s="10">
        <f>SUMIFS('[1]13 Portfolio Data'!M:M,'[1]13 Portfolio Data'!D:D,$D$3,'[1]13 Portfolio Data'!G:G,Table1[[#This Row],[ISIN No.]])</f>
        <v>8</v>
      </c>
      <c r="F34" s="11">
        <f>SUMIFS('[1]13 Portfolio Data'!O:O,'[1]13 Portfolio Data'!D:D,$D$3,'[1]13 Portfolio Data'!G:G,Table1[[#This Row],[ISIN No.]])</f>
        <v>8317848</v>
      </c>
      <c r="G34" s="12">
        <f t="shared" si="0"/>
        <v>8.3163521354128241E-3</v>
      </c>
      <c r="H34" s="13" t="str">
        <f>IFERROR(VLOOKUP(Table1[[#This Row],[ISIN No.]],'[1]13 Portfolio Data'!G:AO,35,0),0)</f>
        <v>[ICRA]AAA</v>
      </c>
    </row>
    <row r="35" spans="1:18" x14ac:dyDescent="0.25">
      <c r="A35" s="8"/>
      <c r="B35" s="9" t="s">
        <v>40</v>
      </c>
      <c r="C35" s="9" t="str">
        <f>IFERROR(VLOOKUP(Table1[[#This Row],[ISIN No.]],'[1]13 Portfolio Data'!G:H,2,0),0)</f>
        <v>8.05% HDFC Ltd 22 Oct 2029</v>
      </c>
      <c r="D35" s="9" t="str">
        <f>IFERROR(VLOOKUP(Table1[[#This Row],[ISIN No.]],'[1]13 Portfolio Data'!G:K,5,0),0)</f>
        <v>Activities of specialized institutions granting credit for house purchases</v>
      </c>
      <c r="E35" s="10">
        <f>SUMIFS('[1]13 Portfolio Data'!M:M,'[1]13 Portfolio Data'!D:D,$D$3,'[1]13 Portfolio Data'!G:G,Table1[[#This Row],[ISIN No.]])</f>
        <v>13</v>
      </c>
      <c r="F35" s="11">
        <f>SUMIFS('[1]13 Portfolio Data'!O:O,'[1]13 Portfolio Data'!D:D,$D$3,'[1]13 Portfolio Data'!G:G,Table1[[#This Row],[ISIN No.]])</f>
        <v>13940030</v>
      </c>
      <c r="G35" s="12">
        <f t="shared" si="0"/>
        <v>1.3937523053825802E-2</v>
      </c>
      <c r="H35" s="13" t="str">
        <f>IFERROR(VLOOKUP(Table1[[#This Row],[ISIN No.]],'[1]13 Portfolio Data'!G:AO,35,0),0)</f>
        <v>[ICRA]AAA</v>
      </c>
    </row>
    <row r="36" spans="1:18" x14ac:dyDescent="0.25">
      <c r="A36" s="8"/>
      <c r="B36" s="9" t="s">
        <v>41</v>
      </c>
      <c r="C36" s="9" t="str">
        <f>IFERROR(VLOOKUP(Table1[[#This Row],[ISIN No.]],'[1]13 Portfolio Data'!G:H,2,0),0)</f>
        <v>7.49% NHAI 1 Aug 2029</v>
      </c>
      <c r="D36" s="9" t="str">
        <f>IFERROR(VLOOKUP(Table1[[#This Row],[ISIN No.]],'[1]13 Portfolio Data'!G:K,5,0),0)</f>
        <v>Construction and maintenance of motorways, streets, roads, other vehicular ways</v>
      </c>
      <c r="E36" s="10">
        <f>SUMIFS('[1]13 Portfolio Data'!M:M,'[1]13 Portfolio Data'!D:D,$D$3,'[1]13 Portfolio Data'!G:G,Table1[[#This Row],[ISIN No.]])</f>
        <v>2</v>
      </c>
      <c r="F36" s="11">
        <f>SUMIFS('[1]13 Portfolio Data'!O:O,'[1]13 Portfolio Data'!D:D,$D$3,'[1]13 Portfolio Data'!G:G,Table1[[#This Row],[ISIN No.]])</f>
        <v>2092506</v>
      </c>
      <c r="G36" s="12">
        <f t="shared" si="0"/>
        <v>2.0921296880472146E-3</v>
      </c>
      <c r="H36" s="13" t="str">
        <f>IFERROR(VLOOKUP(Table1[[#This Row],[ISIN No.]],'[1]13 Portfolio Data'!G:AO,35,0),0)</f>
        <v>CRISIL AAA</v>
      </c>
    </row>
    <row r="37" spans="1:18" x14ac:dyDescent="0.25">
      <c r="A37" s="8"/>
      <c r="B37" s="9" t="s">
        <v>42</v>
      </c>
      <c r="C37" s="9" t="str">
        <f>IFERROR(VLOOKUP(Table1[[#This Row],[ISIN No.]],'[1]13 Portfolio Data'!G:H,2,0),0)</f>
        <v>7.70% NHAI 13 Sep 2029</v>
      </c>
      <c r="D37" s="9" t="str">
        <f>IFERROR(VLOOKUP(Table1[[#This Row],[ISIN No.]],'[1]13 Portfolio Data'!G:K,5,0),0)</f>
        <v>Construction and maintenance of motorways, streets, roads, other vehicular ways</v>
      </c>
      <c r="E37" s="10">
        <f>SUMIFS('[1]13 Portfolio Data'!M:M,'[1]13 Portfolio Data'!D:D,$D$3,'[1]13 Portfolio Data'!G:G,Table1[[#This Row],[ISIN No.]])</f>
        <v>21</v>
      </c>
      <c r="F37" s="11">
        <f>SUMIFS('[1]13 Portfolio Data'!O:O,'[1]13 Portfolio Data'!D:D,$D$3,'[1]13 Portfolio Data'!G:G,Table1[[#This Row],[ISIN No.]])</f>
        <v>22246392</v>
      </c>
      <c r="G37" s="12">
        <f t="shared" si="0"/>
        <v>2.2242391254857118E-2</v>
      </c>
      <c r="H37" s="13" t="str">
        <f>IFERROR(VLOOKUP(Table1[[#This Row],[ISIN No.]],'[1]13 Portfolio Data'!G:AO,35,0),0)</f>
        <v>CRISIL AAA</v>
      </c>
    </row>
    <row r="38" spans="1:18" x14ac:dyDescent="0.25">
      <c r="A38" s="8"/>
      <c r="B38" s="9" t="s">
        <v>43</v>
      </c>
      <c r="C38" s="9" t="str">
        <f>IFERROR(VLOOKUP(Table1[[#This Row],[ISIN No.]],'[1]13 Portfolio Data'!G:H,2,0),0)</f>
        <v>8.96% HDFC Ltd 8 Apr 2025</v>
      </c>
      <c r="D38" s="9" t="str">
        <f>IFERROR(VLOOKUP(Table1[[#This Row],[ISIN No.]],'[1]13 Portfolio Data'!G:K,5,0),0)</f>
        <v>Activities of specialized institutions granting credit for house purchases</v>
      </c>
      <c r="E38" s="10">
        <f>SUMIFS('[1]13 Portfolio Data'!M:M,'[1]13 Portfolio Data'!D:D,$D$3,'[1]13 Portfolio Data'!G:G,Table1[[#This Row],[ISIN No.]])</f>
        <v>2</v>
      </c>
      <c r="F38" s="11">
        <f>SUMIFS('[1]13 Portfolio Data'!O:O,'[1]13 Portfolio Data'!D:D,$D$3,'[1]13 Portfolio Data'!G:G,Table1[[#This Row],[ISIN No.]])</f>
        <v>2181994</v>
      </c>
      <c r="G38" s="12">
        <f t="shared" si="0"/>
        <v>2.181601594710311E-3</v>
      </c>
      <c r="H38" s="13" t="str">
        <f>IFERROR(VLOOKUP(Table1[[#This Row],[ISIN No.]],'[1]13 Portfolio Data'!G:AO,35,0),0)</f>
        <v>[ICRA]AAA</v>
      </c>
    </row>
    <row r="39" spans="1:18" x14ac:dyDescent="0.25">
      <c r="A39" s="8"/>
      <c r="B39" s="9" t="s">
        <v>44</v>
      </c>
      <c r="C39" s="9" t="str">
        <f>IFERROR(VLOOKUP(Table1[[#This Row],[ISIN No.]],'[1]13 Portfolio Data'!G:H,2,0),0)</f>
        <v>6.45%ICICI Bank (Infrastructure Bond) 15.06.2028</v>
      </c>
      <c r="D39" s="9" t="str">
        <f>IFERROR(VLOOKUP(Table1[[#This Row],[ISIN No.]],'[1]13 Portfolio Data'!G:K,5,0),0)</f>
        <v>Monetary intermediation of commercial banks, saving banks. postal savings</v>
      </c>
      <c r="E39" s="10">
        <f>SUMIFS('[1]13 Portfolio Data'!M:M,'[1]13 Portfolio Data'!D:D,$D$3,'[1]13 Portfolio Data'!G:G,Table1[[#This Row],[ISIN No.]])</f>
        <v>10</v>
      </c>
      <c r="F39" s="11">
        <f>SUMIFS('[1]13 Portfolio Data'!O:O,'[1]13 Portfolio Data'!D:D,$D$3,'[1]13 Portfolio Data'!G:G,Table1[[#This Row],[ISIN No.]])</f>
        <v>9886390</v>
      </c>
      <c r="G39" s="12">
        <f t="shared" si="0"/>
        <v>9.8846120520625046E-3</v>
      </c>
      <c r="H39" s="13" t="str">
        <f>IFERROR(VLOOKUP(Table1[[#This Row],[ISIN No.]],'[1]13 Portfolio Data'!G:AO,35,0),0)</f>
        <v>[ICRA]AAA</v>
      </c>
    </row>
    <row r="40" spans="1:18" x14ac:dyDescent="0.25">
      <c r="A40" s="8"/>
      <c r="B40" s="9" t="s">
        <v>45</v>
      </c>
      <c r="C40" s="9" t="str">
        <f>IFERROR(VLOOKUP(Table1[[#This Row],[ISIN No.]],'[1]13 Portfolio Data'!G:H,2,0),0)</f>
        <v>9.25% PGC_DEC 26</v>
      </c>
      <c r="D40" s="9" t="str">
        <f>IFERROR(VLOOKUP(Table1[[#This Row],[ISIN No.]],'[1]13 Portfolio Data'!G:K,5,0),0)</f>
        <v>Transmission of electric energy</v>
      </c>
      <c r="E40" s="10">
        <f>SUMIFS('[1]13 Portfolio Data'!M:M,'[1]13 Portfolio Data'!D:D,$D$3,'[1]13 Portfolio Data'!G:G,Table1[[#This Row],[ISIN No.]])</f>
        <v>8</v>
      </c>
      <c r="F40" s="11">
        <f>SUMIFS('[1]13 Portfolio Data'!O:O,'[1]13 Portfolio Data'!D:D,$D$3,'[1]13 Portfolio Data'!G:G,Table1[[#This Row],[ISIN No.]])</f>
        <v>11415990</v>
      </c>
      <c r="G40" s="12">
        <f t="shared" si="0"/>
        <v>1.1413936971960952E-2</v>
      </c>
      <c r="H40" s="13" t="str">
        <f>IFERROR(VLOOKUP(Table1[[#This Row],[ISIN No.]],'[1]13 Portfolio Data'!G:AO,35,0),0)</f>
        <v>[ICRA]AAA</v>
      </c>
    </row>
    <row r="41" spans="1:18" x14ac:dyDescent="0.25">
      <c r="A41" s="8"/>
      <c r="B41" s="9" t="s">
        <v>46</v>
      </c>
      <c r="C41" s="9" t="str">
        <f>IFERROR(VLOOKUP(Table1[[#This Row],[ISIN No.]],'[1]13 Portfolio Data'!G:H,2,0),0)</f>
        <v>8.35% IRFC 13 Mar 2029</v>
      </c>
      <c r="D41" s="9" t="str">
        <f>IFERROR(VLOOKUP(Table1[[#This Row],[ISIN No.]],'[1]13 Portfolio Data'!G:K,5,0),0)</f>
        <v>Other credit granting</v>
      </c>
      <c r="E41" s="10">
        <f>SUMIFS('[1]13 Portfolio Data'!M:M,'[1]13 Portfolio Data'!D:D,$D$3,'[1]13 Portfolio Data'!G:G,Table1[[#This Row],[ISIN No.]])</f>
        <v>5</v>
      </c>
      <c r="F41" s="11">
        <f>SUMIFS('[1]13 Portfolio Data'!O:O,'[1]13 Portfolio Data'!D:D,$D$3,'[1]13 Portfolio Data'!G:G,Table1[[#This Row],[ISIN No.]])</f>
        <v>5466855</v>
      </c>
      <c r="G41" s="12">
        <f t="shared" si="0"/>
        <v>5.4658718520995192E-3</v>
      </c>
      <c r="H41" s="13" t="str">
        <f>IFERROR(VLOOKUP(Table1[[#This Row],[ISIN No.]],'[1]13 Portfolio Data'!G:AO,35,0),0)</f>
        <v>[ICRA]AAA</v>
      </c>
    </row>
    <row r="42" spans="1:18" x14ac:dyDescent="0.25">
      <c r="A42" s="8"/>
      <c r="B42" s="9" t="s">
        <v>47</v>
      </c>
      <c r="C42" s="9" t="str">
        <f>IFERROR(VLOOKUP(Table1[[#This Row],[ISIN No.]],'[1]13 Portfolio Data'!G:H,2,0),0)</f>
        <v>8.85% NHPC 11.02.2025</v>
      </c>
      <c r="D42" s="9" t="str">
        <f>IFERROR(VLOOKUP(Table1[[#This Row],[ISIN No.]],'[1]13 Portfolio Data'!G:K,5,0),0)</f>
        <v>Electric power generation by hydroelectric power plants</v>
      </c>
      <c r="E42" s="10">
        <f>SUMIFS('[1]13 Portfolio Data'!M:M,'[1]13 Portfolio Data'!D:D,$D$3,'[1]13 Portfolio Data'!G:G,Table1[[#This Row],[ISIN No.]])</f>
        <v>100</v>
      </c>
      <c r="F42" s="11">
        <f>SUMIFS('[1]13 Portfolio Data'!O:O,'[1]13 Portfolio Data'!D:D,$D$3,'[1]13 Portfolio Data'!G:G,Table1[[#This Row],[ISIN No.]])</f>
        <v>10966760</v>
      </c>
      <c r="G42" s="12">
        <f t="shared" si="0"/>
        <v>1.0964787760555369E-2</v>
      </c>
      <c r="H42" s="13" t="str">
        <f>IFERROR(VLOOKUP(Table1[[#This Row],[ISIN No.]],'[1]13 Portfolio Data'!G:AO,35,0),0)</f>
        <v>[ICRA]AAA</v>
      </c>
    </row>
    <row r="43" spans="1:18" x14ac:dyDescent="0.25">
      <c r="A43" s="8"/>
      <c r="B43" s="9" t="s">
        <v>48</v>
      </c>
      <c r="C43" s="9" t="str">
        <f>IFERROR(VLOOKUP(Table1[[#This Row],[ISIN No.]],'[1]13 Portfolio Data'!G:H,2,0),0)</f>
        <v>6.98% NHAI 29 June 2035</v>
      </c>
      <c r="D43" s="9" t="str">
        <f>IFERROR(VLOOKUP(Table1[[#This Row],[ISIN No.]],'[1]13 Portfolio Data'!G:K,5,0),0)</f>
        <v>Construction and maintenance of motorways, streets, roads, other vehicular ways</v>
      </c>
      <c r="E43" s="10">
        <f>SUMIFS('[1]13 Portfolio Data'!M:M,'[1]13 Portfolio Data'!D:D,$D$3,'[1]13 Portfolio Data'!G:G,Table1[[#This Row],[ISIN No.]])</f>
        <v>5</v>
      </c>
      <c r="F43" s="11">
        <f>SUMIFS('[1]13 Portfolio Data'!O:O,'[1]13 Portfolio Data'!D:D,$D$3,'[1]13 Portfolio Data'!G:G,Table1[[#This Row],[ISIN No.]])</f>
        <v>5031700</v>
      </c>
      <c r="G43" s="12">
        <f t="shared" si="0"/>
        <v>5.030795109475036E-3</v>
      </c>
      <c r="H43" s="13" t="str">
        <f>IFERROR(VLOOKUP(Table1[[#This Row],[ISIN No.]],'[1]13 Portfolio Data'!G:AO,35,0),0)</f>
        <v>[ICRA]AAA</v>
      </c>
    </row>
    <row r="44" spans="1:18" x14ac:dyDescent="0.25">
      <c r="A44" s="8"/>
      <c r="B44" s="9" t="s">
        <v>49</v>
      </c>
      <c r="C44" s="9" t="str">
        <f>IFERROR(VLOOKUP(Table1[[#This Row],[ISIN No.]],'[1]13 Portfolio Data'!G:H,2,0),0)</f>
        <v>7.90% Bajaj Finance 10-Jan-2030</v>
      </c>
      <c r="D44" s="9" t="str">
        <f>IFERROR(VLOOKUP(Table1[[#This Row],[ISIN No.]],'[1]13 Portfolio Data'!G:K,5,0),0)</f>
        <v>Other credit granting</v>
      </c>
      <c r="E44" s="10">
        <f>SUMIFS('[1]13 Portfolio Data'!M:M,'[1]13 Portfolio Data'!D:D,$D$3,'[1]13 Portfolio Data'!G:G,Table1[[#This Row],[ISIN No.]])</f>
        <v>1</v>
      </c>
      <c r="F44" s="11">
        <f>SUMIFS('[1]13 Portfolio Data'!O:O,'[1]13 Portfolio Data'!D:D,$D$3,'[1]13 Portfolio Data'!G:G,Table1[[#This Row],[ISIN No.]])</f>
        <v>1048402</v>
      </c>
      <c r="G44" s="12">
        <f t="shared" si="0"/>
        <v>1.0482134575518904E-3</v>
      </c>
      <c r="H44" s="13" t="str">
        <f>IFERROR(VLOOKUP(Table1[[#This Row],[ISIN No.]],'[1]13 Portfolio Data'!G:AO,35,0),0)</f>
        <v>CRISIL AAA</v>
      </c>
    </row>
    <row r="45" spans="1:18" x14ac:dyDescent="0.25">
      <c r="A45" s="8"/>
      <c r="B45" s="9" t="s">
        <v>50</v>
      </c>
      <c r="C45" s="9" t="str">
        <f>IFERROR(VLOOKUP(Table1[[#This Row],[ISIN No.]],'[1]13 Portfolio Data'!G:H,2,0),0)</f>
        <v>6.80% SBI BasellI Tier II 21 Aug 2035 Call 21 Aug 2030</v>
      </c>
      <c r="D45" s="9" t="str">
        <f>IFERROR(VLOOKUP(Table1[[#This Row],[ISIN No.]],'[1]13 Portfolio Data'!G:K,5,0),0)</f>
        <v>Monetary intermediation of commercial banks, saving banks. postal savings</v>
      </c>
      <c r="E45" s="10">
        <f>SUMIFS('[1]13 Portfolio Data'!M:M,'[1]13 Portfolio Data'!D:D,$D$3,'[1]13 Portfolio Data'!G:G,Table1[[#This Row],[ISIN No.]])</f>
        <v>9</v>
      </c>
      <c r="F45" s="11">
        <f>SUMIFS('[1]13 Portfolio Data'!O:O,'[1]13 Portfolio Data'!D:D,$D$3,'[1]13 Portfolio Data'!G:G,Table1[[#This Row],[ISIN No.]])</f>
        <v>8897175</v>
      </c>
      <c r="G45" s="12">
        <f t="shared" si="0"/>
        <v>8.895574950442903E-3</v>
      </c>
      <c r="H45" s="13" t="str">
        <f>IFERROR(VLOOKUP(Table1[[#This Row],[ISIN No.]],'[1]13 Portfolio Data'!G:AO,35,0),0)</f>
        <v>CRISIL AAA</v>
      </c>
    </row>
    <row r="46" spans="1:18" x14ac:dyDescent="0.25">
      <c r="A46" s="8"/>
      <c r="B46" s="9" t="s">
        <v>51</v>
      </c>
      <c r="C46" s="9" t="str">
        <f>IFERROR(VLOOKUP(Table1[[#This Row],[ISIN No.]],'[1]13 Portfolio Data'!G:H,2,0),0)</f>
        <v>6.63% HPCL(Hindustan Petroleum Corporation Ltd)11.04.2031</v>
      </c>
      <c r="D46" s="9" t="str">
        <f>IFERROR(VLOOKUP(Table1[[#This Row],[ISIN No.]],'[1]13 Portfolio Data'!G:K,5,0),0)</f>
        <v>Production of liquid and gaseous fuels, illuminating oils, lubricating</v>
      </c>
      <c r="E46" s="10">
        <f>SUMIFS('[1]13 Portfolio Data'!M:M,'[1]13 Portfolio Data'!D:D,$D$3,'[1]13 Portfolio Data'!G:G,Table1[[#This Row],[ISIN No.]])</f>
        <v>1</v>
      </c>
      <c r="F46" s="11">
        <f>SUMIFS('[1]13 Portfolio Data'!O:O,'[1]13 Portfolio Data'!D:D,$D$3,'[1]13 Portfolio Data'!G:G,Table1[[#This Row],[ISIN No.]])</f>
        <v>996154</v>
      </c>
      <c r="G46" s="12">
        <f t="shared" si="0"/>
        <v>9.9597485372418765E-4</v>
      </c>
      <c r="H46" s="13" t="str">
        <f>IFERROR(VLOOKUP(Table1[[#This Row],[ISIN No.]],'[1]13 Portfolio Data'!G:AO,35,0),0)</f>
        <v>[ICRA]AAA</v>
      </c>
    </row>
    <row r="47" spans="1:18" x14ac:dyDescent="0.25">
      <c r="A47" s="8"/>
      <c r="B47" s="9" t="s">
        <v>52</v>
      </c>
      <c r="C47" s="9" t="str">
        <f>IFERROR(VLOOKUP(Table1[[#This Row],[ISIN No.]],'[1]13 Portfolio Data'!G:H,2,0),0)</f>
        <v>8.67%PFC 19-Nov-2028</v>
      </c>
      <c r="D47" s="9" t="str">
        <f>IFERROR(VLOOKUP(Table1[[#This Row],[ISIN No.]],'[1]13 Portfolio Data'!G:K,5,0),0)</f>
        <v>Other credit granting</v>
      </c>
      <c r="E47" s="10">
        <f>SUMIFS('[1]13 Portfolio Data'!M:M,'[1]13 Portfolio Data'!D:D,$D$3,'[1]13 Portfolio Data'!G:G,Table1[[#This Row],[ISIN No.]])</f>
        <v>4</v>
      </c>
      <c r="F47" s="11">
        <f>SUMIFS('[1]13 Portfolio Data'!O:O,'[1]13 Portfolio Data'!D:D,$D$3,'[1]13 Portfolio Data'!G:G,Table1[[#This Row],[ISIN No.]])</f>
        <v>4437768</v>
      </c>
      <c r="G47" s="12">
        <f t="shared" si="0"/>
        <v>4.4369699209779621E-3</v>
      </c>
      <c r="H47" s="13" t="str">
        <f>IFERROR(VLOOKUP(Table1[[#This Row],[ISIN No.]],'[1]13 Portfolio Data'!G:AO,35,0),0)</f>
        <v>[ICRA]AAA</v>
      </c>
      <c r="R47" s="14" t="s">
        <v>53</v>
      </c>
    </row>
    <row r="48" spans="1:18" x14ac:dyDescent="0.25">
      <c r="A48" s="8"/>
      <c r="B48" s="9" t="s">
        <v>54</v>
      </c>
      <c r="C48" s="9" t="str">
        <f>IFERROR(VLOOKUP(Table1[[#This Row],[ISIN No.]],'[1]13 Portfolio Data'!G:H,2,0),0)</f>
        <v>9.18% Nuclear Power Corporation of India Limited 23-Jan-2029</v>
      </c>
      <c r="D48" s="9" t="str">
        <f>IFERROR(VLOOKUP(Table1[[#This Row],[ISIN No.]],'[1]13 Portfolio Data'!G:K,5,0),0)</f>
        <v>Transmission of electric energy</v>
      </c>
      <c r="E48" s="10">
        <f>SUMIFS('[1]13 Portfolio Data'!M:M,'[1]13 Portfolio Data'!D:D,$D$3,'[1]13 Portfolio Data'!G:G,Table1[[#This Row],[ISIN No.]])</f>
        <v>5</v>
      </c>
      <c r="F48" s="11">
        <f>SUMIFS('[1]13 Portfolio Data'!O:O,'[1]13 Portfolio Data'!D:D,$D$3,'[1]13 Portfolio Data'!G:G,Table1[[#This Row],[ISIN No.]])</f>
        <v>5725855</v>
      </c>
      <c r="G48" s="12">
        <f t="shared" si="0"/>
        <v>5.7248252740750016E-3</v>
      </c>
      <c r="H48" s="13" t="str">
        <f>IFERROR(VLOOKUP(Table1[[#This Row],[ISIN No.]],'[1]13 Portfolio Data'!G:AO,35,0),0)</f>
        <v>CRISIL AAA</v>
      </c>
      <c r="R48" s="14" t="s">
        <v>55</v>
      </c>
    </row>
    <row r="49" spans="1:18" x14ac:dyDescent="0.25">
      <c r="A49" s="8"/>
      <c r="B49" s="9" t="s">
        <v>56</v>
      </c>
      <c r="C49" s="9" t="str">
        <f>IFERROR(VLOOKUP(Table1[[#This Row],[ISIN No.]],'[1]13 Portfolio Data'!G:H,2,0),0)</f>
        <v>8.78% NHPC 11-Sept-2027</v>
      </c>
      <c r="D49" s="9" t="str">
        <f>IFERROR(VLOOKUP(Table1[[#This Row],[ISIN No.]],'[1]13 Portfolio Data'!G:K,5,0),0)</f>
        <v>Electric power generation by hydroelectric power plants</v>
      </c>
      <c r="E49" s="10">
        <f>SUMIFS('[1]13 Portfolio Data'!M:M,'[1]13 Portfolio Data'!D:D,$D$3,'[1]13 Portfolio Data'!G:G,Table1[[#This Row],[ISIN No.]])</f>
        <v>130</v>
      </c>
      <c r="F49" s="11">
        <f>SUMIFS('[1]13 Portfolio Data'!O:O,'[1]13 Portfolio Data'!D:D,$D$3,'[1]13 Portfolio Data'!G:G,Table1[[#This Row],[ISIN No.]])</f>
        <v>14471145</v>
      </c>
      <c r="G49" s="12">
        <f t="shared" si="0"/>
        <v>1.4468542539202283E-2</v>
      </c>
      <c r="H49" s="13" t="str">
        <f>IFERROR(VLOOKUP(Table1[[#This Row],[ISIN No.]],'[1]13 Portfolio Data'!G:AO,35,0),0)</f>
        <v>[ICRA]AAA</v>
      </c>
      <c r="R49" s="14" t="s">
        <v>57</v>
      </c>
    </row>
    <row r="50" spans="1:18" x14ac:dyDescent="0.25">
      <c r="A50" s="8"/>
      <c r="B50" s="9" t="s">
        <v>58</v>
      </c>
      <c r="C50" s="9" t="str">
        <f>IFERROR(VLOOKUP(Table1[[#This Row],[ISIN No.]],'[1]13 Portfolio Data'!G:H,2,0),0)</f>
        <v>6.80% Nuclear Power Corporation of India Limited 24-Mar-2031</v>
      </c>
      <c r="D50" s="9" t="str">
        <f>IFERROR(VLOOKUP(Table1[[#This Row],[ISIN No.]],'[1]13 Portfolio Data'!G:K,5,0),0)</f>
        <v>Transmission of electric energy</v>
      </c>
      <c r="E50" s="10">
        <f>SUMIFS('[1]13 Portfolio Data'!M:M,'[1]13 Portfolio Data'!D:D,$D$3,'[1]13 Portfolio Data'!G:G,Table1[[#This Row],[ISIN No.]])</f>
        <v>25</v>
      </c>
      <c r="F50" s="11">
        <f>SUMIFS('[1]13 Portfolio Data'!O:O,'[1]13 Portfolio Data'!D:D,$D$3,'[1]13 Portfolio Data'!G:G,Table1[[#This Row],[ISIN No.]])</f>
        <v>25128525</v>
      </c>
      <c r="G50" s="12">
        <f t="shared" si="0"/>
        <v>2.5124005938017207E-2</v>
      </c>
      <c r="H50" s="13" t="str">
        <f>IFERROR(VLOOKUP(Table1[[#This Row],[ISIN No.]],'[1]13 Portfolio Data'!G:AO,35,0),0)</f>
        <v>[ICRA]AAA</v>
      </c>
      <c r="R50" s="14" t="s">
        <v>59</v>
      </c>
    </row>
    <row r="51" spans="1:18" x14ac:dyDescent="0.25">
      <c r="A51" s="8"/>
      <c r="B51" s="9" t="s">
        <v>60</v>
      </c>
      <c r="C51" s="9" t="str">
        <f>IFERROR(VLOOKUP(Table1[[#This Row],[ISIN No.]],'[1]13 Portfolio Data'!G:H,2,0),0)</f>
        <v>9.18% Nuclear Power Corporation of India Limited 23-Jan-2028</v>
      </c>
      <c r="D51" s="9" t="str">
        <f>IFERROR(VLOOKUP(Table1[[#This Row],[ISIN No.]],'[1]13 Portfolio Data'!G:K,5,0),0)</f>
        <v>Transmission of electric energy</v>
      </c>
      <c r="E51" s="10">
        <f>SUMIFS('[1]13 Portfolio Data'!M:M,'[1]13 Portfolio Data'!D:D,$D$3,'[1]13 Portfolio Data'!G:G,Table1[[#This Row],[ISIN No.]])</f>
        <v>9</v>
      </c>
      <c r="F51" s="11">
        <f>SUMIFS('[1]13 Portfolio Data'!O:O,'[1]13 Portfolio Data'!D:D,$D$3,'[1]13 Portfolio Data'!G:G,Table1[[#This Row],[ISIN No.]])</f>
        <v>10185669</v>
      </c>
      <c r="G51" s="12">
        <f t="shared" si="0"/>
        <v>1.0183837230345903E-2</v>
      </c>
      <c r="H51" s="13" t="str">
        <f>IFERROR(VLOOKUP(Table1[[#This Row],[ISIN No.]],'[1]13 Portfolio Data'!G:AO,35,0),0)</f>
        <v>CRISIL AAA</v>
      </c>
      <c r="R51" s="14" t="s">
        <v>61</v>
      </c>
    </row>
    <row r="52" spans="1:18" x14ac:dyDescent="0.25">
      <c r="A52" s="8"/>
      <c r="B52" s="9" t="s">
        <v>62</v>
      </c>
      <c r="C52" s="9" t="str">
        <f>IFERROR(VLOOKUP(Table1[[#This Row],[ISIN No.]],'[1]13 Portfolio Data'!G:H,2,0),0)</f>
        <v>7.38%NHPC 03.01.2029</v>
      </c>
      <c r="D52" s="9" t="str">
        <f>IFERROR(VLOOKUP(Table1[[#This Row],[ISIN No.]],'[1]13 Portfolio Data'!G:K,5,0),0)</f>
        <v>Electric power generation by hydroelectric power plants</v>
      </c>
      <c r="E52" s="10">
        <f>SUMIFS('[1]13 Portfolio Data'!M:M,'[1]13 Portfolio Data'!D:D,$D$3,'[1]13 Portfolio Data'!G:G,Table1[[#This Row],[ISIN No.]])</f>
        <v>40</v>
      </c>
      <c r="F52" s="11">
        <f>SUMIFS('[1]13 Portfolio Data'!O:O,'[1]13 Portfolio Data'!D:D,$D$3,'[1]13 Portfolio Data'!G:G,Table1[[#This Row],[ISIN No.]])</f>
        <v>8297696</v>
      </c>
      <c r="G52" s="12">
        <f t="shared" si="0"/>
        <v>8.2962037595068414E-3</v>
      </c>
      <c r="H52" s="13" t="str">
        <f>IFERROR(VLOOKUP(Table1[[#This Row],[ISIN No.]],'[1]13 Portfolio Data'!G:AO,35,0),0)</f>
        <v>[ICRA]AAA</v>
      </c>
      <c r="R52" s="14" t="s">
        <v>63</v>
      </c>
    </row>
    <row r="53" spans="1:18" x14ac:dyDescent="0.25">
      <c r="A53" s="8"/>
      <c r="B53" s="9" t="s">
        <v>64</v>
      </c>
      <c r="C53" s="9" t="str">
        <f>IFERROR(VLOOKUP(Table1[[#This Row],[ISIN No.]],'[1]13 Portfolio Data'!G:H,2,0),0)</f>
        <v>7.99% LIC Housing 12 July 2029 Put Option (12July2021)</v>
      </c>
      <c r="D53" s="9" t="str">
        <f>IFERROR(VLOOKUP(Table1[[#This Row],[ISIN No.]],'[1]13 Portfolio Data'!G:K,5,0),0)</f>
        <v>Activities of specialized institutions granting credit for house purchases</v>
      </c>
      <c r="E53" s="10">
        <f>SUMIFS('[1]13 Portfolio Data'!M:M,'[1]13 Portfolio Data'!D:D,$D$3,'[1]13 Portfolio Data'!G:G,Table1[[#This Row],[ISIN No.]])</f>
        <v>14</v>
      </c>
      <c r="F53" s="11">
        <f>SUMIFS('[1]13 Portfolio Data'!O:O,'[1]13 Portfolio Data'!D:D,$D$3,'[1]13 Portfolio Data'!G:G,Table1[[#This Row],[ISIN No.]])</f>
        <v>14829780</v>
      </c>
      <c r="G53" s="12">
        <f t="shared" si="0"/>
        <v>1.482711304302536E-2</v>
      </c>
      <c r="H53" s="13" t="str">
        <f>IFERROR(VLOOKUP(Table1[[#This Row],[ISIN No.]],'[1]13 Portfolio Data'!G:AO,35,0),0)</f>
        <v>CRISIL AAA</v>
      </c>
      <c r="L53" s="9" t="s">
        <v>65</v>
      </c>
      <c r="M53" s="9" t="s">
        <v>53</v>
      </c>
      <c r="N53" s="9">
        <f t="shared" ref="N53:N59" si="1">COUNTIF($H$7:$H$97,M53)</f>
        <v>51</v>
      </c>
      <c r="O53" s="9">
        <f t="shared" ref="O53:O59" si="2">SUMIF($H$7:$H$97,$M53,$F$7:$F$97)</f>
        <v>605207342.25</v>
      </c>
      <c r="R53" s="14" t="s">
        <v>66</v>
      </c>
    </row>
    <row r="54" spans="1:18" x14ac:dyDescent="0.25">
      <c r="A54" s="8"/>
      <c r="B54" s="9" t="s">
        <v>67</v>
      </c>
      <c r="C54" s="9" t="str">
        <f>IFERROR(VLOOKUP(Table1[[#This Row],[ISIN No.]],'[1]13 Portfolio Data'!G:H,2,0),0)</f>
        <v>7.55% Power Grid Corporation 21-Sept-2031</v>
      </c>
      <c r="D54" s="9" t="str">
        <f>IFERROR(VLOOKUP(Table1[[#This Row],[ISIN No.]],'[1]13 Portfolio Data'!G:K,5,0),0)</f>
        <v>Transmission of electric energy</v>
      </c>
      <c r="E54" s="10">
        <f>SUMIFS('[1]13 Portfolio Data'!M:M,'[1]13 Portfolio Data'!D:D,$D$3,'[1]13 Portfolio Data'!G:G,Table1[[#This Row],[ISIN No.]])</f>
        <v>17</v>
      </c>
      <c r="F54" s="11">
        <f>SUMIFS('[1]13 Portfolio Data'!O:O,'[1]13 Portfolio Data'!D:D,$D$3,'[1]13 Portfolio Data'!G:G,Table1[[#This Row],[ISIN No.]])</f>
        <v>17958647</v>
      </c>
      <c r="G54" s="12">
        <f t="shared" si="0"/>
        <v>1.795541735405301E-2</v>
      </c>
      <c r="H54" s="13" t="str">
        <f>IFERROR(VLOOKUP(Table1[[#This Row],[ISIN No.]],'[1]13 Portfolio Data'!G:AO,35,0),0)</f>
        <v>[ICRA]AAA</v>
      </c>
      <c r="L54" s="9" t="s">
        <v>65</v>
      </c>
      <c r="M54" s="9" t="s">
        <v>63</v>
      </c>
      <c r="N54" s="9">
        <f t="shared" si="1"/>
        <v>0</v>
      </c>
      <c r="O54" s="9">
        <f t="shared" si="2"/>
        <v>0</v>
      </c>
      <c r="R54" s="14" t="s">
        <v>68</v>
      </c>
    </row>
    <row r="55" spans="1:18" x14ac:dyDescent="0.25">
      <c r="A55" s="8"/>
      <c r="B55" s="9" t="s">
        <v>69</v>
      </c>
      <c r="C55" s="9" t="str">
        <f>IFERROR(VLOOKUP(Table1[[#This Row],[ISIN No.]],'[1]13 Portfolio Data'!G:H,2,0),0)</f>
        <v>6.92% Bajaj Finance 24-Dec-2030</v>
      </c>
      <c r="D55" s="9" t="str">
        <f>IFERROR(VLOOKUP(Table1[[#This Row],[ISIN No.]],'[1]13 Portfolio Data'!G:K,5,0),0)</f>
        <v>Other credit granting</v>
      </c>
      <c r="E55" s="10">
        <f>SUMIFS('[1]13 Portfolio Data'!M:M,'[1]13 Portfolio Data'!D:D,$D$3,'[1]13 Portfolio Data'!G:G,Table1[[#This Row],[ISIN No.]])</f>
        <v>3</v>
      </c>
      <c r="F55" s="11">
        <f>SUMIFS('[1]13 Portfolio Data'!O:O,'[1]13 Portfolio Data'!D:D,$D$3,'[1]13 Portfolio Data'!G:G,Table1[[#This Row],[ISIN No.]])</f>
        <v>2966307</v>
      </c>
      <c r="G55" s="12">
        <f t="shared" si="0"/>
        <v>2.9657735454819575E-3</v>
      </c>
      <c r="H55" s="13" t="str">
        <f>IFERROR(VLOOKUP(Table1[[#This Row],[ISIN No.]],'[1]13 Portfolio Data'!G:AO,35,0),0)</f>
        <v>[ICRA]AAA</v>
      </c>
      <c r="L55" s="9" t="s">
        <v>65</v>
      </c>
      <c r="M55" s="9" t="s">
        <v>55</v>
      </c>
      <c r="N55" s="9">
        <f t="shared" si="1"/>
        <v>25</v>
      </c>
      <c r="O55" s="9">
        <f t="shared" si="2"/>
        <v>293975830</v>
      </c>
      <c r="R55" s="14" t="s">
        <v>70</v>
      </c>
    </row>
    <row r="56" spans="1:18" x14ac:dyDescent="0.25">
      <c r="A56" s="8"/>
      <c r="B56" s="9" t="s">
        <v>71</v>
      </c>
      <c r="C56" s="9" t="str">
        <f>IFERROR(VLOOKUP(Table1[[#This Row],[ISIN No.]],'[1]13 Portfolio Data'!G:H,2,0),0)</f>
        <v>6.83% HDFC 2031 08-Jan-2031</v>
      </c>
      <c r="D56" s="9" t="str">
        <f>IFERROR(VLOOKUP(Table1[[#This Row],[ISIN No.]],'[1]13 Portfolio Data'!G:K,5,0),0)</f>
        <v>Activities of specialized institutions granting credit for house purchases</v>
      </c>
      <c r="E56" s="10">
        <f>SUMIFS('[1]13 Portfolio Data'!M:M,'[1]13 Portfolio Data'!D:D,$D$3,'[1]13 Portfolio Data'!G:G,Table1[[#This Row],[ISIN No.]])</f>
        <v>14</v>
      </c>
      <c r="F56" s="11">
        <f>SUMIFS('[1]13 Portfolio Data'!O:O,'[1]13 Portfolio Data'!D:D,$D$3,'[1]13 Portfolio Data'!G:G,Table1[[#This Row],[ISIN No.]])</f>
        <v>13840596</v>
      </c>
      <c r="G56" s="12">
        <f t="shared" si="0"/>
        <v>1.3838106935830782E-2</v>
      </c>
      <c r="H56" s="13" t="str">
        <f>IFERROR(VLOOKUP(Table1[[#This Row],[ISIN No.]],'[1]13 Portfolio Data'!G:AO,35,0),0)</f>
        <v>[ICRA]AAA</v>
      </c>
      <c r="L56" s="9" t="s">
        <v>72</v>
      </c>
      <c r="M56" s="9" t="s">
        <v>68</v>
      </c>
      <c r="N56" s="9">
        <f t="shared" si="1"/>
        <v>2</v>
      </c>
      <c r="O56" s="9">
        <f t="shared" si="2"/>
        <v>6207971</v>
      </c>
    </row>
    <row r="57" spans="1:18" x14ac:dyDescent="0.25">
      <c r="A57" s="8"/>
      <c r="B57" s="9" t="s">
        <v>73</v>
      </c>
      <c r="C57" s="9" t="str">
        <f>IFERROR(VLOOKUP(Table1[[#This Row],[ISIN No.]],'[1]13 Portfolio Data'!G:H,2,0),0)</f>
        <v>7.69% Nabard 31-Mar-2032</v>
      </c>
      <c r="D57" s="9" t="str">
        <f>IFERROR(VLOOKUP(Table1[[#This Row],[ISIN No.]],'[1]13 Portfolio Data'!G:K,5,0),0)</f>
        <v>Other monetary intermediation services n.e.c.</v>
      </c>
      <c r="E57" s="10">
        <f>SUMIFS('[1]13 Portfolio Data'!M:M,'[1]13 Portfolio Data'!D:D,$D$3,'[1]13 Portfolio Data'!G:G,Table1[[#This Row],[ISIN No.]])</f>
        <v>1</v>
      </c>
      <c r="F57" s="11">
        <f>SUMIFS('[1]13 Portfolio Data'!O:O,'[1]13 Portfolio Data'!D:D,$D$3,'[1]13 Portfolio Data'!G:G,Table1[[#This Row],[ISIN No.]])</f>
        <v>1051220</v>
      </c>
      <c r="G57" s="12">
        <f t="shared" si="0"/>
        <v>1.0510309507685966E-3</v>
      </c>
      <c r="H57" s="13" t="str">
        <f>IFERROR(VLOOKUP(Table1[[#This Row],[ISIN No.]],'[1]13 Portfolio Data'!G:AO,35,0),0)</f>
        <v>CRISIL AAA</v>
      </c>
      <c r="L57" s="9" t="s">
        <v>74</v>
      </c>
      <c r="M57" s="9" t="s">
        <v>57</v>
      </c>
      <c r="N57" s="9">
        <f t="shared" si="1"/>
        <v>1</v>
      </c>
      <c r="O57" s="9">
        <f t="shared" si="2"/>
        <v>1017513</v>
      </c>
    </row>
    <row r="58" spans="1:18" x14ac:dyDescent="0.25">
      <c r="A58" s="8"/>
      <c r="B58" s="9" t="s">
        <v>75</v>
      </c>
      <c r="C58" s="9" t="str">
        <f>IFERROR(VLOOKUP(Table1[[#This Row],[ISIN No.]],'[1]13 Portfolio Data'!G:H,2,0),0)</f>
        <v>6% Bajaj Finance 24-Dec-2025</v>
      </c>
      <c r="D58" s="9" t="str">
        <f>IFERROR(VLOOKUP(Table1[[#This Row],[ISIN No.]],'[1]13 Portfolio Data'!G:K,5,0),0)</f>
        <v>Other credit granting</v>
      </c>
      <c r="E58" s="10">
        <f>SUMIFS('[1]13 Portfolio Data'!M:M,'[1]13 Portfolio Data'!D:D,$D$3,'[1]13 Portfolio Data'!G:G,Table1[[#This Row],[ISIN No.]])</f>
        <v>9</v>
      </c>
      <c r="F58" s="11">
        <f>SUMIFS('[1]13 Portfolio Data'!O:O,'[1]13 Portfolio Data'!D:D,$D$3,'[1]13 Portfolio Data'!G:G,Table1[[#This Row],[ISIN No.]])</f>
        <v>8948628</v>
      </c>
      <c r="G58" s="12">
        <f t="shared" si="0"/>
        <v>8.9470186972417619E-3</v>
      </c>
      <c r="H58" s="13" t="str">
        <f>IFERROR(VLOOKUP(Table1[[#This Row],[ISIN No.]],'[1]13 Portfolio Data'!G:AO,35,0),0)</f>
        <v>CRISIL AAA</v>
      </c>
      <c r="L58" s="9" t="s">
        <v>65</v>
      </c>
      <c r="M58" s="9" t="s">
        <v>59</v>
      </c>
      <c r="N58" s="9">
        <f t="shared" si="1"/>
        <v>1</v>
      </c>
      <c r="O58" s="9">
        <f t="shared" si="2"/>
        <v>1330513.6000000001</v>
      </c>
    </row>
    <row r="59" spans="1:18" x14ac:dyDescent="0.25">
      <c r="A59" s="8"/>
      <c r="B59" s="9" t="s">
        <v>76</v>
      </c>
      <c r="C59" s="9" t="str">
        <f>IFERROR(VLOOKUP(Table1[[#This Row],[ISIN No.]],'[1]13 Portfolio Data'!G:H,2,0),0)</f>
        <v>8.48% LIC Housing 29 Jun 2026</v>
      </c>
      <c r="D59" s="9" t="str">
        <f>IFERROR(VLOOKUP(Table1[[#This Row],[ISIN No.]],'[1]13 Portfolio Data'!G:K,5,0),0)</f>
        <v>Activities of specialized institutions granting credit for house purchases</v>
      </c>
      <c r="E59" s="10">
        <f>SUMIFS('[1]13 Portfolio Data'!M:M,'[1]13 Portfolio Data'!D:D,$D$3,'[1]13 Portfolio Data'!G:G,Table1[[#This Row],[ISIN No.]])</f>
        <v>1</v>
      </c>
      <c r="F59" s="11">
        <f>SUMIFS('[1]13 Portfolio Data'!O:O,'[1]13 Portfolio Data'!D:D,$D$3,'[1]13 Portfolio Data'!G:G,Table1[[#This Row],[ISIN No.]])</f>
        <v>1079668</v>
      </c>
      <c r="G59" s="12">
        <f t="shared" si="0"/>
        <v>1.0794738347390928E-3</v>
      </c>
      <c r="H59" s="13" t="str">
        <f>IFERROR(VLOOKUP(Table1[[#This Row],[ISIN No.]],'[1]13 Portfolio Data'!G:AO,35,0),0)</f>
        <v>CRISIL AAA</v>
      </c>
      <c r="L59" s="9" t="s">
        <v>74</v>
      </c>
      <c r="M59" s="9" t="s">
        <v>61</v>
      </c>
      <c r="N59" s="9">
        <f t="shared" si="1"/>
        <v>0</v>
      </c>
      <c r="O59" s="9">
        <f t="shared" si="2"/>
        <v>0</v>
      </c>
    </row>
    <row r="60" spans="1:18" x14ac:dyDescent="0.25">
      <c r="A60" s="8"/>
      <c r="B60" s="9" t="s">
        <v>77</v>
      </c>
      <c r="C60" s="9" t="str">
        <f>IFERROR(VLOOKUP(Table1[[#This Row],[ISIN No.]],'[1]13 Portfolio Data'!G:H,2,0),0)</f>
        <v>8.37% HUDCO GOI 23 Mar 2029 (GOI Service)</v>
      </c>
      <c r="D60" s="9" t="str">
        <f>IFERROR(VLOOKUP(Table1[[#This Row],[ISIN No.]],'[1]13 Portfolio Data'!G:K,5,0),0)</f>
        <v>Activities of specialized institutions granting credit for house purchases</v>
      </c>
      <c r="E60" s="10">
        <f>SUMIFS('[1]13 Portfolio Data'!M:M,'[1]13 Portfolio Data'!D:D,$D$3,'[1]13 Portfolio Data'!G:G,Table1[[#This Row],[ISIN No.]])</f>
        <v>20</v>
      </c>
      <c r="F60" s="11">
        <f>SUMIFS('[1]13 Portfolio Data'!O:O,'[1]13 Portfolio Data'!D:D,$D$3,'[1]13 Portfolio Data'!G:G,Table1[[#This Row],[ISIN No.]])</f>
        <v>22033780</v>
      </c>
      <c r="G60" s="12">
        <f t="shared" si="0"/>
        <v>2.2029817490559624E-2</v>
      </c>
      <c r="H60" s="13" t="str">
        <f>IFERROR(VLOOKUP(Table1[[#This Row],[ISIN No.]],'[1]13 Portfolio Data'!G:AO,35,0),0)</f>
        <v>[ICRA]AAA</v>
      </c>
      <c r="L60" s="9"/>
      <c r="M60" s="9"/>
      <c r="N60" s="9"/>
      <c r="O60" s="9"/>
    </row>
    <row r="61" spans="1:18" x14ac:dyDescent="0.25">
      <c r="A61" s="8"/>
      <c r="B61" s="9" t="s">
        <v>78</v>
      </c>
      <c r="C61" s="9" t="str">
        <f>IFERROR(VLOOKUP(Table1[[#This Row],[ISIN No.]],'[1]13 Portfolio Data'!G:H,2,0),0)</f>
        <v>7.27 % NHAI 06.06.2022</v>
      </c>
      <c r="D61" s="9" t="str">
        <f>IFERROR(VLOOKUP(Table1[[#This Row],[ISIN No.]],'[1]13 Portfolio Data'!G:K,5,0),0)</f>
        <v>Construction and maintenance of motorways, streets, roads, other vehicular ways</v>
      </c>
      <c r="E61" s="10">
        <f>SUMIFS('[1]13 Portfolio Data'!M:M,'[1]13 Portfolio Data'!D:D,$D$3,'[1]13 Portfolio Data'!G:G,Table1[[#This Row],[ISIN No.]])</f>
        <v>5</v>
      </c>
      <c r="F61" s="11">
        <f>SUMIFS('[1]13 Portfolio Data'!O:O,'[1]13 Portfolio Data'!D:D,$D$3,'[1]13 Portfolio Data'!G:G,Table1[[#This Row],[ISIN No.]])</f>
        <v>5074570</v>
      </c>
      <c r="G61" s="12">
        <f t="shared" si="0"/>
        <v>5.0736573998228698E-3</v>
      </c>
      <c r="H61" s="13" t="str">
        <f>IFERROR(VLOOKUP(Table1[[#This Row],[ISIN No.]],'[1]13 Portfolio Data'!G:AO,35,0),0)</f>
        <v>[ICRA]AAA</v>
      </c>
      <c r="L61" s="9" t="s">
        <v>72</v>
      </c>
      <c r="M61" s="9" t="s">
        <v>70</v>
      </c>
      <c r="N61" s="9">
        <f>COUNTIF($H$7:$H$97,M61)</f>
        <v>2</v>
      </c>
      <c r="O61" s="9">
        <f>SUMIF($H$7:$H$97,$M61,$F$7:$F$97)</f>
        <v>9359032</v>
      </c>
    </row>
    <row r="62" spans="1:18" x14ac:dyDescent="0.25">
      <c r="A62" s="8"/>
      <c r="B62" s="9" t="s">
        <v>79</v>
      </c>
      <c r="C62" s="9" t="str">
        <f>IFERROR(VLOOKUP(Table1[[#This Row],[ISIN No.]],'[1]13 Portfolio Data'!G:H,2,0),0)</f>
        <v>8.84% NTPC 4 Oct 2022</v>
      </c>
      <c r="D62" s="9" t="str">
        <f>IFERROR(VLOOKUP(Table1[[#This Row],[ISIN No.]],'[1]13 Portfolio Data'!G:K,5,0),0)</f>
        <v>Electric power generation by coal based thermal power plants</v>
      </c>
      <c r="E62" s="10">
        <f>SUMIFS('[1]13 Portfolio Data'!M:M,'[1]13 Portfolio Data'!D:D,$D$3,'[1]13 Portfolio Data'!G:G,Table1[[#This Row],[ISIN No.]])</f>
        <v>2</v>
      </c>
      <c r="F62" s="11">
        <f>SUMIFS('[1]13 Portfolio Data'!O:O,'[1]13 Portfolio Data'!D:D,$D$3,'[1]13 Portfolio Data'!G:G,Table1[[#This Row],[ISIN No.]])</f>
        <v>2070170</v>
      </c>
      <c r="G62" s="12">
        <f t="shared" si="0"/>
        <v>2.0697977049072749E-3</v>
      </c>
      <c r="H62" s="13" t="str">
        <f>IFERROR(VLOOKUP(Table1[[#This Row],[ISIN No.]],'[1]13 Portfolio Data'!G:AO,35,0),0)</f>
        <v>[ICRA]AAA</v>
      </c>
      <c r="L62" s="9" t="s">
        <v>65</v>
      </c>
      <c r="M62" s="14" t="s">
        <v>66</v>
      </c>
      <c r="N62" s="9">
        <f>COUNTIF($H$7:$H$97,M62)</f>
        <v>1</v>
      </c>
      <c r="O62" s="9">
        <f>SUMIF($H$7:$H$97,$M62,$F$7:$F$97)</f>
        <v>1089321</v>
      </c>
    </row>
    <row r="63" spans="1:18" x14ac:dyDescent="0.25">
      <c r="A63" s="8"/>
      <c r="B63" s="9" t="s">
        <v>80</v>
      </c>
      <c r="C63" s="9" t="str">
        <f>IFERROR(VLOOKUP(Table1[[#This Row],[ISIN No.]],'[1]13 Portfolio Data'!G:H,2,0),0)</f>
        <v>8.60% NABARD 31 Jan 2022</v>
      </c>
      <c r="D63" s="9" t="str">
        <f>IFERROR(VLOOKUP(Table1[[#This Row],[ISIN No.]],'[1]13 Portfolio Data'!G:K,5,0),0)</f>
        <v>Other monetary intermediation services n.e.c.</v>
      </c>
      <c r="E63" s="10">
        <f>SUMIFS('[1]13 Portfolio Data'!M:M,'[1]13 Portfolio Data'!D:D,$D$3,'[1]13 Portfolio Data'!G:G,Table1[[#This Row],[ISIN No.]])</f>
        <v>5</v>
      </c>
      <c r="F63" s="11">
        <f>SUMIFS('[1]13 Portfolio Data'!O:O,'[1]13 Portfolio Data'!D:D,$D$3,'[1]13 Portfolio Data'!G:G,Table1[[#This Row],[ISIN No.]])</f>
        <v>5039390</v>
      </c>
      <c r="G63" s="12">
        <f t="shared" si="0"/>
        <v>5.0384837265213351E-3</v>
      </c>
      <c r="H63" s="13" t="str">
        <f>IFERROR(VLOOKUP(Table1[[#This Row],[ISIN No.]],'[1]13 Portfolio Data'!G:AO,35,0),0)</f>
        <v>CRISIL AAA</v>
      </c>
      <c r="L63" s="9"/>
      <c r="M63" s="9"/>
      <c r="N63" s="9">
        <f>SUM(N53:N62)</f>
        <v>83</v>
      </c>
      <c r="O63" s="9">
        <f>SUM(O53:O62)</f>
        <v>918187522.85000002</v>
      </c>
    </row>
    <row r="64" spans="1:18" x14ac:dyDescent="0.25">
      <c r="A64" s="8"/>
      <c r="B64" s="9" t="s">
        <v>81</v>
      </c>
      <c r="C64" s="9" t="str">
        <f>IFERROR(VLOOKUP(Table1[[#This Row],[ISIN No.]],'[1]13 Portfolio Data'!G:H,2,0),0)</f>
        <v>9.02% IREDA 24 Sep 2025</v>
      </c>
      <c r="D64" s="9" t="str">
        <f>IFERROR(VLOOKUP(Table1[[#This Row],[ISIN No.]],'[1]13 Portfolio Data'!G:K,5,0),0)</f>
        <v>Other credit granting</v>
      </c>
      <c r="E64" s="10">
        <f>SUMIFS('[1]13 Portfolio Data'!M:M,'[1]13 Portfolio Data'!D:D,$D$3,'[1]13 Portfolio Data'!G:G,Table1[[#This Row],[ISIN No.]])</f>
        <v>1</v>
      </c>
      <c r="F64" s="11">
        <f>SUMIFS('[1]13 Portfolio Data'!O:O,'[1]13 Portfolio Data'!D:D,$D$3,'[1]13 Portfolio Data'!G:G,Table1[[#This Row],[ISIN No.]])</f>
        <v>1089321</v>
      </c>
      <c r="G64" s="12">
        <f t="shared" si="0"/>
        <v>1.0891250987635304E-3</v>
      </c>
      <c r="H64" s="13" t="str">
        <f>IFERROR(VLOOKUP(Table1[[#This Row],[ISIN No.]],'[1]13 Portfolio Data'!G:AO,35,0),0)</f>
        <v>CARE AAA(CE)</v>
      </c>
    </row>
    <row r="65" spans="1:8" x14ac:dyDescent="0.25">
      <c r="A65" s="8"/>
      <c r="B65" s="9" t="s">
        <v>82</v>
      </c>
      <c r="C65" s="9" t="str">
        <f>IFERROR(VLOOKUP(Table1[[#This Row],[ISIN No.]],'[1]13 Portfolio Data'!G:H,2,0),0)</f>
        <v>7.10 % PFC 08.08.2022</v>
      </c>
      <c r="D65" s="9" t="str">
        <f>IFERROR(VLOOKUP(Table1[[#This Row],[ISIN No.]],'[1]13 Portfolio Data'!G:K,5,0),0)</f>
        <v>Other credit granting</v>
      </c>
      <c r="E65" s="10">
        <f>SUMIFS('[1]13 Portfolio Data'!M:M,'[1]13 Portfolio Data'!D:D,$D$3,'[1]13 Portfolio Data'!G:G,Table1[[#This Row],[ISIN No.]])</f>
        <v>5</v>
      </c>
      <c r="F65" s="11">
        <f>SUMIFS('[1]13 Portfolio Data'!O:O,'[1]13 Portfolio Data'!D:D,$D$3,'[1]13 Portfolio Data'!G:G,Table1[[#This Row],[ISIN No.]])</f>
        <v>5082690</v>
      </c>
      <c r="G65" s="12">
        <f t="shared" si="0"/>
        <v>5.0817759395388584E-3</v>
      </c>
      <c r="H65" s="13" t="str">
        <f>IFERROR(VLOOKUP(Table1[[#This Row],[ISIN No.]],'[1]13 Portfolio Data'!G:AO,35,0),0)</f>
        <v>[ICRA]AAA</v>
      </c>
    </row>
    <row r="66" spans="1:8" x14ac:dyDescent="0.25">
      <c r="A66" s="8"/>
      <c r="B66" s="9" t="s">
        <v>83</v>
      </c>
      <c r="C66" s="9" t="str">
        <f>IFERROR(VLOOKUP(Table1[[#This Row],[ISIN No.]],'[1]13 Portfolio Data'!G:H,2,0),0)</f>
        <v>9.25 % INDIA INFRADEBT 19.06.2023</v>
      </c>
      <c r="D66" s="9" t="str">
        <f>IFERROR(VLOOKUP(Table1[[#This Row],[ISIN No.]],'[1]13 Portfolio Data'!G:K,5,0),0)</f>
        <v>Other monetary intermediation services n.e.c.</v>
      </c>
      <c r="E66" s="10">
        <f>SUMIFS('[1]13 Portfolio Data'!M:M,'[1]13 Portfolio Data'!D:D,$D$3,'[1]13 Portfolio Data'!G:G,Table1[[#This Row],[ISIN No.]])</f>
        <v>5</v>
      </c>
      <c r="F66" s="11">
        <f>SUMIFS('[1]13 Portfolio Data'!O:O,'[1]13 Portfolio Data'!D:D,$D$3,'[1]13 Portfolio Data'!G:G,Table1[[#This Row],[ISIN No.]])</f>
        <v>5224245</v>
      </c>
      <c r="G66" s="12">
        <f t="shared" si="0"/>
        <v>5.2233054825803231E-3</v>
      </c>
      <c r="H66" s="13" t="str">
        <f>IFERROR(VLOOKUP(Table1[[#This Row],[ISIN No.]],'[1]13 Portfolio Data'!G:AO,35,0),0)</f>
        <v>[ICRA]AAA</v>
      </c>
    </row>
    <row r="67" spans="1:8" x14ac:dyDescent="0.25">
      <c r="A67" s="8"/>
      <c r="B67" s="9" t="s">
        <v>84</v>
      </c>
      <c r="C67" s="9" t="str">
        <f>IFERROR(VLOOKUP(Table1[[#This Row],[ISIN No.]],'[1]13 Portfolio Data'!G:H,2,0),0)</f>
        <v>9.30% L&amp;T INFRA DEBT FUND 5 July 2024</v>
      </c>
      <c r="D67" s="9" t="str">
        <f>IFERROR(VLOOKUP(Table1[[#This Row],[ISIN No.]],'[1]13 Portfolio Data'!G:K,5,0),0)</f>
        <v>Other financial service activities, except insurance and pension funding activities</v>
      </c>
      <c r="E67" s="10">
        <f>SUMIFS('[1]13 Portfolio Data'!M:M,'[1]13 Portfolio Data'!D:D,$D$3,'[1]13 Portfolio Data'!G:G,Table1[[#This Row],[ISIN No.]])</f>
        <v>9</v>
      </c>
      <c r="F67" s="11">
        <f>SUMIFS('[1]13 Portfolio Data'!O:O,'[1]13 Portfolio Data'!D:D,$D$3,'[1]13 Portfolio Data'!G:G,Table1[[#This Row],[ISIN No.]])</f>
        <v>9606105</v>
      </c>
      <c r="G67" s="12">
        <f t="shared" si="0"/>
        <v>9.6043774579374162E-3</v>
      </c>
      <c r="H67" s="13" t="str">
        <f>IFERROR(VLOOKUP(Table1[[#This Row],[ISIN No.]],'[1]13 Portfolio Data'!G:AO,35,0),0)</f>
        <v>[ICRA]AAA</v>
      </c>
    </row>
    <row r="68" spans="1:8" x14ac:dyDescent="0.25">
      <c r="A68" s="8"/>
      <c r="B68" s="9" t="s">
        <v>85</v>
      </c>
      <c r="C68" s="9" t="str">
        <f>IFERROR(VLOOKUP(Table1[[#This Row],[ISIN No.]],'[1]13 Portfolio Data'!G:H,2,0),0)</f>
        <v>9.08% Cholamandalam Investment &amp; Finance co. Ltd 23.11.2023</v>
      </c>
      <c r="D68" s="9" t="str">
        <f>IFERROR(VLOOKUP(Table1[[#This Row],[ISIN No.]],'[1]13 Portfolio Data'!G:K,5,0),0)</f>
        <v>Other credit granting</v>
      </c>
      <c r="E68" s="10">
        <f>SUMIFS('[1]13 Portfolio Data'!M:M,'[1]13 Portfolio Data'!D:D,$D$3,'[1]13 Portfolio Data'!G:G,Table1[[#This Row],[ISIN No.]])</f>
        <v>1</v>
      </c>
      <c r="F68" s="11">
        <f>SUMIFS('[1]13 Portfolio Data'!O:O,'[1]13 Portfolio Data'!D:D,$D$3,'[1]13 Portfolio Data'!G:G,Table1[[#This Row],[ISIN No.]])</f>
        <v>1035501</v>
      </c>
      <c r="G68" s="12">
        <f t="shared" si="0"/>
        <v>1.0353147776410575E-3</v>
      </c>
      <c r="H68" s="13" t="str">
        <f>IFERROR(VLOOKUP(Table1[[#This Row],[ISIN No.]],'[1]13 Portfolio Data'!G:AO,35,0),0)</f>
        <v>[ICRA]AA+</v>
      </c>
    </row>
    <row r="69" spans="1:8" x14ac:dyDescent="0.25">
      <c r="A69" s="8"/>
      <c r="B69" s="9" t="s">
        <v>86</v>
      </c>
      <c r="C69" s="15" t="str">
        <f>IFERROR(VLOOKUP(Table1[[#This Row],[ISIN No.]],'[1]13 Portfolio Data'!G:H,2,0),0)</f>
        <v>9.64%POWER GRID CORPN OF INDIA LTD 31-May-2026</v>
      </c>
      <c r="D69" s="15" t="str">
        <f>IFERROR(VLOOKUP(Table1[[#This Row],[ISIN No.]],'[1]13 Portfolio Data'!G:K,5,0),0)</f>
        <v>Transmission of electric energy</v>
      </c>
      <c r="E69" s="16">
        <f>SUMIFS('[1]13 Portfolio Data'!M:M,'[1]13 Portfolio Data'!D:D,$D$3,'[1]13 Portfolio Data'!G:G,Table1[[#This Row],[ISIN No.]])</f>
        <v>13</v>
      </c>
      <c r="F69" s="17">
        <f>SUMIFS('[1]13 Portfolio Data'!O:O,'[1]13 Portfolio Data'!D:D,$D$3,'[1]13 Portfolio Data'!G:G,Table1[[#This Row],[ISIN No.]])</f>
        <v>18558491.25</v>
      </c>
      <c r="G69" s="12">
        <f t="shared" si="0"/>
        <v>1.8555153729303268E-2</v>
      </c>
      <c r="H69" s="13" t="str">
        <f>IFERROR(VLOOKUP(Table1[[#This Row],[ISIN No.]],'[1]13 Portfolio Data'!G:AO,35,0),0)</f>
        <v>[ICRA]AAA</v>
      </c>
    </row>
    <row r="70" spans="1:8" x14ac:dyDescent="0.25">
      <c r="A70" s="8"/>
      <c r="B70" s="9" t="s">
        <v>87</v>
      </c>
      <c r="C70" s="15" t="str">
        <f>IFERROR(VLOOKUP(Table1[[#This Row],[ISIN No.]],'[1]13 Portfolio Data'!G:H,2,0),0)</f>
        <v>8.80% Chola Investment &amp; Finance 28 Jun 27</v>
      </c>
      <c r="D70" s="15" t="str">
        <f>IFERROR(VLOOKUP(Table1[[#This Row],[ISIN No.]],'[1]13 Portfolio Data'!G:K,5,0),0)</f>
        <v>Other credit granting</v>
      </c>
      <c r="E70" s="16">
        <f>SUMIFS('[1]13 Portfolio Data'!M:M,'[1]13 Portfolio Data'!D:D,$D$3,'[1]13 Portfolio Data'!G:G,Table1[[#This Row],[ISIN No.]])</f>
        <v>5</v>
      </c>
      <c r="F70" s="17">
        <f>SUMIFS('[1]13 Portfolio Data'!O:O,'[1]13 Portfolio Data'!D:D,$D$3,'[1]13 Portfolio Data'!G:G,Table1[[#This Row],[ISIN No.]])</f>
        <v>5172470</v>
      </c>
      <c r="G70" s="12">
        <f t="shared" si="0"/>
        <v>5.1715397936892785E-3</v>
      </c>
      <c r="H70" s="13" t="str">
        <f>IFERROR(VLOOKUP(Table1[[#This Row],[ISIN No.]],'[1]13 Portfolio Data'!G:AO,35,0),0)</f>
        <v>[ICRA]AA+</v>
      </c>
    </row>
    <row r="71" spans="1:8" x14ac:dyDescent="0.25">
      <c r="A71" s="8"/>
      <c r="B71" s="9" t="s">
        <v>88</v>
      </c>
      <c r="C71" s="15" t="str">
        <f>IFERROR(VLOOKUP(Table1[[#This Row],[ISIN No.]],'[1]13 Portfolio Data'!G:H,2,0),0)</f>
        <v>8.89% LIC Housing 25 Apr 2023</v>
      </c>
      <c r="D71" s="15" t="str">
        <f>IFERROR(VLOOKUP(Table1[[#This Row],[ISIN No.]],'[1]13 Portfolio Data'!G:K,5,0),0)</f>
        <v>Activities of specialized institutions granting credit for house purchases</v>
      </c>
      <c r="E71" s="16">
        <f>SUMIFS('[1]13 Portfolio Data'!M:M,'[1]13 Portfolio Data'!D:D,$D$3,'[1]13 Portfolio Data'!G:G,Table1[[#This Row],[ISIN No.]])</f>
        <v>5</v>
      </c>
      <c r="F71" s="17">
        <f>SUMIFS('[1]13 Portfolio Data'!O:O,'[1]13 Portfolio Data'!D:D,$D$3,'[1]13 Portfolio Data'!G:G,Table1[[#This Row],[ISIN No.]])</f>
        <v>5239230</v>
      </c>
      <c r="G71" s="12">
        <f t="shared" ref="G71:G89" si="3">+F71/$F$113</f>
        <v>5.2382877877089045E-3</v>
      </c>
      <c r="H71" s="13" t="str">
        <f>IFERROR(VLOOKUP(Table1[[#This Row],[ISIN No.]],'[1]13 Portfolio Data'!G:AO,35,0),0)</f>
        <v>CRISIL AAA</v>
      </c>
    </row>
    <row r="72" spans="1:8" x14ac:dyDescent="0.25">
      <c r="A72" s="8"/>
      <c r="B72" s="9" t="s">
        <v>89</v>
      </c>
      <c r="C72" s="15" t="str">
        <f>IFERROR(VLOOKUP(Table1[[#This Row],[ISIN No.]],'[1]13 Portfolio Data'!G:H,2,0),0)</f>
        <v>8.75% LIC Housing Finance 08-Dec-2028</v>
      </c>
      <c r="D72" s="15" t="str">
        <f>IFERROR(VLOOKUP(Table1[[#This Row],[ISIN No.]],'[1]13 Portfolio Data'!G:K,5,0),0)</f>
        <v>Activities of specialized institutions granting credit for house purchases</v>
      </c>
      <c r="E72" s="16">
        <f>SUMIFS('[1]13 Portfolio Data'!M:M,'[1]13 Portfolio Data'!D:D,$D$3,'[1]13 Portfolio Data'!G:G,Table1[[#This Row],[ISIN No.]])</f>
        <v>10</v>
      </c>
      <c r="F72" s="17">
        <f>SUMIFS('[1]13 Portfolio Data'!O:O,'[1]13 Portfolio Data'!D:D,$D$3,'[1]13 Portfolio Data'!G:G,Table1[[#This Row],[ISIN No.]])</f>
        <v>11002050</v>
      </c>
      <c r="G72" s="12">
        <f t="shared" si="3"/>
        <v>1.1000071414074731E-2</v>
      </c>
      <c r="H72" s="13" t="str">
        <f>IFERROR(VLOOKUP(Table1[[#This Row],[ISIN No.]],'[1]13 Portfolio Data'!G:AO,35,0),0)</f>
        <v>CRISIL AAA</v>
      </c>
    </row>
    <row r="73" spans="1:8" x14ac:dyDescent="0.25">
      <c r="A73" s="8"/>
      <c r="B73" s="9" t="s">
        <v>90</v>
      </c>
      <c r="C73" s="15" t="str">
        <f>IFERROR(VLOOKUP(Table1[[#This Row],[ISIN No.]],'[1]13 Portfolio Data'!G:H,2,0),0)</f>
        <v>8.43% HDFC Ltd  4 Mar 2025</v>
      </c>
      <c r="D73" s="15" t="str">
        <f>IFERROR(VLOOKUP(Table1[[#This Row],[ISIN No.]],'[1]13 Portfolio Data'!G:K,5,0),0)</f>
        <v>Activities of specialized institutions granting credit for house purchases</v>
      </c>
      <c r="E73" s="16">
        <f>SUMIFS('[1]13 Portfolio Data'!M:M,'[1]13 Portfolio Data'!D:D,$D$3,'[1]13 Portfolio Data'!G:G,Table1[[#This Row],[ISIN No.]])</f>
        <v>12</v>
      </c>
      <c r="F73" s="17">
        <f>SUMIFS('[1]13 Portfolio Data'!O:O,'[1]13 Portfolio Data'!D:D,$D$3,'[1]13 Portfolio Data'!G:G,Table1[[#This Row],[ISIN No.]])</f>
        <v>6451584</v>
      </c>
      <c r="G73" s="12">
        <f t="shared" si="3"/>
        <v>6.4504237604720857E-3</v>
      </c>
      <c r="H73" s="13" t="str">
        <f>IFERROR(VLOOKUP(Table1[[#This Row],[ISIN No.]],'[1]13 Portfolio Data'!G:AO,35,0),0)</f>
        <v>[ICRA]AAA</v>
      </c>
    </row>
    <row r="74" spans="1:8" x14ac:dyDescent="0.25">
      <c r="A74" s="8"/>
      <c r="B74" s="9" t="s">
        <v>91</v>
      </c>
      <c r="C74" s="15" t="str">
        <f>IFERROR(VLOOKUP(Table1[[#This Row],[ISIN No.]],'[1]13 Portfolio Data'!G:H,2,0),0)</f>
        <v>9.50% EXIM 3 Dec 2023</v>
      </c>
      <c r="D74" s="15" t="str">
        <f>IFERROR(VLOOKUP(Table1[[#This Row],[ISIN No.]],'[1]13 Portfolio Data'!G:K,5,0),0)</f>
        <v>Other monetary intermediation services n.e.c.</v>
      </c>
      <c r="E74" s="16">
        <f>SUMIFS('[1]13 Portfolio Data'!M:M,'[1]13 Portfolio Data'!D:D,$D$3,'[1]13 Portfolio Data'!G:G,Table1[[#This Row],[ISIN No.]])</f>
        <v>5</v>
      </c>
      <c r="F74" s="17">
        <f>SUMIFS('[1]13 Portfolio Data'!O:O,'[1]13 Portfolio Data'!D:D,$D$3,'[1]13 Portfolio Data'!G:G,Table1[[#This Row],[ISIN No.]])</f>
        <v>5424355</v>
      </c>
      <c r="G74" s="12">
        <f t="shared" si="3"/>
        <v>5.4233794952116502E-3</v>
      </c>
      <c r="H74" s="13" t="str">
        <f>IFERROR(VLOOKUP(Table1[[#This Row],[ISIN No.]],'[1]13 Portfolio Data'!G:AO,35,0),0)</f>
        <v>[ICRA]AAA</v>
      </c>
    </row>
    <row r="75" spans="1:8" x14ac:dyDescent="0.25">
      <c r="A75" s="8"/>
      <c r="B75" s="9" t="s">
        <v>92</v>
      </c>
      <c r="C75" s="15" t="str">
        <f>IFERROR(VLOOKUP(Table1[[#This Row],[ISIN No.]],'[1]13 Portfolio Data'!G:H,2,0),0)</f>
        <v>9.00% LIC Housing 9 Apr 2023</v>
      </c>
      <c r="D75" s="15" t="str">
        <f>IFERROR(VLOOKUP(Table1[[#This Row],[ISIN No.]],'[1]13 Portfolio Data'!G:K,5,0),0)</f>
        <v>Activities of specialized institutions granting credit for house purchases</v>
      </c>
      <c r="E75" s="16">
        <f>SUMIFS('[1]13 Portfolio Data'!M:M,'[1]13 Portfolio Data'!D:D,$D$3,'[1]13 Portfolio Data'!G:G,Table1[[#This Row],[ISIN No.]])</f>
        <v>6</v>
      </c>
      <c r="F75" s="17">
        <f>SUMIFS('[1]13 Portfolio Data'!O:O,'[1]13 Portfolio Data'!D:D,$D$3,'[1]13 Portfolio Data'!G:G,Table1[[#This Row],[ISIN No.]])</f>
        <v>6287400</v>
      </c>
      <c r="G75" s="12">
        <f t="shared" si="3"/>
        <v>6.2862692869831947E-3</v>
      </c>
      <c r="H75" s="13" t="str">
        <f>IFERROR(VLOOKUP(Table1[[#This Row],[ISIN No.]],'[1]13 Portfolio Data'!G:AO,35,0),0)</f>
        <v>CRISIL AAA</v>
      </c>
    </row>
    <row r="76" spans="1:8" x14ac:dyDescent="0.25">
      <c r="A76" s="8"/>
      <c r="B76" s="9" t="s">
        <v>93</v>
      </c>
      <c r="C76" s="15" t="str">
        <f>IFERROR(VLOOKUP(Table1[[#This Row],[ISIN No.]],'[1]13 Portfolio Data'!G:H,2,0),0)</f>
        <v>7.41% NABARD(Non GOI) 18-July-2029</v>
      </c>
      <c r="D76" s="15" t="str">
        <f>IFERROR(VLOOKUP(Table1[[#This Row],[ISIN No.]],'[1]13 Portfolio Data'!G:K,5,0),0)</f>
        <v>Other monetary intermediation services n.e.c.</v>
      </c>
      <c r="E76" s="16">
        <f>SUMIFS('[1]13 Portfolio Data'!M:M,'[1]13 Portfolio Data'!D:D,$D$3,'[1]13 Portfolio Data'!G:G,Table1[[#This Row],[ISIN No.]])</f>
        <v>49</v>
      </c>
      <c r="F76" s="17">
        <f>SUMIFS('[1]13 Portfolio Data'!O:O,'[1]13 Portfolio Data'!D:D,$D$3,'[1]13 Portfolio Data'!G:G,Table1[[#This Row],[ISIN No.]])</f>
        <v>50881551</v>
      </c>
      <c r="G76" s="12">
        <f t="shared" si="3"/>
        <v>5.0872400567065733E-2</v>
      </c>
      <c r="H76" s="13" t="str">
        <f>IFERROR(VLOOKUP(Table1[[#This Row],[ISIN No.]],'[1]13 Portfolio Data'!G:AO,35,0),0)</f>
        <v>CRISIL AAA</v>
      </c>
    </row>
    <row r="77" spans="1:8" x14ac:dyDescent="0.25">
      <c r="A77" s="8"/>
      <c r="B77" s="9" t="s">
        <v>94</v>
      </c>
      <c r="C77" s="15" t="str">
        <f>IFERROR(VLOOKUP(Table1[[#This Row],[ISIN No.]],'[1]13 Portfolio Data'!G:H,2,0),0)</f>
        <v>8.78% NHPC 11  Feb 2028</v>
      </c>
      <c r="D77" s="15" t="str">
        <f>IFERROR(VLOOKUP(Table1[[#This Row],[ISIN No.]],'[1]13 Portfolio Data'!G:K,5,0),0)</f>
        <v>Electric power generation by hydroelectric power plants</v>
      </c>
      <c r="E77" s="16">
        <f>SUMIFS('[1]13 Portfolio Data'!M:M,'[1]13 Portfolio Data'!D:D,$D$3,'[1]13 Portfolio Data'!G:G,Table1[[#This Row],[ISIN No.]])</f>
        <v>40</v>
      </c>
      <c r="F77" s="17">
        <f>SUMIFS('[1]13 Portfolio Data'!O:O,'[1]13 Portfolio Data'!D:D,$D$3,'[1]13 Portfolio Data'!G:G,Table1[[#This Row],[ISIN No.]])</f>
        <v>4445208</v>
      </c>
      <c r="G77" s="12">
        <f t="shared" si="3"/>
        <v>4.4444085829837441E-3</v>
      </c>
      <c r="H77" s="13" t="str">
        <f>IFERROR(VLOOKUP(Table1[[#This Row],[ISIN No.]],'[1]13 Portfolio Data'!G:AO,35,0),0)</f>
        <v>[ICRA]AAA</v>
      </c>
    </row>
    <row r="78" spans="1:8" x14ac:dyDescent="0.25">
      <c r="A78" s="8"/>
      <c r="B78" s="9" t="s">
        <v>95</v>
      </c>
      <c r="C78" s="15" t="str">
        <f>IFERROR(VLOOKUP(Table1[[#This Row],[ISIN No.]],'[1]13 Portfolio Data'!G:H,2,0),0)</f>
        <v>8.55%IRFC 21 Feb 2029</v>
      </c>
      <c r="D78" s="15" t="str">
        <f>IFERROR(VLOOKUP(Table1[[#This Row],[ISIN No.]],'[1]13 Portfolio Data'!G:K,5,0),0)</f>
        <v>Other credit granting</v>
      </c>
      <c r="E78" s="16">
        <f>SUMIFS('[1]13 Portfolio Data'!M:M,'[1]13 Portfolio Data'!D:D,$D$3,'[1]13 Portfolio Data'!G:G,Table1[[#This Row],[ISIN No.]])</f>
        <v>58</v>
      </c>
      <c r="F78" s="17">
        <f>SUMIFS('[1]13 Portfolio Data'!O:O,'[1]13 Portfolio Data'!D:D,$D$3,'[1]13 Portfolio Data'!G:G,Table1[[#This Row],[ISIN No.]])</f>
        <v>64030376</v>
      </c>
      <c r="G78" s="12">
        <f t="shared" si="3"/>
        <v>6.4018860909562922E-2</v>
      </c>
      <c r="H78" s="13" t="str">
        <f>IFERROR(VLOOKUP(Table1[[#This Row],[ISIN No.]],'[1]13 Portfolio Data'!G:AO,35,0),0)</f>
        <v>[ICRA]AAA</v>
      </c>
    </row>
    <row r="79" spans="1:8" x14ac:dyDescent="0.25">
      <c r="A79" s="8"/>
      <c r="B79" s="9" t="s">
        <v>96</v>
      </c>
      <c r="C79" s="15" t="str">
        <f>IFERROR(VLOOKUP(Table1[[#This Row],[ISIN No.]],'[1]13 Portfolio Data'!G:H,2,0),0)</f>
        <v>8.54%NABARD 30 Jan 2034.</v>
      </c>
      <c r="D79" s="15" t="str">
        <f>IFERROR(VLOOKUP(Table1[[#This Row],[ISIN No.]],'[1]13 Portfolio Data'!G:K,5,0),0)</f>
        <v>Other monetary intermediation services n.e.c.</v>
      </c>
      <c r="E79" s="16">
        <f>SUMIFS('[1]13 Portfolio Data'!M:M,'[1]13 Portfolio Data'!D:D,$D$3,'[1]13 Portfolio Data'!G:G,Table1[[#This Row],[ISIN No.]])</f>
        <v>6</v>
      </c>
      <c r="F79" s="17">
        <f>SUMIFS('[1]13 Portfolio Data'!O:O,'[1]13 Portfolio Data'!D:D,$D$3,'[1]13 Portfolio Data'!G:G,Table1[[#This Row],[ISIN No.]])</f>
        <v>6743202</v>
      </c>
      <c r="G79" s="12">
        <f t="shared" si="3"/>
        <v>6.7419893164938852E-3</v>
      </c>
      <c r="H79" s="13" t="str">
        <f>IFERROR(VLOOKUP(Table1[[#This Row],[ISIN No.]],'[1]13 Portfolio Data'!G:AO,35,0),0)</f>
        <v>CRISIL AAA</v>
      </c>
    </row>
    <row r="80" spans="1:8" x14ac:dyDescent="0.25">
      <c r="A80" s="8"/>
      <c r="B80" s="9" t="s">
        <v>97</v>
      </c>
      <c r="C80" s="15" t="str">
        <f>IFERROR(VLOOKUP(Table1[[#This Row],[ISIN No.]],'[1]13 Portfolio Data'!G:H,2,0),0)</f>
        <v>08.80% POWER FINANCE CORPORATION 15-Jan-2025</v>
      </c>
      <c r="D80" s="15" t="str">
        <f>IFERROR(VLOOKUP(Table1[[#This Row],[ISIN No.]],'[1]13 Portfolio Data'!G:K,5,0),0)</f>
        <v>Other credit granting</v>
      </c>
      <c r="E80" s="16">
        <f>SUMIFS('[1]13 Portfolio Data'!M:M,'[1]13 Portfolio Data'!D:D,$D$3,'[1]13 Portfolio Data'!G:G,Table1[[#This Row],[ISIN No.]])</f>
        <v>2</v>
      </c>
      <c r="F80" s="17">
        <f>SUMIFS('[1]13 Portfolio Data'!O:O,'[1]13 Portfolio Data'!D:D,$D$3,'[1]13 Portfolio Data'!G:G,Table1[[#This Row],[ISIN No.]])</f>
        <v>2176542</v>
      </c>
      <c r="G80" s="12">
        <f t="shared" si="3"/>
        <v>2.176150575186719E-3</v>
      </c>
      <c r="H80" s="13" t="str">
        <f>IFERROR(VLOOKUP(Table1[[#This Row],[ISIN No.]],'[1]13 Portfolio Data'!G:AO,35,0),0)</f>
        <v>[ICRA]AAA</v>
      </c>
    </row>
    <row r="81" spans="1:8" x14ac:dyDescent="0.25">
      <c r="A81" s="8"/>
      <c r="B81" s="9" t="s">
        <v>98</v>
      </c>
      <c r="C81" s="15" t="str">
        <f>IFERROR(VLOOKUP(Table1[[#This Row],[ISIN No.]],'[1]13 Portfolio Data'!G:H,2,0),0)</f>
        <v>07.70% LARSEN AND TOUBRO LTD 28-April-2025</v>
      </c>
      <c r="D81" s="15" t="str">
        <f>IFERROR(VLOOKUP(Table1[[#This Row],[ISIN No.]],'[1]13 Portfolio Data'!G:K,5,0),0)</f>
        <v>Other civil engineering projects n.e.c.</v>
      </c>
      <c r="E81" s="16">
        <f>SUMIFS('[1]13 Portfolio Data'!M:M,'[1]13 Portfolio Data'!D:D,$D$3,'[1]13 Portfolio Data'!G:G,Table1[[#This Row],[ISIN No.]])</f>
        <v>50</v>
      </c>
      <c r="F81" s="17">
        <f>SUMIFS('[1]13 Portfolio Data'!O:O,'[1]13 Portfolio Data'!D:D,$D$3,'[1]13 Portfolio Data'!G:G,Table1[[#This Row],[ISIN No.]])</f>
        <v>53181800</v>
      </c>
      <c r="G81" s="12">
        <f t="shared" si="3"/>
        <v>5.3172235895041331E-2</v>
      </c>
      <c r="H81" s="13" t="str">
        <f>IFERROR(VLOOKUP(Table1[[#This Row],[ISIN No.]],'[1]13 Portfolio Data'!G:AO,35,0),0)</f>
        <v>CRISIL AAA</v>
      </c>
    </row>
    <row r="82" spans="1:8" x14ac:dyDescent="0.25">
      <c r="A82" s="8"/>
      <c r="B82" s="9" t="s">
        <v>99</v>
      </c>
      <c r="C82" s="15" t="str">
        <f>IFERROR(VLOOKUP(Table1[[#This Row],[ISIN No.]],'[1]13 Portfolio Data'!G:H,2,0),0)</f>
        <v>9.05% Reliance Industries 17 Oct 2028</v>
      </c>
      <c r="D82" s="15" t="str">
        <f>IFERROR(VLOOKUP(Table1[[#This Row],[ISIN No.]],'[1]13 Portfolio Data'!G:K,5,0),0)</f>
        <v>Manufacture of other petroleum n.e.c.</v>
      </c>
      <c r="E82" s="16">
        <f>SUMIFS('[1]13 Portfolio Data'!M:M,'[1]13 Portfolio Data'!D:D,$D$3,'[1]13 Portfolio Data'!G:G,Table1[[#This Row],[ISIN No.]])</f>
        <v>9</v>
      </c>
      <c r="F82" s="17">
        <f>SUMIFS('[1]13 Portfolio Data'!O:O,'[1]13 Portfolio Data'!D:D,$D$3,'[1]13 Portfolio Data'!G:G,Table1[[#This Row],[ISIN No.]])</f>
        <v>10122480</v>
      </c>
      <c r="G82" s="12">
        <f t="shared" si="3"/>
        <v>1.0120659594125021E-2</v>
      </c>
      <c r="H82" s="13" t="str">
        <f>IFERROR(VLOOKUP(Table1[[#This Row],[ISIN No.]],'[1]13 Portfolio Data'!G:AO,35,0),0)</f>
        <v>[ICRA]AAA</v>
      </c>
    </row>
    <row r="83" spans="1:8" x14ac:dyDescent="0.25">
      <c r="A83" s="8"/>
      <c r="B83" s="9" t="s">
        <v>100</v>
      </c>
      <c r="C83" s="15" t="str">
        <f>IFERROR(VLOOKUP(Table1[[#This Row],[ISIN No.]],'[1]13 Portfolio Data'!G:H,2,0),0)</f>
        <v>8.95% Reliance Industries 9 Nov 2028</v>
      </c>
      <c r="D83" s="15" t="str">
        <f>IFERROR(VLOOKUP(Table1[[#This Row],[ISIN No.]],'[1]13 Portfolio Data'!G:K,5,0),0)</f>
        <v>Manufacture of other petroleum n.e.c.</v>
      </c>
      <c r="E83" s="16">
        <f>SUMIFS('[1]13 Portfolio Data'!M:M,'[1]13 Portfolio Data'!D:D,$D$3,'[1]13 Portfolio Data'!G:G,Table1[[#This Row],[ISIN No.]])</f>
        <v>5</v>
      </c>
      <c r="F83" s="17">
        <f>SUMIFS('[1]13 Portfolio Data'!O:O,'[1]13 Portfolio Data'!D:D,$D$3,'[1]13 Portfolio Data'!G:G,Table1[[#This Row],[ISIN No.]])</f>
        <v>5601865</v>
      </c>
      <c r="G83" s="12">
        <f t="shared" si="3"/>
        <v>5.6008575721802518E-3</v>
      </c>
      <c r="H83" s="13" t="str">
        <f>IFERROR(VLOOKUP(Table1[[#This Row],[ISIN No.]],'[1]13 Portfolio Data'!G:AO,35,0),0)</f>
        <v>[ICRA]AAA</v>
      </c>
    </row>
    <row r="84" spans="1:8" x14ac:dyDescent="0.25">
      <c r="A84" s="8"/>
      <c r="B84" s="9" t="s">
        <v>101</v>
      </c>
      <c r="C84" s="9" t="str">
        <f>IFERROR(VLOOKUP(Table1[[#This Row],[ISIN No.]],'[1]13 Portfolio Data'!G:H,2,0),0)</f>
        <v>07.62% EXPORT IMPORT BANK OF INDIA 01-Sept-2026</v>
      </c>
      <c r="D84" s="9" t="str">
        <f>IFERROR(VLOOKUP(Table1[[#This Row],[ISIN No.]],'[1]13 Portfolio Data'!G:K,5,0),0)</f>
        <v>Other monetary intermediation services n.e.c.</v>
      </c>
      <c r="E84" s="10">
        <f>SUMIFS('[1]13 Portfolio Data'!M:M,'[1]13 Portfolio Data'!D:D,$D$3,'[1]13 Portfolio Data'!G:G,Table1[[#This Row],[ISIN No.]])</f>
        <v>50</v>
      </c>
      <c r="F84" s="11">
        <f>SUMIFS('[1]13 Portfolio Data'!O:O,'[1]13 Portfolio Data'!D:D,$D$3,'[1]13 Portfolio Data'!G:G,Table1[[#This Row],[ISIN No.]])</f>
        <v>53306900</v>
      </c>
      <c r="G84" s="12">
        <f t="shared" si="3"/>
        <v>5.3297313397315978E-2</v>
      </c>
      <c r="H84" s="13" t="str">
        <f>IFERROR(VLOOKUP(Table1[[#This Row],[ISIN No.]],'[1]13 Portfolio Data'!G:AO,35,0),0)</f>
        <v>[ICRA]AAA</v>
      </c>
    </row>
    <row r="85" spans="1:8" x14ac:dyDescent="0.25">
      <c r="A85" s="8"/>
      <c r="B85" s="9" t="s">
        <v>102</v>
      </c>
      <c r="C85" s="9" t="str">
        <f>IFERROR(VLOOKUP(Table1[[#This Row],[ISIN No.]],'[1]13 Portfolio Data'!G:H,2,0),0)</f>
        <v>8.90% SBI Tier II  2 Nov 2028 Call 2 Nov 2023</v>
      </c>
      <c r="D85" s="9" t="str">
        <f>IFERROR(VLOOKUP(Table1[[#This Row],[ISIN No.]],'[1]13 Portfolio Data'!G:K,5,0),0)</f>
        <v>Monetary intermediation of commercial banks, saving banks. postal savings</v>
      </c>
      <c r="E85" s="10">
        <f>SUMIFS('[1]13 Portfolio Data'!M:M,'[1]13 Portfolio Data'!D:D,$D$3,'[1]13 Portfolio Data'!G:G,Table1[[#This Row],[ISIN No.]])</f>
        <v>25</v>
      </c>
      <c r="F85" s="11">
        <f>SUMIFS('[1]13 Portfolio Data'!O:O,'[1]13 Portfolio Data'!D:D,$D$3,'[1]13 Portfolio Data'!G:G,Table1[[#This Row],[ISIN No.]])</f>
        <v>26319375</v>
      </c>
      <c r="G85" s="12">
        <f t="shared" si="3"/>
        <v>2.6314641778015291E-2</v>
      </c>
      <c r="H85" s="18" t="str">
        <f>IFERROR(VLOOKUP(Table1[[#This Row],[ISIN No.]],'[1]13 Portfolio Data'!G:AO,35,0),0)</f>
        <v>CRISIL AAA</v>
      </c>
    </row>
    <row r="86" spans="1:8" x14ac:dyDescent="0.25">
      <c r="A86" s="8"/>
      <c r="B86" s="9" t="s">
        <v>103</v>
      </c>
      <c r="C86" s="9" t="str">
        <f>IFERROR(VLOOKUP(Table1[[#This Row],[ISIN No.]],'[1]13 Portfolio Data'!G:H,2,0),0)</f>
        <v>9.24% HDFC Ltd 24 June 2024</v>
      </c>
      <c r="D86" s="9" t="str">
        <f>IFERROR(VLOOKUP(Table1[[#This Row],[ISIN No.]],'[1]13 Portfolio Data'!G:K,5,0),0)</f>
        <v>Activities of specialized institutions granting credit for house purchases</v>
      </c>
      <c r="E86" s="10">
        <f>SUMIFS('[1]13 Portfolio Data'!M:M,'[1]13 Portfolio Data'!D:D,$D$3,'[1]13 Portfolio Data'!G:G,Table1[[#This Row],[ISIN No.]])</f>
        <v>6</v>
      </c>
      <c r="F86" s="11">
        <f>SUMIFS('[1]13 Portfolio Data'!O:O,'[1]13 Portfolio Data'!D:D,$D$3,'[1]13 Portfolio Data'!G:G,Table1[[#This Row],[ISIN No.]])</f>
        <v>6511800</v>
      </c>
      <c r="G86" s="12">
        <f t="shared" si="3"/>
        <v>6.5106289313511421E-3</v>
      </c>
      <c r="H86" s="13" t="str">
        <f>IFERROR(VLOOKUP(Table1[[#This Row],[ISIN No.]],'[1]13 Portfolio Data'!G:AO,35,0),0)</f>
        <v>[ICRA]AAA</v>
      </c>
    </row>
    <row r="87" spans="1:8" x14ac:dyDescent="0.25">
      <c r="A87" s="8"/>
      <c r="B87" s="9" t="s">
        <v>104</v>
      </c>
      <c r="C87" s="15" t="str">
        <f>IFERROR(VLOOKUP(Table1[[#This Row],[ISIN No.]],'[1]13 Portfolio Data'!G:H,2,0),0)</f>
        <v>8.44% HOUSING DEVELOPMENT FINANCE CORPORA 01-June-2026</v>
      </c>
      <c r="D87" s="15" t="str">
        <f>IFERROR(VLOOKUP(Table1[[#This Row],[ISIN No.]],'[1]13 Portfolio Data'!G:K,5,0),0)</f>
        <v>Activities of specialized institutions granting credit for house purchases</v>
      </c>
      <c r="E87" s="16">
        <f>SUMIFS('[1]13 Portfolio Data'!M:M,'[1]13 Portfolio Data'!D:D,$D$3,'[1]13 Portfolio Data'!G:G,Table1[[#This Row],[ISIN No.]])</f>
        <v>1</v>
      </c>
      <c r="F87" s="17">
        <f>SUMIFS('[1]13 Portfolio Data'!O:O,'[1]13 Portfolio Data'!D:D,$D$3,'[1]13 Portfolio Data'!G:G,Table1[[#This Row],[ISIN No.]])</f>
        <v>10874540</v>
      </c>
      <c r="G87" s="12">
        <f t="shared" si="3"/>
        <v>1.0872584345209504E-2</v>
      </c>
      <c r="H87" s="13" t="str">
        <f>IFERROR(VLOOKUP(Table1[[#This Row],[ISIN No.]],'[1]13 Portfolio Data'!G:AO,35,0),0)</f>
        <v>[ICRA]AAA</v>
      </c>
    </row>
    <row r="88" spans="1:8" x14ac:dyDescent="0.25">
      <c r="A88" s="8"/>
      <c r="B88" s="9" t="s">
        <v>105</v>
      </c>
      <c r="C88" s="15" t="str">
        <f>IFERROR(VLOOKUP(Table1[[#This Row],[ISIN No.]],'[1]13 Portfolio Data'!G:H,2,0),0)</f>
        <v>8.75% RURAL ELECTRIFICATION CORPORATION 12-July-2025</v>
      </c>
      <c r="D88" s="15" t="str">
        <f>IFERROR(VLOOKUP(Table1[[#This Row],[ISIN No.]],'[1]13 Portfolio Data'!G:K,5,0),0)</f>
        <v>Other credit granting</v>
      </c>
      <c r="E88" s="16">
        <f>SUMIFS('[1]13 Portfolio Data'!M:M,'[1]13 Portfolio Data'!D:D,$D$3,'[1]13 Portfolio Data'!G:G,Table1[[#This Row],[ISIN No.]])</f>
        <v>19</v>
      </c>
      <c r="F88" s="17">
        <f>SUMIFS('[1]13 Portfolio Data'!O:O,'[1]13 Portfolio Data'!D:D,$D$3,'[1]13 Portfolio Data'!G:G,Table1[[#This Row],[ISIN No.]])</f>
        <v>20788261</v>
      </c>
      <c r="G88" s="12">
        <f t="shared" si="3"/>
        <v>2.0784522482121474E-2</v>
      </c>
      <c r="H88" s="13" t="str">
        <f>IFERROR(VLOOKUP(Table1[[#This Row],[ISIN No.]],'[1]13 Portfolio Data'!G:AO,35,0),0)</f>
        <v>[ICRA]AAA</v>
      </c>
    </row>
    <row r="89" spans="1:8" x14ac:dyDescent="0.25">
      <c r="A89" s="8"/>
      <c r="B89" s="9" t="s">
        <v>106</v>
      </c>
      <c r="C89" s="15" t="str">
        <f>IFERROR(VLOOKUP(Table1[[#This Row],[ISIN No.]],'[1]13 Portfolio Data'!G:H,2,0),0)</f>
        <v>9.30% Fullerton India Credit 25 Apr 2023</v>
      </c>
      <c r="D89" s="15" t="str">
        <f>IFERROR(VLOOKUP(Table1[[#This Row],[ISIN No.]],'[1]13 Portfolio Data'!G:K,5,0),0)</f>
        <v>Other credit granting</v>
      </c>
      <c r="E89" s="16">
        <f>SUMIFS('[1]13 Portfolio Data'!M:M,'[1]13 Portfolio Data'!D:D,$D$3,'[1]13 Portfolio Data'!G:G,Table1[[#This Row],[ISIN No.]])</f>
        <v>1</v>
      </c>
      <c r="F89" s="17">
        <f>SUMIFS('[1]13 Portfolio Data'!O:O,'[1]13 Portfolio Data'!D:D,$D$3,'[1]13 Portfolio Data'!G:G,Table1[[#This Row],[ISIN No.]])</f>
        <v>1027784</v>
      </c>
      <c r="G89" s="12">
        <f t="shared" si="3"/>
        <v>1.0275991654503827E-3</v>
      </c>
      <c r="H89" s="13" t="str">
        <f>IFERROR(VLOOKUP(Table1[[#This Row],[ISIN No.]],'[1]13 Portfolio Data'!G:AO,35,0),0)</f>
        <v>IND AA+</v>
      </c>
    </row>
    <row r="90" spans="1:8" x14ac:dyDescent="0.25">
      <c r="A90" s="8"/>
      <c r="B90" s="9"/>
      <c r="C90" s="15"/>
      <c r="D90" s="15"/>
      <c r="E90" s="16"/>
      <c r="F90" s="17"/>
      <c r="G90" s="12"/>
      <c r="H90" s="13"/>
    </row>
    <row r="91" spans="1:8" hidden="1" outlineLevel="1" x14ac:dyDescent="0.25">
      <c r="A91" s="8"/>
      <c r="B91" s="9"/>
      <c r="C91" s="15"/>
      <c r="D91" s="15"/>
      <c r="E91" s="16"/>
      <c r="F91" s="17"/>
      <c r="G91" s="12"/>
      <c r="H91" s="13"/>
    </row>
    <row r="92" spans="1:8" hidden="1" outlineLevel="1" x14ac:dyDescent="0.25">
      <c r="A92" s="8"/>
      <c r="B92" s="9"/>
      <c r="C92" s="15"/>
      <c r="D92" s="15"/>
      <c r="E92" s="16"/>
      <c r="F92" s="17"/>
      <c r="G92" s="12"/>
      <c r="H92" s="13"/>
    </row>
    <row r="93" spans="1:8" ht="14.25" hidden="1" customHeight="1" outlineLevel="1" x14ac:dyDescent="0.25">
      <c r="A93" s="8"/>
      <c r="B93" s="9"/>
      <c r="C93" s="9"/>
      <c r="D93" s="9"/>
      <c r="E93" s="10"/>
      <c r="F93" s="11"/>
      <c r="G93" s="12"/>
      <c r="H93" s="13"/>
    </row>
    <row r="94" spans="1:8" hidden="1" outlineLevel="1" x14ac:dyDescent="0.25">
      <c r="A94" s="8"/>
      <c r="B94" s="9"/>
      <c r="C94" s="9"/>
      <c r="D94" s="9"/>
      <c r="E94" s="10"/>
      <c r="F94" s="11"/>
      <c r="G94" s="12"/>
      <c r="H94" s="13"/>
    </row>
    <row r="95" spans="1:8" hidden="1" outlineLevel="1" x14ac:dyDescent="0.25">
      <c r="A95" s="8"/>
      <c r="B95" s="9"/>
      <c r="C95" s="15"/>
      <c r="D95" s="15"/>
      <c r="E95" s="16"/>
      <c r="F95" s="11"/>
      <c r="G95" s="12"/>
      <c r="H95" s="13"/>
    </row>
    <row r="96" spans="1:8" hidden="1" outlineLevel="1" x14ac:dyDescent="0.25">
      <c r="B96" s="9"/>
      <c r="C96" s="15"/>
      <c r="D96" s="15"/>
      <c r="E96" s="16"/>
      <c r="F96" s="17"/>
      <c r="G96" s="12"/>
      <c r="H96" s="13"/>
    </row>
    <row r="97" spans="2:8" hidden="1" outlineLevel="1" x14ac:dyDescent="0.25">
      <c r="B97" s="9"/>
      <c r="C97" s="15"/>
      <c r="D97" s="15"/>
      <c r="E97" s="16"/>
      <c r="F97" s="17"/>
      <c r="G97" s="12"/>
      <c r="H97" s="13"/>
    </row>
    <row r="98" spans="2:8" hidden="1" outlineLevel="2" x14ac:dyDescent="0.25">
      <c r="B98" s="9"/>
      <c r="C98" s="15"/>
      <c r="D98" s="15"/>
      <c r="E98" s="16"/>
      <c r="F98" s="17"/>
      <c r="G98" s="12"/>
      <c r="H98" s="13"/>
    </row>
    <row r="99" spans="2:8" collapsed="1" x14ac:dyDescent="0.25">
      <c r="B99" s="15"/>
      <c r="C99" s="15" t="s">
        <v>107</v>
      </c>
      <c r="D99" s="15"/>
      <c r="E99" s="19"/>
      <c r="F99" s="20">
        <f>SUM(F7:F97)</f>
        <v>918187522.85000002</v>
      </c>
      <c r="G99" s="21">
        <f>+F99/$F$113</f>
        <v>0.91802239790424278</v>
      </c>
      <c r="H99" s="14"/>
    </row>
    <row r="101" spans="2:8" x14ac:dyDescent="0.25">
      <c r="B101" s="22"/>
      <c r="C101" s="22" t="s">
        <v>108</v>
      </c>
      <c r="D101" s="22"/>
      <c r="E101" s="22"/>
      <c r="F101" s="22" t="s">
        <v>9</v>
      </c>
      <c r="G101" s="22" t="s">
        <v>10</v>
      </c>
      <c r="H101" s="22" t="s">
        <v>11</v>
      </c>
    </row>
    <row r="102" spans="2:8" x14ac:dyDescent="0.25">
      <c r="B102" s="23"/>
      <c r="C102" s="15" t="s">
        <v>109</v>
      </c>
      <c r="D102" s="9"/>
      <c r="E102" s="10"/>
      <c r="F102" s="20" t="s">
        <v>110</v>
      </c>
      <c r="G102" s="10">
        <v>0</v>
      </c>
      <c r="H102" s="9"/>
    </row>
    <row r="103" spans="2:8" x14ac:dyDescent="0.25">
      <c r="B103" s="23" t="s">
        <v>111</v>
      </c>
      <c r="C103" s="15" t="s">
        <v>112</v>
      </c>
      <c r="D103" s="15"/>
      <c r="E103" s="19"/>
      <c r="F103" s="11">
        <f>SUMIFS('[1]13 Portfolio Data'!O:O,'[1]13 Portfolio Data'!D:D,$D$3,'[1]13 Portfolio Data'!L:L,B103)</f>
        <v>45647717.409999996</v>
      </c>
      <c r="G103" s="21">
        <f>+F103/$F$113</f>
        <v>4.5639508218877606E-2</v>
      </c>
      <c r="H103" s="9"/>
    </row>
    <row r="104" spans="2:8" x14ac:dyDescent="0.25">
      <c r="B104" s="23"/>
      <c r="C104" s="15" t="s">
        <v>113</v>
      </c>
      <c r="D104" s="9"/>
      <c r="E104" s="10"/>
      <c r="F104" s="20" t="s">
        <v>110</v>
      </c>
      <c r="G104" s="10">
        <v>0</v>
      </c>
      <c r="H104" s="9"/>
    </row>
    <row r="105" spans="2:8" x14ac:dyDescent="0.25">
      <c r="B105" s="23"/>
      <c r="C105" s="15" t="s">
        <v>114</v>
      </c>
      <c r="D105" s="9"/>
      <c r="E105" s="10"/>
      <c r="F105" s="20" t="s">
        <v>110</v>
      </c>
      <c r="G105" s="10">
        <v>0</v>
      </c>
      <c r="H105" s="9"/>
    </row>
    <row r="106" spans="2:8" x14ac:dyDescent="0.25">
      <c r="B106" s="23"/>
      <c r="C106" s="15" t="s">
        <v>115</v>
      </c>
      <c r="D106" s="9"/>
      <c r="E106" s="10"/>
      <c r="F106" s="20" t="s">
        <v>110</v>
      </c>
      <c r="G106" s="10">
        <v>0</v>
      </c>
      <c r="H106" s="9"/>
    </row>
    <row r="107" spans="2:8" x14ac:dyDescent="0.25">
      <c r="B107" s="23" t="s">
        <v>116</v>
      </c>
      <c r="C107" s="15" t="s">
        <v>117</v>
      </c>
      <c r="D107" s="9"/>
      <c r="E107" s="10"/>
      <c r="F107" s="11">
        <f>SUMIFS('[1]13 Portfolio Data'!O:O,'[1]13 Portfolio Data'!D:D,$D$3,'[1]13 Portfolio Data'!L:L,B107)</f>
        <v>6244309.8700003326</v>
      </c>
      <c r="G107" s="21">
        <f>+F107/$F$113</f>
        <v>6.2431869062234179E-3</v>
      </c>
      <c r="H107" s="9"/>
    </row>
    <row r="108" spans="2:8" x14ac:dyDescent="0.25">
      <c r="B108" s="23" t="s">
        <v>118</v>
      </c>
      <c r="C108" s="15" t="s">
        <v>119</v>
      </c>
      <c r="D108" s="9"/>
      <c r="E108" s="10"/>
      <c r="F108" s="11">
        <f>SUMIFS('[1]13 Portfolio Data'!O:O,'[1]13 Portfolio Data'!D:D,$D$3,'[1]13 Portfolio Data'!L:L,B108)</f>
        <v>32131045.15000001</v>
      </c>
      <c r="G108" s="21">
        <f>+F108/$F$113</f>
        <v>3.2125266769271146E-2</v>
      </c>
      <c r="H108" s="9"/>
    </row>
    <row r="109" spans="2:8" x14ac:dyDescent="0.25">
      <c r="B109" s="23" t="s">
        <v>120</v>
      </c>
      <c r="C109" s="9" t="s">
        <v>121</v>
      </c>
      <c r="D109" s="9"/>
      <c r="E109" s="10"/>
      <c r="F109" s="11">
        <f>SUMIFS('[1]13 Portfolio Data'!O:O,'[1]13 Portfolio Data'!D:D,$D$3,'[1]13 Portfolio Data'!L:L,B109)</f>
        <v>-2030725.000000339</v>
      </c>
      <c r="G109" s="21">
        <f>+F109/$F$113</f>
        <v>-2.0303597986148616E-3</v>
      </c>
      <c r="H109" s="9"/>
    </row>
    <row r="110" spans="2:8" x14ac:dyDescent="0.25">
      <c r="B110" s="23"/>
      <c r="C110" s="9"/>
      <c r="D110" s="9"/>
      <c r="E110" s="10"/>
      <c r="F110" s="20"/>
      <c r="G110" s="21"/>
      <c r="H110" s="9"/>
    </row>
    <row r="111" spans="2:8" x14ac:dyDescent="0.25">
      <c r="B111" s="23"/>
      <c r="C111" s="9" t="s">
        <v>122</v>
      </c>
      <c r="D111" s="9"/>
      <c r="E111" s="10"/>
      <c r="F111" s="24">
        <f>SUM(F102:F110)</f>
        <v>81992347.429999992</v>
      </c>
      <c r="G111" s="21">
        <f>+F111/$F$113</f>
        <v>8.1977602095757302E-2</v>
      </c>
      <c r="H111" s="9"/>
    </row>
    <row r="112" spans="2:8" x14ac:dyDescent="0.25">
      <c r="B112" s="23"/>
      <c r="C112" s="9"/>
      <c r="D112" s="9"/>
      <c r="E112" s="10"/>
      <c r="F112" s="24"/>
      <c r="G112" s="25"/>
      <c r="H112" s="9"/>
    </row>
    <row r="113" spans="1:8" x14ac:dyDescent="0.25">
      <c r="B113" s="26"/>
      <c r="C113" s="27" t="s">
        <v>123</v>
      </c>
      <c r="D113" s="26"/>
      <c r="E113" s="28"/>
      <c r="F113" s="29">
        <f>+F111+F99</f>
        <v>1000179870.28</v>
      </c>
      <c r="G113" s="30">
        <v>1</v>
      </c>
      <c r="H113" s="9"/>
    </row>
    <row r="115" spans="1:8" x14ac:dyDescent="0.25">
      <c r="C115" s="15" t="s">
        <v>124</v>
      </c>
      <c r="D115" s="31">
        <f>+'[1]Form 3'!I18</f>
        <v>5.4148300580350899</v>
      </c>
      <c r="F115" s="2">
        <f>+'[1]Form 3'!I11*10^7-F113</f>
        <v>0</v>
      </c>
    </row>
    <row r="116" spans="1:8" x14ac:dyDescent="0.25">
      <c r="C116" s="15" t="s">
        <v>125</v>
      </c>
      <c r="D116" s="31">
        <f>+'[1]Form 3'!I19</f>
        <v>4.0721388018831783</v>
      </c>
    </row>
    <row r="117" spans="1:8" x14ac:dyDescent="0.25">
      <c r="C117" s="15" t="s">
        <v>126</v>
      </c>
      <c r="D117" s="32">
        <f>+'[1]Form 3'!I20</f>
        <v>6.20991005331386E-2</v>
      </c>
    </row>
    <row r="118" spans="1:8" x14ac:dyDescent="0.25">
      <c r="A118" s="33" t="s">
        <v>127</v>
      </c>
      <c r="C118" s="15" t="str">
        <f>+'[1]Form 3'!$B$14</f>
        <v>Net Asset Value</v>
      </c>
      <c r="D118" s="34">
        <f>+'[1]Form 3'!I14</f>
        <v>15.226856416018697</v>
      </c>
    </row>
    <row r="119" spans="1:8" x14ac:dyDescent="0.25">
      <c r="C119" s="15" t="str">
        <f>+'[1]Form 3'!$B$15</f>
        <v xml:space="preserve">Net asset value last month </v>
      </c>
      <c r="D119" s="34">
        <f>+'[1]Form 3'!I15</f>
        <v>15.116908419890573</v>
      </c>
    </row>
    <row r="120" spans="1:8" x14ac:dyDescent="0.25">
      <c r="C120" s="15" t="s">
        <v>128</v>
      </c>
      <c r="D120" s="35">
        <f>SUMIFS('[1]13 Portfolio Data'!O:O,'[1]13 Portfolio Data'!D:D,$D$3,'[1]13 Portfolio Data'!AN:AN,A118)</f>
        <v>708805702.25</v>
      </c>
    </row>
    <row r="121" spans="1:8" x14ac:dyDescent="0.25">
      <c r="C121" s="15" t="s">
        <v>129</v>
      </c>
      <c r="D121" s="31" t="s">
        <v>130</v>
      </c>
    </row>
    <row r="122" spans="1:8" x14ac:dyDescent="0.25">
      <c r="C122" s="15" t="s">
        <v>131</v>
      </c>
      <c r="D122" s="31" t="s">
        <v>110</v>
      </c>
    </row>
    <row r="123" spans="1:8" x14ac:dyDescent="0.25">
      <c r="B123" s="36"/>
      <c r="C123" s="8"/>
    </row>
    <row r="124" spans="1:8" x14ac:dyDescent="0.25">
      <c r="F124" s="2">
        <f>+F99-SUM(F129:F132)</f>
        <v>0</v>
      </c>
    </row>
    <row r="125" spans="1:8" x14ac:dyDescent="0.25">
      <c r="C125" s="22" t="s">
        <v>132</v>
      </c>
      <c r="D125" s="22"/>
      <c r="E125" s="22"/>
      <c r="F125" s="22"/>
      <c r="G125" s="22"/>
      <c r="H125" s="22"/>
    </row>
    <row r="126" spans="1:8" x14ac:dyDescent="0.25">
      <c r="C126" s="22" t="s">
        <v>133</v>
      </c>
      <c r="D126" s="22"/>
      <c r="E126" s="22"/>
      <c r="F126" s="22" t="s">
        <v>9</v>
      </c>
      <c r="G126" s="22" t="s">
        <v>10</v>
      </c>
      <c r="H126" s="22" t="s">
        <v>11</v>
      </c>
    </row>
    <row r="127" spans="1:8" x14ac:dyDescent="0.25">
      <c r="C127" s="15" t="s">
        <v>134</v>
      </c>
      <c r="D127" s="9"/>
      <c r="E127" s="10"/>
      <c r="F127" s="9"/>
      <c r="G127" s="9"/>
      <c r="H127" s="9"/>
    </row>
    <row r="128" spans="1:8" x14ac:dyDescent="0.25">
      <c r="C128" s="9" t="s">
        <v>135</v>
      </c>
      <c r="D128" s="9"/>
      <c r="E128" s="10"/>
      <c r="F128" s="9"/>
      <c r="G128" s="9"/>
      <c r="H128" s="9"/>
    </row>
    <row r="129" spans="3:8" x14ac:dyDescent="0.25">
      <c r="C129" s="9" t="s">
        <v>65</v>
      </c>
      <c r="D129" s="9"/>
      <c r="E129" s="10"/>
      <c r="F129" s="37">
        <f>SUMIF($L$53:$L$62,$C129,$O$53:$O$62)</f>
        <v>901603006.85000002</v>
      </c>
      <c r="G129" s="38">
        <f>+F129/$F$113</f>
        <v>0.90144086442931171</v>
      </c>
      <c r="H129" s="9"/>
    </row>
    <row r="130" spans="3:8" x14ac:dyDescent="0.25">
      <c r="C130" s="9" t="s">
        <v>136</v>
      </c>
      <c r="D130" s="9"/>
      <c r="E130" s="10"/>
      <c r="F130" s="37">
        <f t="shared" ref="F130:F134" si="4">SUMIF($L$53:$L$62,$C130,$O$53:$O$62)</f>
        <v>0</v>
      </c>
      <c r="G130" s="38"/>
      <c r="H130" s="9"/>
    </row>
    <row r="131" spans="3:8" x14ac:dyDescent="0.25">
      <c r="C131" s="9" t="s">
        <v>72</v>
      </c>
      <c r="D131" s="9"/>
      <c r="E131" s="10"/>
      <c r="F131" s="37">
        <f t="shared" si="4"/>
        <v>15567003</v>
      </c>
      <c r="G131" s="38">
        <f>+F131/$F$113</f>
        <v>1.5564203462365247E-2</v>
      </c>
      <c r="H131" s="9"/>
    </row>
    <row r="132" spans="3:8" x14ac:dyDescent="0.25">
      <c r="C132" s="9" t="s">
        <v>74</v>
      </c>
      <c r="D132" s="9"/>
      <c r="E132" s="10"/>
      <c r="F132" s="37">
        <f t="shared" si="4"/>
        <v>1017513</v>
      </c>
      <c r="G132" s="38">
        <f>+F132/$F$113</f>
        <v>1.0173300125657875E-3</v>
      </c>
      <c r="H132" s="9"/>
    </row>
    <row r="133" spans="3:8" x14ac:dyDescent="0.25">
      <c r="C133" s="9" t="s">
        <v>137</v>
      </c>
      <c r="D133" s="9"/>
      <c r="E133" s="10"/>
      <c r="F133" s="37">
        <f t="shared" si="4"/>
        <v>0</v>
      </c>
      <c r="G133" s="38"/>
      <c r="H133" s="9"/>
    </row>
    <row r="134" spans="3:8" x14ac:dyDescent="0.25">
      <c r="C134" s="9" t="s">
        <v>138</v>
      </c>
      <c r="D134" s="9"/>
      <c r="E134" s="10"/>
      <c r="F134" s="37">
        <f t="shared" si="4"/>
        <v>0</v>
      </c>
      <c r="G134" s="38"/>
      <c r="H134" s="9"/>
    </row>
    <row r="135" spans="3:8" x14ac:dyDescent="0.25">
      <c r="C135" s="9" t="s">
        <v>139</v>
      </c>
      <c r="D135" s="9"/>
      <c r="E135" s="10"/>
      <c r="F135" s="37">
        <f t="shared" ref="F135:F138" si="5">SUMIF($L$53:$L$61,$C135,$O$53:$O$61)</f>
        <v>0</v>
      </c>
      <c r="G135" s="21"/>
      <c r="H135" s="9"/>
    </row>
    <row r="136" spans="3:8" x14ac:dyDescent="0.25">
      <c r="C136" s="9" t="s">
        <v>140</v>
      </c>
      <c r="D136" s="9"/>
      <c r="E136" s="10"/>
      <c r="F136" s="37">
        <f t="shared" si="5"/>
        <v>0</v>
      </c>
      <c r="G136" s="9"/>
      <c r="H136" s="9"/>
    </row>
    <row r="137" spans="3:8" x14ac:dyDescent="0.25">
      <c r="C137" s="9" t="s">
        <v>141</v>
      </c>
      <c r="D137" s="9"/>
      <c r="E137" s="10"/>
      <c r="F137" s="37">
        <f t="shared" si="5"/>
        <v>0</v>
      </c>
      <c r="G137" s="9"/>
      <c r="H137" s="9"/>
    </row>
    <row r="138" spans="3:8" x14ac:dyDescent="0.25">
      <c r="C138" s="9" t="s">
        <v>142</v>
      </c>
      <c r="D138" s="9"/>
      <c r="E138" s="10"/>
      <c r="F138" s="37">
        <f t="shared" si="5"/>
        <v>0</v>
      </c>
      <c r="G138" s="9"/>
      <c r="H138" s="9"/>
    </row>
  </sheetData>
  <pageMargins left="0" right="0" top="0" bottom="0" header="0.31496062992125984" footer="0.31496062992125984"/>
  <pageSetup scale="4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</vt:lpstr>
      <vt:lpstr>'C-TIER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2021-12-08T12:01:49Z</dcterms:created>
  <dcterms:modified xsi:type="dcterms:W3CDTF">2021-12-08T12:02:15Z</dcterms:modified>
</cp:coreProperties>
</file>