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277B310E-E7D7-4ACE-9D39-B2720EC40F60}" xr6:coauthVersionLast="47" xr6:coauthVersionMax="47" xr10:uidLastSave="{00000000-0000-0000-0000-000000000000}"/>
  <bookViews>
    <workbookView xWindow="-120" yWindow="-120" windowWidth="20730" windowHeight="11160" xr2:uid="{D8638449-87E1-4B5C-AB44-B8B20EDC8879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6" i="1"/>
  <c r="D96" i="1"/>
  <c r="D95" i="1"/>
  <c r="C95" i="1"/>
  <c r="D94" i="1"/>
  <c r="C94" i="1"/>
  <c r="D93" i="1"/>
  <c r="D92" i="1"/>
  <c r="D91" i="1"/>
  <c r="F85" i="1"/>
  <c r="F84" i="1"/>
  <c r="F83" i="1"/>
  <c r="F79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F103" i="1" s="1"/>
  <c r="C8" i="1"/>
  <c r="H7" i="1"/>
  <c r="O59" i="1" s="1"/>
  <c r="F7" i="1"/>
  <c r="F75" i="1" s="1"/>
  <c r="E7" i="1"/>
  <c r="C7" i="1"/>
  <c r="D4" i="1"/>
  <c r="F104" i="1" l="1"/>
  <c r="N53" i="1"/>
  <c r="N54" i="1"/>
  <c r="N55" i="1"/>
  <c r="N56" i="1"/>
  <c r="N57" i="1"/>
  <c r="N58" i="1"/>
  <c r="N59" i="1"/>
  <c r="F87" i="1"/>
  <c r="O53" i="1"/>
  <c r="O54" i="1"/>
  <c r="O55" i="1"/>
  <c r="O56" i="1"/>
  <c r="F107" i="1" s="1"/>
  <c r="O57" i="1"/>
  <c r="F108" i="1" s="1"/>
  <c r="O58" i="1"/>
  <c r="F105" i="1" l="1"/>
  <c r="G105" i="1" s="1"/>
  <c r="G107" i="1"/>
  <c r="F89" i="1"/>
  <c r="G108" i="1" s="1"/>
  <c r="G104" i="1"/>
  <c r="G87" i="1" l="1"/>
  <c r="G59" i="1"/>
  <c r="G58" i="1"/>
  <c r="G13" i="1"/>
  <c r="G30" i="1"/>
  <c r="G28" i="1"/>
  <c r="G26" i="1"/>
  <c r="G17" i="1"/>
  <c r="G15" i="1"/>
  <c r="F91" i="1"/>
  <c r="G85" i="1"/>
  <c r="G83" i="1"/>
  <c r="G29" i="1"/>
  <c r="G27" i="1"/>
  <c r="G25" i="1"/>
  <c r="G23" i="1"/>
  <c r="G21" i="1"/>
  <c r="G19" i="1"/>
  <c r="G103" i="1"/>
  <c r="G40" i="1"/>
  <c r="G56" i="1"/>
  <c r="G20" i="1"/>
  <c r="G41" i="1"/>
  <c r="G57" i="1"/>
  <c r="G34" i="1"/>
  <c r="G50" i="1"/>
  <c r="G9" i="1"/>
  <c r="G31" i="1"/>
  <c r="G47" i="1"/>
  <c r="G10" i="1"/>
  <c r="G44" i="1"/>
  <c r="G24" i="1"/>
  <c r="G45" i="1"/>
  <c r="G79" i="1"/>
  <c r="G38" i="1"/>
  <c r="G54" i="1"/>
  <c r="G14" i="1"/>
  <c r="G35" i="1"/>
  <c r="G51" i="1"/>
  <c r="G7" i="1"/>
  <c r="G32" i="1"/>
  <c r="G48" i="1"/>
  <c r="G75" i="1"/>
  <c r="G33" i="1"/>
  <c r="G49" i="1"/>
  <c r="G106" i="1"/>
  <c r="G42" i="1"/>
  <c r="G11" i="1"/>
  <c r="G18" i="1"/>
  <c r="G39" i="1"/>
  <c r="G55" i="1"/>
  <c r="G36" i="1"/>
  <c r="G52" i="1"/>
  <c r="G12" i="1"/>
  <c r="G37" i="1"/>
  <c r="G53" i="1"/>
  <c r="G8" i="1"/>
  <c r="G46" i="1"/>
  <c r="G16" i="1"/>
  <c r="G22" i="1"/>
  <c r="G43" i="1"/>
  <c r="G84" i="1"/>
  <c r="F100" i="1"/>
</calcChain>
</file>

<file path=xl/sharedStrings.xml><?xml version="1.0" encoding="utf-8"?>
<sst xmlns="http://schemas.openxmlformats.org/spreadsheetml/2006/main" count="133" uniqueCount="114">
  <si>
    <t>NAME OF PENSION FUND</t>
  </si>
  <si>
    <t>ADITYA BIRLA SUN LIFE PENSION MANAGEMENT LIMITED</t>
  </si>
  <si>
    <t>SCHEME NAME</t>
  </si>
  <si>
    <t>G-TIER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</si>
  <si>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</si>
  <si>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</si>
  <si>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</si>
  <si>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</si>
  <si>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</si>
  <si>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</si>
  <si>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</si>
  <si>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</si>
  <si>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</si>
  <si>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Other monetary intermediation services n.e.c.</t>
  </si>
  <si>
    <t>IN0020170174</t>
  </si>
  <si>
    <t>IN0020200153</t>
  </si>
  <si>
    <t>IN0020200245</t>
  </si>
  <si>
    <t>IN0020160092</t>
  </si>
  <si>
    <t>IN0020140011</t>
  </si>
  <si>
    <t>SDL</t>
  </si>
  <si>
    <t>IN0020020247</t>
  </si>
  <si>
    <t>IN0020130012</t>
  </si>
  <si>
    <t>IN0020210020</t>
  </si>
  <si>
    <t>IN0020210152</t>
  </si>
  <si>
    <t>IN3120150203</t>
  </si>
  <si>
    <t>IN1920170157</t>
  </si>
  <si>
    <t>IN2020170147</t>
  </si>
  <si>
    <t>IN2020180039</t>
  </si>
  <si>
    <t>IN2220170103</t>
  </si>
  <si>
    <t>IN3120180010</t>
  </si>
  <si>
    <t>IN1920180156</t>
  </si>
  <si>
    <t>IN1020180411</t>
  </si>
  <si>
    <t>IN4520180204</t>
  </si>
  <si>
    <t>IN2220200017</t>
  </si>
  <si>
    <t>IN1520130072</t>
  </si>
  <si>
    <t>IN2220200264</t>
  </si>
  <si>
    <t>IN2220150196</t>
  </si>
  <si>
    <t>IN1920190098</t>
  </si>
  <si>
    <t>IN1520170169</t>
  </si>
  <si>
    <t>IN1520170243</t>
  </si>
  <si>
    <t>IN0020160100</t>
  </si>
  <si>
    <t>IN0020160118</t>
  </si>
  <si>
    <t>IN0020150051</t>
  </si>
  <si>
    <t>IN0020070036</t>
  </si>
  <si>
    <t>IN0020160019</t>
  </si>
  <si>
    <t>IN0020070069</t>
  </si>
  <si>
    <t>IN0020030014</t>
  </si>
  <si>
    <t>IN0020110048</t>
  </si>
  <si>
    <t>IN0020140060</t>
  </si>
  <si>
    <t>IN0020150069</t>
  </si>
  <si>
    <t>IN0020060086</t>
  </si>
  <si>
    <t>IN0020150028</t>
  </si>
  <si>
    <t>IN0020060045</t>
  </si>
  <si>
    <t>IN0020160068</t>
  </si>
  <si>
    <t>IN0020050012</t>
  </si>
  <si>
    <t>IN0020150010</t>
  </si>
  <si>
    <t>IN0020040039</t>
  </si>
  <si>
    <t>IN0020070044</t>
  </si>
  <si>
    <t>IN0020110063</t>
  </si>
  <si>
    <t>IN0020150077</t>
  </si>
  <si>
    <t>IN0020140078</t>
  </si>
  <si>
    <t>AAA / Equivalent</t>
  </si>
  <si>
    <t>ICRA AAA</t>
  </si>
  <si>
    <t>IN0020190024</t>
  </si>
  <si>
    <t>CARE AAA (CE)</t>
  </si>
  <si>
    <t>IN0020190040</t>
  </si>
  <si>
    <t>CRISIL AAA</t>
  </si>
  <si>
    <t>IN0020020106</t>
  </si>
  <si>
    <t>AA+ / Equivalent</t>
  </si>
  <si>
    <t>[ICRA]AA+</t>
  </si>
  <si>
    <t>IN0020060078</t>
  </si>
  <si>
    <t>AA / Equivalent</t>
  </si>
  <si>
    <t>CRISIL AA</t>
  </si>
  <si>
    <t>IN2020180021</t>
  </si>
  <si>
    <t>IND AAA</t>
  </si>
  <si>
    <t>IN1520180200</t>
  </si>
  <si>
    <t>CARE AA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</si>
  <si>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</si>
  <si>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</si>
  <si>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</si>
  <si>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</si>
  <si>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</si>
  <si>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</si>
  <si>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</si>
  <si>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</si>
  <si>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</si>
  <si>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</si>
  <si>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</si>
  <si>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</si>
  <si>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</si>
  <si>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</si>
  <si>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</si>
  <si>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</si>
  <si>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</si>
  <si>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</si>
  <si>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</si>
  <si>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</si>
  <si>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</si>
  <si>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</si>
  <si>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</si>
  <si>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</si>
  <si>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</si>
  <si>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</si>
  <si>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</si>
  <si>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GOI</t>
  </si>
  <si>
    <t>Central Govt. Securities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</si>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</sst>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43" fontId="0" fillId="0" borderId="0" xfId="1" applyFont="1"/>
    <xf numFmtId="15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quotePrefix="1" applyBorder="1"/>
    <xf numFmtId="43" fontId="0" fillId="0" borderId="4" xfId="1" applyFont="1" applyBorder="1"/>
    <xf numFmtId="0" fontId="0" fillId="0" borderId="5" xfId="0" quotePrefix="1" applyBorder="1"/>
    <xf numFmtId="10" fontId="0" fillId="0" borderId="7" xfId="2" applyNumberFormat="1" applyFont="1" applyFill="1" applyBorder="1"/>
    <xf numFmtId="0" fontId="0" fillId="0" borderId="8" xfId="0" quotePrefix="1" applyBorder="1"/>
    <xf numFmtId="0" fontId="0" fillId="0" borderId="4" xfId="0" applyBorder="1" applyAlignment="1">
      <alignment vertical="top"/>
    </xf>
    <xf numFmtId="164" fontId="0" fillId="0" borderId="4" xfId="1" applyNumberFormat="1" applyFont="1" applyFill="1" applyBorder="1" applyAlignment="1">
      <alignment horizontal="right" vertical="top"/>
    </xf>
    <xf numFmtId="164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4" fillId="0" borderId="4" xfId="0" applyFont="1" applyBorder="1"/>
    <xf numFmtId="43" fontId="0" fillId="0" borderId="4" xfId="1" applyFont="1" applyBorder="1" applyAlignment="1">
      <alignment horizontal="right" vertical="top"/>
    </xf>
    <xf numFmtId="164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3" fillId="0" borderId="4" xfId="0" applyFont="1" applyBorder="1" applyAlignment="1">
      <alignment vertical="top"/>
    </xf>
    <xf numFmtId="0" fontId="3" fillId="0" borderId="4" xfId="0" applyFont="1" applyBorder="1"/>
    <xf numFmtId="43" fontId="3" fillId="0" borderId="4" xfId="1" applyFont="1" applyBorder="1"/>
    <xf numFmtId="164" fontId="3" fillId="0" borderId="4" xfId="1" applyNumberFormat="1" applyFont="1" applyBorder="1"/>
    <xf numFmtId="10" fontId="3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6" fillId="0" borderId="4" xfId="1" applyNumberFormat="1" applyFont="1" applyFill="1" applyBorder="1"/>
    <xf numFmtId="0" fontId="0" fillId="0" borderId="4" xfId="0" applyBorder="1" applyAlignment="1">
      <alignment horizontal="right"/>
    </xf>
    <xf numFmtId="164" fontId="6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44530</v>
          </cell>
        </row>
      </sheetData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J11">
            <v>142.22947077999999</v>
          </cell>
        </row>
        <row r="14">
          <cell r="B14" t="str">
            <v>Net Asset Value</v>
          </cell>
          <cell r="J14">
            <v>14.713872235828321</v>
          </cell>
        </row>
        <row r="15">
          <cell r="B15" t="str">
            <v xml:space="preserve">Net asset value last month </v>
          </cell>
          <cell r="J15">
            <v>14.533594592956801</v>
          </cell>
        </row>
        <row r="18">
          <cell r="J18">
            <v>11.251528236020523</v>
          </cell>
        </row>
        <row r="19">
          <cell r="J19">
            <v>7.112890683295622</v>
          </cell>
        </row>
        <row r="20">
          <cell r="J20">
            <v>6.6067763559289394E-2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51E48-49DE-4538-8333-A39EE38A470D}" name="Table13456" displayName="Table1345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DA683954-EF4A-4C0E-8A7E-4412B5A354DF}" name="ISIN No." dataDxfId="6"/>
    <tableColumn id="2" xr3:uid="{AA1590E6-2D1D-401A-94D9-BB97789C39FA}" name="Name of the Instrument" dataDxfId="5">
      <calculatedColumnFormula>IFERROR(VLOOKUP(Table13456[[#This Row],[ISIN No.]],'[1]13 Portfolio Data'!G:H,2,0),0)</calculatedColumnFormula>
    </tableColumn>
    <tableColumn id="3" xr3:uid="{F103D29E-31A8-43C5-9FCB-E41C8984E1A1}" name="Industry " dataDxfId="4">
      <calculatedColumnFormula>IFERROR(VLOOKUP(Table13456[[#This Row],[ISIN No.]],'[1]13 Portfolio Data'!G:K,5,0),0)</calculatedColumnFormula>
    </tableColumn>
    <tableColumn id="4" xr3:uid="{6BE023E4-9003-4504-BE2D-04BD6CE73FFC}" name="Quantity" dataDxfId="3" dataCellStyle="Comma">
      <calculatedColumnFormula>SUMIFS('[1]13 Portfolio Data'!M:M,'[1]13 Portfolio Data'!D:D,$D$3,'[1]13 Portfolio Data'!G:G,Table13456[[#This Row],[ISIN No.]])</calculatedColumnFormula>
    </tableColumn>
    <tableColumn id="5" xr3:uid="{B3CD8B15-7BD9-4CB5-B291-C3589867C7A8}" name="Market Value" dataDxfId="2" dataCellStyle="Comma">
      <calculatedColumnFormula>SUMIFS('[1]13 Portfolio Data'!O:O,'[1]13 Portfolio Data'!D:D,$D$3,'[1]13 Portfolio Data'!G:G,Table13456[[#This Row],[ISIN No.]])</calculatedColumnFormula>
    </tableColumn>
    <tableColumn id="6" xr3:uid="{17D0F48A-12E6-4210-9E8A-539EF3A5C809}" name="% of Portfolio" dataDxfId="1" dataCellStyle="Percent">
      <calculatedColumnFormula>+F7/$F$89</calculatedColumnFormula>
    </tableColumn>
    <tableColumn id="7" xr3:uid="{4D11F191-79AF-4FCB-BD5C-95799C270744}" name="Ratings" dataDxfId="0">
      <calculatedColumnFormula>IFERROR(VLOOKUP(Table13456[[#This Row],[ISIN No.]],'[1]13 Portfolio Data'!G:AO,35,0),0)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BCBE-BB8F-4DEB-931E-1699EF63C0FC}">
  <sheetPr>
    <pageSetUpPr fitToPage="1"/>
  </sheetPr>
  <dimension ref="A2:O114"/>
  <sheetViews>
    <sheetView showGridLines="0" tabSelected="1" view="pageBreakPreview" topLeftCell="A78" zoomScale="86" zoomScaleNormal="100" zoomScaleSheetLayoutView="86" workbookViewId="0">
      <selection activeCell="C98" sqref="C98"/>
    </sheetView>
  </sheetViews>
  <sheetFormatPr defaultRowHeight="15" outlineLevelRow="2" x14ac:dyDescent="0.25"/>
  <cols>
    <col min="2" max="2" width="18.7109375" customWidth="1"/>
    <col min="3" max="3" width="57.85546875" bestFit="1" customWidth="1"/>
    <col min="4" max="4" width="25.7109375" customWidth="1"/>
    <col min="5" max="5" width="12.28515625" style="2" customWidth="1"/>
    <col min="6" max="6" width="20.140625" customWidth="1"/>
    <col min="7" max="7" width="15.285156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5.140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1" t="s">
        <v>3</v>
      </c>
    </row>
    <row r="4" spans="1:8" x14ac:dyDescent="0.25">
      <c r="B4" s="1"/>
      <c r="C4" s="1" t="s">
        <v>4</v>
      </c>
      <c r="D4" s="3">
        <f>+'[1]C-TIER I'!D4</f>
        <v>44530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IFERROR(VLOOKUP(Table13456[[#This Row],[ISIN No.]],'[1]13 Portfolio Data'!G:H,2,0),0)</f>
        <v>8.65% Nabard (GOI Service) 8 Jun 2028</v>
      </c>
      <c r="D7" s="9" t="s">
        <v>13</v>
      </c>
      <c r="E7" s="10">
        <f>SUMIFS('[1]13 Portfolio Data'!M:M,'[1]13 Portfolio Data'!D:D,$D$3,'[1]13 Portfolio Data'!G:G,Table13456[[#This Row],[ISIN No.]])</f>
        <v>3</v>
      </c>
      <c r="F7" s="10">
        <f>SUMIFS('[1]13 Portfolio Data'!O:O,'[1]13 Portfolio Data'!D:D,$D$3,'[1]13 Portfolio Data'!G:G,Table13456[[#This Row],[ISIN No.]])</f>
        <v>3319467</v>
      </c>
      <c r="G7" s="11">
        <f t="shared" ref="G7:G59" si="0">+F7/$F$89</f>
        <v>2.3338812847968336E-3</v>
      </c>
      <c r="H7" s="12" t="str">
        <f>IFERROR(VLOOKUP(Table13456[[#This Row],[ISIN No.]],'[1]13 Portfolio Data'!G:AO,35,0),0)</f>
        <v>CRISIL AAA</v>
      </c>
    </row>
    <row r="8" spans="1:8" x14ac:dyDescent="0.25">
      <c r="A8" s="8"/>
      <c r="B8" s="9" t="s">
        <v>14</v>
      </c>
      <c r="C8" s="9" t="str">
        <f>IFERROR(VLOOKUP(Table13456[[#This Row],[ISIN No.]],'[1]13 Portfolio Data'!G:H,2,0),0)</f>
        <v>7.17% GOI 08-Jan-2028</v>
      </c>
      <c r="D8" s="9" t="str">
        <f>IFERROR(VLOOKUP(Table13456[[#This Row],[ISIN No.]],'[1]13 Portfolio Data'!G:K,5,0),0)</f>
        <v>GOI</v>
      </c>
      <c r="E8" s="10">
        <f>SUMIFS('[1]13 Portfolio Data'!M:M,'[1]13 Portfolio Data'!D:D,$D$3,'[1]13 Portfolio Data'!G:G,Table13456[[#This Row],[ISIN No.]])</f>
        <v>55000</v>
      </c>
      <c r="F8" s="10">
        <f>SUMIFS('[1]13 Portfolio Data'!O:O,'[1]13 Portfolio Data'!D:D,$D$3,'[1]13 Portfolio Data'!G:G,Table13456[[#This Row],[ISIN No.]])</f>
        <v>5802142.5</v>
      </c>
      <c r="G8" s="11">
        <f t="shared" si="0"/>
        <v>4.0794235316917787E-3</v>
      </c>
      <c r="H8" s="12">
        <f>IFERROR(VLOOKUP(Table13456[[#This Row],[ISIN No.]],'[1]13 Portfolio Data'!G:AO,35,0),0)</f>
        <v>0</v>
      </c>
    </row>
    <row r="9" spans="1:8" x14ac:dyDescent="0.25">
      <c r="A9" s="8"/>
      <c r="B9" s="9" t="s">
        <v>15</v>
      </c>
      <c r="C9" s="9" t="str">
        <f>IFERROR(VLOOKUP(Table13456[[#This Row],[ISIN No.]],'[1]13 Portfolio Data'!G:H,2,0),0)</f>
        <v>05.77% GOI 03-Aug-2030</v>
      </c>
      <c r="D9" s="9" t="str">
        <f>IFERROR(VLOOKUP(Table13456[[#This Row],[ISIN No.]],'[1]13 Portfolio Data'!G:K,5,0),0)</f>
        <v>GOI</v>
      </c>
      <c r="E9" s="10">
        <f>SUMIFS('[1]13 Portfolio Data'!M:M,'[1]13 Portfolio Data'!D:D,$D$3,'[1]13 Portfolio Data'!G:G,Table13456[[#This Row],[ISIN No.]])</f>
        <v>120000</v>
      </c>
      <c r="F9" s="10">
        <f>SUMIFS('[1]13 Portfolio Data'!O:O,'[1]13 Portfolio Data'!D:D,$D$3,'[1]13 Portfolio Data'!G:G,Table13456[[#This Row],[ISIN No.]])</f>
        <v>11589024</v>
      </c>
      <c r="G9" s="11">
        <f t="shared" si="0"/>
        <v>8.148117219620301E-3</v>
      </c>
      <c r="H9" s="12">
        <f>IFERROR(VLOOKUP(Table13456[[#This Row],[ISIN No.]],'[1]13 Portfolio Data'!G:AO,35,0),0)</f>
        <v>0</v>
      </c>
    </row>
    <row r="10" spans="1:8" x14ac:dyDescent="0.25">
      <c r="A10" s="8"/>
      <c r="B10" s="9" t="s">
        <v>16</v>
      </c>
      <c r="C10" s="9" t="str">
        <f>IFERROR(VLOOKUP(Table13456[[#This Row],[ISIN No.]],'[1]13 Portfolio Data'!G:H,2,0),0)</f>
        <v>6.22% GOI 2035 (16-Mar-2035)</v>
      </c>
      <c r="D10" s="9" t="str">
        <f>IFERROR(VLOOKUP(Table13456[[#This Row],[ISIN No.]],'[1]13 Portfolio Data'!G:K,5,0),0)</f>
        <v>GOI</v>
      </c>
      <c r="E10" s="10">
        <f>SUMIFS('[1]13 Portfolio Data'!M:M,'[1]13 Portfolio Data'!D:D,$D$3,'[1]13 Portfolio Data'!G:G,Table13456[[#This Row],[ISIN No.]])</f>
        <v>425400</v>
      </c>
      <c r="F10" s="10">
        <f>SUMIFS('[1]13 Portfolio Data'!O:O,'[1]13 Portfolio Data'!D:D,$D$3,'[1]13 Portfolio Data'!G:G,Table13456[[#This Row],[ISIN No.]])</f>
        <v>40642630.920000002</v>
      </c>
      <c r="G10" s="11">
        <f t="shared" si="0"/>
        <v>2.8575393480065662E-2</v>
      </c>
      <c r="H10" s="12">
        <f>IFERROR(VLOOKUP(Table13456[[#This Row],[ISIN No.]],'[1]13 Portfolio Data'!G:AO,35,0),0)</f>
        <v>0</v>
      </c>
    </row>
    <row r="11" spans="1:8" x14ac:dyDescent="0.25">
      <c r="A11" s="8"/>
      <c r="B11" s="9" t="s">
        <v>17</v>
      </c>
      <c r="C11" s="9" t="str">
        <f>IFERROR(VLOOKUP(Table13456[[#This Row],[ISIN No.]],'[1]13 Portfolio Data'!G:H,2,0),0)</f>
        <v>6.62% GOI 2051 (28-NOV-2051)  2051.</v>
      </c>
      <c r="D11" s="9" t="str">
        <f>IFERROR(VLOOKUP(Table13456[[#This Row],[ISIN No.]],'[1]13 Portfolio Data'!G:K,5,0),0)</f>
        <v>GOI</v>
      </c>
      <c r="E11" s="10">
        <f>SUMIFS('[1]13 Portfolio Data'!M:M,'[1]13 Portfolio Data'!D:D,$D$3,'[1]13 Portfolio Data'!G:G,Table13456[[#This Row],[ISIN No.]])</f>
        <v>300000</v>
      </c>
      <c r="F11" s="10">
        <f>SUMIFS('[1]13 Portfolio Data'!O:O,'[1]13 Portfolio Data'!D:D,$D$3,'[1]13 Portfolio Data'!G:G,Table13456[[#This Row],[ISIN No.]])</f>
        <v>29009940</v>
      </c>
      <c r="G11" s="11">
        <f t="shared" si="0"/>
        <v>2.0396574522078111E-2</v>
      </c>
      <c r="H11" s="12">
        <f>IFERROR(VLOOKUP(Table13456[[#This Row],[ISIN No.]],'[1]13 Portfolio Data'!G:AO,35,0),0)</f>
        <v>0</v>
      </c>
    </row>
    <row r="12" spans="1:8" x14ac:dyDescent="0.25">
      <c r="A12" s="8"/>
      <c r="B12" s="9" t="s">
        <v>18</v>
      </c>
      <c r="C12" s="9" t="str">
        <f>IFERROR(VLOOKUP(Table13456[[#This Row],[ISIN No.]],'[1]13 Portfolio Data'!G:H,2,0),0)</f>
        <v>8.60% GS 2028 (02-JUN-2028)</v>
      </c>
      <c r="D12" s="9" t="s">
        <v>19</v>
      </c>
      <c r="E12" s="10">
        <f>SUMIFS('[1]13 Portfolio Data'!M:M,'[1]13 Portfolio Data'!D:D,$D$3,'[1]13 Portfolio Data'!G:G,Table13456[[#This Row],[ISIN No.]])</f>
        <v>180000</v>
      </c>
      <c r="F12" s="10">
        <f>SUMIFS('[1]13 Portfolio Data'!O:O,'[1]13 Portfolio Data'!D:D,$D$3,'[1]13 Portfolio Data'!G:G,Table13456[[#This Row],[ISIN No.]])</f>
        <v>20309094</v>
      </c>
      <c r="G12" s="11">
        <f t="shared" si="0"/>
        <v>1.4279103963913383E-2</v>
      </c>
      <c r="H12" s="12">
        <f>IFERROR(VLOOKUP(Table13456[[#This Row],[ISIN No.]],'[1]13 Portfolio Data'!G:AO,35,0),0)</f>
        <v>0</v>
      </c>
    </row>
    <row r="13" spans="1:8" x14ac:dyDescent="0.25">
      <c r="A13" s="8"/>
      <c r="B13" s="9" t="s">
        <v>20</v>
      </c>
      <c r="C13" s="9" t="str">
        <f>IFERROR(VLOOKUP(Table13456[[#This Row],[ISIN No.]],'[1]13 Portfolio Data'!G:H,2,0),0)</f>
        <v>6.01% GOVT 25-March-2028</v>
      </c>
      <c r="D13" s="9" t="str">
        <f>IFERROR(VLOOKUP(Table13456[[#This Row],[ISIN No.]],'[1]13 Portfolio Data'!G:K,5,0),0)</f>
        <v>GOI</v>
      </c>
      <c r="E13" s="10">
        <f>SUMIFS('[1]13 Portfolio Data'!M:M,'[1]13 Portfolio Data'!D:D,$D$3,'[1]13 Portfolio Data'!G:G,Table13456[[#This Row],[ISIN No.]])</f>
        <v>15000</v>
      </c>
      <c r="F13" s="10">
        <f>SUMIFS('[1]13 Portfolio Data'!O:O,'[1]13 Portfolio Data'!D:D,$D$3,'[1]13 Portfolio Data'!G:G,Table13456[[#This Row],[ISIN No.]])</f>
        <v>1493875.5</v>
      </c>
      <c r="G13" s="11">
        <f t="shared" si="0"/>
        <v>1.0503276794938802E-3</v>
      </c>
      <c r="H13" s="12">
        <f>IFERROR(VLOOKUP(Table13456[[#This Row],[ISIN No.]],'[1]13 Portfolio Data'!G:AO,35,0),0)</f>
        <v>0</v>
      </c>
    </row>
    <row r="14" spans="1:8" x14ac:dyDescent="0.25">
      <c r="A14" s="8"/>
      <c r="B14" s="9" t="s">
        <v>21</v>
      </c>
      <c r="C14" s="9" t="str">
        <f>IFERROR(VLOOKUP(Table13456[[#This Row],[ISIN No.]],'[1]13 Portfolio Data'!G:H,2,0),0)</f>
        <v>07.16 GOVT 20-May-2023.</v>
      </c>
      <c r="D14" s="9" t="str">
        <f>IFERROR(VLOOKUP(Table13456[[#This Row],[ISIN No.]],'[1]13 Portfolio Data'!G:K,5,0),0)</f>
        <v>GOI</v>
      </c>
      <c r="E14" s="10">
        <f>SUMIFS('[1]13 Portfolio Data'!M:M,'[1]13 Portfolio Data'!D:D,$D$3,'[1]13 Portfolio Data'!G:G,Table13456[[#This Row],[ISIN No.]])</f>
        <v>30000</v>
      </c>
      <c r="F14" s="10">
        <f>SUMIFS('[1]13 Portfolio Data'!O:O,'[1]13 Portfolio Data'!D:D,$D$3,'[1]13 Portfolio Data'!G:G,Table13456[[#This Row],[ISIN No.]])</f>
        <v>3111003</v>
      </c>
      <c r="G14" s="11">
        <f t="shared" si="0"/>
        <v>2.1873125048831044E-3</v>
      </c>
      <c r="H14" s="12">
        <f>IFERROR(VLOOKUP(Table13456[[#This Row],[ISIN No.]],'[1]13 Portfolio Data'!G:AO,35,0),0)</f>
        <v>0</v>
      </c>
    </row>
    <row r="15" spans="1:8" x14ac:dyDescent="0.25">
      <c r="A15" s="8"/>
      <c r="B15" s="9" t="s">
        <v>22</v>
      </c>
      <c r="C15" s="9" t="str">
        <f>IFERROR(VLOOKUP(Table13456[[#This Row],[ISIN No.]],'[1]13 Portfolio Data'!G:H,2,0),0)</f>
        <v>6.64% GOI 16-june-2035</v>
      </c>
      <c r="D15" s="9" t="str">
        <f>IFERROR(VLOOKUP(Table13456[[#This Row],[ISIN No.]],'[1]13 Portfolio Data'!G:K,5,0),0)</f>
        <v>GOI</v>
      </c>
      <c r="E15" s="10">
        <f>SUMIFS('[1]13 Portfolio Data'!M:M,'[1]13 Portfolio Data'!D:D,$D$3,'[1]13 Portfolio Data'!G:G,Table13456[[#This Row],[ISIN No.]])</f>
        <v>500000</v>
      </c>
      <c r="F15" s="10">
        <f>SUMIFS('[1]13 Portfolio Data'!O:O,'[1]13 Portfolio Data'!D:D,$D$3,'[1]13 Portfolio Data'!G:G,Table13456[[#This Row],[ISIN No.]])</f>
        <v>49481100</v>
      </c>
      <c r="G15" s="11">
        <f t="shared" si="0"/>
        <v>3.4789625334778328E-2</v>
      </c>
      <c r="H15" s="12">
        <f>IFERROR(VLOOKUP(Table13456[[#This Row],[ISIN No.]],'[1]13 Portfolio Data'!G:AO,35,0),0)</f>
        <v>0</v>
      </c>
    </row>
    <row r="16" spans="1:8" x14ac:dyDescent="0.25">
      <c r="A16" s="8"/>
      <c r="B16" s="9" t="s">
        <v>23</v>
      </c>
      <c r="C16" s="9" t="str">
        <f>IFERROR(VLOOKUP(Table13456[[#This Row],[ISIN No.]],'[1]13 Portfolio Data'!G:H,2,0),0)</f>
        <v>06.67 GOI 15 DEC- 2035</v>
      </c>
      <c r="D16" s="9" t="str">
        <f>IFERROR(VLOOKUP(Table13456[[#This Row],[ISIN No.]],'[1]13 Portfolio Data'!G:K,5,0),0)</f>
        <v>GOI</v>
      </c>
      <c r="E16" s="10">
        <f>SUMIFS('[1]13 Portfolio Data'!M:M,'[1]13 Portfolio Data'!D:D,$D$3,'[1]13 Portfolio Data'!G:G,Table13456[[#This Row],[ISIN No.]])</f>
        <v>950000</v>
      </c>
      <c r="F16" s="10">
        <f>SUMIFS('[1]13 Portfolio Data'!O:O,'[1]13 Portfolio Data'!D:D,$D$3,'[1]13 Portfolio Data'!G:G,Table13456[[#This Row],[ISIN No.]])</f>
        <v>94428955</v>
      </c>
      <c r="G16" s="11">
        <f t="shared" si="0"/>
        <v>6.6391975222956701E-2</v>
      </c>
      <c r="H16" s="12">
        <f>IFERROR(VLOOKUP(Table13456[[#This Row],[ISIN No.]],'[1]13 Portfolio Data'!G:AO,35,0),0)</f>
        <v>0</v>
      </c>
    </row>
    <row r="17" spans="1:8" x14ac:dyDescent="0.25">
      <c r="A17" s="8"/>
      <c r="B17" s="9" t="s">
        <v>24</v>
      </c>
      <c r="C17" s="9" t="str">
        <f>IFERROR(VLOOKUP(Table13456[[#This Row],[ISIN No.]],'[1]13 Portfolio Data'!G:H,2,0),0)</f>
        <v>8.69% Tamil Nadu SDL 24.02.2026</v>
      </c>
      <c r="D17" s="9" t="str">
        <f>IFERROR(VLOOKUP(Table13456[[#This Row],[ISIN No.]],'[1]13 Portfolio Data'!G:K,5,0),0)</f>
        <v>SDL</v>
      </c>
      <c r="E17" s="10">
        <f>SUMIFS('[1]13 Portfolio Data'!M:M,'[1]13 Portfolio Data'!D:D,$D$3,'[1]13 Portfolio Data'!G:G,Table13456[[#This Row],[ISIN No.]])</f>
        <v>10500</v>
      </c>
      <c r="F17" s="10">
        <f>SUMIFS('[1]13 Portfolio Data'!O:O,'[1]13 Portfolio Data'!D:D,$D$3,'[1]13 Portfolio Data'!G:G,Table13456[[#This Row],[ISIN No.]])</f>
        <v>1153998.3</v>
      </c>
      <c r="G17" s="11">
        <f t="shared" si="0"/>
        <v>8.1136370238275065E-4</v>
      </c>
      <c r="H17" s="12">
        <f>IFERROR(VLOOKUP(Table13456[[#This Row],[ISIN No.]],'[1]13 Portfolio Data'!G:AO,35,0),0)</f>
        <v>0</v>
      </c>
    </row>
    <row r="18" spans="1:8" x14ac:dyDescent="0.25">
      <c r="A18" s="8"/>
      <c r="B18" s="9" t="s">
        <v>25</v>
      </c>
      <c r="C18" s="9" t="str">
        <f>IFERROR(VLOOKUP(Table13456[[#This Row],[ISIN No.]],'[1]13 Portfolio Data'!G:H,2,0),0)</f>
        <v>8.00% Karnataka SDL 2028 (17-JAN-2028)</v>
      </c>
      <c r="D18" s="9" t="str">
        <f>IFERROR(VLOOKUP(Table13456[[#This Row],[ISIN No.]],'[1]13 Portfolio Data'!G:K,5,0),0)</f>
        <v>SDL</v>
      </c>
      <c r="E18" s="10">
        <f>SUMIFS('[1]13 Portfolio Data'!M:M,'[1]13 Portfolio Data'!D:D,$D$3,'[1]13 Portfolio Data'!G:G,Table13456[[#This Row],[ISIN No.]])</f>
        <v>37000</v>
      </c>
      <c r="F18" s="10">
        <f>SUMIFS('[1]13 Portfolio Data'!O:O,'[1]13 Portfolio Data'!D:D,$D$3,'[1]13 Portfolio Data'!G:G,Table13456[[#This Row],[ISIN No.]])</f>
        <v>3961027.6</v>
      </c>
      <c r="G18" s="11">
        <f t="shared" si="0"/>
        <v>2.7849555920283946E-3</v>
      </c>
      <c r="H18" s="12">
        <f>IFERROR(VLOOKUP(Table13456[[#This Row],[ISIN No.]],'[1]13 Portfolio Data'!G:AO,35,0),0)</f>
        <v>0</v>
      </c>
    </row>
    <row r="19" spans="1:8" x14ac:dyDescent="0.25">
      <c r="A19" s="8"/>
      <c r="B19" s="9" t="s">
        <v>26</v>
      </c>
      <c r="C19" s="9" t="str">
        <f>IFERROR(VLOOKUP(Table13456[[#This Row],[ISIN No.]],'[1]13 Portfolio Data'!G:H,2,0),0)</f>
        <v>8.13 % KERALA SDL 21.03.2028</v>
      </c>
      <c r="D19" s="9" t="str">
        <f>IFERROR(VLOOKUP(Table13456[[#This Row],[ISIN No.]],'[1]13 Portfolio Data'!G:K,5,0),0)</f>
        <v>SDL</v>
      </c>
      <c r="E19" s="10">
        <f>SUMIFS('[1]13 Portfolio Data'!M:M,'[1]13 Portfolio Data'!D:D,$D$3,'[1]13 Portfolio Data'!G:G,Table13456[[#This Row],[ISIN No.]])</f>
        <v>156600</v>
      </c>
      <c r="F19" s="10">
        <f>SUMIFS('[1]13 Portfolio Data'!O:O,'[1]13 Portfolio Data'!D:D,$D$3,'[1]13 Portfolio Data'!G:G,Table13456[[#This Row],[ISIN No.]])</f>
        <v>16860558.239999998</v>
      </c>
      <c r="G19" s="11">
        <f t="shared" si="0"/>
        <v>1.1854475832283629E-2</v>
      </c>
      <c r="H19" s="12">
        <f>IFERROR(VLOOKUP(Table13456[[#This Row],[ISIN No.]],'[1]13 Portfolio Data'!G:AO,35,0),0)</f>
        <v>0</v>
      </c>
    </row>
    <row r="20" spans="1:8" x14ac:dyDescent="0.25">
      <c r="A20" s="8"/>
      <c r="B20" s="9" t="s">
        <v>27</v>
      </c>
      <c r="C20" s="9" t="str">
        <f>IFERROR(VLOOKUP(Table13456[[#This Row],[ISIN No.]],'[1]13 Portfolio Data'!G:H,2,0),0)</f>
        <v>8.33 % KERALA SDL 30.05.2028</v>
      </c>
      <c r="D20" s="9" t="str">
        <f>IFERROR(VLOOKUP(Table13456[[#This Row],[ISIN No.]],'[1]13 Portfolio Data'!G:K,5,0),0)</f>
        <v>SDL</v>
      </c>
      <c r="E20" s="10">
        <f>SUMIFS('[1]13 Portfolio Data'!M:M,'[1]13 Portfolio Data'!D:D,$D$3,'[1]13 Portfolio Data'!G:G,Table13456[[#This Row],[ISIN No.]])</f>
        <v>55000</v>
      </c>
      <c r="F20" s="10">
        <f>SUMIFS('[1]13 Portfolio Data'!O:O,'[1]13 Portfolio Data'!D:D,$D$3,'[1]13 Portfolio Data'!G:G,Table13456[[#This Row],[ISIN No.]])</f>
        <v>5975062.5</v>
      </c>
      <c r="G20" s="11">
        <f t="shared" si="0"/>
        <v>4.2010017102870377E-3</v>
      </c>
      <c r="H20" s="12">
        <f>IFERROR(VLOOKUP(Table13456[[#This Row],[ISIN No.]],'[1]13 Portfolio Data'!G:AO,35,0),0)</f>
        <v>0</v>
      </c>
    </row>
    <row r="21" spans="1:8" x14ac:dyDescent="0.25">
      <c r="A21" s="8"/>
      <c r="B21" s="9" t="s">
        <v>28</v>
      </c>
      <c r="C21" s="9" t="str">
        <f>IFERROR(VLOOKUP(Table13456[[#This Row],[ISIN No.]],'[1]13 Portfolio Data'!G:H,2,0),0)</f>
        <v>7.33% MAHARASHTRA SDL 2027</v>
      </c>
      <c r="D21" s="9" t="str">
        <f>IFERROR(VLOOKUP(Table13456[[#This Row],[ISIN No.]],'[1]13 Portfolio Data'!G:K,5,0),0)</f>
        <v>SDL</v>
      </c>
      <c r="E21" s="10">
        <f>SUMIFS('[1]13 Portfolio Data'!M:M,'[1]13 Portfolio Data'!D:D,$D$3,'[1]13 Portfolio Data'!G:G,Table13456[[#This Row],[ISIN No.]])</f>
        <v>68000</v>
      </c>
      <c r="F21" s="10">
        <f>SUMIFS('[1]13 Portfolio Data'!O:O,'[1]13 Portfolio Data'!D:D,$D$3,'[1]13 Portfolio Data'!G:G,Table13456[[#This Row],[ISIN No.]])</f>
        <v>7127406.4000000004</v>
      </c>
      <c r="G21" s="11">
        <f t="shared" si="0"/>
        <v>5.0112022219534567E-3</v>
      </c>
      <c r="H21" s="12">
        <f>IFERROR(VLOOKUP(Table13456[[#This Row],[ISIN No.]],'[1]13 Portfolio Data'!G:AO,35,0),0)</f>
        <v>0</v>
      </c>
    </row>
    <row r="22" spans="1:8" x14ac:dyDescent="0.25">
      <c r="A22" s="8"/>
      <c r="B22" s="9" t="s">
        <v>29</v>
      </c>
      <c r="C22" s="9" t="str">
        <f>IFERROR(VLOOKUP(Table13456[[#This Row],[ISIN No.]],'[1]13 Portfolio Data'!G:H,2,0),0)</f>
        <v>SDL TAMIL NADU 8.05% 2028</v>
      </c>
      <c r="D22" s="9" t="str">
        <f>IFERROR(VLOOKUP(Table13456[[#This Row],[ISIN No.]],'[1]13 Portfolio Data'!G:K,5,0),0)</f>
        <v>SDL</v>
      </c>
      <c r="E22" s="10">
        <f>SUMIFS('[1]13 Portfolio Data'!M:M,'[1]13 Portfolio Data'!D:D,$D$3,'[1]13 Portfolio Data'!G:G,Table13456[[#This Row],[ISIN No.]])</f>
        <v>151000</v>
      </c>
      <c r="F22" s="10">
        <f>SUMIFS('[1]13 Portfolio Data'!O:O,'[1]13 Portfolio Data'!D:D,$D$3,'[1]13 Portfolio Data'!G:G,Table13456[[#This Row],[ISIN No.]])</f>
        <v>16199189.4</v>
      </c>
      <c r="G22" s="11">
        <f t="shared" si="0"/>
        <v>1.1389474566109333E-2</v>
      </c>
      <c r="H22" s="12">
        <f>IFERROR(VLOOKUP(Table13456[[#This Row],[ISIN No.]],'[1]13 Portfolio Data'!G:AO,35,0),0)</f>
        <v>0</v>
      </c>
    </row>
    <row r="23" spans="1:8" x14ac:dyDescent="0.25">
      <c r="A23" s="8"/>
      <c r="B23" s="9" t="s">
        <v>30</v>
      </c>
      <c r="C23" s="9" t="str">
        <f>IFERROR(VLOOKUP(Table13456[[#This Row],[ISIN No.]],'[1]13 Portfolio Data'!G:H,2,0),0)</f>
        <v>8.22 % KARNATAK 30.01.2031</v>
      </c>
      <c r="D23" s="9" t="str">
        <f>IFERROR(VLOOKUP(Table13456[[#This Row],[ISIN No.]],'[1]13 Portfolio Data'!G:K,5,0),0)</f>
        <v>SDL</v>
      </c>
      <c r="E23" s="10">
        <f>SUMIFS('[1]13 Portfolio Data'!M:M,'[1]13 Portfolio Data'!D:D,$D$3,'[1]13 Portfolio Data'!G:G,Table13456[[#This Row],[ISIN No.]])</f>
        <v>90000</v>
      </c>
      <c r="F23" s="10">
        <f>SUMIFS('[1]13 Portfolio Data'!O:O,'[1]13 Portfolio Data'!D:D,$D$3,'[1]13 Portfolio Data'!G:G,Table13456[[#This Row],[ISIN No.]])</f>
        <v>9808443</v>
      </c>
      <c r="G23" s="11">
        <f t="shared" si="0"/>
        <v>6.8962100092263339E-3</v>
      </c>
      <c r="H23" s="12">
        <f>IFERROR(VLOOKUP(Table13456[[#This Row],[ISIN No.]],'[1]13 Portfolio Data'!G:AO,35,0),0)</f>
        <v>0</v>
      </c>
    </row>
    <row r="24" spans="1:8" x14ac:dyDescent="0.25">
      <c r="A24" s="8"/>
      <c r="B24" s="9" t="s">
        <v>31</v>
      </c>
      <c r="C24" s="9" t="str">
        <f>IFERROR(VLOOKUP(Table13456[[#This Row],[ISIN No.]],'[1]13 Portfolio Data'!G:H,2,0),0)</f>
        <v>8.39% ANDHRA PRADESH SDL 06.02.2031</v>
      </c>
      <c r="D24" s="9" t="str">
        <f>IFERROR(VLOOKUP(Table13456[[#This Row],[ISIN No.]],'[1]13 Portfolio Data'!G:K,5,0),0)</f>
        <v>SDL</v>
      </c>
      <c r="E24" s="10">
        <f>SUMIFS('[1]13 Portfolio Data'!M:M,'[1]13 Portfolio Data'!D:D,$D$3,'[1]13 Portfolio Data'!G:G,Table13456[[#This Row],[ISIN No.]])</f>
        <v>55000</v>
      </c>
      <c r="F24" s="10">
        <f>SUMIFS('[1]13 Portfolio Data'!O:O,'[1]13 Portfolio Data'!D:D,$D$3,'[1]13 Portfolio Data'!G:G,Table13456[[#This Row],[ISIN No.]])</f>
        <v>6049642.5</v>
      </c>
      <c r="G24" s="11">
        <f t="shared" si="0"/>
        <v>4.2534381002918625E-3</v>
      </c>
      <c r="H24" s="12">
        <f>IFERROR(VLOOKUP(Table13456[[#This Row],[ISIN No.]],'[1]13 Portfolio Data'!G:AO,35,0),0)</f>
        <v>0</v>
      </c>
    </row>
    <row r="25" spans="1:8" x14ac:dyDescent="0.25">
      <c r="A25" s="8"/>
      <c r="B25" s="9" t="s">
        <v>32</v>
      </c>
      <c r="C25" s="9" t="str">
        <f>IFERROR(VLOOKUP(Table13456[[#This Row],[ISIN No.]],'[1]13 Portfolio Data'!G:H,2,0),0)</f>
        <v>8.38% Telangana SDL 2049</v>
      </c>
      <c r="D25" s="9" t="str">
        <f>IFERROR(VLOOKUP(Table13456[[#This Row],[ISIN No.]],'[1]13 Portfolio Data'!G:K,5,0),0)</f>
        <v>SDL</v>
      </c>
      <c r="E25" s="10">
        <f>SUMIFS('[1]13 Portfolio Data'!M:M,'[1]13 Portfolio Data'!D:D,$D$3,'[1]13 Portfolio Data'!G:G,Table13456[[#This Row],[ISIN No.]])</f>
        <v>60000</v>
      </c>
      <c r="F25" s="10">
        <f>SUMIFS('[1]13 Portfolio Data'!O:O,'[1]13 Portfolio Data'!D:D,$D$3,'[1]13 Portfolio Data'!G:G,Table13456[[#This Row],[ISIN No.]])</f>
        <v>7009014</v>
      </c>
      <c r="G25" s="11">
        <f t="shared" si="0"/>
        <v>4.9279618081695025E-3</v>
      </c>
      <c r="H25" s="12">
        <f>IFERROR(VLOOKUP(Table13456[[#This Row],[ISIN No.]],'[1]13 Portfolio Data'!G:AO,35,0),0)</f>
        <v>0</v>
      </c>
    </row>
    <row r="26" spans="1:8" x14ac:dyDescent="0.25">
      <c r="A26" s="8"/>
      <c r="B26" s="9" t="s">
        <v>33</v>
      </c>
      <c r="C26" s="9" t="str">
        <f>IFERROR(VLOOKUP(Table13456[[#This Row],[ISIN No.]],'[1]13 Portfolio Data'!G:H,2,0),0)</f>
        <v>7.83% MAHARASHTRA SDL 2030 ( 08-APR-2030 ) 2030</v>
      </c>
      <c r="D26" s="9" t="str">
        <f>IFERROR(VLOOKUP(Table13456[[#This Row],[ISIN No.]],'[1]13 Portfolio Data'!G:K,5,0),0)</f>
        <v>SDL</v>
      </c>
      <c r="E26" s="10">
        <f>SUMIFS('[1]13 Portfolio Data'!M:M,'[1]13 Portfolio Data'!D:D,$D$3,'[1]13 Portfolio Data'!G:G,Table13456[[#This Row],[ISIN No.]])</f>
        <v>100000</v>
      </c>
      <c r="F26" s="10">
        <f>SUMIFS('[1]13 Portfolio Data'!O:O,'[1]13 Portfolio Data'!D:D,$D$3,'[1]13 Portfolio Data'!G:G,Table13456[[#This Row],[ISIN No.]])</f>
        <v>10666550</v>
      </c>
      <c r="G26" s="11">
        <f t="shared" si="0"/>
        <v>7.4995357442473945E-3</v>
      </c>
      <c r="H26" s="12">
        <f>IFERROR(VLOOKUP(Table13456[[#This Row],[ISIN No.]],'[1]13 Portfolio Data'!G:AO,35,0),0)</f>
        <v>0</v>
      </c>
    </row>
    <row r="27" spans="1:8" x14ac:dyDescent="0.25">
      <c r="A27" s="8"/>
      <c r="B27" s="9" t="s">
        <v>34</v>
      </c>
      <c r="C27" s="9" t="str">
        <f>IFERROR(VLOOKUP(Table13456[[#This Row],[ISIN No.]],'[1]13 Portfolio Data'!G:H,2,0),0)</f>
        <v>9.50% GUJARAT SDL 11-SEP-2023.</v>
      </c>
      <c r="D27" s="9" t="str">
        <f>IFERROR(VLOOKUP(Table13456[[#This Row],[ISIN No.]],'[1]13 Portfolio Data'!G:K,5,0),0)</f>
        <v>SDL</v>
      </c>
      <c r="E27" s="10">
        <f>SUMIFS('[1]13 Portfolio Data'!M:M,'[1]13 Portfolio Data'!D:D,$D$3,'[1]13 Portfolio Data'!G:G,Table13456[[#This Row],[ISIN No.]])</f>
        <v>130000</v>
      </c>
      <c r="F27" s="10">
        <f>SUMIFS('[1]13 Portfolio Data'!O:O,'[1]13 Portfolio Data'!D:D,$D$3,'[1]13 Portfolio Data'!G:G,Table13456[[#This Row],[ISIN No.]])</f>
        <v>14020656</v>
      </c>
      <c r="G27" s="11">
        <f t="shared" si="0"/>
        <v>9.8577713346674131E-3</v>
      </c>
      <c r="H27" s="12">
        <f>IFERROR(VLOOKUP(Table13456[[#This Row],[ISIN No.]],'[1]13 Portfolio Data'!G:AO,35,0),0)</f>
        <v>0</v>
      </c>
    </row>
    <row r="28" spans="1:8" x14ac:dyDescent="0.25">
      <c r="A28" s="8"/>
      <c r="B28" s="9" t="s">
        <v>35</v>
      </c>
      <c r="C28" s="9" t="str">
        <f>IFERROR(VLOOKUP(Table13456[[#This Row],[ISIN No.]],'[1]13 Portfolio Data'!G:H,2,0),0)</f>
        <v>6.63% MAHARASHTRA SDL 14-OCT-2030</v>
      </c>
      <c r="D28" s="9" t="str">
        <f>IFERROR(VLOOKUP(Table13456[[#This Row],[ISIN No.]],'[1]13 Portfolio Data'!G:K,5,0),0)</f>
        <v>SDL</v>
      </c>
      <c r="E28" s="10">
        <f>SUMIFS('[1]13 Portfolio Data'!M:M,'[1]13 Portfolio Data'!D:D,$D$3,'[1]13 Portfolio Data'!G:G,Table13456[[#This Row],[ISIN No.]])</f>
        <v>199700</v>
      </c>
      <c r="F28" s="10">
        <f>SUMIFS('[1]13 Portfolio Data'!O:O,'[1]13 Portfolio Data'!D:D,$D$3,'[1]13 Portfolio Data'!G:G,Table13456[[#This Row],[ISIN No.]])</f>
        <v>19783719.84</v>
      </c>
      <c r="G28" s="11">
        <f t="shared" si="0"/>
        <v>1.3909719083889013E-2</v>
      </c>
      <c r="H28" s="12">
        <f>IFERROR(VLOOKUP(Table13456[[#This Row],[ISIN No.]],'[1]13 Portfolio Data'!G:AO,35,0),0)</f>
        <v>0</v>
      </c>
    </row>
    <row r="29" spans="1:8" x14ac:dyDescent="0.25">
      <c r="A29" s="8"/>
      <c r="B29" s="9" t="s">
        <v>36</v>
      </c>
      <c r="C29" s="9" t="str">
        <f>IFERROR(VLOOKUP(Table13456[[#This Row],[ISIN No.]],'[1]13 Portfolio Data'!G:H,2,0),0)</f>
        <v>8.67% Maharashtra SDL 24 Feb 2026</v>
      </c>
      <c r="D29" s="9" t="str">
        <f>IFERROR(VLOOKUP(Table13456[[#This Row],[ISIN No.]],'[1]13 Portfolio Data'!G:K,5,0),0)</f>
        <v>SDL</v>
      </c>
      <c r="E29" s="10">
        <f>SUMIFS('[1]13 Portfolio Data'!M:M,'[1]13 Portfolio Data'!D:D,$D$3,'[1]13 Portfolio Data'!G:G,Table13456[[#This Row],[ISIN No.]])</f>
        <v>30000</v>
      </c>
      <c r="F29" s="10">
        <f>SUMIFS('[1]13 Portfolio Data'!O:O,'[1]13 Portfolio Data'!D:D,$D$3,'[1]13 Portfolio Data'!G:G,Table13456[[#This Row],[ISIN No.]])</f>
        <v>3294927</v>
      </c>
      <c r="G29" s="11">
        <f t="shared" si="0"/>
        <v>2.3166274766616979E-3</v>
      </c>
      <c r="H29" s="12">
        <f>IFERROR(VLOOKUP(Table13456[[#This Row],[ISIN No.]],'[1]13 Portfolio Data'!G:AO,35,0),0)</f>
        <v>0</v>
      </c>
    </row>
    <row r="30" spans="1:8" x14ac:dyDescent="0.25">
      <c r="A30" s="8"/>
      <c r="B30" s="9" t="s">
        <v>37</v>
      </c>
      <c r="C30" s="9" t="str">
        <f>IFERROR(VLOOKUP(Table13456[[#This Row],[ISIN No.]],'[1]13 Portfolio Data'!G:H,2,0),0)</f>
        <v>7.23% Karnataka SDL06-Nov-2028</v>
      </c>
      <c r="D30" s="9" t="str">
        <f>IFERROR(VLOOKUP(Table13456[[#This Row],[ISIN No.]],'[1]13 Portfolio Data'!G:K,5,0),0)</f>
        <v>SDL</v>
      </c>
      <c r="E30" s="10">
        <f>SUMIFS('[1]13 Portfolio Data'!M:M,'[1]13 Portfolio Data'!D:D,$D$3,'[1]13 Portfolio Data'!G:G,Table13456[[#This Row],[ISIN No.]])</f>
        <v>120000</v>
      </c>
      <c r="F30" s="10">
        <f>SUMIFS('[1]13 Portfolio Data'!O:O,'[1]13 Portfolio Data'!D:D,$D$3,'[1]13 Portfolio Data'!G:G,Table13456[[#This Row],[ISIN No.]])</f>
        <v>12414264</v>
      </c>
      <c r="G30" s="11">
        <f t="shared" si="0"/>
        <v>8.7283345230204368E-3</v>
      </c>
      <c r="H30" s="12">
        <f>IFERROR(VLOOKUP(Table13456[[#This Row],[ISIN No.]],'[1]13 Portfolio Data'!G:AO,35,0),0)</f>
        <v>0</v>
      </c>
    </row>
    <row r="31" spans="1:8" x14ac:dyDescent="0.25">
      <c r="A31" s="8"/>
      <c r="B31" s="9" t="s">
        <v>38</v>
      </c>
      <c r="C31" s="9" t="str">
        <f>IFERROR(VLOOKUP(Table13456[[#This Row],[ISIN No.]],'[1]13 Portfolio Data'!G:H,2,0),0)</f>
        <v>07.75% GUJRAT SDL 10-JAN-2028</v>
      </c>
      <c r="D31" s="9" t="s">
        <v>19</v>
      </c>
      <c r="E31" s="10">
        <f>SUMIFS('[1]13 Portfolio Data'!M:M,'[1]13 Portfolio Data'!D:D,$D$3,'[1]13 Portfolio Data'!G:G,Table13456[[#This Row],[ISIN No.]])</f>
        <v>17500</v>
      </c>
      <c r="F31" s="10">
        <f>SUMIFS('[1]13 Portfolio Data'!O:O,'[1]13 Portfolio Data'!D:D,$D$3,'[1]13 Portfolio Data'!G:G,Table13456[[#This Row],[ISIN No.]])</f>
        <v>1851451</v>
      </c>
      <c r="G31" s="11">
        <f t="shared" si="0"/>
        <v>1.3017351395927066E-3</v>
      </c>
      <c r="H31" s="12">
        <f>IFERROR(VLOOKUP(Table13456[[#This Row],[ISIN No.]],'[1]13 Portfolio Data'!G:AO,35,0),0)</f>
        <v>0</v>
      </c>
    </row>
    <row r="32" spans="1:8" x14ac:dyDescent="0.25">
      <c r="A32" s="8"/>
      <c r="B32" s="9" t="s">
        <v>39</v>
      </c>
      <c r="C32" s="9" t="str">
        <f>IFERROR(VLOOKUP(Table13456[[#This Row],[ISIN No.]],'[1]13 Portfolio Data'!G:H,2,0),0)</f>
        <v>8.26% Gujarat 14march 2028</v>
      </c>
      <c r="D32" s="9" t="str">
        <f>IFERROR(VLOOKUP(Table13456[[#This Row],[ISIN No.]],'[1]13 Portfolio Data'!G:K,5,0),0)</f>
        <v>SDL</v>
      </c>
      <c r="E32" s="10">
        <f>SUMIFS('[1]13 Portfolio Data'!M:M,'[1]13 Portfolio Data'!D:D,$D$3,'[1]13 Portfolio Data'!G:G,Table13456[[#This Row],[ISIN No.]])</f>
        <v>50000</v>
      </c>
      <c r="F32" s="10">
        <f>SUMIFS('[1]13 Portfolio Data'!O:O,'[1]13 Portfolio Data'!D:D,$D$3,'[1]13 Portfolio Data'!G:G,Table13456[[#This Row],[ISIN No.]])</f>
        <v>5420650</v>
      </c>
      <c r="G32" s="11">
        <f t="shared" si="0"/>
        <v>3.8112002880082724E-3</v>
      </c>
      <c r="H32" s="12">
        <f>IFERROR(VLOOKUP(Table13456[[#This Row],[ISIN No.]],'[1]13 Portfolio Data'!G:AO,35,0),0)</f>
        <v>0</v>
      </c>
    </row>
    <row r="33" spans="1:8" x14ac:dyDescent="0.25">
      <c r="A33" s="8"/>
      <c r="B33" s="9" t="s">
        <v>40</v>
      </c>
      <c r="C33" s="9" t="str">
        <f>IFERROR(VLOOKUP(Table13456[[#This Row],[ISIN No.]],'[1]13 Portfolio Data'!G:H,2,0),0)</f>
        <v>6.57% GOI 2033 (MD 05/12/2033)</v>
      </c>
      <c r="D33" s="9" t="str">
        <f>IFERROR(VLOOKUP(Table13456[[#This Row],[ISIN No.]],'[1]13 Portfolio Data'!G:K,5,0),0)</f>
        <v>GOI</v>
      </c>
      <c r="E33" s="10">
        <f>SUMIFS('[1]13 Portfolio Data'!M:M,'[1]13 Portfolio Data'!D:D,$D$3,'[1]13 Portfolio Data'!G:G,Table13456[[#This Row],[ISIN No.]])</f>
        <v>629900</v>
      </c>
      <c r="F33" s="10">
        <f>SUMIFS('[1]13 Portfolio Data'!O:O,'[1]13 Portfolio Data'!D:D,$D$3,'[1]13 Portfolio Data'!G:G,Table13456[[#This Row],[ISIN No.]])</f>
        <v>62473293.030000001</v>
      </c>
      <c r="G33" s="11">
        <f t="shared" si="0"/>
        <v>4.3924295497543876E-2</v>
      </c>
      <c r="H33" s="12">
        <f>IFERROR(VLOOKUP(Table13456[[#This Row],[ISIN No.]],'[1]13 Portfolio Data'!G:AO,35,0),0)</f>
        <v>0</v>
      </c>
    </row>
    <row r="34" spans="1:8" x14ac:dyDescent="0.25">
      <c r="A34" s="8"/>
      <c r="B34" s="9" t="s">
        <v>41</v>
      </c>
      <c r="C34" s="9" t="str">
        <f>IFERROR(VLOOKUP(Table13456[[#This Row],[ISIN No.]],'[1]13 Portfolio Data'!G:H,2,0),0)</f>
        <v>6.79% GS 26.12.2029</v>
      </c>
      <c r="D34" s="9" t="str">
        <f>IFERROR(VLOOKUP(Table13456[[#This Row],[ISIN No.]],'[1]13 Portfolio Data'!G:K,5,0),0)</f>
        <v>GOI</v>
      </c>
      <c r="E34" s="10">
        <f>SUMIFS('[1]13 Portfolio Data'!M:M,'[1]13 Portfolio Data'!D:D,$D$3,'[1]13 Portfolio Data'!G:G,Table13456[[#This Row],[ISIN No.]])</f>
        <v>1135300</v>
      </c>
      <c r="F34" s="10">
        <f>SUMIFS('[1]13 Portfolio Data'!O:O,'[1]13 Portfolio Data'!D:D,$D$3,'[1]13 Portfolio Data'!G:G,Table13456[[#This Row],[ISIN No.]])</f>
        <v>116935672.94</v>
      </c>
      <c r="G34" s="11">
        <f t="shared" si="0"/>
        <v>8.2216204770160256E-2</v>
      </c>
      <c r="H34" s="12">
        <f>IFERROR(VLOOKUP(Table13456[[#This Row],[ISIN No.]],'[1]13 Portfolio Data'!G:AO,35,0),0)</f>
        <v>0</v>
      </c>
    </row>
    <row r="35" spans="1:8" x14ac:dyDescent="0.25">
      <c r="A35" s="8"/>
      <c r="B35" s="9" t="s">
        <v>42</v>
      </c>
      <c r="C35" s="9" t="str">
        <f>IFERROR(VLOOKUP(Table13456[[#This Row],[ISIN No.]],'[1]13 Portfolio Data'!G:H,2,0),0)</f>
        <v>7.73% GS  MD 19/12/2034</v>
      </c>
      <c r="D35" s="9" t="str">
        <f>IFERROR(VLOOKUP(Table13456[[#This Row],[ISIN No.]],'[1]13 Portfolio Data'!G:K,5,0),0)</f>
        <v>GOI</v>
      </c>
      <c r="E35" s="10">
        <f>SUMIFS('[1]13 Portfolio Data'!M:M,'[1]13 Portfolio Data'!D:D,$D$3,'[1]13 Portfolio Data'!G:G,Table13456[[#This Row],[ISIN No.]])</f>
        <v>100000</v>
      </c>
      <c r="F35" s="10">
        <f>SUMIFS('[1]13 Portfolio Data'!O:O,'[1]13 Portfolio Data'!D:D,$D$3,'[1]13 Portfolio Data'!G:G,Table13456[[#This Row],[ISIN No.]])</f>
        <v>10861380</v>
      </c>
      <c r="G35" s="11">
        <f t="shared" si="0"/>
        <v>7.6365186064710489E-3</v>
      </c>
      <c r="H35" s="12">
        <f>IFERROR(VLOOKUP(Table13456[[#This Row],[ISIN No.]],'[1]13 Portfolio Data'!G:AO,35,0),0)</f>
        <v>0</v>
      </c>
    </row>
    <row r="36" spans="1:8" x14ac:dyDescent="0.25">
      <c r="A36" s="8"/>
      <c r="B36" s="9" t="s">
        <v>43</v>
      </c>
      <c r="C36" s="9" t="str">
        <f>IFERROR(VLOOKUP(Table13456[[#This Row],[ISIN No.]],'[1]13 Portfolio Data'!G:H,2,0),0)</f>
        <v>8.26% Government of India 02.08.2027</v>
      </c>
      <c r="D36" s="9" t="str">
        <f>IFERROR(VLOOKUP(Table13456[[#This Row],[ISIN No.]],'[1]13 Portfolio Data'!G:K,5,0),0)</f>
        <v>GOI</v>
      </c>
      <c r="E36" s="10">
        <f>SUMIFS('[1]13 Portfolio Data'!M:M,'[1]13 Portfolio Data'!D:D,$D$3,'[1]13 Portfolio Data'!G:G,Table13456[[#This Row],[ISIN No.]])</f>
        <v>343800</v>
      </c>
      <c r="F36" s="10">
        <f>SUMIFS('[1]13 Portfolio Data'!O:O,'[1]13 Portfolio Data'!D:D,$D$3,'[1]13 Portfolio Data'!G:G,Table13456[[#This Row],[ISIN No.]])</f>
        <v>38054259.359999999</v>
      </c>
      <c r="G36" s="11">
        <f t="shared" si="0"/>
        <v>2.675553747848939E-2</v>
      </c>
      <c r="H36" s="12">
        <f>IFERROR(VLOOKUP(Table13456[[#This Row],[ISIN No.]],'[1]13 Portfolio Data'!G:AO,35,0),0)</f>
        <v>0</v>
      </c>
    </row>
    <row r="37" spans="1:8" x14ac:dyDescent="0.25">
      <c r="A37" s="8"/>
      <c r="B37" s="9" t="s">
        <v>44</v>
      </c>
      <c r="C37" s="9" t="str">
        <f>IFERROR(VLOOKUP(Table13456[[#This Row],[ISIN No.]],'[1]13 Portfolio Data'!G:H,2,0),0)</f>
        <v>7.61% GSEC 09.05.2030</v>
      </c>
      <c r="D37" s="9" t="str">
        <f>IFERROR(VLOOKUP(Table13456[[#This Row],[ISIN No.]],'[1]13 Portfolio Data'!G:K,5,0),0)</f>
        <v>GOI</v>
      </c>
      <c r="E37" s="10">
        <f>SUMIFS('[1]13 Portfolio Data'!M:M,'[1]13 Portfolio Data'!D:D,$D$3,'[1]13 Portfolio Data'!G:G,Table13456[[#This Row],[ISIN No.]])</f>
        <v>1060000</v>
      </c>
      <c r="F37" s="10">
        <f>SUMIFS('[1]13 Portfolio Data'!O:O,'[1]13 Portfolio Data'!D:D,$D$3,'[1]13 Portfolio Data'!G:G,Table13456[[#This Row],[ISIN No.]])</f>
        <v>114522294</v>
      </c>
      <c r="G37" s="11">
        <f t="shared" si="0"/>
        <v>8.0519384183846604E-2</v>
      </c>
      <c r="H37" s="12">
        <f>IFERROR(VLOOKUP(Table13456[[#This Row],[ISIN No.]],'[1]13 Portfolio Data'!G:AO,35,0),0)</f>
        <v>0</v>
      </c>
    </row>
    <row r="38" spans="1:8" x14ac:dyDescent="0.25">
      <c r="A38" s="8"/>
      <c r="B38" s="9" t="s">
        <v>45</v>
      </c>
      <c r="C38" s="9" t="str">
        <f>IFERROR(VLOOKUP(Table13456[[#This Row],[ISIN No.]],'[1]13 Portfolio Data'!G:H,2,0),0)</f>
        <v>8.28% GOI 21.09.2027</v>
      </c>
      <c r="D38" s="9" t="str">
        <f>IFERROR(VLOOKUP(Table13456[[#This Row],[ISIN No.]],'[1]13 Portfolio Data'!G:K,5,0),0)</f>
        <v>GOI</v>
      </c>
      <c r="E38" s="10">
        <f>SUMIFS('[1]13 Portfolio Data'!M:M,'[1]13 Portfolio Data'!D:D,$D$3,'[1]13 Portfolio Data'!G:G,Table13456[[#This Row],[ISIN No.]])</f>
        <v>318000</v>
      </c>
      <c r="F38" s="10">
        <f>SUMIFS('[1]13 Portfolio Data'!O:O,'[1]13 Portfolio Data'!D:D,$D$3,'[1]13 Portfolio Data'!G:G,Table13456[[#This Row],[ISIN No.]])</f>
        <v>35292625.799999997</v>
      </c>
      <c r="G38" s="11">
        <f t="shared" si="0"/>
        <v>2.4813862841823062E-2</v>
      </c>
      <c r="H38" s="12">
        <f>IFERROR(VLOOKUP(Table13456[[#This Row],[ISIN No.]],'[1]13 Portfolio Data'!G:AO,35,0),0)</f>
        <v>0</v>
      </c>
    </row>
    <row r="39" spans="1:8" x14ac:dyDescent="0.25">
      <c r="A39" s="8"/>
      <c r="B39" s="9" t="s">
        <v>46</v>
      </c>
      <c r="C39" s="9" t="str">
        <f>IFERROR(VLOOKUP(Table13456[[#This Row],[ISIN No.]],'[1]13 Portfolio Data'!G:H,2,0),0)</f>
        <v>6.30% GOI 09.04.2023</v>
      </c>
      <c r="D39" s="9" t="str">
        <f>IFERROR(VLOOKUP(Table13456[[#This Row],[ISIN No.]],'[1]13 Portfolio Data'!G:K,5,0),0)</f>
        <v>GOI</v>
      </c>
      <c r="E39" s="10">
        <f>SUMIFS('[1]13 Portfolio Data'!M:M,'[1]13 Portfolio Data'!D:D,$D$3,'[1]13 Portfolio Data'!G:G,Table13456[[#This Row],[ISIN No.]])</f>
        <v>34400</v>
      </c>
      <c r="F39" s="10">
        <f>SUMIFS('[1]13 Portfolio Data'!O:O,'[1]13 Portfolio Data'!D:D,$D$3,'[1]13 Portfolio Data'!G:G,Table13456[[#This Row],[ISIN No.]])</f>
        <v>3520303.36</v>
      </c>
      <c r="G39" s="11">
        <f t="shared" si="0"/>
        <v>2.47508715366395E-3</v>
      </c>
      <c r="H39" s="12">
        <f>IFERROR(VLOOKUP(Table13456[[#This Row],[ISIN No.]],'[1]13 Portfolio Data'!G:AO,35,0),0)</f>
        <v>0</v>
      </c>
    </row>
    <row r="40" spans="1:8" x14ac:dyDescent="0.25">
      <c r="A40" s="8"/>
      <c r="B40" s="9" t="s">
        <v>47</v>
      </c>
      <c r="C40" s="9" t="str">
        <f>IFERROR(VLOOKUP(Table13456[[#This Row],[ISIN No.]],'[1]13 Portfolio Data'!G:H,2,0),0)</f>
        <v>9.15% GOI 14.11.2024</v>
      </c>
      <c r="D40" s="9" t="str">
        <f>IFERROR(VLOOKUP(Table13456[[#This Row],[ISIN No.]],'[1]13 Portfolio Data'!G:K,5,0),0)</f>
        <v>GOI</v>
      </c>
      <c r="E40" s="10">
        <f>SUMIFS('[1]13 Portfolio Data'!M:M,'[1]13 Portfolio Data'!D:D,$D$3,'[1]13 Portfolio Data'!G:G,Table13456[[#This Row],[ISIN No.]])</f>
        <v>60000</v>
      </c>
      <c r="F40" s="10">
        <f>SUMIFS('[1]13 Portfolio Data'!O:O,'[1]13 Portfolio Data'!D:D,$D$3,'[1]13 Portfolio Data'!G:G,Table13456[[#This Row],[ISIN No.]])</f>
        <v>6636000</v>
      </c>
      <c r="G40" s="11">
        <f t="shared" si="0"/>
        <v>4.6656997059804448E-3</v>
      </c>
      <c r="H40" s="12">
        <f>IFERROR(VLOOKUP(Table13456[[#This Row],[ISIN No.]],'[1]13 Portfolio Data'!G:AO,35,0),0)</f>
        <v>0</v>
      </c>
    </row>
    <row r="41" spans="1:8" x14ac:dyDescent="0.25">
      <c r="A41" s="8"/>
      <c r="B41" s="9" t="s">
        <v>48</v>
      </c>
      <c r="C41" s="9" t="str">
        <f>IFERROR(VLOOKUP(Table13456[[#This Row],[ISIN No.]],'[1]13 Portfolio Data'!G:H,2,0),0)</f>
        <v>8.15% GSEC 24.11.2026</v>
      </c>
      <c r="D41" s="9" t="str">
        <f>IFERROR(VLOOKUP(Table13456[[#This Row],[ISIN No.]],'[1]13 Portfolio Data'!G:K,5,0),0)</f>
        <v>GOI</v>
      </c>
      <c r="E41" s="10">
        <f>SUMIFS('[1]13 Portfolio Data'!M:M,'[1]13 Portfolio Data'!D:D,$D$3,'[1]13 Portfolio Data'!G:G,Table13456[[#This Row],[ISIN No.]])</f>
        <v>15000</v>
      </c>
      <c r="F41" s="10">
        <f>SUMIFS('[1]13 Portfolio Data'!O:O,'[1]13 Portfolio Data'!D:D,$D$3,'[1]13 Portfolio Data'!G:G,Table13456[[#This Row],[ISIN No.]])</f>
        <v>1647690</v>
      </c>
      <c r="G41" s="11">
        <f t="shared" si="0"/>
        <v>1.1584729880269619E-3</v>
      </c>
      <c r="H41" s="12">
        <f>IFERROR(VLOOKUP(Table13456[[#This Row],[ISIN No.]],'[1]13 Portfolio Data'!G:AO,35,0),0)</f>
        <v>0</v>
      </c>
    </row>
    <row r="42" spans="1:8" x14ac:dyDescent="0.25">
      <c r="A42" s="8"/>
      <c r="B42" s="9" t="s">
        <v>49</v>
      </c>
      <c r="C42" s="9" t="str">
        <f>IFERROR(VLOOKUP(Table13456[[#This Row],[ISIN No.]],'[1]13 Portfolio Data'!G:H,2,0),0)</f>
        <v>7.59% GOI 20.03.2029</v>
      </c>
      <c r="D42" s="9" t="str">
        <f>IFERROR(VLOOKUP(Table13456[[#This Row],[ISIN No.]],'[1]13 Portfolio Data'!G:K,5,0),0)</f>
        <v>GOI</v>
      </c>
      <c r="E42" s="10">
        <f>SUMIFS('[1]13 Portfolio Data'!M:M,'[1]13 Portfolio Data'!D:D,$D$3,'[1]13 Portfolio Data'!G:G,Table13456[[#This Row],[ISIN No.]])</f>
        <v>103000</v>
      </c>
      <c r="F42" s="10">
        <f>SUMIFS('[1]13 Portfolio Data'!O:O,'[1]13 Portfolio Data'!D:D,$D$3,'[1]13 Portfolio Data'!G:G,Table13456[[#This Row],[ISIN No.]])</f>
        <v>11086137.199999999</v>
      </c>
      <c r="G42" s="11">
        <f t="shared" si="0"/>
        <v>7.794542958785242E-3</v>
      </c>
      <c r="H42" s="12">
        <f>IFERROR(VLOOKUP(Table13456[[#This Row],[ISIN No.]],'[1]13 Portfolio Data'!G:AO,35,0),0)</f>
        <v>0</v>
      </c>
    </row>
    <row r="43" spans="1:8" x14ac:dyDescent="0.25">
      <c r="A43" s="8"/>
      <c r="B43" s="9" t="s">
        <v>50</v>
      </c>
      <c r="C43" s="9" t="str">
        <f>IFERROR(VLOOKUP(Table13456[[#This Row],[ISIN No.]],'[1]13 Portfolio Data'!G:H,2,0),0)</f>
        <v>8.28% GOI 15.02.2032</v>
      </c>
      <c r="D43" s="9" t="str">
        <f>IFERROR(VLOOKUP(Table13456[[#This Row],[ISIN No.]],'[1]13 Portfolio Data'!G:K,5,0),0)</f>
        <v>GOI</v>
      </c>
      <c r="E43" s="10">
        <f>SUMIFS('[1]13 Portfolio Data'!M:M,'[1]13 Portfolio Data'!D:D,$D$3,'[1]13 Portfolio Data'!G:G,Table13456[[#This Row],[ISIN No.]])</f>
        <v>456600</v>
      </c>
      <c r="F43" s="10">
        <f>SUMIFS('[1]13 Portfolio Data'!O:O,'[1]13 Portfolio Data'!D:D,$D$3,'[1]13 Portfolio Data'!G:G,Table13456[[#This Row],[ISIN No.]])</f>
        <v>51440966.939999998</v>
      </c>
      <c r="G43" s="11">
        <f t="shared" si="0"/>
        <v>3.6167586547213346E-2</v>
      </c>
      <c r="H43" s="12">
        <f>IFERROR(VLOOKUP(Table13456[[#This Row],[ISIN No.]],'[1]13 Portfolio Data'!G:AO,35,0),0)</f>
        <v>0</v>
      </c>
    </row>
    <row r="44" spans="1:8" x14ac:dyDescent="0.25">
      <c r="A44" s="8"/>
      <c r="B44" s="9" t="s">
        <v>51</v>
      </c>
      <c r="C44" s="9" t="str">
        <f>IFERROR(VLOOKUP(Table13456[[#This Row],[ISIN No.]],'[1]13 Portfolio Data'!G:H,2,0),0)</f>
        <v>7.88% GOI 19.03.2030</v>
      </c>
      <c r="D44" s="9" t="str">
        <f>IFERROR(VLOOKUP(Table13456[[#This Row],[ISIN No.]],'[1]13 Portfolio Data'!G:K,5,0),0)</f>
        <v>GOI</v>
      </c>
      <c r="E44" s="10">
        <f>SUMIFS('[1]13 Portfolio Data'!M:M,'[1]13 Portfolio Data'!D:D,$D$3,'[1]13 Portfolio Data'!G:G,Table13456[[#This Row],[ISIN No.]])</f>
        <v>662200</v>
      </c>
      <c r="F44" s="10">
        <f>SUMIFS('[1]13 Portfolio Data'!O:O,'[1]13 Portfolio Data'!D:D,$D$3,'[1]13 Portfolio Data'!G:G,Table13456[[#This Row],[ISIN No.]])</f>
        <v>72576788.900000006</v>
      </c>
      <c r="G44" s="11">
        <f t="shared" si="0"/>
        <v>5.1027953983082401E-2</v>
      </c>
      <c r="H44" s="12">
        <f>IFERROR(VLOOKUP(Table13456[[#This Row],[ISIN No.]],'[1]13 Portfolio Data'!G:AO,35,0),0)</f>
        <v>0</v>
      </c>
    </row>
    <row r="45" spans="1:8" x14ac:dyDescent="0.25">
      <c r="A45" s="8"/>
      <c r="B45" s="9" t="s">
        <v>52</v>
      </c>
      <c r="C45" s="9" t="str">
        <f>IFERROR(VLOOKUP(Table13456[[#This Row],[ISIN No.]],'[1]13 Portfolio Data'!G:H,2,0),0)</f>
        <v>8.33% GS 7.06.2036</v>
      </c>
      <c r="D45" s="9" t="str">
        <f>IFERROR(VLOOKUP(Table13456[[#This Row],[ISIN No.]],'[1]13 Portfolio Data'!G:K,5,0),0)</f>
        <v>GOI</v>
      </c>
      <c r="E45" s="10">
        <f>SUMIFS('[1]13 Portfolio Data'!M:M,'[1]13 Portfolio Data'!D:D,$D$3,'[1]13 Portfolio Data'!G:G,Table13456[[#This Row],[ISIN No.]])</f>
        <v>209400</v>
      </c>
      <c r="F45" s="10">
        <f>SUMIFS('[1]13 Portfolio Data'!O:O,'[1]13 Portfolio Data'!D:D,$D$3,'[1]13 Portfolio Data'!G:G,Table13456[[#This Row],[ISIN No.]])</f>
        <v>23982184.140000001</v>
      </c>
      <c r="G45" s="11">
        <f t="shared" si="0"/>
        <v>1.6861613847312672E-2</v>
      </c>
      <c r="H45" s="12">
        <f>IFERROR(VLOOKUP(Table13456[[#This Row],[ISIN No.]],'[1]13 Portfolio Data'!G:AO,35,0),0)</f>
        <v>0</v>
      </c>
    </row>
    <row r="46" spans="1:8" x14ac:dyDescent="0.25">
      <c r="A46" s="8"/>
      <c r="B46" s="9" t="s">
        <v>53</v>
      </c>
      <c r="C46" s="9" t="str">
        <f>IFERROR(VLOOKUP(Table13456[[#This Row],[ISIN No.]],'[1]13 Portfolio Data'!G:H,2,0),0)</f>
        <v>7.06 % GOI 10.10.2046</v>
      </c>
      <c r="D46" s="9" t="str">
        <f>IFERROR(VLOOKUP(Table13456[[#This Row],[ISIN No.]],'[1]13 Portfolio Data'!G:K,5,0),0)</f>
        <v>GOI</v>
      </c>
      <c r="E46" s="10">
        <f>SUMIFS('[1]13 Portfolio Data'!M:M,'[1]13 Portfolio Data'!D:D,$D$3,'[1]13 Portfolio Data'!G:G,Table13456[[#This Row],[ISIN No.]])</f>
        <v>364700</v>
      </c>
      <c r="F46" s="10">
        <f>SUMIFS('[1]13 Portfolio Data'!O:O,'[1]13 Portfolio Data'!D:D,$D$3,'[1]13 Portfolio Data'!G:G,Table13456[[#This Row],[ISIN No.]])</f>
        <v>37092652.310000002</v>
      </c>
      <c r="G46" s="11">
        <f t="shared" si="0"/>
        <v>2.6079441979626562E-2</v>
      </c>
      <c r="H46" s="12">
        <f>IFERROR(VLOOKUP(Table13456[[#This Row],[ISIN No.]],'[1]13 Portfolio Data'!G:AO,35,0),0)</f>
        <v>0</v>
      </c>
    </row>
    <row r="47" spans="1:8" x14ac:dyDescent="0.25">
      <c r="A47" s="8"/>
      <c r="B47" s="9" t="s">
        <v>54</v>
      </c>
      <c r="C47" s="9" t="str">
        <f>IFERROR(VLOOKUP(Table13456[[#This Row],[ISIN No.]],'[1]13 Portfolio Data'!G:H,2,0),0)</f>
        <v>7.40% GOI 09.09.2035</v>
      </c>
      <c r="D47" s="9" t="str">
        <f>IFERROR(VLOOKUP(Table13456[[#This Row],[ISIN No.]],'[1]13 Portfolio Data'!G:K,5,0),0)</f>
        <v>GOI</v>
      </c>
      <c r="E47" s="10">
        <f>SUMIFS('[1]13 Portfolio Data'!M:M,'[1]13 Portfolio Data'!D:D,$D$3,'[1]13 Portfolio Data'!G:G,Table13456[[#This Row],[ISIN No.]])</f>
        <v>104600</v>
      </c>
      <c r="F47" s="10">
        <f>SUMIFS('[1]13 Portfolio Data'!O:O,'[1]13 Portfolio Data'!D:D,$D$3,'[1]13 Portfolio Data'!G:G,Table13456[[#This Row],[ISIN No.]])</f>
        <v>11029996.779999999</v>
      </c>
      <c r="G47" s="11">
        <f t="shared" si="0"/>
        <v>7.7550712377051304E-3</v>
      </c>
      <c r="H47" s="12">
        <f>IFERROR(VLOOKUP(Table13456[[#This Row],[ISIN No.]],'[1]13 Portfolio Data'!G:AO,35,0),0)</f>
        <v>0</v>
      </c>
    </row>
    <row r="48" spans="1:8" x14ac:dyDescent="0.25">
      <c r="A48" s="8"/>
      <c r="B48" s="9" t="s">
        <v>55</v>
      </c>
      <c r="C48" s="9" t="str">
        <f>IFERROR(VLOOKUP(Table13456[[#This Row],[ISIN No.]],'[1]13 Portfolio Data'!G:H,2,0),0)</f>
        <v>7.68% GS 15.12.2023</v>
      </c>
      <c r="D48" s="9" t="str">
        <f>IFERROR(VLOOKUP(Table13456[[#This Row],[ISIN No.]],'[1]13 Portfolio Data'!G:K,5,0),0)</f>
        <v>GOI</v>
      </c>
      <c r="E48" s="10">
        <f>SUMIFS('[1]13 Portfolio Data'!M:M,'[1]13 Portfolio Data'!D:D,$D$3,'[1]13 Portfolio Data'!G:G,Table13456[[#This Row],[ISIN No.]])</f>
        <v>55000</v>
      </c>
      <c r="F48" s="10">
        <f>SUMIFS('[1]13 Portfolio Data'!O:O,'[1]13 Portfolio Data'!D:D,$D$3,'[1]13 Portfolio Data'!G:G,Table13456[[#This Row],[ISIN No.]])</f>
        <v>5810706</v>
      </c>
      <c r="G48" s="11">
        <f t="shared" si="0"/>
        <v>4.0854444357653411E-3</v>
      </c>
      <c r="H48" s="12">
        <f>IFERROR(VLOOKUP(Table13456[[#This Row],[ISIN No.]],'[1]13 Portfolio Data'!G:AO,35,0),0)</f>
        <v>0</v>
      </c>
    </row>
    <row r="49" spans="1:15" x14ac:dyDescent="0.25">
      <c r="A49" s="8"/>
      <c r="B49" s="9" t="s">
        <v>56</v>
      </c>
      <c r="C49" s="9" t="str">
        <f>IFERROR(VLOOKUP(Table13456[[#This Row],[ISIN No.]],'[1]13 Portfolio Data'!G:H,2,0),0)</f>
        <v>7.50% GOI 10-Aug-2034</v>
      </c>
      <c r="D49" s="9" t="str">
        <f>IFERROR(VLOOKUP(Table13456[[#This Row],[ISIN No.]],'[1]13 Portfolio Data'!G:K,5,0),0)</f>
        <v>GOI</v>
      </c>
      <c r="E49" s="10">
        <f>SUMIFS('[1]13 Portfolio Data'!M:M,'[1]13 Portfolio Data'!D:D,$D$3,'[1]13 Portfolio Data'!G:G,Table13456[[#This Row],[ISIN No.]])</f>
        <v>636000</v>
      </c>
      <c r="F49" s="10">
        <f>SUMIFS('[1]13 Portfolio Data'!O:O,'[1]13 Portfolio Data'!D:D,$D$3,'[1]13 Portfolio Data'!G:G,Table13456[[#This Row],[ISIN No.]])</f>
        <v>68048184</v>
      </c>
      <c r="G49" s="11">
        <f t="shared" si="0"/>
        <v>4.7843940940521877E-2</v>
      </c>
      <c r="H49" s="12">
        <f>IFERROR(VLOOKUP(Table13456[[#This Row],[ISIN No.]],'[1]13 Portfolio Data'!G:AO,35,0),0)</f>
        <v>0</v>
      </c>
    </row>
    <row r="50" spans="1:15" x14ac:dyDescent="0.25">
      <c r="A50" s="8"/>
      <c r="B50" s="9" t="s">
        <v>57</v>
      </c>
      <c r="C50" s="9" t="str">
        <f>IFERROR(VLOOKUP(Table13456[[#This Row],[ISIN No.]],'[1]13 Portfolio Data'!G:H,2,0),0)</f>
        <v>8.32% GS 02.08.2032</v>
      </c>
      <c r="D50" s="9" t="str">
        <f>IFERROR(VLOOKUP(Table13456[[#This Row],[ISIN No.]],'[1]13 Portfolio Data'!G:K,5,0),0)</f>
        <v>GOI</v>
      </c>
      <c r="E50" s="10">
        <f>SUMIFS('[1]13 Portfolio Data'!M:M,'[1]13 Portfolio Data'!D:D,$D$3,'[1]13 Portfolio Data'!G:G,Table13456[[#This Row],[ISIN No.]])</f>
        <v>500000</v>
      </c>
      <c r="F50" s="10">
        <f>SUMIFS('[1]13 Portfolio Data'!O:O,'[1]13 Portfolio Data'!D:D,$D$3,'[1]13 Portfolio Data'!G:G,Table13456[[#This Row],[ISIN No.]])</f>
        <v>56679250</v>
      </c>
      <c r="G50" s="11">
        <f t="shared" si="0"/>
        <v>3.985056661545993E-2</v>
      </c>
      <c r="H50" s="12">
        <f>IFERROR(VLOOKUP(Table13456[[#This Row],[ISIN No.]],'[1]13 Portfolio Data'!G:AO,35,0),0)</f>
        <v>0</v>
      </c>
    </row>
    <row r="51" spans="1:15" x14ac:dyDescent="0.25">
      <c r="A51" s="8"/>
      <c r="B51" s="9" t="s">
        <v>58</v>
      </c>
      <c r="C51" s="9" t="str">
        <f>IFERROR(VLOOKUP(Table13456[[#This Row],[ISIN No.]],'[1]13 Portfolio Data'!G:H,2,0),0)</f>
        <v>8.83% GOI 12.12.2041</v>
      </c>
      <c r="D51" s="9" t="str">
        <f>IFERROR(VLOOKUP(Table13456[[#This Row],[ISIN No.]],'[1]13 Portfolio Data'!G:K,5,0),0)</f>
        <v>GOI</v>
      </c>
      <c r="E51" s="10">
        <f>SUMIFS('[1]13 Portfolio Data'!M:M,'[1]13 Portfolio Data'!D:D,$D$3,'[1]13 Portfolio Data'!G:G,Table13456[[#This Row],[ISIN No.]])</f>
        <v>59000</v>
      </c>
      <c r="F51" s="10">
        <f>SUMIFS('[1]13 Portfolio Data'!O:O,'[1]13 Portfolio Data'!D:D,$D$3,'[1]13 Portfolio Data'!G:G,Table13456[[#This Row],[ISIN No.]])</f>
        <v>7137377.5</v>
      </c>
      <c r="G51" s="11">
        <f t="shared" si="0"/>
        <v>5.0182127943371674E-3</v>
      </c>
      <c r="H51" s="12">
        <f>IFERROR(VLOOKUP(Table13456[[#This Row],[ISIN No.]],'[1]13 Portfolio Data'!G:AO,35,0),0)</f>
        <v>0</v>
      </c>
    </row>
    <row r="52" spans="1:15" x14ac:dyDescent="0.25">
      <c r="A52" s="8"/>
      <c r="B52" s="9" t="s">
        <v>59</v>
      </c>
      <c r="C52" s="9" t="str">
        <f>IFERROR(VLOOKUP(Table13456[[#This Row],[ISIN No.]],'[1]13 Portfolio Data'!G:H,2,0),0)</f>
        <v>7.72% GOI 26.10.2055.</v>
      </c>
      <c r="D52" s="9" t="str">
        <f>IFERROR(VLOOKUP(Table13456[[#This Row],[ISIN No.]],'[1]13 Portfolio Data'!G:K,5,0),0)</f>
        <v>GOI</v>
      </c>
      <c r="E52" s="10">
        <f>SUMIFS('[1]13 Portfolio Data'!M:M,'[1]13 Portfolio Data'!D:D,$D$3,'[1]13 Portfolio Data'!G:G,Table13456[[#This Row],[ISIN No.]])</f>
        <v>63000</v>
      </c>
      <c r="F52" s="10">
        <f>SUMIFS('[1]13 Portfolio Data'!O:O,'[1]13 Portfolio Data'!D:D,$D$3,'[1]13 Portfolio Data'!G:G,Table13456[[#This Row],[ISIN No.]])</f>
        <v>6946222.5</v>
      </c>
      <c r="G52" s="11">
        <f t="shared" si="0"/>
        <v>4.8838137847987866E-3</v>
      </c>
      <c r="H52" s="12">
        <f>IFERROR(VLOOKUP(Table13456[[#This Row],[ISIN No.]],'[1]13 Portfolio Data'!G:AO,35,0),0)</f>
        <v>0</v>
      </c>
    </row>
    <row r="53" spans="1:15" ht="13.5" customHeight="1" x14ac:dyDescent="0.25">
      <c r="A53" s="8"/>
      <c r="B53" s="9" t="s">
        <v>60</v>
      </c>
      <c r="C53" s="9" t="str">
        <f>IFERROR(VLOOKUP(Table13456[[#This Row],[ISIN No.]],'[1]13 Portfolio Data'!G:H,2,0),0)</f>
        <v>8.17% GS 2044 (01-DEC-2044).</v>
      </c>
      <c r="D53" s="9" t="str">
        <f>IFERROR(VLOOKUP(Table13456[[#This Row],[ISIN No.]],'[1]13 Portfolio Data'!G:K,5,0),0)</f>
        <v>GOI</v>
      </c>
      <c r="E53" s="10">
        <f>SUMIFS('[1]13 Portfolio Data'!M:M,'[1]13 Portfolio Data'!D:D,$D$3,'[1]13 Portfolio Data'!G:G,Table13456[[#This Row],[ISIN No.]])</f>
        <v>250500</v>
      </c>
      <c r="F53" s="10">
        <f>SUMIFS('[1]13 Portfolio Data'!O:O,'[1]13 Portfolio Data'!D:D,$D$3,'[1]13 Portfolio Data'!G:G,Table13456[[#This Row],[ISIN No.]])</f>
        <v>28612034.850000001</v>
      </c>
      <c r="G53" s="11">
        <f t="shared" si="0"/>
        <v>2.0116811721993255E-2</v>
      </c>
      <c r="H53" s="12">
        <f>IFERROR(VLOOKUP(Table13456[[#This Row],[ISIN No.]],'[1]13 Portfolio Data'!G:AO,35,0),0)</f>
        <v>0</v>
      </c>
      <c r="L53" s="9" t="s">
        <v>61</v>
      </c>
      <c r="M53" s="13" t="s">
        <v>62</v>
      </c>
      <c r="N53" s="9">
        <f t="shared" ref="N53:N59" si="1">COUNTIF($H$7:$H$74,M53)</f>
        <v>0</v>
      </c>
      <c r="O53" s="14">
        <f t="shared" ref="O53:O59" si="2">SUMIF($H$7:$H$74,$M53,$F$7:$F$74)</f>
        <v>0</v>
      </c>
    </row>
    <row r="54" spans="1:15" x14ac:dyDescent="0.25">
      <c r="A54" s="8"/>
      <c r="B54" s="9" t="s">
        <v>63</v>
      </c>
      <c r="C54" s="9" t="str">
        <f>IFERROR(VLOOKUP(Table13456[[#This Row],[ISIN No.]],'[1]13 Portfolio Data'!G:H,2,0),0)</f>
        <v>7.62% GS 2039 (15-09-2039)</v>
      </c>
      <c r="D54" s="9" t="str">
        <f>IFERROR(VLOOKUP(Table13456[[#This Row],[ISIN No.]],'[1]13 Portfolio Data'!G:K,5,0),0)</f>
        <v>GOI</v>
      </c>
      <c r="E54" s="10">
        <f>SUMIFS('[1]13 Portfolio Data'!M:M,'[1]13 Portfolio Data'!D:D,$D$3,'[1]13 Portfolio Data'!G:G,Table13456[[#This Row],[ISIN No.]])</f>
        <v>28300</v>
      </c>
      <c r="F54" s="10">
        <f>SUMIFS('[1]13 Portfolio Data'!O:O,'[1]13 Portfolio Data'!D:D,$D$3,'[1]13 Portfolio Data'!G:G,Table13456[[#This Row],[ISIN No.]])</f>
        <v>3063098.61</v>
      </c>
      <c r="G54" s="11">
        <f t="shared" si="0"/>
        <v>2.153631447267346E-3</v>
      </c>
      <c r="H54" s="12">
        <f>IFERROR(VLOOKUP(Table13456[[#This Row],[ISIN No.]],'[1]13 Portfolio Data'!G:AO,35,0),0)</f>
        <v>0</v>
      </c>
      <c r="L54" s="9" t="s">
        <v>61</v>
      </c>
      <c r="M54" s="9" t="s">
        <v>64</v>
      </c>
      <c r="N54" s="9">
        <f t="shared" si="1"/>
        <v>0</v>
      </c>
      <c r="O54" s="9">
        <f t="shared" si="2"/>
        <v>0</v>
      </c>
    </row>
    <row r="55" spans="1:15" x14ac:dyDescent="0.25">
      <c r="A55" s="8"/>
      <c r="B55" s="9" t="s">
        <v>65</v>
      </c>
      <c r="C55" s="9" t="str">
        <f>IFERROR(VLOOKUP(Table13456[[#This Row],[ISIN No.]],'[1]13 Portfolio Data'!G:H,2,0),0)</f>
        <v>7.69% GOI 17.06.2043</v>
      </c>
      <c r="D55" s="9" t="str">
        <f>IFERROR(VLOOKUP(Table13456[[#This Row],[ISIN No.]],'[1]13 Portfolio Data'!G:K,5,0),0)</f>
        <v>GOI</v>
      </c>
      <c r="E55" s="10">
        <f>SUMIFS('[1]13 Portfolio Data'!M:M,'[1]13 Portfolio Data'!D:D,$D$3,'[1]13 Portfolio Data'!G:G,Table13456[[#This Row],[ISIN No.]])</f>
        <v>170000</v>
      </c>
      <c r="F55" s="10">
        <f>SUMIFS('[1]13 Portfolio Data'!O:O,'[1]13 Portfolio Data'!D:D,$D$3,'[1]13 Portfolio Data'!G:G,Table13456[[#This Row],[ISIN No.]])</f>
        <v>18476416</v>
      </c>
      <c r="G55" s="11">
        <f t="shared" si="0"/>
        <v>1.299056791723514E-2</v>
      </c>
      <c r="H55" s="12">
        <f>IFERROR(VLOOKUP(Table13456[[#This Row],[ISIN No.]],'[1]13 Portfolio Data'!G:AO,35,0),0)</f>
        <v>0</v>
      </c>
      <c r="L55" s="9" t="s">
        <v>61</v>
      </c>
      <c r="M55" s="9" t="s">
        <v>66</v>
      </c>
      <c r="N55" s="9">
        <f t="shared" si="1"/>
        <v>1</v>
      </c>
      <c r="O55" s="9">
        <f t="shared" si="2"/>
        <v>3319467</v>
      </c>
    </row>
    <row r="56" spans="1:15" x14ac:dyDescent="0.25">
      <c r="A56" s="8"/>
      <c r="B56" s="9" t="s">
        <v>67</v>
      </c>
      <c r="C56" s="9" t="str">
        <f>IFERROR(VLOOKUP(Table13456[[#This Row],[ISIN No.]],'[1]13 Portfolio Data'!G:H,2,0),0)</f>
        <v>7.95% GOI  28-Aug-2032</v>
      </c>
      <c r="D56" s="9" t="str">
        <f>IFERROR(VLOOKUP(Table13456[[#This Row],[ISIN No.]],'[1]13 Portfolio Data'!G:K,5,0),0)</f>
        <v>GOI</v>
      </c>
      <c r="E56" s="10">
        <f>SUMIFS('[1]13 Portfolio Data'!M:M,'[1]13 Portfolio Data'!D:D,$D$3,'[1]13 Portfolio Data'!G:G,Table13456[[#This Row],[ISIN No.]])</f>
        <v>687000</v>
      </c>
      <c r="F56" s="10">
        <f>SUMIFS('[1]13 Portfolio Data'!O:O,'[1]13 Portfolio Data'!D:D,$D$3,'[1]13 Portfolio Data'!G:G,Table13456[[#This Row],[ISIN No.]])</f>
        <v>76110531.599999994</v>
      </c>
      <c r="G56" s="11">
        <f t="shared" si="0"/>
        <v>5.3512490191099354E-2</v>
      </c>
      <c r="H56" s="12">
        <f>IFERROR(VLOOKUP(Table13456[[#This Row],[ISIN No.]],'[1]13 Portfolio Data'!G:AO,35,0),0)</f>
        <v>0</v>
      </c>
      <c r="L56" s="9" t="s">
        <v>68</v>
      </c>
      <c r="M56" s="9" t="s">
        <v>69</v>
      </c>
      <c r="N56" s="9">
        <f t="shared" si="1"/>
        <v>0</v>
      </c>
      <c r="O56" s="9">
        <f t="shared" si="2"/>
        <v>0</v>
      </c>
    </row>
    <row r="57" spans="1:15" x14ac:dyDescent="0.25">
      <c r="A57" s="8"/>
      <c r="B57" s="9" t="s">
        <v>70</v>
      </c>
      <c r="C57" s="9" t="str">
        <f>IFERROR(VLOOKUP(Table13456[[#This Row],[ISIN No.]],'[1]13 Portfolio Data'!G:H,2,0),0)</f>
        <v>8.24% GOI 15-Feb-2027</v>
      </c>
      <c r="D57" s="9" t="str">
        <f>IFERROR(VLOOKUP(Table13456[[#This Row],[ISIN No.]],'[1]13 Portfolio Data'!G:K,5,0),0)</f>
        <v>GOI</v>
      </c>
      <c r="E57" s="10">
        <f>SUMIFS('[1]13 Portfolio Data'!M:M,'[1]13 Portfolio Data'!D:D,$D$3,'[1]13 Portfolio Data'!G:G,Table13456[[#This Row],[ISIN No.]])</f>
        <v>195000</v>
      </c>
      <c r="F57" s="10">
        <f>SUMIFS('[1]13 Portfolio Data'!O:O,'[1]13 Portfolio Data'!D:D,$D$3,'[1]13 Portfolio Data'!G:G,Table13456[[#This Row],[ISIN No.]])</f>
        <v>21498691.5</v>
      </c>
      <c r="G57" s="11">
        <f t="shared" si="0"/>
        <v>1.511549707813657E-2</v>
      </c>
      <c r="H57" s="12">
        <f>IFERROR(VLOOKUP(Table13456[[#This Row],[ISIN No.]],'[1]13 Portfolio Data'!G:AO,35,0),0)</f>
        <v>0</v>
      </c>
      <c r="L57" s="9" t="s">
        <v>71</v>
      </c>
      <c r="M57" s="9" t="s">
        <v>72</v>
      </c>
      <c r="N57" s="9">
        <f t="shared" si="1"/>
        <v>0</v>
      </c>
      <c r="O57" s="9">
        <f t="shared" si="2"/>
        <v>0</v>
      </c>
    </row>
    <row r="58" spans="1:15" x14ac:dyDescent="0.25">
      <c r="A58" s="8"/>
      <c r="B58" s="9" t="s">
        <v>73</v>
      </c>
      <c r="C58" s="9" t="str">
        <f>IFERROR(VLOOKUP(Table13456[[#This Row],[ISIN No.]],'[1]13 Portfolio Data'!G:H,2,0),0)</f>
        <v>8.32% Kerala SDL 25-April-2030</v>
      </c>
      <c r="D58" s="9" t="str">
        <f>IFERROR(VLOOKUP(Table13456[[#This Row],[ISIN No.]],'[1]13 Portfolio Data'!G:K,5,0),0)</f>
        <v>SDL</v>
      </c>
      <c r="E58" s="10">
        <f>SUMIFS('[1]13 Portfolio Data'!M:M,'[1]13 Portfolio Data'!D:D,$D$3,'[1]13 Portfolio Data'!G:G,Table13456[[#This Row],[ISIN No.]])</f>
        <v>130000</v>
      </c>
      <c r="F58" s="10">
        <f>SUMIFS('[1]13 Portfolio Data'!O:O,'[1]13 Portfolio Data'!D:D,$D$3,'[1]13 Portfolio Data'!G:G,Table13456[[#This Row],[ISIN No.]])</f>
        <v>14238692</v>
      </c>
      <c r="G58" s="11">
        <f t="shared" si="0"/>
        <v>1.0011070084078678E-2</v>
      </c>
      <c r="H58" s="12">
        <f>IFERROR(VLOOKUP(Table13456[[#This Row],[ISIN No.]],'[1]13 Portfolio Data'!G:AO,35,0),0)</f>
        <v>0</v>
      </c>
      <c r="L58" s="9" t="s">
        <v>61</v>
      </c>
      <c r="M58" s="9" t="s">
        <v>74</v>
      </c>
      <c r="N58" s="9">
        <f t="shared" si="1"/>
        <v>0</v>
      </c>
      <c r="O58" s="9">
        <f t="shared" si="2"/>
        <v>0</v>
      </c>
    </row>
    <row r="59" spans="1:15" x14ac:dyDescent="0.25">
      <c r="A59" s="8"/>
      <c r="B59" s="9" t="s">
        <v>75</v>
      </c>
      <c r="C59" s="9" t="str">
        <f>IFERROR(VLOOKUP(Table13456[[#This Row],[ISIN No.]],'[1]13 Portfolio Data'!G:H,2,0),0)</f>
        <v>8.50% GUJARAT SDL 28.11.2028</v>
      </c>
      <c r="D59" s="9" t="str">
        <f>IFERROR(VLOOKUP(Table13456[[#This Row],[ISIN No.]],'[1]13 Portfolio Data'!G:K,5,0),0)</f>
        <v>SDL</v>
      </c>
      <c r="E59" s="10">
        <f>SUMIFS('[1]13 Portfolio Data'!M:M,'[1]13 Portfolio Data'!D:D,$D$3,'[1]13 Portfolio Data'!G:G,Table13456[[#This Row],[ISIN No.]])</f>
        <v>80000</v>
      </c>
      <c r="F59" s="10">
        <f>SUMIFS('[1]13 Portfolio Data'!O:O,'[1]13 Portfolio Data'!D:D,$D$3,'[1]13 Portfolio Data'!G:G,Table13456[[#This Row],[ISIN No.]])</f>
        <v>8816832</v>
      </c>
      <c r="G59" s="11">
        <f t="shared" si="0"/>
        <v>6.1990190581794717E-3</v>
      </c>
      <c r="H59" s="12">
        <f>IFERROR(VLOOKUP(Table13456[[#This Row],[ISIN No.]],'[1]13 Portfolio Data'!G:AO,35,0),0)</f>
        <v>0</v>
      </c>
      <c r="L59" s="9" t="s">
        <v>71</v>
      </c>
      <c r="M59" s="9" t="s">
        <v>76</v>
      </c>
      <c r="N59" s="9">
        <f t="shared" si="1"/>
        <v>0</v>
      </c>
      <c r="O59" s="9">
        <f t="shared" si="2"/>
        <v>0</v>
      </c>
    </row>
    <row r="60" spans="1:15" x14ac:dyDescent="0.25">
      <c r="A60" s="8"/>
      <c r="B60" s="9"/>
      <c r="C60" s="9"/>
      <c r="D60" s="9"/>
      <c r="E60" s="10"/>
      <c r="F60" s="10"/>
      <c r="G60" s="11"/>
      <c r="H60" s="12"/>
      <c r="L60" s="9"/>
      <c r="M60" s="9"/>
      <c r="N60" s="9"/>
      <c r="O60" s="9"/>
    </row>
    <row r="61" spans="1:15" x14ac:dyDescent="0.25">
      <c r="A61" s="8"/>
      <c r="B61" s="9"/>
      <c r="C61" s="9"/>
      <c r="D61" s="9"/>
      <c r="E61" s="10"/>
      <c r="F61" s="10"/>
      <c r="G61" s="11"/>
      <c r="H61" s="12"/>
      <c r="L61" s="9"/>
      <c r="M61" s="9"/>
      <c r="N61" s="9"/>
      <c r="O61" s="9"/>
    </row>
    <row r="62" spans="1:15" x14ac:dyDescent="0.25">
      <c r="A62" s="8"/>
      <c r="B62" s="9"/>
      <c r="C62" s="9"/>
      <c r="D62" s="9"/>
      <c r="E62" s="10"/>
      <c r="F62" s="10"/>
      <c r="G62" s="11"/>
      <c r="H62" s="12"/>
      <c r="L62" s="9"/>
      <c r="M62" s="9"/>
      <c r="N62" s="9"/>
      <c r="O62" s="9"/>
    </row>
    <row r="63" spans="1:15" x14ac:dyDescent="0.25">
      <c r="A63" s="8"/>
      <c r="B63" s="9"/>
      <c r="C63" s="9"/>
      <c r="D63" s="9"/>
      <c r="E63" s="10"/>
      <c r="F63" s="10"/>
      <c r="G63" s="11"/>
      <c r="H63" s="12"/>
    </row>
    <row r="64" spans="1:15" hidden="1" outlineLevel="2" x14ac:dyDescent="0.25">
      <c r="A64" s="8"/>
      <c r="B64" s="9">
        <v>0</v>
      </c>
      <c r="C64" s="9"/>
      <c r="D64" s="9"/>
      <c r="E64" s="10"/>
      <c r="F64" s="10"/>
      <c r="G64" s="11"/>
      <c r="H64" s="15"/>
    </row>
    <row r="65" spans="1:8" hidden="1" outlineLevel="2" x14ac:dyDescent="0.25">
      <c r="A65" s="8"/>
      <c r="B65" s="9">
        <v>0</v>
      </c>
      <c r="C65" s="9"/>
      <c r="D65" s="9"/>
      <c r="E65" s="10"/>
      <c r="F65" s="10"/>
      <c r="G65" s="11"/>
      <c r="H65" s="15"/>
    </row>
    <row r="66" spans="1:8" hidden="1" outlineLevel="2" x14ac:dyDescent="0.25">
      <c r="A66" s="8"/>
      <c r="B66" s="9">
        <v>0</v>
      </c>
      <c r="C66" s="9"/>
      <c r="D66" s="9"/>
      <c r="E66" s="10"/>
      <c r="F66" s="10"/>
      <c r="G66" s="11"/>
      <c r="H66" s="15"/>
    </row>
    <row r="67" spans="1:8" hidden="1" outlineLevel="2" x14ac:dyDescent="0.25">
      <c r="A67" s="8"/>
      <c r="B67" s="9">
        <v>0</v>
      </c>
      <c r="C67" s="9"/>
      <c r="D67" s="9"/>
      <c r="E67" s="10"/>
      <c r="F67" s="10"/>
      <c r="G67" s="11"/>
      <c r="H67" s="15"/>
    </row>
    <row r="68" spans="1:8" hidden="1" outlineLevel="2" x14ac:dyDescent="0.25">
      <c r="A68" s="8"/>
      <c r="B68" s="9">
        <v>0</v>
      </c>
      <c r="C68" s="9"/>
      <c r="D68" s="9"/>
      <c r="E68" s="10"/>
      <c r="F68" s="10"/>
      <c r="G68" s="11"/>
      <c r="H68" s="15"/>
    </row>
    <row r="69" spans="1:8" hidden="1" outlineLevel="2" x14ac:dyDescent="0.25">
      <c r="A69" s="8"/>
      <c r="B69" s="9">
        <v>0</v>
      </c>
      <c r="C69" s="9"/>
      <c r="D69" s="9"/>
      <c r="E69" s="10"/>
      <c r="F69" s="10"/>
      <c r="G69" s="11"/>
      <c r="H69" s="15"/>
    </row>
    <row r="70" spans="1:8" hidden="1" outlineLevel="2" x14ac:dyDescent="0.25">
      <c r="A70" s="8"/>
      <c r="B70" s="9">
        <v>0</v>
      </c>
      <c r="C70" s="9"/>
      <c r="D70" s="9"/>
      <c r="E70" s="10"/>
      <c r="F70" s="10"/>
      <c r="G70" s="16"/>
      <c r="H70" s="17"/>
    </row>
    <row r="71" spans="1:8" hidden="1" outlineLevel="2" x14ac:dyDescent="0.25">
      <c r="A71" s="8"/>
      <c r="B71" s="9">
        <v>0</v>
      </c>
      <c r="C71" s="9"/>
      <c r="D71" s="9"/>
      <c r="E71" s="10"/>
      <c r="F71" s="10"/>
      <c r="G71" s="11"/>
      <c r="H71" s="15"/>
    </row>
    <row r="72" spans="1:8" hidden="1" outlineLevel="2" x14ac:dyDescent="0.25">
      <c r="A72" s="8"/>
      <c r="B72" s="9">
        <v>0</v>
      </c>
      <c r="C72" s="9"/>
      <c r="D72" s="9"/>
      <c r="E72" s="10"/>
      <c r="F72" s="10"/>
      <c r="G72" s="11"/>
      <c r="H72" s="15"/>
    </row>
    <row r="73" spans="1:8" hidden="1" outlineLevel="2" x14ac:dyDescent="0.25">
      <c r="A73" s="8"/>
      <c r="B73" s="9">
        <v>0</v>
      </c>
      <c r="C73" s="9"/>
      <c r="D73" s="9"/>
      <c r="E73" s="10"/>
      <c r="F73" s="10"/>
      <c r="G73" s="11"/>
      <c r="H73" s="15"/>
    </row>
    <row r="74" spans="1:8" hidden="1" outlineLevel="2" x14ac:dyDescent="0.25">
      <c r="A74" s="8"/>
      <c r="B74" s="9">
        <v>0</v>
      </c>
      <c r="C74" s="18"/>
      <c r="D74" s="18"/>
      <c r="E74" s="19"/>
      <c r="F74" s="10"/>
      <c r="G74" s="11"/>
      <c r="H74" s="15"/>
    </row>
    <row r="75" spans="1:8" collapsed="1" x14ac:dyDescent="0.25">
      <c r="B75" s="18"/>
      <c r="C75" s="18" t="s">
        <v>77</v>
      </c>
      <c r="D75" s="18"/>
      <c r="E75" s="20"/>
      <c r="F75" s="20">
        <f>SUM(F7:F74)</f>
        <v>1313374073.0199995</v>
      </c>
      <c r="G75" s="21">
        <f>+F75/$F$89</f>
        <v>0.92341908172570086</v>
      </c>
      <c r="H75" s="22"/>
    </row>
    <row r="77" spans="1:8" x14ac:dyDescent="0.25">
      <c r="B77" s="23"/>
      <c r="C77" s="23" t="s">
        <v>78</v>
      </c>
      <c r="D77" s="23"/>
      <c r="E77" s="23"/>
      <c r="F77" s="23" t="s">
        <v>9</v>
      </c>
      <c r="G77" s="23" t="s">
        <v>10</v>
      </c>
      <c r="H77" s="23" t="s">
        <v>11</v>
      </c>
    </row>
    <row r="78" spans="1:8" x14ac:dyDescent="0.25">
      <c r="B78" s="9"/>
      <c r="C78" s="18" t="s">
        <v>79</v>
      </c>
      <c r="D78" s="9"/>
      <c r="E78" s="14"/>
      <c r="F78" s="20" t="s">
        <v>80</v>
      </c>
      <c r="G78" s="14">
        <v>0</v>
      </c>
      <c r="H78" s="9"/>
    </row>
    <row r="79" spans="1:8" x14ac:dyDescent="0.25">
      <c r="B79" s="24" t="s">
        <v>81</v>
      </c>
      <c r="C79" s="18" t="s">
        <v>82</v>
      </c>
      <c r="D79" s="18"/>
      <c r="E79" s="25"/>
      <c r="F79" s="14">
        <f>SUMIFS('[1]13 Portfolio Data'!O:O,'[1]13 Portfolio Data'!D:D,$D$3,'[1]13 Portfolio Data'!L:L,B79)</f>
        <v>64706764.640000001</v>
      </c>
      <c r="G79" s="21">
        <f>+F79/$F$89</f>
        <v>4.5494625189239579E-2</v>
      </c>
      <c r="H79" s="9"/>
    </row>
    <row r="80" spans="1:8" x14ac:dyDescent="0.25">
      <c r="B80" s="24"/>
      <c r="C80" s="18" t="s">
        <v>83</v>
      </c>
      <c r="D80" s="9"/>
      <c r="E80" s="14"/>
      <c r="F80" s="25" t="s">
        <v>80</v>
      </c>
      <c r="G80" s="14">
        <v>0</v>
      </c>
      <c r="H80" s="9"/>
    </row>
    <row r="81" spans="1:8" x14ac:dyDescent="0.25">
      <c r="B81" s="24"/>
      <c r="C81" s="18" t="s">
        <v>84</v>
      </c>
      <c r="D81" s="9"/>
      <c r="E81" s="14"/>
      <c r="F81" s="25" t="s">
        <v>80</v>
      </c>
      <c r="G81" s="14">
        <v>0</v>
      </c>
      <c r="H81" s="9"/>
    </row>
    <row r="82" spans="1:8" x14ac:dyDescent="0.25">
      <c r="B82" s="24"/>
      <c r="C82" s="18" t="s">
        <v>85</v>
      </c>
      <c r="D82" s="9"/>
      <c r="E82" s="14"/>
      <c r="F82" s="25" t="s">
        <v>80</v>
      </c>
      <c r="G82" s="14">
        <v>0</v>
      </c>
      <c r="H82" s="9"/>
    </row>
    <row r="83" spans="1:8" x14ac:dyDescent="0.25">
      <c r="B83" s="24" t="s">
        <v>86</v>
      </c>
      <c r="C83" s="18" t="s">
        <v>87</v>
      </c>
      <c r="D83" s="9"/>
      <c r="E83" s="14"/>
      <c r="F83" s="14">
        <f>SUMIFS('[1]13 Portfolio Data'!O:O,'[1]13 Portfolio Data'!D:D,$D$3,'[1]13 Portfolio Data'!L:L,B83)</f>
        <v>4232469.63</v>
      </c>
      <c r="G83" s="21">
        <f>+F83/$F$89</f>
        <v>2.9758035425349852E-3</v>
      </c>
      <c r="H83" s="9"/>
    </row>
    <row r="84" spans="1:8" x14ac:dyDescent="0.25">
      <c r="B84" s="24" t="s">
        <v>88</v>
      </c>
      <c r="C84" s="18" t="s">
        <v>89</v>
      </c>
      <c r="D84" s="9"/>
      <c r="E84" s="14"/>
      <c r="F84" s="14">
        <f>SUMIFS('[1]13 Portfolio Data'!O:O,'[1]13 Portfolio Data'!D:D,$D$3,'[1]13 Portfolio Data'!L:L,B84)</f>
        <v>25123264.689999998</v>
      </c>
      <c r="G84" s="21">
        <f>+F84/$F$89</f>
        <v>1.7663895219620536E-2</v>
      </c>
      <c r="H84" s="9"/>
    </row>
    <row r="85" spans="1:8" x14ac:dyDescent="0.25">
      <c r="B85" s="24" t="s">
        <v>90</v>
      </c>
      <c r="C85" s="9" t="s">
        <v>91</v>
      </c>
      <c r="D85" s="9"/>
      <c r="E85" s="14"/>
      <c r="F85" s="14">
        <f>SUMIFS('[1]13 Portfolio Data'!O:O,'[1]13 Portfolio Data'!D:D,$D$3,'[1]13 Portfolio Data'!L:L,B85)</f>
        <v>14858135.82</v>
      </c>
      <c r="G85" s="21">
        <f>+F85/$F$89</f>
        <v>1.0446594322904085E-2</v>
      </c>
      <c r="H85" s="9"/>
    </row>
    <row r="86" spans="1:8" x14ac:dyDescent="0.25">
      <c r="B86" s="9"/>
      <c r="C86" s="9"/>
      <c r="D86" s="9"/>
      <c r="E86" s="14"/>
      <c r="F86" s="20"/>
      <c r="G86" s="21"/>
      <c r="H86" s="9"/>
    </row>
    <row r="87" spans="1:8" x14ac:dyDescent="0.25">
      <c r="B87" s="24"/>
      <c r="C87" s="9" t="s">
        <v>92</v>
      </c>
      <c r="D87" s="9"/>
      <c r="E87" s="14"/>
      <c r="F87" s="26">
        <f>SUM(F78:F86)</f>
        <v>108920634.78</v>
      </c>
      <c r="G87" s="21">
        <f>+F87/$F$89</f>
        <v>7.6580918274299192E-2</v>
      </c>
      <c r="H87" s="9"/>
    </row>
    <row r="88" spans="1:8" x14ac:dyDescent="0.25">
      <c r="B88" s="24"/>
      <c r="C88" s="9"/>
      <c r="D88" s="9"/>
      <c r="E88" s="14"/>
      <c r="F88" s="26"/>
      <c r="G88" s="27"/>
      <c r="H88" s="9"/>
    </row>
    <row r="89" spans="1:8" x14ac:dyDescent="0.25">
      <c r="B89" s="28"/>
      <c r="C89" s="29" t="s">
        <v>93</v>
      </c>
      <c r="D89" s="30"/>
      <c r="E89" s="31"/>
      <c r="F89" s="32">
        <f>+F87+F75</f>
        <v>1422294707.7999995</v>
      </c>
      <c r="G89" s="33">
        <v>1</v>
      </c>
      <c r="H89" s="9"/>
    </row>
    <row r="91" spans="1:8" x14ac:dyDescent="0.25">
      <c r="C91" s="18" t="s">
        <v>94</v>
      </c>
      <c r="D91" s="34">
        <f>+'[1]Form 3'!J18</f>
        <v>11.251528236020523</v>
      </c>
      <c r="F91" s="2">
        <f>+'[1]Form 3'!J11*10^7-F89</f>
        <v>0</v>
      </c>
    </row>
    <row r="92" spans="1:8" x14ac:dyDescent="0.25">
      <c r="C92" s="18" t="s">
        <v>95</v>
      </c>
      <c r="D92" s="34">
        <f>+'[1]Form 3'!J19</f>
        <v>7.112890683295622</v>
      </c>
    </row>
    <row r="93" spans="1:8" x14ac:dyDescent="0.25">
      <c r="C93" s="18" t="s">
        <v>96</v>
      </c>
      <c r="D93" s="35">
        <f>+'[1]Form 3'!J20</f>
        <v>6.6067763559289394E-2</v>
      </c>
    </row>
    <row r="94" spans="1:8" x14ac:dyDescent="0.25">
      <c r="C94" s="18" t="str">
        <f>+'[1]Form 3'!$B$14</f>
        <v>Net Asset Value</v>
      </c>
      <c r="D94" s="36">
        <f>+'[1]Form 3'!J14</f>
        <v>14.713872235828321</v>
      </c>
    </row>
    <row r="95" spans="1:8" x14ac:dyDescent="0.25">
      <c r="C95" s="18" t="str">
        <f>+'[1]Form 3'!$B$15</f>
        <v xml:space="preserve">Net asset value last month </v>
      </c>
      <c r="D95" s="36">
        <f>+'[1]Form 3'!J15</f>
        <v>14.533594592956801</v>
      </c>
    </row>
    <row r="96" spans="1:8" x14ac:dyDescent="0.25">
      <c r="A96" s="37" t="s">
        <v>97</v>
      </c>
      <c r="C96" s="18" t="s">
        <v>98</v>
      </c>
      <c r="D96" s="38">
        <f>SUMIFS('[1]13 Portfolio Data'!O:O,'[1]13 Portfolio Data'!D:D,$D$3,'[1]13 Portfolio Data'!AN:AN,A96)</f>
        <v>3319467</v>
      </c>
    </row>
    <row r="97" spans="1:8" x14ac:dyDescent="0.25">
      <c r="C97" s="18" t="s">
        <v>99</v>
      </c>
      <c r="D97" s="34" t="s">
        <v>100</v>
      </c>
    </row>
    <row r="98" spans="1:8" x14ac:dyDescent="0.25">
      <c r="C98" s="18" t="s">
        <v>101</v>
      </c>
      <c r="D98" s="34" t="s">
        <v>80</v>
      </c>
      <c r="F98" s="39"/>
      <c r="G98" s="40"/>
    </row>
    <row r="99" spans="1:8" x14ac:dyDescent="0.25">
      <c r="B99" s="41"/>
      <c r="C99" s="8"/>
    </row>
    <row r="100" spans="1:8" x14ac:dyDescent="0.25">
      <c r="F100" s="2">
        <f>+F75-SUM(F103:F108)</f>
        <v>0</v>
      </c>
    </row>
    <row r="101" spans="1:8" x14ac:dyDescent="0.25">
      <c r="C101" s="23" t="s">
        <v>102</v>
      </c>
      <c r="D101" s="23"/>
      <c r="E101" s="23"/>
      <c r="F101" s="23"/>
      <c r="G101" s="23"/>
      <c r="H101" s="23"/>
    </row>
    <row r="102" spans="1:8" x14ac:dyDescent="0.25">
      <c r="C102" s="23" t="s">
        <v>103</v>
      </c>
      <c r="D102" s="23"/>
      <c r="E102" s="23"/>
      <c r="F102" s="23" t="s">
        <v>9</v>
      </c>
      <c r="G102" s="23" t="s">
        <v>10</v>
      </c>
      <c r="H102" s="23" t="s">
        <v>11</v>
      </c>
    </row>
    <row r="103" spans="1:8" x14ac:dyDescent="0.25">
      <c r="A103" t="s">
        <v>104</v>
      </c>
      <c r="C103" s="18" t="s">
        <v>105</v>
      </c>
      <c r="D103" s="9"/>
      <c r="E103" s="14"/>
      <c r="F103" s="42">
        <f>SUMIF(Table13456[[Industry ]],A103,Table13456[Market Value])</f>
        <v>1125093428.2399998</v>
      </c>
      <c r="G103" s="43">
        <f>+F103/$F$89</f>
        <v>0.79104100020191337</v>
      </c>
      <c r="H103" s="9"/>
    </row>
    <row r="104" spans="1:8" x14ac:dyDescent="0.25">
      <c r="A104" s="9" t="s">
        <v>19</v>
      </c>
      <c r="C104" s="9" t="s">
        <v>106</v>
      </c>
      <c r="D104" s="9"/>
      <c r="E104" s="14"/>
      <c r="F104" s="42">
        <f>SUMIF(Table13456[[Industry ]],A104,Table13456[Market Value])</f>
        <v>184961177.78</v>
      </c>
      <c r="G104" s="43">
        <f t="shared" ref="G104" si="3">+F104/$F$89</f>
        <v>0.13004420023899077</v>
      </c>
      <c r="H104" s="9"/>
    </row>
    <row r="105" spans="1:8" x14ac:dyDescent="0.25">
      <c r="C105" s="9" t="s">
        <v>61</v>
      </c>
      <c r="D105" s="9"/>
      <c r="E105" s="14"/>
      <c r="F105" s="42">
        <f>SUMIF($L$53:$L$61,$C105,$O$53:$O$61)</f>
        <v>3319467</v>
      </c>
      <c r="G105" s="43">
        <f>+F105/$F$89</f>
        <v>2.3338812847968336E-3</v>
      </c>
      <c r="H105" s="9"/>
    </row>
    <row r="106" spans="1:8" x14ac:dyDescent="0.25">
      <c r="C106" s="9" t="s">
        <v>107</v>
      </c>
      <c r="D106" s="9"/>
      <c r="E106" s="14"/>
      <c r="F106" s="42">
        <f t="shared" ref="F106:F114" si="4">SUMIF($L$53:$L$61,$C106,$O$53:$O$61)</f>
        <v>0</v>
      </c>
      <c r="G106" s="44">
        <f t="shared" ref="G106:G108" si="5">+F106/$F$89</f>
        <v>0</v>
      </c>
      <c r="H106" s="9"/>
    </row>
    <row r="107" spans="1:8" x14ac:dyDescent="0.25">
      <c r="C107" s="9" t="s">
        <v>68</v>
      </c>
      <c r="D107" s="9"/>
      <c r="E107" s="14"/>
      <c r="F107" s="42">
        <f t="shared" si="4"/>
        <v>0</v>
      </c>
      <c r="G107" s="44">
        <f t="shared" si="5"/>
        <v>0</v>
      </c>
      <c r="H107" s="9"/>
    </row>
    <row r="108" spans="1:8" x14ac:dyDescent="0.25">
      <c r="C108" s="9" t="s">
        <v>71</v>
      </c>
      <c r="D108" s="9"/>
      <c r="E108" s="14"/>
      <c r="F108" s="42">
        <f t="shared" si="4"/>
        <v>0</v>
      </c>
      <c r="G108" s="44">
        <f t="shared" si="5"/>
        <v>0</v>
      </c>
      <c r="H108" s="9"/>
    </row>
    <row r="109" spans="1:8" x14ac:dyDescent="0.25">
      <c r="C109" s="9" t="s">
        <v>108</v>
      </c>
      <c r="D109" s="9"/>
      <c r="E109" s="14"/>
      <c r="F109" s="42">
        <f t="shared" si="4"/>
        <v>0</v>
      </c>
      <c r="G109" s="9"/>
      <c r="H109" s="9"/>
    </row>
    <row r="110" spans="1:8" x14ac:dyDescent="0.25">
      <c r="C110" s="9" t="s">
        <v>109</v>
      </c>
      <c r="D110" s="9"/>
      <c r="E110" s="14"/>
      <c r="F110" s="42">
        <f t="shared" si="4"/>
        <v>0</v>
      </c>
      <c r="G110" s="9"/>
      <c r="H110" s="9"/>
    </row>
    <row r="111" spans="1:8" x14ac:dyDescent="0.25">
      <c r="C111" s="9" t="s">
        <v>110</v>
      </c>
      <c r="D111" s="9"/>
      <c r="E111" s="14"/>
      <c r="F111" s="42">
        <f t="shared" si="4"/>
        <v>0</v>
      </c>
      <c r="G111" s="21"/>
      <c r="H111" s="9"/>
    </row>
    <row r="112" spans="1:8" x14ac:dyDescent="0.25">
      <c r="C112" s="9" t="s">
        <v>111</v>
      </c>
      <c r="D112" s="9"/>
      <c r="E112" s="14"/>
      <c r="F112" s="42">
        <f t="shared" si="4"/>
        <v>0</v>
      </c>
      <c r="G112" s="9"/>
      <c r="H112" s="9"/>
    </row>
    <row r="113" spans="3:8" x14ac:dyDescent="0.25">
      <c r="C113" s="9" t="s">
        <v>112</v>
      </c>
      <c r="D113" s="9"/>
      <c r="E113" s="14"/>
      <c r="F113" s="42">
        <f t="shared" si="4"/>
        <v>0</v>
      </c>
      <c r="G113" s="9"/>
      <c r="H113" s="9"/>
    </row>
    <row r="114" spans="3:8" x14ac:dyDescent="0.25">
      <c r="C114" s="9" t="s">
        <v>113</v>
      </c>
      <c r="D114" s="9"/>
      <c r="E114" s="14"/>
      <c r="F114" s="42">
        <f t="shared" si="4"/>
        <v>0</v>
      </c>
      <c r="G114" s="9"/>
      <c r="H114" s="9"/>
    </row>
  </sheetData>
  <pageMargins left="0" right="0" top="0" bottom="0" header="0.31496062992125984" footer="0.31496062992125984"/>
  <pageSetup scale="56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2021-12-08T11:59:18Z</dcterms:created>
  <dcterms:modified xsi:type="dcterms:W3CDTF">2021-12-08T11:59:44Z</dcterms:modified>
</cp:coreProperties>
</file>